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drawings/drawing2.xml" ContentType="application/vnd.openxmlformats-officedocument.drawing+xml"/>
  <Override PartName="/xl/drawings/charts/chart3.xml" ContentType="application/vnd.openxmlformats-officedocument.drawingml.chart+xml"/>
  <Override PartName="/xl/worksheets/sheet4.xml" ContentType="application/vnd.openxmlformats-officedocument.spreadsheetml.worksheet+xml"/>
  <Override PartName="/xl/comments4.xml" ContentType="application/vnd.openxmlformats-officedocument.spreadsheetml.comments+xml"/>
  <Override PartName="/xl/drawings/drawing3.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worksheets/sheet5.xml" ContentType="application/vnd.openxmlformats-officedocument.spreadsheetml.worksheet+xml"/>
  <Override PartName="/xl/comments5.xml" ContentType="application/vnd.openxmlformats-officedocument.spreadsheetml.comments+xml"/>
  <Override PartName="/xl/drawings/drawing4.xml" ContentType="application/vnd.openxmlformats-officedocument.drawing+xml"/>
  <Override PartName="/xl/drawings/charts/chart6.xml" ContentType="application/vnd.openxmlformats-officedocument.drawingml.chart+xml"/>
  <Override PartName="/xl/worksheets/sheet6.xml" ContentType="application/vnd.openxmlformats-officedocument.spreadsheetml.worksheet+xml"/>
  <Override PartName="/xl/comments6.xml" ContentType="application/vnd.openxmlformats-officedocument.spreadsheetml.comments+xml"/>
  <Override PartName="/xl/drawings/drawing5.xml" ContentType="application/vnd.openxmlformats-officedocument.drawing+xml"/>
  <Override PartName="/xl/drawings/charts/chart7.xml" ContentType="application/vnd.openxmlformats-officedocument.drawingml.chart+xml"/>
  <Override PartName="/xl/worksheets/sheet7.xml" ContentType="application/vnd.openxmlformats-officedocument.spreadsheetml.worksheet+xml"/>
  <Override PartName="/xl/comments7.xml" ContentType="application/vnd.openxmlformats-officedocument.spreadsheetml.comments+xml"/>
  <Override PartName="/xl/drawings/drawing6.xml" ContentType="application/vnd.openxmlformats-officedocument.drawing+xml"/>
  <Override PartName="/xl/drawings/charts/chart8.xml" ContentType="application/vnd.openxmlformats-officedocument.drawingml.chart+xml"/>
  <Override PartName="/xl/worksheets/sheet8.xml" ContentType="application/vnd.openxmlformats-officedocument.spreadsheetml.worksheet+xml"/>
  <Override PartName="/xl/comments8.xml" ContentType="application/vnd.openxmlformats-officedocument.spreadsheetml.comments+xml"/>
  <Override PartName="/xl/drawings/drawing7.xml" ContentType="application/vnd.openxmlformats-officedocument.drawing+xml"/>
  <Override PartName="/xl/drawings/charts/chart9.xml" ContentType="application/vnd.openxmlformats-officedocument.drawingml.chart+xml"/>
  <Override PartName="/xl/worksheets/sheet9.xml" ContentType="application/vnd.openxmlformats-officedocument.spreadsheetml.worksheet+xml"/>
  <Override PartName="/xl/comments9.xml" ContentType="application/vnd.openxmlformats-officedocument.spreadsheetml.comments+xml"/>
  <Override PartName="/xl/drawings/drawing8.xml" ContentType="application/vnd.openxmlformats-officedocument.drawing+xml"/>
  <Override PartName="/xl/drawings/charts/chart10.xml" ContentType="application/vnd.openxmlformats-officedocument.drawingml.chart+xml"/>
  <Override PartName="/xl/worksheets/sheet10.xml" ContentType="application/vnd.openxmlformats-officedocument.spreadsheetml.worksheet+xml"/>
  <Override PartName="/xl/comments10.xml" ContentType="application/vnd.openxmlformats-officedocument.spreadsheetml.comments+xml"/>
  <Override PartName="/xl/drawings/drawing9.xml" ContentType="application/vnd.openxmlformats-officedocument.drawing+xml"/>
  <Override PartName="/xl/drawings/charts/chart11.xml" ContentType="application/vnd.openxmlformats-officedocument.drawingml.chart+xml"/>
  <Override PartName="/xl/drawings/charts/chart12.xml" ContentType="application/vnd.openxmlformats-officedocument.drawingml.chart+xml"/>
  <Override PartName="/xl/worksheets/sheet11.xml" ContentType="application/vnd.openxmlformats-officedocument.spreadsheetml.worksheet+xml"/>
  <Override PartName="/xl/comments11.xml" ContentType="application/vnd.openxmlformats-officedocument.spreadsheetml.comments+xml"/>
  <Override PartName="/xl/drawings/drawing10.xml" ContentType="application/vnd.openxmlformats-officedocument.drawing+xml"/>
  <Override PartName="/xl/drawings/charts/chart13.xml" ContentType="application/vnd.openxmlformats-officedocument.drawingml.chart+xml"/>
  <Override PartName="/xl/drawings/charts/chart14.xml" ContentType="application/vnd.openxmlformats-officedocument.drawingml.chart+xml"/>
  <Override PartName="/xl/worksheets/sheet12.xml" ContentType="application/vnd.openxmlformats-officedocument.spreadsheetml.worksheet+xml"/>
  <Override PartName="/xl/comments12.xml" ContentType="application/vnd.openxmlformats-officedocument.spreadsheetml.comments+xml"/>
  <Override PartName="/xl/drawings/drawing11.xml" ContentType="application/vnd.openxmlformats-officedocument.drawing+xml"/>
  <Override PartName="/xl/drawings/charts/chart15.xml" ContentType="application/vnd.openxmlformats-officedocument.drawingml.chart+xml"/>
  <Override PartName="/xl/worksheets/sheet13.xml" ContentType="application/vnd.openxmlformats-officedocument.spreadsheetml.worksheet+xml"/>
  <Override PartName="/xl/comments13.xml" ContentType="application/vnd.openxmlformats-officedocument.spreadsheetml.comments+xml"/>
  <Override PartName="/xl/drawings/drawing12.xml" ContentType="application/vnd.openxmlformats-officedocument.drawing+xml"/>
  <Override PartName="/xl/drawings/charts/chart16.xml" ContentType="application/vnd.openxmlformats-officedocument.drawingml.chart+xml"/>
  <Override PartName="/xl/worksheets/sheet14.xml" ContentType="application/vnd.openxmlformats-officedocument.spreadsheetml.worksheet+xml"/>
  <Override PartName="/xl/comments14.xml" ContentType="application/vnd.openxmlformats-officedocument.spreadsheetml.comments+xml"/>
  <Override PartName="/xl/drawings/drawing13.xml" ContentType="application/vnd.openxmlformats-officedocument.drawing+xml"/>
  <Override PartName="/xl/drawings/charts/chart17.xml" ContentType="application/vnd.openxmlformats-officedocument.drawingml.chart+xml"/>
  <Override PartName="/xl/worksheets/sheet15.xml" ContentType="application/vnd.openxmlformats-officedocument.spreadsheetml.worksheet+xml"/>
  <Override PartName="/xl/comments15.xml" ContentType="application/vnd.openxmlformats-officedocument.spreadsheetml.comments+xml"/>
  <Override PartName="/xl/drawings/drawing14.xml" ContentType="application/vnd.openxmlformats-officedocument.drawing+xml"/>
  <Override PartName="/xl/drawings/charts/chart18.xml" ContentType="application/vnd.openxmlformats-officedocument.drawingml.chart+xml"/>
  <Override PartName="/xl/worksheets/sheet16.xml" ContentType="application/vnd.openxmlformats-officedocument.spreadsheetml.worksheet+xml"/>
  <Override PartName="/xl/comments16.xml" ContentType="application/vnd.openxmlformats-officedocument.spreadsheetml.comments+xml"/>
  <Override PartName="/xl/drawings/drawing15.xml" ContentType="application/vnd.openxmlformats-officedocument.drawing+xml"/>
  <Override PartName="/xl/drawings/charts/chart19.xml" ContentType="application/vnd.openxmlformats-officedocument.drawingml.chart+xml"/>
  <Override PartName="/xl/worksheets/sheet17.xml" ContentType="application/vnd.openxmlformats-officedocument.spreadsheetml.worksheet+xml"/>
  <Override PartName="/xl/comments17.xml" ContentType="application/vnd.openxmlformats-officedocument.spreadsheetml.comments+xml"/>
  <Override PartName="/xl/drawings/drawing16.xml" ContentType="application/vnd.openxmlformats-officedocument.drawing+xml"/>
  <Override PartName="/xl/drawings/charts/chart20.xml" ContentType="application/vnd.openxmlformats-officedocument.drawingml.chart+xml"/>
  <Override PartName="/xl/worksheets/sheet18.xml" ContentType="application/vnd.openxmlformats-officedocument.spreadsheetml.worksheet+xml"/>
  <Override PartName="/xl/comments18.xml" ContentType="application/vnd.openxmlformats-officedocument.spreadsheetml.comments+xml"/>
  <Override PartName="/xl/drawings/drawing17.xml" ContentType="application/vnd.openxmlformats-officedocument.drawing+xml"/>
  <Override PartName="/xl/drawings/charts/chart21.xml" ContentType="application/vnd.openxmlformats-officedocument.drawingml.chart+xml"/>
  <Override PartName="/xl/worksheets/sheet19.xml" ContentType="application/vnd.openxmlformats-officedocument.spreadsheetml.worksheet+xml"/>
  <Override PartName="/xl/comments19.xml" ContentType="application/vnd.openxmlformats-officedocument.spreadsheetml.comments+xml"/>
  <Override PartName="/xl/drawings/drawing18.xml" ContentType="application/vnd.openxmlformats-officedocument.drawing+xml"/>
  <Override PartName="/xl/drawings/charts/chart22.xml" ContentType="application/vnd.openxmlformats-officedocument.drawingml.chart+xml"/>
  <Override PartName="/xl/worksheets/sheet20.xml" ContentType="application/vnd.openxmlformats-officedocument.spreadsheetml.worksheet+xml"/>
  <Override PartName="/xl/comments20.xml" ContentType="application/vnd.openxmlformats-officedocument.spreadsheetml.comments+xml"/>
  <Override PartName="/xl/drawings/drawing19.xml" ContentType="application/vnd.openxmlformats-officedocument.drawing+xml"/>
  <Override PartName="/xl/drawings/charts/chart23.xml" ContentType="application/vnd.openxmlformats-officedocument.drawingml.chart+xml"/>
  <Override PartName="/xl/worksheets/sheet21.xml" ContentType="application/vnd.openxmlformats-officedocument.spreadsheetml.worksheet+xml"/>
  <Override PartName="/xl/comments21.xml" ContentType="application/vnd.openxmlformats-officedocument.spreadsheetml.comments+xml"/>
  <Override PartName="/xl/drawings/drawing20.xml" ContentType="application/vnd.openxmlformats-officedocument.drawing+xml"/>
  <Override PartName="/xl/drawings/charts/chart24.xml" ContentType="application/vnd.openxmlformats-officedocument.drawingml.chart+xml"/>
  <Override PartName="/xl/worksheets/sheet22.xml" ContentType="application/vnd.openxmlformats-officedocument.spreadsheetml.worksheet+xml"/>
  <Override PartName="/xl/comments22.xml" ContentType="application/vnd.openxmlformats-officedocument.spreadsheetml.comments+xml"/>
  <Override PartName="/xl/drawings/drawing21.xml" ContentType="application/vnd.openxmlformats-officedocument.drawing+xml"/>
  <Override PartName="/xl/drawings/charts/chart25.xml" ContentType="application/vnd.openxmlformats-officedocument.drawingml.chart+xml"/>
  <Override PartName="/xl/worksheets/sheet23.xml" ContentType="application/vnd.openxmlformats-officedocument.spreadsheetml.worksheet+xml"/>
  <Override PartName="/xl/comments23.xml" ContentType="application/vnd.openxmlformats-officedocument.spreadsheetml.comments+xml"/>
  <Override PartName="/xl/drawings/drawing22.xml" ContentType="application/vnd.openxmlformats-officedocument.drawing+xml"/>
  <Override PartName="/xl/drawings/charts/chart26.xml" ContentType="application/vnd.openxmlformats-officedocument.drawingml.chart+xml"/>
  <Override PartName="/xl/worksheets/sheet24.xml" ContentType="application/vnd.openxmlformats-officedocument.spreadsheetml.worksheet+xml"/>
  <Override PartName="/xl/comments24.xml" ContentType="application/vnd.openxmlformats-officedocument.spreadsheetml.comments+xml"/>
  <Override PartName="/xl/drawings/drawing23.xml" ContentType="application/vnd.openxmlformats-officedocument.drawing+xml"/>
  <Override PartName="/xl/drawings/charts/chart27.xml" ContentType="application/vnd.openxmlformats-officedocument.drawingml.chart+xml"/>
  <Override PartName="/xl/worksheets/sheet25.xml" ContentType="application/vnd.openxmlformats-officedocument.spreadsheetml.worksheet+xml"/>
  <Override PartName="/xl/comments25.xml" ContentType="application/vnd.openxmlformats-officedocument.spreadsheetml.comments+xml"/>
  <Override PartName="/xl/drawings/drawing24.xml" ContentType="application/vnd.openxmlformats-officedocument.drawing+xml"/>
  <Override PartName="/xl/drawings/charts/chart28.xml" ContentType="application/vnd.openxmlformats-officedocument.drawingml.chart+xml"/>
  <Override PartName="/xl/worksheets/sheet26.xml" ContentType="application/vnd.openxmlformats-officedocument.spreadsheetml.worksheet+xml"/>
  <Override PartName="/xl/comments26.xml" ContentType="application/vnd.openxmlformats-officedocument.spreadsheetml.comments+xml"/>
  <Override PartName="/xl/drawings/drawing25.xml" ContentType="application/vnd.openxmlformats-officedocument.drawing+xml"/>
  <Override PartName="/xl/drawings/charts/chart29.xml" ContentType="application/vnd.openxmlformats-officedocument.drawingml.chart+xml"/>
  <Override PartName="/xl/worksheets/sheet27.xml" ContentType="application/vnd.openxmlformats-officedocument.spreadsheetml.worksheet+xml"/>
  <Override PartName="/xl/worksheets/sheet28.xml" ContentType="application/vnd.openxmlformats-officedocument.spreadsheetml.worksheet+xml"/>
  <Override PartName="/xl/comments27.xml" ContentType="application/vnd.openxmlformats-officedocument.spreadsheetml.comments+xml"/>
  <Override PartName="/xl/drawings/drawing26.xml" ContentType="application/vnd.openxmlformats-officedocument.drawing+xml"/>
  <Override PartName="/xl/drawings/charts/chart30.xml" ContentType="application/vnd.openxmlformats-officedocument.drawingml.chart+xml"/>
  <Override PartName="/xl/drawings/charts/chart31.xml" ContentType="application/vnd.openxmlformats-officedocument.drawingml.chart+xml"/>
  <Override PartName="/xl/worksheets/sheet29.xml" ContentType="application/vnd.openxmlformats-officedocument.spreadsheetml.worksheet+xml"/>
  <Override PartName="/xl/comments28.xml" ContentType="application/vnd.openxmlformats-officedocument.spreadsheetml.comments+xml"/>
  <Override PartName="/xl/worksheets/sheet30.xml" ContentType="application/vnd.openxmlformats-officedocument.spreadsheetml.worksheet+xml"/>
  <Override PartName="/xl/comments29.xml" ContentType="application/vnd.openxmlformats-officedocument.spreadsheetml.comments+xml"/>
  <Override PartName="/xl/worksheets/sheet31.xml" ContentType="application/vnd.openxmlformats-officedocument.spreadsheetml.worksheet+xml"/>
  <Override PartName="/xl/comments30.xml" ContentType="application/vnd.openxmlformats-officedocument.spreadsheetml.comments+xml"/>
  <Override PartName="/xl/worksheets/sheet32.xml" ContentType="application/vnd.openxmlformats-officedocument.spreadsheetml.worksheet+xml"/>
  <Override PartName="/xl/comments31.xml" ContentType="application/vnd.openxmlformats-officedocument.spreadsheetml.comments+xml"/>
  <Override PartName="/xl/worksheets/sheet33.xml" ContentType="application/vnd.openxmlformats-officedocument.spreadsheetml.worksheet+xml"/>
  <Override PartName="/xl/comments32.xml" ContentType="application/vnd.openxmlformats-officedocument.spreadsheetml.comments+xml"/>
  <Override PartName="/xl/worksheets/sheet3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937099adce945c7" /></Relationships>
</file>

<file path=xl/workbook.xml><?xml version="1.0" encoding="utf-8"?>
<x:workbook xmlns:x="http://schemas.openxmlformats.org/spreadsheetml/2006/main">
  <x:sheets>
    <x:sheet xmlns:r="http://schemas.openxmlformats.org/officeDocument/2006/relationships" name="Overview" sheetId="1" r:id="Reed8e67f2a2f4fea"/>
    <x:sheet xmlns:r="http://schemas.openxmlformats.org/officeDocument/2006/relationships" name="Assumptions" sheetId="2" r:id="R26cf34b01b874657"/>
    <x:sheet xmlns:r="http://schemas.openxmlformats.org/officeDocument/2006/relationships" name="DCF" sheetId="3" r:id="R4ffb560653324a21"/>
    <x:sheet xmlns:r="http://schemas.openxmlformats.org/officeDocument/2006/relationships" name="Forecast" sheetId="4" r:id="Rf2f4ac1e7fb14a74"/>
    <x:sheet xmlns:r="http://schemas.openxmlformats.org/officeDocument/2006/relationships" name="Working Capital" sheetId="5" r:id="Ra87d97e4303e4b47"/>
    <x:sheet xmlns:r="http://schemas.openxmlformats.org/officeDocument/2006/relationships" name="Capital Spending" sheetId="6" r:id="Rf2166ed870da4070"/>
    <x:sheet xmlns:r="http://schemas.openxmlformats.org/officeDocument/2006/relationships" name="Terminal Value" sheetId="7" r:id="Rf375cd29cf7240f0"/>
    <x:sheet xmlns:r="http://schemas.openxmlformats.org/officeDocument/2006/relationships" name="Equity Bridge" sheetId="8" r:id="Re2d2ebf07e604af6"/>
    <x:sheet xmlns:r="http://schemas.openxmlformats.org/officeDocument/2006/relationships" name="WACC" sheetId="9" r:id="R34d44400a2634532"/>
    <x:sheet xmlns:r="http://schemas.openxmlformats.org/officeDocument/2006/relationships" name="Beta HC3" sheetId="10" r:id="R71c8837e8a1d43c4"/>
    <x:sheet xmlns:r="http://schemas.openxmlformats.org/officeDocument/2006/relationships" name="Sensitivity" sheetId="11" r:id="R9522ff60f49e4387"/>
    <x:sheet xmlns:r="http://schemas.openxmlformats.org/officeDocument/2006/relationships" name="Exit Multiple" sheetId="12" r:id="Rd15befdd19d14333"/>
    <x:sheet xmlns:r="http://schemas.openxmlformats.org/officeDocument/2006/relationships" name="Reverse Summary" sheetId="13" r:id="Rf390eb1c60b044bd"/>
    <x:sheet xmlns:r="http://schemas.openxmlformats.org/officeDocument/2006/relationships" name="Reverse Growth" sheetId="14" r:id="R343932f653ea4e1f"/>
    <x:sheet xmlns:r="http://schemas.openxmlformats.org/officeDocument/2006/relationships" name="Reverse Margin" sheetId="15" r:id="Rc53d35389cb8462a"/>
    <x:sheet xmlns:r="http://schemas.openxmlformats.org/officeDocument/2006/relationships" name="Reverse Capex" sheetId="16" r:id="R238a6d4b7008491b"/>
    <x:sheet xmlns:r="http://schemas.openxmlformats.org/officeDocument/2006/relationships" name="Reverse NWC" sheetId="17" r:id="R20ec7defb9ad4170"/>
    <x:sheet xmlns:r="http://schemas.openxmlformats.org/officeDocument/2006/relationships" name="Reverse WACC" sheetId="18" r:id="R48f13aa78595470d"/>
    <x:sheet xmlns:r="http://schemas.openxmlformats.org/officeDocument/2006/relationships" name="Reverse Terminal g" sheetId="19" r:id="R5a640cddd45d4032"/>
    <x:sheet xmlns:r="http://schemas.openxmlformats.org/officeDocument/2006/relationships" name="Reverse ROIC" sheetId="20" r:id="Rc4902d9ae80146f5"/>
    <x:sheet xmlns:r="http://schemas.openxmlformats.org/officeDocument/2006/relationships" name="Reverse Tax" sheetId="21" r:id="R6d3781db27f4416e"/>
    <x:sheet xmlns:r="http://schemas.openxmlformats.org/officeDocument/2006/relationships" name="Reverse Leases" sheetId="22" r:id="R5ad26bd40c9f4566"/>
    <x:sheet xmlns:r="http://schemas.openxmlformats.org/officeDocument/2006/relationships" name="Reverse FCF" sheetId="23" r:id="R2c886c2538cf4afb"/>
    <x:sheet xmlns:r="http://schemas.openxmlformats.org/officeDocument/2006/relationships" name="Reverse Multiple" sheetId="24" r:id="R41131c6e6e2c4f23"/>
    <x:sheet xmlns:r="http://schemas.openxmlformats.org/officeDocument/2006/relationships" name="Ownership" sheetId="25" r:id="R503ed5d12712427d"/>
    <x:sheet xmlns:r="http://schemas.openxmlformats.org/officeDocument/2006/relationships" name="Monte Carlo" sheetId="26" r:id="R5f027337b3cb4fe1"/>
    <x:sheet xmlns:r="http://schemas.openxmlformats.org/officeDocument/2006/relationships" name="Data &gt;&gt;" sheetId="27" r:id="R745883dd72c34913"/>
    <x:sheet xmlns:r="http://schemas.openxmlformats.org/officeDocument/2006/relationships" name="Historical Inputs" sheetId="28" r:id="R584d7b398a5b44d3"/>
    <x:sheet xmlns:r="http://schemas.openxmlformats.org/officeDocument/2006/relationships" name="Market Inputs" sheetId="29" r:id="R7036d1fbc2344c8f"/>
    <x:sheet xmlns:r="http://schemas.openxmlformats.org/officeDocument/2006/relationships" name="Market Data" sheetId="30" r:id="R396c51f42d344393"/>
    <x:sheet xmlns:r="http://schemas.openxmlformats.org/officeDocument/2006/relationships" name="Source Catalog" sheetId="31" r:id="R25f1741e77cf4afc"/>
    <x:sheet xmlns:r="http://schemas.openxmlformats.org/officeDocument/2006/relationships" name="Audit" sheetId="32" r:id="R5ae5bc105dd040ca"/>
    <x:sheet xmlns:r="http://schemas.openxmlformats.org/officeDocument/2006/relationships" name="Python Code" sheetId="33" r:id="R25c341a4c1b3485c"/>
    <x:sheet xmlns:r="http://schemas.openxmlformats.org/officeDocument/2006/relationships" name="Model Guide" sheetId="34" r:id="Rac34c2b0d2fe4958"/>
  </x:sheets>
</x:workbook>
</file>

<file path=xl/comments1.xml><?xml version="1.0" encoding="utf-8"?>
<x:comments xmlns:x="http://schemas.openxmlformats.org/spreadsheetml/2006/main">
  <x:authors>
    <x:author>Goran Brkich</x:author>
  </x:authors>
  <x:commentList>
    <x:comment ref="C8" authorId="0">
      <x:text>
        <x:r>
          <x:t>Observed MSFT close</x:t>
        </x:r>
      </x:text>
    </x:comment>
    <x:comment ref="C9" authorId="0">
      <x:text>
        <x:r>
          <x:t>Selected DCF value</x:t>
        </x:r>
      </x:text>
    </x:comment>
    <x:comment ref="C10" authorId="0">
      <x:text>
        <x:r>
          <x:t>Conditional value / close minus one</x:t>
        </x:r>
      </x:text>
    </x:comment>
    <x:comment ref="C12" authorId="0">
      <x:text>
        <x:r>
          <x:t>Selected cost of capital</x:t>
        </x:r>
      </x:text>
    </x:comment>
    <x:comment ref="C13" authorId="0">
      <x:text>
        <x:r>
          <x:t>Stable growth</x:t>
        </x:r>
      </x:text>
    </x:comment>
    <x:comment ref="C14" authorId="0">
      <x:text>
        <x:r>
          <x:t>Stable ROIC</x:t>
        </x:r>
      </x:text>
    </x:comment>
    <x:comment ref="C15" authorId="0">
      <x:text>
        <x:r>
          <x:t>Stable share of enterprise value</x:t>
        </x:r>
      </x:text>
    </x:comment>
    <x:comment ref="C17" authorId="0">
      <x:text>
        <x:r>
          <x:t>Required uniform five year revenue CAGR</x:t>
        </x:r>
      </x:text>
    </x:comment>
    <x:comment ref="C18" authorId="0">
      <x:text>
        <x:r>
          <x:t>Required WACC at other base inputs</x:t>
        </x:r>
      </x:text>
    </x:comment>
    <x:comment ref="C19" authorId="0">
      <x:text>
        <x:r>
          <x:t>Required stable growth</x:t>
        </x:r>
      </x:text>
    </x:comment>
    <x:comment ref="E4" authorId="0">
      <x:text>
        <x:r>
          <x:t>Overview. Formula: =CHOOSE('DCF'!$E$5,"Base","Upside","Downside")
Review selected-case observations and Model Guide for definitions and held assumptions.</x:t>
        </x:r>
      </x:text>
    </x:comment>
    <x:comment ref="E8" authorId="0">
      <x:text>
        <x:r>
          <x:t>Overview. Formula: ='Market Inputs'!E9
Review selected-case observations and Model Guide for definitions and held assumptions.</x:t>
        </x:r>
      </x:text>
    </x:comment>
    <x:comment ref="E9" authorId="0">
      <x:text>
        <x:r>
          <x:t>Overview. Formula: ='DCF'!E28
Review selected-case observations and Model Guide for definitions and held assumptions.</x:t>
        </x:r>
      </x:text>
    </x:comment>
    <x:comment ref="E10" authorId="0">
      <x:text>
        <x:r>
          <x:t>Overview. Formula: ='DCF'!E30
Review selected-case observations and Model Guide for definitions and held assumptions.</x:t>
        </x:r>
      </x:text>
    </x:comment>
    <x:comment ref="E12" authorId="0">
      <x:text>
        <x:r>
          <x:t>Overview. Formula: ='DCF'!E6
Review selected-case observations and Model Guide for definitions and held assumptions.</x:t>
        </x:r>
      </x:text>
    </x:comment>
    <x:comment ref="E13" authorId="0">
      <x:text>
        <x:r>
          <x:t>Overview. Formula: ='DCF'!E7
Review selected-case observations and Model Guide for definitions and held assumptions.</x:t>
        </x:r>
      </x:text>
    </x:comment>
    <x:comment ref="E14" authorId="0">
      <x:text>
        <x:r>
          <x:t>Overview. Formula: ='Terminal Value'!E12
Review selected-case observations and Model Guide for definitions and held assumptions.</x:t>
        </x:r>
      </x:text>
    </x:comment>
    <x:comment ref="E15" authorId="0">
      <x:text>
        <x:r>
          <x:t>Overview. Formula: ='DCF'!E31
Review selected-case observations and Model Guide for definitions and held assumptions.</x:t>
        </x:r>
      </x:text>
    </x:comment>
    <x:comment ref="E17" authorId="0">
      <x:text>
        <x:r>
          <x:t>Overview. Formula: ='Reverse Growth'!E12
Review selected-case observations and Model Guide for definitions and held assumptions.</x:t>
        </x:r>
      </x:text>
    </x:comment>
    <x:comment ref="E18" authorId="0">
      <x:text>
        <x:r>
          <x:t>Overview. Formula: ='Reverse WACC'!E12
Review selected-case observations and Model Guide for definitions and held assumptions.</x:t>
        </x:r>
      </x:text>
    </x:comment>
    <x:comment ref="E19" authorId="0">
      <x:text>
        <x:r>
          <x:t>Overview. Formula: ='Reverse Terminal g'!E12
Review selected-case observations and Model Guide for definitions and held assumptions.</x:t>
        </x:r>
      </x:text>
    </x:comment>
    <x:comment ref="D24" authorId="0">
      <x:text>
        <x:r>
          <x:t>Overview. Formula: ='DCF'!F53
Review selected-case observations and Model Guide for definitions and held assumptions.</x:t>
        </x:r>
      </x:text>
    </x:comment>
    <x:comment ref="E24" authorId="0">
      <x:text>
        <x:r>
          <x:t>Overview. Formula: =D24/$E$8-1
Review selected-case observations and Model Guide for definitions and held assumptions.</x:t>
        </x:r>
      </x:text>
    </x:comment>
    <x:comment ref="D25" authorId="0">
      <x:text>
        <x:r>
          <x:t>Overview. Formula: ='DCF'!G54
Review selected-case observations and Model Guide for definitions and held assumptions.</x:t>
        </x:r>
      </x:text>
    </x:comment>
    <x:comment ref="E25" authorId="0">
      <x:text>
        <x:r>
          <x:t>Overview. Formula: =D25/$E$8-1
Review selected-case observations and Model Guide for definitions and held assumptions.</x:t>
        </x:r>
      </x:text>
    </x:comment>
    <x:comment ref="D26" authorId="0">
      <x:text>
        <x:r>
          <x:t>Overview. Formula: ='DCF'!H55
Review selected-case observations and Model Guide for definitions and held assumptions.</x:t>
        </x:r>
      </x:text>
    </x:comment>
    <x:comment ref="E26" authorId="0">
      <x:text>
        <x:r>
          <x:t>Overview. Formula: =D26/$E$8-1
Review selected-case observations and Model Guide for definitions and held assumptions.</x:t>
        </x:r>
      </x:text>
    </x:comment>
    <x:comment ref="D30" authorId="0">
      <x:text>
        <x:r>
          <x:t>Overview. Formula: ='Forecast'!E12
Review selected-case observations and Model Guide for definitions and held assumptions.</x:t>
        </x:r>
      </x:text>
    </x:comment>
    <x:comment ref="E30" authorId="0">
      <x:text>
        <x:r>
          <x:t>Overview. Formula: ='Forecast'!E24
Review selected-case observations and Model Guide for definitions and held assumptions.</x:t>
        </x:r>
      </x:text>
    </x:comment>
    <x:comment ref="D31" authorId="0">
      <x:text>
        <x:r>
          <x:t>Overview. Formula: ='Forecast'!F12
Review selected-case observations and Model Guide for definitions and held assumptions.</x:t>
        </x:r>
      </x:text>
    </x:comment>
    <x:comment ref="E31" authorId="0">
      <x:text>
        <x:r>
          <x:t>Overview. Formula: ='Forecast'!F24
Review selected-case observations and Model Guide for definitions and held assumptions.</x:t>
        </x:r>
      </x:text>
    </x:comment>
    <x:comment ref="D32" authorId="0">
      <x:text>
        <x:r>
          <x:t>Overview. Formula: ='Forecast'!G12
Review selected-case observations and Model Guide for definitions and held assumptions.</x:t>
        </x:r>
      </x:text>
    </x:comment>
    <x:comment ref="E32" authorId="0">
      <x:text>
        <x:r>
          <x:t>Overview. Formula: ='Forecast'!G24
Review selected-case observations and Model Guide for definitions and held assumptions.</x:t>
        </x:r>
      </x:text>
    </x:comment>
    <x:comment ref="D33" authorId="0">
      <x:text>
        <x:r>
          <x:t>Overview. Formula: ='Forecast'!H12
Review selected-case observations and Model Guide for definitions and held assumptions.</x:t>
        </x:r>
      </x:text>
    </x:comment>
    <x:comment ref="E33" authorId="0">
      <x:text>
        <x:r>
          <x:t>Overview. Formula: ='Forecast'!H24
Review selected-case observations and Model Guide for definitions and held assumptions.</x:t>
        </x:r>
      </x:text>
    </x:comment>
    <x:comment ref="D34" authorId="0">
      <x:text>
        <x:r>
          <x:t>Overview. Formula: ='Forecast'!I12
Review selected-case observations and Model Guide for definitions and held assumptions.</x:t>
        </x:r>
      </x:text>
    </x:comment>
    <x:comment ref="E34" authorId="0">
      <x:text>
        <x:r>
          <x:t>Overview. Formula: ='Forecast'!I24
Review selected-case observations and Model Guide for definitions and held assumptions.</x:t>
        </x:r>
      </x:text>
    </x:comment>
    <x:comment ref="C39" authorId="0">
      <x:text>
        <x:r>
          <x:t>Overview. Formula: ="Selected value USD "&amp;ROUND(E9,2)&amp;" versus close USD "&amp;ROUND(E8,2)&amp;". Stable value supplies "&amp;ROUND(E15*100,1)&amp;"% of enterprise value. "&amp;"The valuation uses an 8 October 2026 information cutoff, ten historical fiscal years and five explicit forecasts FY2027 to FY2031. FY2027 remaining cash flow is shortened to 265 days."
Review selected-case observations and Model Guide for definitions and held assumptions.</x:t>
        </x:r>
      </x:text>
    </x:comment>
  </x:commentList>
</x:comments>
</file>

<file path=xl/comments2.xml><?xml version="1.0" encoding="utf-8"?>
<x:comments xmlns:x="http://schemas.openxmlformats.org/spreadsheetml/2006/main">
  <x:authors>
    <x:author>Goran Brkich</x:author>
  </x:authors>
  <x:commentList>
    <x:comment ref="E8" authorId="0">
      <x:text>
        <x:r>
          <x:t>Discount timing mode. 1 = midpoint of unexpired first-year cash flow, then fiscal midyear; 2 = fiscal year-end. Terminal value is discounted from 30 June 2031 in both modes.</x:t>
        </x:r>
      </x:text>
    </x:comment>
    <x:comment ref="C8" authorId="0">
      <x:text>
        <x:r>
          <x:t>1 = midpoint of unexpired first-year cash flow, then fiscal midyear; 2 = fiscal year-end. Terminal value is discounted from 30 June 2031 in both modes.</x:t>
        </x:r>
      </x:text>
    </x:comment>
    <x:comment ref="E9" authorId="0">
      <x:text>
        <x:r>
          <x:t>Beta selection mode. 1 = five-year daily OLS beta; 2 = Blume adjusted beta; 3 = manual beta. HC3 changes inference, not the OLS point estimate.</x:t>
        </x:r>
      </x:text>
    </x:comment>
    <x:comment ref="C9" authorId="0">
      <x:text>
        <x:r>
          <x:t>1 = five-year daily OLS beta; 2 = Blume adjusted beta; 3 = manual beta. HC3 changes inference, not the OLS point estimate.</x:t>
        </x:r>
      </x:text>
    </x:comment>
    <x:comment ref="E10" authorId="0">
      <x:text>
        <x:r>
          <x:t>Manual beta. Used only when beta selection mode is 3.</x:t>
        </x:r>
      </x:text>
    </x:comment>
    <x:comment ref="C10" authorId="0">
      <x:text>
        <x:r>
          <x:t>Used only when beta selection mode is 3.</x:t>
        </x:r>
      </x:text>
    </x:comment>
    <x:comment ref="E11" authorId="0">
      <x:text>
        <x:r>
          <x:t>Incremental dilution proxy. FY2026 diluted minus basic weighted shares = 24 million. Added to July point shares as an explicit proxy for existing award overhang, not forecast dilution.</x:t>
        </x:r>
      </x:text>
    </x:comment>
    <x:comment ref="C11" authorId="0">
      <x:text>
        <x:r>
          <x:t>FY2026 diluted minus basic weighted shares = 24 million. Added to July point shares as an explicit proxy for existing award overhang, not forecast dilution.</x:t>
        </x:r>
      </x:text>
    </x:comment>
    <x:comment ref="E12" authorId="0">
      <x:text>
        <x:r>
          <x:t>Operating cash reserve. Analyst operating reserve inherited from project 03. Only cash and liquid investments above this reserve enter the non-operating bridge.</x:t>
        </x:r>
      </x:text>
    </x:comment>
    <x:comment ref="C12" authorId="0">
      <x:text>
        <x:r>
          <x:t>Analyst operating reserve inherited from project 03. Only cash and liquid investments above this reserve enter the non-operating bridge.</x:t>
        </x:r>
      </x:text>
    </x:comment>
    <x:comment ref="E13" authorId="0">
      <x:text>
        <x:r>
          <x:t>Investment value factor. 1.0 uses disclosed equity investments carrying value as a non-operating valuation proxy. Lower factors test liquidity and valuation uncertainty.</x:t>
        </x:r>
      </x:text>
    </x:comment>
    <x:comment ref="C13" authorId="0">
      <x:text>
        <x:r>
          <x:t>1.0 uses disclosed equity investments carrying value as a non-operating valuation proxy. Lower factors test liquidity and valuation uncertainty.</x:t>
        </x:r>
      </x:text>
    </x:comment>
    <x:comment ref="E14" authorId="0">
      <x:text>
        <x:r>
          <x:t>Debt tax shield assumption. Marginal tax assumption for the WACC debt shield, distinct from global operating and terminal tax rates.</x:t>
        </x:r>
      </x:text>
    </x:comment>
    <x:comment ref="C14" authorId="0">
      <x:text>
        <x:r>
          <x:t>Marginal tax assumption for the WACC debt shield, distinct from global operating and terminal tax rates.</x:t>
        </x:r>
      </x:text>
    </x:comment>
    <x:comment ref="E15" authorId="0">
      <x:text>
        <x:r>
          <x:t>Terminal tax rate. Normalized operating tax assumption for the stable period.</x:t>
        </x:r>
      </x:text>
    </x:comment>
    <x:comment ref="C15" authorId="0">
      <x:text>
        <x:r>
          <x:t>Normalized operating tax assumption for the stable period.</x:t>
        </x:r>
      </x:text>
    </x:comment>
    <x:comment ref="E16" authorId="0">
      <x:text>
        <x:r>
          <x:t>WACC manual override. Blank uses the calculated WACC. A numeric override replaces it. Native sensitivity tables temporarily vary DCF!E6, which is the actual valuation input.</x:t>
        </x:r>
      </x:text>
    </x:comment>
    <x:comment ref="C16" authorId="0">
      <x:text>
        <x:r>
          <x:t>Blank uses the calculated WACC. A numeric override replaces it. Native sensitivity tables temporarily vary DCF!E6, which is the actual valuation input.</x:t>
        </x:r>
      </x:text>
    </x:comment>
    <x:comment ref="E17" authorId="0">
      <x:text>
        <x:r>
          <x:t>Unexpired FY2027 fraction. ACT/365 from 8 October 2026 to 30 June 2027 = 265/365. The first annual FCFF is multiplied by this fraction; uniform cash generation within the year is assumed.
Excel formula: =(DATE(2027,6,30)-'Market Inputs'!E8)/365</x:t>
        </x:r>
      </x:text>
    </x:comment>
    <x:comment ref="C17" authorId="0">
      <x:text>
        <x:r>
          <x:t>ACT/365 from 8 October 2026 to 30 June 2027 = 265/365. The first annual FCFF is multiplied by this fraction; uniform cash generation within the year is assumed.</x:t>
        </x:r>
      </x:text>
    </x:comment>
    <x:comment ref="E18" authorId="0">
      <x:text>
        <x:r>
          <x:t>SBC cost diagnostic / revenue. Original project 03 forecast compensation calibration. SBC is already inside EBIT and is never added back to FCFF. This row is a diagnostic only.</x:t>
        </x:r>
      </x:text>
    </x:comment>
    <x:comment ref="C18" authorId="0">
      <x:text>
        <x:r>
          <x:t>Original project 03 forecast compensation calibration. SBC is already inside EBIT and is never added back to FCFF. This row is a diagnostic only.</x:t>
        </x:r>
      </x:text>
    </x:comment>
    <x:comment ref="E22" authorId="0">
      <x:text>
        <x:r>
          <x:t>PBP revenue growth: select this fiscal year's driver from the one authoritative scenario selector in DCF!E5. This is an analyst forecast, not an issuer-reported future result.</x:t>
        </x:r>
      </x:text>
    </x:comment>
    <x:comment ref="F22" authorId="0">
      <x:text>
        <x:r>
          <x:t>PBP revenue growth: select this fiscal year's driver from the one authoritative scenario selector in DCF!E5. This is an analyst forecast, not an issuer-reported future result.</x:t>
        </x:r>
      </x:text>
    </x:comment>
    <x:comment ref="G22" authorId="0">
      <x:text>
        <x:r>
          <x:t>PBP revenue growth: select this fiscal year's driver from the one authoritative scenario selector in DCF!E5. This is an analyst forecast, not an issuer-reported future result.</x:t>
        </x:r>
      </x:text>
    </x:comment>
    <x:comment ref="H22" authorId="0">
      <x:text>
        <x:r>
          <x:t>PBP revenue growth: select this fiscal year's driver from the one authoritative scenario selector in DCF!E5. This is an analyst forecast, not an issuer-reported future result.</x:t>
        </x:r>
      </x:text>
    </x:comment>
    <x:comment ref="I22" authorId="0">
      <x:text>
        <x:r>
          <x:t>PBP revenue growth: select this fiscal year's driver from the one authoritative scenario selector in DCF!E5. This is an analyst forecast, not an issuer-reported future result.</x:t>
        </x:r>
      </x:text>
    </x:comment>
    <x:comment ref="E23" authorId="0">
      <x:text>
        <x:r>
          <x:t>Base scenario: pbp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23" authorId="0">
      <x:text>
        <x:r>
          <x:t>Base scenario: pbp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23" authorId="0">
      <x:text>
        <x:r>
          <x:t>Base scenario: pbp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23" authorId="0">
      <x:text>
        <x:r>
          <x:t>Base scenario: pbp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23" authorId="0">
      <x:text>
        <x:r>
          <x:t>Base scenario: pbp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24" authorId="0">
      <x:text>
        <x:r>
          <x:t>Upside scenario: pbp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24" authorId="0">
      <x:text>
        <x:r>
          <x:t>Upside scenario: pbp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24" authorId="0">
      <x:text>
        <x:r>
          <x:t>Upside scenario: pbp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24" authorId="0">
      <x:text>
        <x:r>
          <x:t>Upside scenario: pbp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24" authorId="0">
      <x:text>
        <x:r>
          <x:t>Upside scenario: pbp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25" authorId="0">
      <x:text>
        <x:r>
          <x:t>Downside scenario: pbp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25" authorId="0">
      <x:text>
        <x:r>
          <x:t>Downside scenario: pbp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25" authorId="0">
      <x:text>
        <x:r>
          <x:t>Downside scenario: pbp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25" authorId="0">
      <x:text>
        <x:r>
          <x:t>Downside scenario: pbp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25" authorId="0">
      <x:text>
        <x:r>
          <x:t>Downside scenario: pbp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27" authorId="0">
      <x:text>
        <x:r>
          <x:t>Intelligent Cloud revenue growth: select this fiscal year's driver from the one authoritative scenario selector in DCF!E5. This is an analyst forecast, not an issuer-reported future result.</x:t>
        </x:r>
      </x:text>
    </x:comment>
    <x:comment ref="F27" authorId="0">
      <x:text>
        <x:r>
          <x:t>Intelligent Cloud revenue growth: select this fiscal year's driver from the one authoritative scenario selector in DCF!E5. This is an analyst forecast, not an issuer-reported future result.</x:t>
        </x:r>
      </x:text>
    </x:comment>
    <x:comment ref="G27" authorId="0">
      <x:text>
        <x:r>
          <x:t>Intelligent Cloud revenue growth: select this fiscal year's driver from the one authoritative scenario selector in DCF!E5. This is an analyst forecast, not an issuer-reported future result.</x:t>
        </x:r>
      </x:text>
    </x:comment>
    <x:comment ref="H27" authorId="0">
      <x:text>
        <x:r>
          <x:t>Intelligent Cloud revenue growth: select this fiscal year's driver from the one authoritative scenario selector in DCF!E5. This is an analyst forecast, not an issuer-reported future result.</x:t>
        </x:r>
      </x:text>
    </x:comment>
    <x:comment ref="I27" authorId="0">
      <x:text>
        <x:r>
          <x:t>Intelligent Cloud revenue growth: select this fiscal year's driver from the one authoritative scenario selector in DCF!E5. This is an analyst forecast, not an issuer-reported future result.</x:t>
        </x:r>
      </x:text>
    </x:comment>
    <x:comment ref="E28" authorId="0">
      <x:text>
        <x:r>
          <x:t>Base scenario: ic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28" authorId="0">
      <x:text>
        <x:r>
          <x:t>Base scenario: ic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28" authorId="0">
      <x:text>
        <x:r>
          <x:t>Base scenario: ic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28" authorId="0">
      <x:text>
        <x:r>
          <x:t>Base scenario: ic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28" authorId="0">
      <x:text>
        <x:r>
          <x:t>Base scenario: ic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29" authorId="0">
      <x:text>
        <x:r>
          <x:t>Upside scenario: ic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29" authorId="0">
      <x:text>
        <x:r>
          <x:t>Upside scenario: ic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29" authorId="0">
      <x:text>
        <x:r>
          <x:t>Upside scenario: ic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29" authorId="0">
      <x:text>
        <x:r>
          <x:t>Upside scenario: ic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29" authorId="0">
      <x:text>
        <x:r>
          <x:t>Upside scenario: ic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30" authorId="0">
      <x:text>
        <x:r>
          <x:t>Downside scenario: ic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30" authorId="0">
      <x:text>
        <x:r>
          <x:t>Downside scenario: ic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30" authorId="0">
      <x:text>
        <x:r>
          <x:t>Downside scenario: ic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30" authorId="0">
      <x:text>
        <x:r>
          <x:t>Downside scenario: ic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30" authorId="0">
      <x:text>
        <x:r>
          <x:t>Downside scenario: ic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32" authorId="0">
      <x:text>
        <x:r>
          <x:t>MPC revenue growth: select this fiscal year's driver from the one authoritative scenario selector in DCF!E5. This is an analyst forecast, not an issuer-reported future result.</x:t>
        </x:r>
      </x:text>
    </x:comment>
    <x:comment ref="F32" authorId="0">
      <x:text>
        <x:r>
          <x:t>MPC revenue growth: select this fiscal year's driver from the one authoritative scenario selector in DCF!E5. This is an analyst forecast, not an issuer-reported future result.</x:t>
        </x:r>
      </x:text>
    </x:comment>
    <x:comment ref="G32" authorId="0">
      <x:text>
        <x:r>
          <x:t>MPC revenue growth: select this fiscal year's driver from the one authoritative scenario selector in DCF!E5. This is an analyst forecast, not an issuer-reported future result.</x:t>
        </x:r>
      </x:text>
    </x:comment>
    <x:comment ref="H32" authorId="0">
      <x:text>
        <x:r>
          <x:t>MPC revenue growth: select this fiscal year's driver from the one authoritative scenario selector in DCF!E5. This is an analyst forecast, not an issuer-reported future result.</x:t>
        </x:r>
      </x:text>
    </x:comment>
    <x:comment ref="I32" authorId="0">
      <x:text>
        <x:r>
          <x:t>MPC revenue growth: select this fiscal year's driver from the one authoritative scenario selector in DCF!E5. This is an analyst forecast, not an issuer-reported future result.</x:t>
        </x:r>
      </x:text>
    </x:comment>
    <x:comment ref="E33" authorId="0">
      <x:text>
        <x:r>
          <x:t>Base scenario: mpc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33" authorId="0">
      <x:text>
        <x:r>
          <x:t>Base scenario: mpc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33" authorId="0">
      <x:text>
        <x:r>
          <x:t>Base scenario: mpc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33" authorId="0">
      <x:text>
        <x:r>
          <x:t>Base scenario: mpc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33" authorId="0">
      <x:text>
        <x:r>
          <x:t>Base scenario: mpc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34" authorId="0">
      <x:text>
        <x:r>
          <x:t>Upside scenario: mpc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34" authorId="0">
      <x:text>
        <x:r>
          <x:t>Upside scenario: mpc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34" authorId="0">
      <x:text>
        <x:r>
          <x:t>Upside scenario: mpc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34" authorId="0">
      <x:text>
        <x:r>
          <x:t>Upside scenario: mpc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34" authorId="0">
      <x:text>
        <x:r>
          <x:t>Upside scenario: mpc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35" authorId="0">
      <x:text>
        <x:r>
          <x:t>Downside scenario: mpc growth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35" authorId="0">
      <x:text>
        <x:r>
          <x:t>Downside scenario: mpc growth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35" authorId="0">
      <x:text>
        <x:r>
          <x:t>Downside scenario: mpc growth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35" authorId="0">
      <x:text>
        <x:r>
          <x:t>Downside scenario: mpc growth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35" authorId="0">
      <x:text>
        <x:r>
          <x:t>Downside scenario: mpc growth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37" authorId="0">
      <x:text>
        <x:r>
          <x:t>Operating margin: select this fiscal year's driver from the one authoritative scenario selector in DCF!E5. This is an analyst forecast, not an issuer-reported future result.</x:t>
        </x:r>
      </x:text>
    </x:comment>
    <x:comment ref="F37" authorId="0">
      <x:text>
        <x:r>
          <x:t>Operating margin: select this fiscal year's driver from the one authoritative scenario selector in DCF!E5. This is an analyst forecast, not an issuer-reported future result.</x:t>
        </x:r>
      </x:text>
    </x:comment>
    <x:comment ref="G37" authorId="0">
      <x:text>
        <x:r>
          <x:t>Operating margin: select this fiscal year's driver from the one authoritative scenario selector in DCF!E5. This is an analyst forecast, not an issuer-reported future result.</x:t>
        </x:r>
      </x:text>
    </x:comment>
    <x:comment ref="H37" authorId="0">
      <x:text>
        <x:r>
          <x:t>Operating margin: select this fiscal year's driver from the one authoritative scenario selector in DCF!E5. This is an analyst forecast, not an issuer-reported future result.</x:t>
        </x:r>
      </x:text>
    </x:comment>
    <x:comment ref="I37" authorId="0">
      <x:text>
        <x:r>
          <x:t>Operating margin: select this fiscal year's driver from the one authoritative scenario selector in DCF!E5. This is an analyst forecast, not an issuer-reported future result.</x:t>
        </x:r>
      </x:text>
    </x:comment>
    <x:comment ref="E38" authorId="0">
      <x:text>
        <x:r>
          <x:t>Base scenario: ebit margin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38" authorId="0">
      <x:text>
        <x:r>
          <x:t>Base scenario: ebit margin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38" authorId="0">
      <x:text>
        <x:r>
          <x:t>Base scenario: ebit margin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38" authorId="0">
      <x:text>
        <x:r>
          <x:t>Base scenario: ebit margin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38" authorId="0">
      <x:text>
        <x:r>
          <x:t>Base scenario: ebit margin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39" authorId="0">
      <x:text>
        <x:r>
          <x:t>Upside scenario: ebit margin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39" authorId="0">
      <x:text>
        <x:r>
          <x:t>Upside scenario: ebit margin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39" authorId="0">
      <x:text>
        <x:r>
          <x:t>Upside scenario: ebit margin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39" authorId="0">
      <x:text>
        <x:r>
          <x:t>Upside scenario: ebit margin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39" authorId="0">
      <x:text>
        <x:r>
          <x:t>Upside scenario: ebit margin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40" authorId="0">
      <x:text>
        <x:r>
          <x:t>Downside scenario: ebit margin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40" authorId="0">
      <x:text>
        <x:r>
          <x:t>Downside scenario: ebit margin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40" authorId="0">
      <x:text>
        <x:r>
          <x:t>Downside scenario: ebit margin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40" authorId="0">
      <x:text>
        <x:r>
          <x:t>Downside scenario: ebit margin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40" authorId="0">
      <x:text>
        <x:r>
          <x:t>Downside scenario: ebit margin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42" authorId="0">
      <x:text>
        <x:r>
          <x:t>Operating tax rate: select this fiscal year's driver from the one authoritative scenario selector in DCF!E5. This is an analyst forecast, not an issuer-reported future result.</x:t>
        </x:r>
      </x:text>
    </x:comment>
    <x:comment ref="F42" authorId="0">
      <x:text>
        <x:r>
          <x:t>Operating tax rate: select this fiscal year's driver from the one authoritative scenario selector in DCF!E5. This is an analyst forecast, not an issuer-reported future result.</x:t>
        </x:r>
      </x:text>
    </x:comment>
    <x:comment ref="G42" authorId="0">
      <x:text>
        <x:r>
          <x:t>Operating tax rate: select this fiscal year's driver from the one authoritative scenario selector in DCF!E5. This is an analyst forecast, not an issuer-reported future result.</x:t>
        </x:r>
      </x:text>
    </x:comment>
    <x:comment ref="H42" authorId="0">
      <x:text>
        <x:r>
          <x:t>Operating tax rate: select this fiscal year's driver from the one authoritative scenario selector in DCF!E5. This is an analyst forecast, not an issuer-reported future result.</x:t>
        </x:r>
      </x:text>
    </x:comment>
    <x:comment ref="I42" authorId="0">
      <x:text>
        <x:r>
          <x:t>Operating tax rate: select this fiscal year's driver from the one authoritative scenario selector in DCF!E5. This is an analyst forecast, not an issuer-reported future result.</x:t>
        </x:r>
      </x:text>
    </x:comment>
    <x:comment ref="E43" authorId="0">
      <x:text>
        <x:r>
          <x:t>Base scenario: tax rate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43" authorId="0">
      <x:text>
        <x:r>
          <x:t>Base scenario: tax rate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43" authorId="0">
      <x:text>
        <x:r>
          <x:t>Base scenario: tax rate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43" authorId="0">
      <x:text>
        <x:r>
          <x:t>Base scenario: tax rate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43" authorId="0">
      <x:text>
        <x:r>
          <x:t>Base scenario: tax rate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44" authorId="0">
      <x:text>
        <x:r>
          <x:t>Upside scenario: tax rate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44" authorId="0">
      <x:text>
        <x:r>
          <x:t>Upside scenario: tax rate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44" authorId="0">
      <x:text>
        <x:r>
          <x:t>Upside scenario: tax rate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44" authorId="0">
      <x:text>
        <x:r>
          <x:t>Upside scenario: tax rate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44" authorId="0">
      <x:text>
        <x:r>
          <x:t>Upside scenario: tax rate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45" authorId="0">
      <x:text>
        <x:r>
          <x:t>Downside scenario: tax rate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45" authorId="0">
      <x:text>
        <x:r>
          <x:t>Downside scenario: tax rate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45" authorId="0">
      <x:text>
        <x:r>
          <x:t>Downside scenario: tax rate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45" authorId="0">
      <x:text>
        <x:r>
          <x:t>Downside scenario: tax rate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45" authorId="0">
      <x:text>
        <x:r>
          <x:t>Downside scenario: tax rate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47" authorId="0">
      <x:text>
        <x:r>
          <x:t>Depreciation and amortization / revenue: select this fiscal year's driver from the one authoritative scenario selector in DCF!E5. This is an analyst forecast, not an issuer-reported future result.</x:t>
        </x:r>
      </x:text>
    </x:comment>
    <x:comment ref="F47" authorId="0">
      <x:text>
        <x:r>
          <x:t>Depreciation and amortization / revenue: select this fiscal year's driver from the one authoritative scenario selector in DCF!E5. This is an analyst forecast, not an issuer-reported future result.</x:t>
        </x:r>
      </x:text>
    </x:comment>
    <x:comment ref="G47" authorId="0">
      <x:text>
        <x:r>
          <x:t>Depreciation and amortization / revenue: select this fiscal year's driver from the one authoritative scenario selector in DCF!E5. This is an analyst forecast, not an issuer-reported future result.</x:t>
        </x:r>
      </x:text>
    </x:comment>
    <x:comment ref="H47" authorId="0">
      <x:text>
        <x:r>
          <x:t>Depreciation and amortization / revenue: select this fiscal year's driver from the one authoritative scenario selector in DCF!E5. This is an analyst forecast, not an issuer-reported future result.</x:t>
        </x:r>
      </x:text>
    </x:comment>
    <x:comment ref="I47" authorId="0">
      <x:text>
        <x:r>
          <x:t>Depreciation and amortization / revenue: select this fiscal year's driver from the one authoritative scenario selector in DCF!E5. This is an analyst forecast, not an issuer-reported future result.</x:t>
        </x:r>
      </x:text>
    </x:comment>
    <x:comment ref="E48" authorId="0">
      <x:text>
        <x:r>
          <x:t>Base scenario: da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48" authorId="0">
      <x:text>
        <x:r>
          <x:t>Base scenario: da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48" authorId="0">
      <x:text>
        <x:r>
          <x:t>Base scenario: da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48" authorId="0">
      <x:text>
        <x:r>
          <x:t>Base scenario: da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48" authorId="0">
      <x:text>
        <x:r>
          <x:t>Base scenario: da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49" authorId="0">
      <x:text>
        <x:r>
          <x:t>Upside scenario: da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49" authorId="0">
      <x:text>
        <x:r>
          <x:t>Upside scenario: da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49" authorId="0">
      <x:text>
        <x:r>
          <x:t>Upside scenario: da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49" authorId="0">
      <x:text>
        <x:r>
          <x:t>Upside scenario: da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49" authorId="0">
      <x:text>
        <x:r>
          <x:t>Upside scenario: da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50" authorId="0">
      <x:text>
        <x:r>
          <x:t>Downside scenario: da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50" authorId="0">
      <x:text>
        <x:r>
          <x:t>Downside scenario: da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50" authorId="0">
      <x:text>
        <x:r>
          <x:t>Downside scenario: da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50" authorId="0">
      <x:text>
        <x:r>
          <x:t>Downside scenario: da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50" authorId="0">
      <x:text>
        <x:r>
          <x:t>Downside scenario: da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52" authorId="0">
      <x:text>
        <x:r>
          <x:t>Cash capex / revenue: select this fiscal year's driver from the one authoritative scenario selector in DCF!E5. This is an analyst forecast, not an issuer-reported future result.</x:t>
        </x:r>
      </x:text>
    </x:comment>
    <x:comment ref="F52" authorId="0">
      <x:text>
        <x:r>
          <x:t>Cash capex / revenue: select this fiscal year's driver from the one authoritative scenario selector in DCF!E5. This is an analyst forecast, not an issuer-reported future result.</x:t>
        </x:r>
      </x:text>
    </x:comment>
    <x:comment ref="G52" authorId="0">
      <x:text>
        <x:r>
          <x:t>Cash capex / revenue: select this fiscal year's driver from the one authoritative scenario selector in DCF!E5. This is an analyst forecast, not an issuer-reported future result.</x:t>
        </x:r>
      </x:text>
    </x:comment>
    <x:comment ref="H52" authorId="0">
      <x:text>
        <x:r>
          <x:t>Cash capex / revenue: select this fiscal year's driver from the one authoritative scenario selector in DCF!E5. This is an analyst forecast, not an issuer-reported future result.</x:t>
        </x:r>
      </x:text>
    </x:comment>
    <x:comment ref="I52" authorId="0">
      <x:text>
        <x:r>
          <x:t>Cash capex / revenue: select this fiscal year's driver from the one authoritative scenario selector in DCF!E5. This is an analyst forecast, not an issuer-reported future result.</x:t>
        </x:r>
      </x:text>
    </x:comment>
    <x:comment ref="E53" authorId="0">
      <x:text>
        <x:r>
          <x:t>Base scenario: cash capex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53" authorId="0">
      <x:text>
        <x:r>
          <x:t>Base scenario: cash capex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53" authorId="0">
      <x:text>
        <x:r>
          <x:t>Base scenario: cash capex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53" authorId="0">
      <x:text>
        <x:r>
          <x:t>Base scenario: cash capex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53" authorId="0">
      <x:text>
        <x:r>
          <x:t>Base scenario: cash capex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54" authorId="0">
      <x:text>
        <x:r>
          <x:t>Upside scenario: cash capex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54" authorId="0">
      <x:text>
        <x:r>
          <x:t>Upside scenario: cash capex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54" authorId="0">
      <x:text>
        <x:r>
          <x:t>Upside scenario: cash capex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54" authorId="0">
      <x:text>
        <x:r>
          <x:t>Upside scenario: cash capex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54" authorId="0">
      <x:text>
        <x:r>
          <x:t>Upside scenario: cash capex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55" authorId="0">
      <x:text>
        <x:r>
          <x:t>Downside scenario: cash capex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55" authorId="0">
      <x:text>
        <x:r>
          <x:t>Downside scenario: cash capex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55" authorId="0">
      <x:text>
        <x:r>
          <x:t>Downside scenario: cash capex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55" authorId="0">
      <x:text>
        <x:r>
          <x:t>Downside scenario: cash capex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55" authorId="0">
      <x:text>
        <x:r>
          <x:t>Downside scenario: cash capex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57" authorId="0">
      <x:text>
        <x:r>
          <x:t>Capitalized financing interest / revenue: select this fiscal year's driver from the one authoritative scenario selector in DCF!E5. This is an analyst forecast, not an issuer-reported future result.</x:t>
        </x:r>
      </x:text>
    </x:comment>
    <x:comment ref="F57" authorId="0">
      <x:text>
        <x:r>
          <x:t>Capitalized financing interest / revenue: select this fiscal year's driver from the one authoritative scenario selector in DCF!E5. This is an analyst forecast, not an issuer-reported future result.</x:t>
        </x:r>
      </x:text>
    </x:comment>
    <x:comment ref="G57" authorId="0">
      <x:text>
        <x:r>
          <x:t>Capitalized financing interest / revenue: select this fiscal year's driver from the one authoritative scenario selector in DCF!E5. This is an analyst forecast, not an issuer-reported future result.</x:t>
        </x:r>
      </x:text>
    </x:comment>
    <x:comment ref="H57" authorId="0">
      <x:text>
        <x:r>
          <x:t>Capitalized financing interest / revenue: select this fiscal year's driver from the one authoritative scenario selector in DCF!E5. This is an analyst forecast, not an issuer-reported future result.</x:t>
        </x:r>
      </x:text>
    </x:comment>
    <x:comment ref="I57" authorId="0">
      <x:text>
        <x:r>
          <x:t>Capitalized financing interest / revenue: select this fiscal year's driver from the one authoritative scenario selector in DCF!E5. This is an analyst forecast, not an issuer-reported future result.</x:t>
        </x:r>
      </x:text>
    </x:comment>
    <x:comment ref="E58" authorId="0">
      <x:text>
        <x:r>
          <x:t>Base scenario: capitalized interest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58" authorId="0">
      <x:text>
        <x:r>
          <x:t>Base scenario: capitalized interest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58" authorId="0">
      <x:text>
        <x:r>
          <x:t>Base scenario: capitalized interest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58" authorId="0">
      <x:text>
        <x:r>
          <x:t>Base scenario: capitalized interest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58" authorId="0">
      <x:text>
        <x:r>
          <x:t>Base scenario: capitalized interest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59" authorId="0">
      <x:text>
        <x:r>
          <x:t>Upside scenario: capitalized interest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59" authorId="0">
      <x:text>
        <x:r>
          <x:t>Upside scenario: capitalized interest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59" authorId="0">
      <x:text>
        <x:r>
          <x:t>Upside scenario: capitalized interest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59" authorId="0">
      <x:text>
        <x:r>
          <x:t>Upside scenario: capitalized interest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59" authorId="0">
      <x:text>
        <x:r>
          <x:t>Upside scenario: capitalized interest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60" authorId="0">
      <x:text>
        <x:r>
          <x:t>Downside scenario: capitalized interest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60" authorId="0">
      <x:text>
        <x:r>
          <x:t>Downside scenario: capitalized interest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60" authorId="0">
      <x:text>
        <x:r>
          <x:t>Downside scenario: capitalized interest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60" authorId="0">
      <x:text>
        <x:r>
          <x:t>Downside scenario: capitalized interest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60" authorId="0">
      <x:text>
        <x:r>
          <x:t>Downside scenario: capitalized interest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62" authorId="0">
      <x:text>
        <x:r>
          <x:t>Finance lease asset additions / revenue: select this fiscal year's driver from the one authoritative scenario selector in DCF!E5. This is an analyst forecast, not an issuer-reported future result.</x:t>
        </x:r>
      </x:text>
    </x:comment>
    <x:comment ref="F62" authorId="0">
      <x:text>
        <x:r>
          <x:t>Finance lease asset additions / revenue: select this fiscal year's driver from the one authoritative scenario selector in DCF!E5. This is an analyst forecast, not an issuer-reported future result.</x:t>
        </x:r>
      </x:text>
    </x:comment>
    <x:comment ref="G62" authorId="0">
      <x:text>
        <x:r>
          <x:t>Finance lease asset additions / revenue: select this fiscal year's driver from the one authoritative scenario selector in DCF!E5. This is an analyst forecast, not an issuer-reported future result.</x:t>
        </x:r>
      </x:text>
    </x:comment>
    <x:comment ref="H62" authorId="0">
      <x:text>
        <x:r>
          <x:t>Finance lease asset additions / revenue: select this fiscal year's driver from the one authoritative scenario selector in DCF!E5. This is an analyst forecast, not an issuer-reported future result.</x:t>
        </x:r>
      </x:text>
    </x:comment>
    <x:comment ref="I62" authorId="0">
      <x:text>
        <x:r>
          <x:t>Finance lease asset additions / revenue: select this fiscal year's driver from the one authoritative scenario selector in DCF!E5. This is an analyst forecast, not an issuer-reported future result.</x:t>
        </x:r>
      </x:text>
    </x:comment>
    <x:comment ref="E63" authorId="0">
      <x:text>
        <x:r>
          <x:t>Base scenario: finance lease add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63" authorId="0">
      <x:text>
        <x:r>
          <x:t>Base scenario: finance lease add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63" authorId="0">
      <x:text>
        <x:r>
          <x:t>Base scenario: finance lease add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63" authorId="0">
      <x:text>
        <x:r>
          <x:t>Base scenario: finance lease add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63" authorId="0">
      <x:text>
        <x:r>
          <x:t>Base scenario: finance lease add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64" authorId="0">
      <x:text>
        <x:r>
          <x:t>Upside scenario: finance lease add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64" authorId="0">
      <x:text>
        <x:r>
          <x:t>Upside scenario: finance lease add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64" authorId="0">
      <x:text>
        <x:r>
          <x:t>Upside scenario: finance lease add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64" authorId="0">
      <x:text>
        <x:r>
          <x:t>Upside scenario: finance lease add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64" authorId="0">
      <x:text>
        <x:r>
          <x:t>Upside scenario: finance lease add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65" authorId="0">
      <x:text>
        <x:r>
          <x:t>Downside scenario: finance lease add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65" authorId="0">
      <x:text>
        <x:r>
          <x:t>Downside scenario: finance lease add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65" authorId="0">
      <x:text>
        <x:r>
          <x:t>Downside scenario: finance lease add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65" authorId="0">
      <x:text>
        <x:r>
          <x:t>Downside scenario: finance lease add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65" authorId="0">
      <x:text>
        <x:r>
          <x:t>Downside scenario: finance lease add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67" authorId="0">
      <x:text>
        <x:r>
          <x:t>Operating NWC / revenue: select this fiscal year's driver from the one authoritative scenario selector in DCF!E5. This is an analyst forecast, not an issuer-reported future result.</x:t>
        </x:r>
      </x:text>
    </x:comment>
    <x:comment ref="F67" authorId="0">
      <x:text>
        <x:r>
          <x:t>Operating NWC / revenue: select this fiscal year's driver from the one authoritative scenario selector in DCF!E5. This is an analyst forecast, not an issuer-reported future result.</x:t>
        </x:r>
      </x:text>
    </x:comment>
    <x:comment ref="G67" authorId="0">
      <x:text>
        <x:r>
          <x:t>Operating NWC / revenue: select this fiscal year's driver from the one authoritative scenario selector in DCF!E5. This is an analyst forecast, not an issuer-reported future result.</x:t>
        </x:r>
      </x:text>
    </x:comment>
    <x:comment ref="H67" authorId="0">
      <x:text>
        <x:r>
          <x:t>Operating NWC / revenue: select this fiscal year's driver from the one authoritative scenario selector in DCF!E5. This is an analyst forecast, not an issuer-reported future result.</x:t>
        </x:r>
      </x:text>
    </x:comment>
    <x:comment ref="I67" authorId="0">
      <x:text>
        <x:r>
          <x:t>Operating NWC / revenue: select this fiscal year's driver from the one authoritative scenario selector in DCF!E5. This is an analyst forecast, not an issuer-reported future result.</x:t>
        </x:r>
      </x:text>
    </x:comment>
    <x:comment ref="E68" authorId="0">
      <x:text>
        <x:r>
          <x:t>Base scenario: nwc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68" authorId="0">
      <x:text>
        <x:r>
          <x:t>Base scenario: nwc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68" authorId="0">
      <x:text>
        <x:r>
          <x:t>Base scenario: nwc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68" authorId="0">
      <x:text>
        <x:r>
          <x:t>Base scenario: nwc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68" authorId="0">
      <x:text>
        <x:r>
          <x:t>Base scenario: nwc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69" authorId="0">
      <x:text>
        <x:r>
          <x:t>Upside scenario: nwc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69" authorId="0">
      <x:text>
        <x:r>
          <x:t>Upside scenario: nwc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69" authorId="0">
      <x:text>
        <x:r>
          <x:t>Upside scenario: nwc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69" authorId="0">
      <x:text>
        <x:r>
          <x:t>Upside scenario: nwc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69" authorId="0">
      <x:text>
        <x:r>
          <x:t>Upside scenario: nwc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70" authorId="0">
      <x:text>
        <x:r>
          <x:t>Downside scenario: nwc ratio for FY2027.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F70" authorId="0">
      <x:text>
        <x:r>
          <x:t>Downside scenario: nwc ratio for FY2028.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G70" authorId="0">
      <x:text>
        <x:r>
          <x:t>Downside scenario: nwc ratio for FY2029.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H70" authorId="0">
      <x:text>
        <x:r>
          <x:t>Downside scenario: nwc ratio for FY2030.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I70" authorId="0">
      <x:text>
        <x:r>
          <x:t>Downside scenario: nwc ratio for FY2031.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75" authorId="0">
      <x:text>
        <x:r>
          <x:t>Base scenario: terminal growth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76" authorId="0">
      <x:text>
        <x:r>
          <x:t>Upside scenario: terminal growth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77" authorId="0">
      <x:text>
        <x:r>
          <x:t>Downside scenario: terminal growth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74" authorId="0">
      <x:text>
        <x:r>
          <x:t>Stable revenue growth in the stable period after FY2031. New DCF assumption. NOPAT times growth / ROIC is the required reinvestment. The model requires WACC &gt; growth and ROIC &gt; growth.</x:t>
        </x:r>
      </x:text>
    </x:comment>
    <x:comment ref="E80" authorId="0">
      <x:text>
        <x:r>
          <x:t>Base scenario: terminal roic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81" authorId="0">
      <x:text>
        <x:r>
          <x:t>Upside scenario: terminal roic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82" authorId="0">
      <x:text>
        <x:r>
          <x:t>Downside scenario: terminal roic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79" authorId="0">
      <x:text>
        <x:r>
          <x:t>Stable ROIC in the stable period after FY2031. New DCF assumption. NOPAT times growth / ROIC is the required reinvestment. The model requires WACC &gt; growth and ROIC &gt; growth.</x:t>
        </x:r>
      </x:text>
    </x:comment>
    <x:comment ref="E85" authorId="0">
      <x:text>
        <x:r>
          <x:t>Base scenario: terminal margin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86" authorId="0">
      <x:text>
        <x:r>
          <x:t>Upside scenario: terminal margin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87" authorId="0">
      <x:text>
        <x:r>
          <x:t>Downside scenario: terminal margin in the stable period. Editable analyst forecast inherited or calibrated from project 03, with new stable DCF drivers. Annual ratios multiply revenue; growth multiplies the prior segment revenue. Active rows select these inputs using DCF!E5. See this sheet's observations for modeling limits.</x:t>
        </x:r>
      </x:text>
    </x:comment>
    <x:comment ref="E84" authorId="0">
      <x:text>
        <x:r>
          <x:t>Stable operating margin in the stable period after FY2031. New DCF assumption. NOPAT times growth / ROIC is the required reinvestment. The model requires WACC &gt; growth and ROIC &gt; growth.</x:t>
        </x:r>
      </x:text>
    </x:comment>
    <x:comment ref="E4" authorId="0">
      <x:text>
        <x:r>
          <x:t>Assumptions. Formula: =CHOOSE('DCF'!$E$5,"Base","Upside","Downside")
Review selected-case observations and Model Guide for definitions and held assumptions.</x:t>
        </x:r>
      </x:text>
    </x:comment>
    <x:comment ref="C93" authorId="0">
      <x:text>
        <x:r>
          <x:t>Assumptions. Formula: ="Selected stable growth "&amp;ROUND(E74*100,1)&amp;"%, ROIC "&amp;ROUND(E79*100,1)&amp;"% and operating margin "&amp;ROUND(E84*100,1)&amp;"%. "&amp;"Blue cells are editable driver inputs. One numeric scenario selector on DCF updates the active rows here and the same forecast build. History stays fixed. The baseline fiscal drivers are calibrated from the frozen project 03 forecast."
Review selected-case observations and Model Guide for definitions and held assumptions.</x:t>
        </x:r>
      </x:text>
    </x:comment>
  </x:commentList>
</x:comments>
</file>

<file path=xl/comments3.xml><?xml version="1.0" encoding="utf-8"?>
<x:comments xmlns:x="http://schemas.openxmlformats.org/spreadsheetml/2006/main">
  <x:authors>
    <x:author>Goran Brkich</x:author>
  </x:authors>
  <x:commentList>
    <x:comment ref="E5" authorId="0">
      <x:text>
        <x:r>
          <x:t>The single authoritative scenario selector. Active annual and stable assumptions update the same forecast. Native case data tables temporarily test this exact cell and restore it.</x:t>
        </x:r>
      </x:text>
    </x:comment>
    <x:comment ref="C6" authorId="0">
      <x:text>
        <x:r>
          <x:t>Actual valuation WACC</x:t>
        </x:r>
      </x:text>
    </x:comment>
    <x:comment ref="C7" authorId="0">
      <x:text>
        <x:r>
          <x:t>Actual stable growth input</x:t>
        </x:r>
      </x:text>
    </x:comment>
    <x:comment ref="E18" authorId="0">
      <x:text>
        <x:r>
          <x:t>PV of explicit cash flows. FCFF is discounted from the valuation date. Stable value uses reinvestment constrained by growth and ROIC. The same enterprise-to-equity bridge applies to observed and modeled values.
Excel formula: =SUM(E15:I15)</x:t>
        </x:r>
      </x:text>
    </x:comment>
    <x:comment ref="C18" authorId="0">
      <x:text>
        <x:r>
          <x:t>FCFF is discounted from the valuation date. Stable value uses reinvestment constrained by growth and ROIC. The same enterprise-to-equity bridge applies to observed and modeled values.</x:t>
        </x:r>
      </x:text>
    </x:comment>
    <x:comment ref="E19" authorId="0">
      <x:text>
        <x:r>
          <x:t>Terminal value date exponent. FCFF is discounted from the valuation date. Stable value uses reinvestment constrained by growth and ROIC. The same enterprise-to-equity bridge applies to observed and modeled values.
Excel formula: ='Assumptions'!E17+4</x:t>
        </x:r>
      </x:text>
    </x:comment>
    <x:comment ref="C19" authorId="0">
      <x:text>
        <x:r>
          <x:t>FCFF is discounted from the valuation date. Stable value uses reinvestment constrained by growth and ROIC. The same enterprise-to-equity bridge applies to observed and modeled values.</x:t>
        </x:r>
      </x:text>
    </x:comment>
    <x:comment ref="E20" authorId="0">
      <x:text>
        <x:r>
          <x:t>Terminal discount denominator. FCFF is discounted from the valuation date. Stable value uses reinvestment constrained by growth and ROIC. The same enterprise-to-equity bridge applies to observed and modeled values.
Excel formula: =(1+E6)^E19</x:t>
        </x:r>
      </x:text>
    </x:comment>
    <x:comment ref="C20" authorId="0">
      <x:text>
        <x:r>
          <x:t>FCFF is discounted from the valuation date. Stable value uses reinvestment constrained by growth and ROIC. The same enterprise-to-equity bridge applies to observed and modeled values.</x:t>
        </x:r>
      </x:text>
    </x:comment>
    <x:comment ref="E21" authorId="0">
      <x:text>
        <x:r>
          <x:t>Normalized stable FCFF. FCFF is discounted from the valuation date. Stable value uses reinvestment constrained by growth and ROIC. The same enterprise-to-equity bridge applies to observed and modeled values.
Excel formula: ='Terminal Value'!E15</x:t>
        </x:r>
      </x:text>
    </x:comment>
    <x:comment ref="C21" authorId="0">
      <x:text>
        <x:r>
          <x:t>FCFF is discounted from the valuation date. Stable value uses reinvestment constrained by growth and ROIC. The same enterprise-to-equity bridge applies to observed and modeled values.</x:t>
        </x:r>
      </x:text>
    </x:comment>
    <x:comment ref="E22" authorId="0">
      <x:text>
        <x:r>
          <x:t>Undiscounted terminal value. FCFF is discounted from the valuation date. Stable value uses reinvestment constrained by growth and ROIC. The same enterprise-to-equity bridge applies to observed and modeled values.
Excel formula: =E21/(E6-E7)</x:t>
        </x:r>
      </x:text>
    </x:comment>
    <x:comment ref="C22" authorId="0">
      <x:text>
        <x:r>
          <x:t>FCFF is discounted from the valuation date. Stable value uses reinvestment constrained by growth and ROIC. The same enterprise-to-equity bridge applies to observed and modeled values.</x:t>
        </x:r>
      </x:text>
    </x:comment>
    <x:comment ref="E23" authorId="0">
      <x:text>
        <x:r>
          <x:t>Present value of terminal value. FCFF is discounted from the valuation date. Stable value uses reinvestment constrained by growth and ROIC. The same enterprise-to-equity bridge applies to observed and modeled values.
Excel formula: =E22/E20</x:t>
        </x:r>
      </x:text>
    </x:comment>
    <x:comment ref="C23" authorId="0">
      <x:text>
        <x:r>
          <x:t>FCFF is discounted from the valuation date. Stable value uses reinvestment constrained by growth and ROIC. The same enterprise-to-equity bridge applies to observed and modeled values.</x:t>
        </x:r>
      </x:text>
    </x:comment>
    <x:comment ref="E24" authorId="0">
      <x:text>
        <x:r>
          <x:t>Operating enterprise value. FCFF is discounted from the valuation date. Stable value uses reinvestment constrained by growth and ROIC. The same enterprise-to-equity bridge applies to observed and modeled values.
Excel formula: =SUM(E18,E23)</x:t>
        </x:r>
      </x:text>
    </x:comment>
    <x:comment ref="C24" authorId="0">
      <x:text>
        <x:r>
          <x:t>FCFF is discounted from the valuation date. Stable value uses reinvestment constrained by growth and ROIC. The same enterprise-to-equity bridge applies to observed and modeled values.</x:t>
        </x:r>
      </x:text>
    </x:comment>
    <x:comment ref="E25" authorId="0">
      <x:text>
        <x:r>
          <x:t>Net non-operating bridge. FCFF is discounted from the valuation date. Stable value uses reinvestment constrained by growth and ROIC. The same enterprise-to-equity bridge applies to observed and modeled values.
Excel formula: ='Equity Bridge'!E17</x:t>
        </x:r>
      </x:text>
    </x:comment>
    <x:comment ref="C25" authorId="0">
      <x:text>
        <x:r>
          <x:t>FCFF is discounted from the valuation date. Stable value uses reinvestment constrained by growth and ROIC. The same enterprise-to-equity bridge applies to observed and modeled values.</x:t>
        </x:r>
      </x:text>
    </x:comment>
    <x:comment ref="E26" authorId="0">
      <x:text>
        <x:r>
          <x:t>Value of equity. FCFF is discounted from the valuation date. Stable value uses reinvestment constrained by growth and ROIC. The same enterprise-to-equity bridge applies to observed and modeled values.
Excel formula: =SUM(E24:E25)</x:t>
        </x:r>
      </x:text>
    </x:comment>
    <x:comment ref="C26" authorId="0">
      <x:text>
        <x:r>
          <x:t>FCFF is discounted from the valuation date. Stable value uses reinvestment constrained by growth and ROIC. The same enterprise-to-equity bridge applies to observed and modeled values.</x:t>
        </x:r>
      </x:text>
    </x:comment>
    <x:comment ref="E27" authorId="0">
      <x:text>
        <x:r>
          <x:t>Valuation share denominator. FCFF is discounted from the valuation date. Stable value uses reinvestment constrained by growth and ROIC. The same enterprise-to-equity bridge applies to observed and modeled values.
Excel formula: ='Equity Bridge'!E20</x:t>
        </x:r>
      </x:text>
    </x:comment>
    <x:comment ref="C27" authorId="0">
      <x:text>
        <x:r>
          <x:t>FCFF is discounted from the valuation date. Stable value uses reinvestment constrained by growth and ROIC. The same enterprise-to-equity bridge applies to observed and modeled values.</x:t>
        </x:r>
      </x:text>
    </x:comment>
    <x:comment ref="E28" authorId="0">
      <x:text>
        <x:r>
          <x:t>DCF value per share. FCFF is discounted from the valuation date. Stable value uses reinvestment constrained by growth and ROIC. The same enterprise-to-equity bridge applies to observed and modeled values.
Excel formula: =E26/E27</x:t>
        </x:r>
      </x:text>
    </x:comment>
    <x:comment ref="C28" authorId="0">
      <x:text>
        <x:r>
          <x:t>FCFF is discounted from the valuation date. Stable value uses reinvestment constrained by growth and ROIC. The same enterprise-to-equity bridge applies to observed and modeled values.</x:t>
        </x:r>
      </x:text>
    </x:comment>
    <x:comment ref="E29" authorId="0">
      <x:text>
        <x:r>
          <x:t>Market closing price. FCFF is discounted from the valuation date. Stable value uses reinvestment constrained by growth and ROIC. The same enterprise-to-equity bridge applies to observed and modeled values.
Excel formula: ='Market Inputs'!E9</x:t>
        </x:r>
      </x:text>
    </x:comment>
    <x:comment ref="C29" authorId="0">
      <x:text>
        <x:r>
          <x:t>FCFF is discounted from the valuation date. Stable value uses reinvestment constrained by growth and ROIC. The same enterprise-to-equity bridge applies to observed and modeled values.</x:t>
        </x:r>
      </x:text>
    </x:comment>
    <x:comment ref="E30" authorId="0">
      <x:text>
        <x:r>
          <x:t>Return implied by this valuation. FCFF is discounted from the valuation date. Stable value uses reinvestment constrained by growth and ROIC. The same enterprise-to-equity bridge applies to observed and modeled values.
Excel formula: =E28/E29-1</x:t>
        </x:r>
      </x:text>
    </x:comment>
    <x:comment ref="C30" authorId="0">
      <x:text>
        <x:r>
          <x:t>FCFF is discounted from the valuation date. Stable value uses reinvestment constrained by growth and ROIC. The same enterprise-to-equity bridge applies to observed and modeled values.</x:t>
        </x:r>
      </x:text>
    </x:comment>
    <x:comment ref="E31" authorId="0">
      <x:text>
        <x:r>
          <x:t>Terminal share of enterprise value. FCFF is discounted from the valuation date. Stable value uses reinvestment constrained by growth and ROIC. The same enterprise-to-equity bridge applies to observed and modeled values.
Excel formula: =E23/E24</x:t>
        </x:r>
      </x:text>
    </x:comment>
    <x:comment ref="C31" authorId="0">
      <x:text>
        <x:r>
          <x:t>FCFF is discounted from the valuation date. Stable value uses reinvestment constrained by growth and ROIC. The same enterprise-to-equity bridge applies to observed and modeled values.</x:t>
        </x:r>
      </x:text>
    </x:comment>
    <x:comment ref="E32" authorId="0">
      <x:text>
        <x:r>
          <x:t>Market enterprise value target. FCFF is discounted from the valuation date. Stable value uses reinvestment constrained by growth and ROIC. The same enterprise-to-equity bridge applies to observed and modeled values.
Excel formula: ='Equity Bridge'!E23</x:t>
        </x:r>
      </x:text>
    </x:comment>
    <x:comment ref="C32" authorId="0">
      <x:text>
        <x:r>
          <x:t>FCFF is discounted from the valuation date. Stable value uses reinvestment constrained by growth and ROIC. The same enterprise-to-equity bridge applies to observed and modeled values.</x:t>
        </x:r>
      </x:text>
    </x:comment>
    <x:comment ref="E4" authorId="0">
      <x:text>
        <x:r>
          <x:t>DCF. Formula: =CHOOSE('DCF'!$E$5,"Base","Upside","Downside")
Review selected-case observations and Model Guide for definitions and held assumptions.</x:t>
        </x:r>
      </x:text>
    </x:comment>
    <x:comment ref="E6" authorId="0">
      <x:text>
        <x:r>
          <x:t>DCF. Formula: ='WACC'!E24
Review selected-case observations and Model Guide for definitions and held assumptions.</x:t>
        </x:r>
      </x:text>
    </x:comment>
    <x:comment ref="E7" authorId="0">
      <x:text>
        <x:r>
          <x:t>DCF. Formula: ='Assumptions'!E74
Review selected-case observations and Model Guide for definitions and held assumptions.</x:t>
        </x:r>
      </x:text>
    </x:comment>
    <x:comment ref="E9" authorId="0">
      <x:text>
        <x:r>
          <x:t>DCF. Editable source or analyst input.
Review selected-case observations and Model Guide for definitions and held assumptions.</x:t>
        </x:r>
      </x:text>
    </x:comment>
    <x:comment ref="E11" authorId="0">
      <x:text>
        <x:r>
          <x:t>DCF. Formula: ='Forecast'!E24
Review selected-case observations and Model Guide for definitions and held assumptions.</x:t>
        </x:r>
      </x:text>
    </x:comment>
    <x:comment ref="E12" authorId="0">
      <x:text>
        <x:r>
          <x:t>DCF. Formula: ='Assumptions'!$E$17
Review selected-case observations and Model Guide for definitions and held assumptions.</x:t>
        </x:r>
      </x:text>
    </x:comment>
    <x:comment ref="E13" authorId="0">
      <x:text>
        <x:r>
          <x:t>DCF. Formula: =IF('Assumptions'!$E$8=1,'Assumptions'!$E$17/2,'Assumptions'!$E$17)
Review selected-case observations and Model Guide for definitions and held assumptions.</x:t>
        </x:r>
      </x:text>
    </x:comment>
    <x:comment ref="E14" authorId="0">
      <x:text>
        <x:r>
          <x:t>DCF. Formula: =(1+$E$6)^E13
Review selected-case observations and Model Guide for definitions and held assumptions.</x:t>
        </x:r>
      </x:text>
    </x:comment>
    <x:comment ref="E15" authorId="0">
      <x:text>
        <x:r>
          <x:t>DCF. Formula: =E11*E12/E14
Review selected-case observations and Model Guide for definitions and held assumptions.</x:t>
        </x:r>
      </x:text>
    </x:comment>
    <x:comment ref="F9" authorId="0">
      <x:text>
        <x:r>
          <x:t>DCF. Editable source or analyst input.
Review selected-case observations and Model Guide for definitions and held assumptions.</x:t>
        </x:r>
      </x:text>
    </x:comment>
    <x:comment ref="F11" authorId="0">
      <x:text>
        <x:r>
          <x:t>DCF. Formula: ='Forecast'!F24
Review selected-case observations and Model Guide for definitions and held assumptions.</x:t>
        </x:r>
      </x:text>
    </x:comment>
    <x:comment ref="F12" authorId="0">
      <x:text>
        <x:r>
          <x:t>DCF. Formula: =1
Review selected-case observations and Model Guide for definitions and held assumptions.</x:t>
        </x:r>
      </x:text>
    </x:comment>
    <x:comment ref="F13" authorId="0">
      <x:text>
        <x:r>
          <x:t>DCF. Formula: =IF('Assumptions'!$E$8=1,'Assumptions'!$E$17+F$9-1.5,'Assumptions'!$E$17+F$9-1)
Review selected-case observations and Model Guide for definitions and held assumptions.</x:t>
        </x:r>
      </x:text>
    </x:comment>
    <x:comment ref="F14" authorId="0">
      <x:text>
        <x:r>
          <x:t>DCF. Formula: =(1+$E$6)^F13
Review selected-case observations and Model Guide for definitions and held assumptions.</x:t>
        </x:r>
      </x:text>
    </x:comment>
    <x:comment ref="F15" authorId="0">
      <x:text>
        <x:r>
          <x:t>DCF. Formula: =F11*F12/F14
Review selected-case observations and Model Guide for definitions and held assumptions.</x:t>
        </x:r>
      </x:text>
    </x:comment>
    <x:comment ref="G9" authorId="0">
      <x:text>
        <x:r>
          <x:t>DCF. Editable source or analyst input.
Review selected-case observations and Model Guide for definitions and held assumptions.</x:t>
        </x:r>
      </x:text>
    </x:comment>
    <x:comment ref="G11" authorId="0">
      <x:text>
        <x:r>
          <x:t>DCF. Formula: ='Forecast'!G24
Review selected-case observations and Model Guide for definitions and held assumptions.</x:t>
        </x:r>
      </x:text>
    </x:comment>
    <x:comment ref="G12" authorId="0">
      <x:text>
        <x:r>
          <x:t>DCF. Formula: =1
Review selected-case observations and Model Guide for definitions and held assumptions.</x:t>
        </x:r>
      </x:text>
    </x:comment>
    <x:comment ref="G13" authorId="0">
      <x:text>
        <x:r>
          <x:t>DCF. Formula: =IF('Assumptions'!$E$8=1,'Assumptions'!$E$17+G$9-1.5,'Assumptions'!$E$17+G$9-1)
Review selected-case observations and Model Guide for definitions and held assumptions.</x:t>
        </x:r>
      </x:text>
    </x:comment>
    <x:comment ref="G14" authorId="0">
      <x:text>
        <x:r>
          <x:t>DCF. Formula: =(1+$E$6)^G13
Review selected-case observations and Model Guide for definitions and held assumptions.</x:t>
        </x:r>
      </x:text>
    </x:comment>
    <x:comment ref="G15" authorId="0">
      <x:text>
        <x:r>
          <x:t>DCF. Formula: =G11*G12/G14
Review selected-case observations and Model Guide for definitions and held assumptions.</x:t>
        </x:r>
      </x:text>
    </x:comment>
    <x:comment ref="H9" authorId="0">
      <x:text>
        <x:r>
          <x:t>DCF. Editable source or analyst input.
Review selected-case observations and Model Guide for definitions and held assumptions.</x:t>
        </x:r>
      </x:text>
    </x:comment>
    <x:comment ref="H11" authorId="0">
      <x:text>
        <x:r>
          <x:t>DCF. Formula: ='Forecast'!H24
Review selected-case observations and Model Guide for definitions and held assumptions.</x:t>
        </x:r>
      </x:text>
    </x:comment>
    <x:comment ref="H12" authorId="0">
      <x:text>
        <x:r>
          <x:t>DCF. Formula: =1
Review selected-case observations and Model Guide for definitions and held assumptions.</x:t>
        </x:r>
      </x:text>
    </x:comment>
    <x:comment ref="H13" authorId="0">
      <x:text>
        <x:r>
          <x:t>DCF. Formula: =IF('Assumptions'!$E$8=1,'Assumptions'!$E$17+H$9-1.5,'Assumptions'!$E$17+H$9-1)
Review selected-case observations and Model Guide for definitions and held assumptions.</x:t>
        </x:r>
      </x:text>
    </x:comment>
    <x:comment ref="H14" authorId="0">
      <x:text>
        <x:r>
          <x:t>DCF. Formula: =(1+$E$6)^H13
Review selected-case observations and Model Guide for definitions and held assumptions.</x:t>
        </x:r>
      </x:text>
    </x:comment>
    <x:comment ref="H15" authorId="0">
      <x:text>
        <x:r>
          <x:t>DCF. Formula: =H11*H12/H14
Review selected-case observations and Model Guide for definitions and held assumptions.</x:t>
        </x:r>
      </x:text>
    </x:comment>
    <x:comment ref="I9" authorId="0">
      <x:text>
        <x:r>
          <x:t>DCF. Editable source or analyst input.
Review selected-case observations and Model Guide for definitions and held assumptions.</x:t>
        </x:r>
      </x:text>
    </x:comment>
    <x:comment ref="I11" authorId="0">
      <x:text>
        <x:r>
          <x:t>DCF. Formula: ='Forecast'!I24
Review selected-case observations and Model Guide for definitions and held assumptions.</x:t>
        </x:r>
      </x:text>
    </x:comment>
    <x:comment ref="I12" authorId="0">
      <x:text>
        <x:r>
          <x:t>DCF. Formula: =1
Review selected-case observations and Model Guide for definitions and held assumptions.</x:t>
        </x:r>
      </x:text>
    </x:comment>
    <x:comment ref="I13" authorId="0">
      <x:text>
        <x:r>
          <x:t>DCF. Formula: =IF('Assumptions'!$E$8=1,'Assumptions'!$E$17+I$9-1.5,'Assumptions'!$E$17+I$9-1)
Review selected-case observations and Model Guide for definitions and held assumptions.</x:t>
        </x:r>
      </x:text>
    </x:comment>
    <x:comment ref="I14" authorId="0">
      <x:text>
        <x:r>
          <x:t>DCF. Formula: =(1+$E$6)^I13
Review selected-case observations and Model Guide for definitions and held assumptions.</x:t>
        </x:r>
      </x:text>
    </x:comment>
    <x:comment ref="I15" authorId="0">
      <x:text>
        <x:r>
          <x:t>DCF. Formula: =I11*I12/I14
Review selected-case observations and Model Guide for definitions and held assumptions.</x:t>
        </x:r>
      </x:text>
    </x:comment>
    <x:comment ref="E40" authorId="0">
      <x:text>
        <x:r>
          <x:t>DCF. Formula: =E28
Review selected-case observations and Model Guide for definitions and held assumptions.</x:t>
        </x:r>
      </x:text>
    </x:comment>
    <x:comment ref="F40" authorId="0">
      <x:text>
        <x:r>
          <x:t>DCF. Formula: ='WACC'!$E$24+(0-3)*0.005
Review selected-case observations and Model Guide for definitions and held assumptions.</x:t>
        </x:r>
      </x:text>
    </x:comment>
    <x:comment ref="E41" authorId="0">
      <x:text>
        <x:r>
          <x:t>DCF. Formula: ='Assumptions'!$E$74+(0-3)*0.005
Review selected-case observations and Model Guide for definitions and held assumptions.</x:t>
        </x:r>
      </x:text>
    </x:comment>
    <x:comment ref="G40" authorId="0">
      <x:text>
        <x:r>
          <x:t>DCF. Formula: ='WACC'!$E$24+(1-3)*0.005
Review selected-case observations and Model Guide for definitions and held assumptions.</x:t>
        </x:r>
      </x:text>
    </x:comment>
    <x:comment ref="E42" authorId="0">
      <x:text>
        <x:r>
          <x:t>DCF. Formula: ='Assumptions'!$E$74+(1-3)*0.005
Review selected-case observations and Model Guide for definitions and held assumptions.</x:t>
        </x:r>
      </x:text>
    </x:comment>
    <x:comment ref="H40" authorId="0">
      <x:text>
        <x:r>
          <x:t>DCF. Formula: ='WACC'!$E$24+(2-3)*0.005
Review selected-case observations and Model Guide for definitions and held assumptions.</x:t>
        </x:r>
      </x:text>
    </x:comment>
    <x:comment ref="E43" authorId="0">
      <x:text>
        <x:r>
          <x:t>DCF. Formula: ='Assumptions'!$E$74+(2-3)*0.005
Review selected-case observations and Model Guide for definitions and held assumptions.</x:t>
        </x:r>
      </x:text>
    </x:comment>
    <x:comment ref="I40" authorId="0">
      <x:text>
        <x:r>
          <x:t>DCF. Formula: ='WACC'!$E$24+(3-3)*0.005
Review selected-case observations and Model Guide for definitions and held assumptions.</x:t>
        </x:r>
      </x:text>
    </x:comment>
    <x:comment ref="E44" authorId="0">
      <x:text>
        <x:r>
          <x:t>DCF. Formula: ='Assumptions'!$E$74+(3-3)*0.005
Review selected-case observations and Model Guide for definitions and held assumptions.</x:t>
        </x:r>
      </x:text>
    </x:comment>
    <x:comment ref="J40" authorId="0">
      <x:text>
        <x:r>
          <x:t>DCF. Formula: ='WACC'!$E$24+(4-3)*0.005
Review selected-case observations and Model Guide for definitions and held assumptions.</x:t>
        </x:r>
      </x:text>
    </x:comment>
    <x:comment ref="E45" authorId="0">
      <x:text>
        <x:r>
          <x:t>DCF. Formula: ='Assumptions'!$E$74+(4-3)*0.005
Review selected-case observations and Model Guide for definitions and held assumptions.</x:t>
        </x:r>
      </x:text>
    </x:comment>
    <x:comment ref="K40" authorId="0">
      <x:text>
        <x:r>
          <x:t>DCF. Formula: ='WACC'!$E$24+(5-3)*0.005
Review selected-case observations and Model Guide for definitions and held assumptions.</x:t>
        </x:r>
      </x:text>
    </x:comment>
    <x:comment ref="E46" authorId="0">
      <x:text>
        <x:r>
          <x:t>DCF. Formula: ='Assumptions'!$E$74+(5-3)*0.005
Review selected-case observations and Model Guide for definitions and held assumptions.</x:t>
        </x:r>
      </x:text>
    </x:comment>
    <x:comment ref="L40" authorId="0">
      <x:text>
        <x:r>
          <x:t>DCF. Formula: ='WACC'!$E$24+(6-3)*0.005
Review selected-case observations and Model Guide for definitions and held assumptions.</x:t>
        </x:r>
      </x:text>
    </x:comment>
    <x:comment ref="E47" authorId="0">
      <x:text>
        <x:r>
          <x:t>DCF. Formula: ='Assumptions'!$E$74+(6-3)*0.005
Review selected-case observations and Model Guide for definitions and held assumptions.</x:t>
        </x:r>
      </x:text>
    </x:comment>
    <x:comment ref="E52" authorId="0">
      <x:text>
        <x:r>
          <x:t>DCF. Formula: =E28
Review selected-case observations and Model Guide for definitions and held assumptions.</x:t>
        </x:r>
      </x:text>
    </x:comment>
    <x:comment ref="F52" authorId="0">
      <x:text>
        <x:r>
          <x:t>DCF. Editable source or analyst input.
Review selected-case observations and Model Guide for definitions and held assumptions.</x:t>
        </x:r>
      </x:text>
    </x:comment>
    <x:comment ref="E53" authorId="0">
      <x:text>
        <x:r>
          <x:t>DCF. Formula: ='Assumptions'!E75
Review selected-case observations and Model Guide for definitions and held assumptions.</x:t>
        </x:r>
      </x:text>
    </x:comment>
    <x:comment ref="G52" authorId="0">
      <x:text>
        <x:r>
          <x:t>DCF. Editable source or analyst input.
Review selected-case observations and Model Guide for definitions and held assumptions.</x:t>
        </x:r>
      </x:text>
    </x:comment>
    <x:comment ref="E54" authorId="0">
      <x:text>
        <x:r>
          <x:t>DCF. Formula: ='Assumptions'!E76
Review selected-case observations and Model Guide for definitions and held assumptions.</x:t>
        </x:r>
      </x:text>
    </x:comment>
    <x:comment ref="H52" authorId="0">
      <x:text>
        <x:r>
          <x:t>DCF. Editable source or analyst input.
Review selected-case observations and Model Guide for definitions and held assumptions.</x:t>
        </x:r>
      </x:text>
    </x:comment>
    <x:comment ref="E55" authorId="0">
      <x:text>
        <x:r>
          <x:t>DCF. Formula: ='Assumptions'!E77
Review selected-case observations and Model Guide for definitions and held assumptions.</x:t>
        </x:r>
      </x:text>
    </x:comment>
    <x:comment ref="D60" authorId="0">
      <x:text>
        <x:r>
          <x:t>DCF. Formula: =E18
Review selected-case observations and Model Guide for definitions and held assumptions.</x:t>
        </x:r>
      </x:text>
    </x:comment>
    <x:comment ref="D61" authorId="0">
      <x:text>
        <x:r>
          <x:t>DCF. Formula: =E23
Review selected-case observations and Model Guide for definitions and held assumptions.</x:t>
        </x:r>
      </x:text>
    </x:comment>
    <x:comment ref="C66" authorId="0">
      <x:text>
        <x:r>
          <x:t>DCF. Formula: ="Selected price USD "&amp;ROUND(E28,2)&amp;", WACC "&amp;ROUND(E6*100,2)&amp;"%, stable growth "&amp;ROUND(E7*100,1)&amp;"%. "&amp;"The first forecast year is shortened to the 265 days remaining after 8 October. Annual FY2027 FCFF is multiplied by 265/365 and discounted at the midpoint of that remaining interval in timing mode 1."
Review selected-case observations and Model Guide for definitions and held assumptions.</x:t>
        </x:r>
      </x:text>
    </x:comment>
  </x:commentList>
</x:comments>
</file>

<file path=xl/comments4.xml><?xml version="1.0" encoding="utf-8"?>
<x:comments xmlns:x="http://schemas.openxmlformats.org/spreadsheetml/2006/main">
  <x:authors>
    <x:author>Goran Brkich</x:author>
  </x:authors>
  <x:commentList>
    <x:comment ref="E4" authorId="0">
      <x:text>
        <x:r>
          <x:t>Forecast. Formula: =CHOOSE('DCF'!$E$5,"Base","Upside","Downside")
Review selected-case observations and Model Guide for definitions and held assumptions.</x:t>
        </x:r>
      </x:text>
    </x:comment>
    <x:comment ref="E9" authorId="0">
      <x:text>
        <x:r>
          <x:t>Forecast. Formula: ='Historical Inputs'!N46*(1+'Assumptions'!E22)
Review selected-case observations and Model Guide for definitions and held assumptions.</x:t>
        </x:r>
      </x:text>
    </x:comment>
    <x:comment ref="E10" authorId="0">
      <x:text>
        <x:r>
          <x:t>Forecast. Formula: ='Historical Inputs'!N47*(1+'Assumptions'!E27)
Review selected-case observations and Model Guide for definitions and held assumptions.</x:t>
        </x:r>
      </x:text>
    </x:comment>
    <x:comment ref="E11" authorId="0">
      <x:text>
        <x:r>
          <x:t>Forecast. Formula: ='Historical Inputs'!N48*(1+'Assumptions'!E32)
Review selected-case observations and Model Guide for definitions and held assumptions.</x:t>
        </x:r>
      </x:text>
    </x:comment>
    <x:comment ref="E12" authorId="0">
      <x:text>
        <x:r>
          <x:t>Forecast. Formula: =SUM(E9:E11)
Review selected-case observations and Model Guide for definitions and held assumptions.</x:t>
        </x:r>
      </x:text>
    </x:comment>
    <x:comment ref="E13" authorId="0">
      <x:text>
        <x:r>
          <x:t>Forecast. Formula: =E12/'Historical Inputs'!N9-1
Review selected-case observations and Model Guide for definitions and held assumptions.</x:t>
        </x:r>
      </x:text>
    </x:comment>
    <x:comment ref="E14" authorId="0">
      <x:text>
        <x:r>
          <x:t>Forecast. Formula: ='Assumptions'!E37
Review selected-case observations and Model Guide for definitions and held assumptions.</x:t>
        </x:r>
      </x:text>
    </x:comment>
    <x:comment ref="E15" authorId="0">
      <x:text>
        <x:r>
          <x:t>Forecast. Formula: =E12*E14
Review selected-case observations and Model Guide for definitions and held assumptions.</x:t>
        </x:r>
      </x:text>
    </x:comment>
    <x:comment ref="E16" authorId="0">
      <x:text>
        <x:r>
          <x:t>Forecast. Formula: ='Assumptions'!E42
Review selected-case observations and Model Guide for definitions and held assumptions.</x:t>
        </x:r>
      </x:text>
    </x:comment>
    <x:comment ref="E17" authorId="0">
      <x:text>
        <x:r>
          <x:t>Forecast. Formula: =E15*(1-E16)
Review selected-case observations and Model Guide for definitions and held assumptions.</x:t>
        </x:r>
      </x:text>
    </x:comment>
    <x:comment ref="E18" authorId="0">
      <x:text>
        <x:r>
          <x:t>Forecast. Formula: =E12*'Assumptions'!E47
Review selected-case observations and Model Guide for definitions and held assumptions.</x:t>
        </x:r>
      </x:text>
    </x:comment>
    <x:comment ref="E19" authorId="0">
      <x:text>
        <x:r>
          <x:t>Forecast. Formula: ='Capital Spending'!E13
Review selected-case observations and Model Guide for definitions and held assumptions.</x:t>
        </x:r>
      </x:text>
    </x:comment>
    <x:comment ref="E20" authorId="0">
      <x:text>
        <x:r>
          <x:t>Forecast. Formula: ='Working Capital'!E10
Review selected-case observations and Model Guide for definitions and held assumptions.</x:t>
        </x:r>
      </x:text>
    </x:comment>
    <x:comment ref="E21" authorId="0">
      <x:text>
        <x:r>
          <x:t>Forecast. Formula: ='Working Capital'!E12
Review selected-case observations and Model Guide for definitions and held assumptions.</x:t>
        </x:r>
      </x:text>
    </x:comment>
    <x:comment ref="E22" authorId="0">
      <x:text>
        <x:r>
          <x:t>Forecast. Formula: =E19-E18+E21
Review selected-case observations and Model Guide for definitions and held assumptions.</x:t>
        </x:r>
      </x:text>
    </x:comment>
    <x:comment ref="E23" authorId="0">
      <x:text>
        <x:r>
          <x:t>Forecast. Formula: =E22/E17
Review selected-case observations and Model Guide for definitions and held assumptions.</x:t>
        </x:r>
      </x:text>
    </x:comment>
    <x:comment ref="E24" authorId="0">
      <x:text>
        <x:r>
          <x:t>Forecast. Formula: =E17-E22
Review selected-case observations and Model Guide for definitions and held assumptions.</x:t>
        </x:r>
      </x:text>
    </x:comment>
    <x:comment ref="E25" authorId="0">
      <x:text>
        <x:r>
          <x:t>Forecast. Formula: =E24/E12
Review selected-case observations and Model Guide for definitions and held assumptions.</x:t>
        </x:r>
      </x:text>
    </x:comment>
    <x:comment ref="E26" authorId="0">
      <x:text>
        <x:r>
          <x:t>Forecast. Formula: =E12*'Assumptions'!$E$18
Review selected-case observations and Model Guide for definitions and held assumptions.</x:t>
        </x:r>
      </x:text>
    </x:comment>
    <x:comment ref="F9" authorId="0">
      <x:text>
        <x:r>
          <x:t>Forecast. Formula: =E9*(1+'Assumptions'!F22)
Review selected-case observations and Model Guide for definitions and held assumptions.</x:t>
        </x:r>
      </x:text>
    </x:comment>
    <x:comment ref="F10" authorId="0">
      <x:text>
        <x:r>
          <x:t>Forecast. Formula: =E10*(1+'Assumptions'!F27)
Review selected-case observations and Model Guide for definitions and held assumptions.</x:t>
        </x:r>
      </x:text>
    </x:comment>
    <x:comment ref="F11" authorId="0">
      <x:text>
        <x:r>
          <x:t>Forecast. Formula: =E11*(1+'Assumptions'!F32)
Review selected-case observations and Model Guide for definitions and held assumptions.</x:t>
        </x:r>
      </x:text>
    </x:comment>
    <x:comment ref="F12" authorId="0">
      <x:text>
        <x:r>
          <x:t>Forecast. Formula: =SUM(F9:F11)
Review selected-case observations and Model Guide for definitions and held assumptions.</x:t>
        </x:r>
      </x:text>
    </x:comment>
    <x:comment ref="F13" authorId="0">
      <x:text>
        <x:r>
          <x:t>Forecast. Formula: =F12/E12-1
Review selected-case observations and Model Guide for definitions and held assumptions.</x:t>
        </x:r>
      </x:text>
    </x:comment>
    <x:comment ref="F14" authorId="0">
      <x:text>
        <x:r>
          <x:t>Forecast. Formula: ='Assumptions'!F37
Review selected-case observations and Model Guide for definitions and held assumptions.</x:t>
        </x:r>
      </x:text>
    </x:comment>
    <x:comment ref="F15" authorId="0">
      <x:text>
        <x:r>
          <x:t>Forecast. Formula: =F12*F14
Review selected-case observations and Model Guide for definitions and held assumptions.</x:t>
        </x:r>
      </x:text>
    </x:comment>
    <x:comment ref="F16" authorId="0">
      <x:text>
        <x:r>
          <x:t>Forecast. Formula: ='Assumptions'!F42
Review selected-case observations and Model Guide for definitions and held assumptions.</x:t>
        </x:r>
      </x:text>
    </x:comment>
    <x:comment ref="F17" authorId="0">
      <x:text>
        <x:r>
          <x:t>Forecast. Formula: =F15*(1-F16)
Review selected-case observations and Model Guide for definitions and held assumptions.</x:t>
        </x:r>
      </x:text>
    </x:comment>
    <x:comment ref="F18" authorId="0">
      <x:text>
        <x:r>
          <x:t>Forecast. Formula: =F12*'Assumptions'!F47
Review selected-case observations and Model Guide for definitions and held assumptions.</x:t>
        </x:r>
      </x:text>
    </x:comment>
    <x:comment ref="F19" authorId="0">
      <x:text>
        <x:r>
          <x:t>Forecast. Formula: ='Capital Spending'!F13
Review selected-case observations and Model Guide for definitions and held assumptions.</x:t>
        </x:r>
      </x:text>
    </x:comment>
    <x:comment ref="F20" authorId="0">
      <x:text>
        <x:r>
          <x:t>Forecast. Formula: ='Working Capital'!F10
Review selected-case observations and Model Guide for definitions and held assumptions.</x:t>
        </x:r>
      </x:text>
    </x:comment>
    <x:comment ref="F21" authorId="0">
      <x:text>
        <x:r>
          <x:t>Forecast. Formula: ='Working Capital'!F12
Review selected-case observations and Model Guide for definitions and held assumptions.</x:t>
        </x:r>
      </x:text>
    </x:comment>
    <x:comment ref="F22" authorId="0">
      <x:text>
        <x:r>
          <x:t>Forecast. Formula: =F19-F18+F21
Review selected-case observations and Model Guide for definitions and held assumptions.</x:t>
        </x:r>
      </x:text>
    </x:comment>
    <x:comment ref="F23" authorId="0">
      <x:text>
        <x:r>
          <x:t>Forecast. Formula: =F22/F17
Review selected-case observations and Model Guide for definitions and held assumptions.</x:t>
        </x:r>
      </x:text>
    </x:comment>
    <x:comment ref="F24" authorId="0">
      <x:text>
        <x:r>
          <x:t>Forecast. Formula: =F17-F22
Review selected-case observations and Model Guide for definitions and held assumptions.</x:t>
        </x:r>
      </x:text>
    </x:comment>
    <x:comment ref="F25" authorId="0">
      <x:text>
        <x:r>
          <x:t>Forecast. Formula: =F24/F12
Review selected-case observations and Model Guide for definitions and held assumptions.</x:t>
        </x:r>
      </x:text>
    </x:comment>
    <x:comment ref="F26" authorId="0">
      <x:text>
        <x:r>
          <x:t>Forecast. Formula: =F12*'Assumptions'!$E$18
Review selected-case observations and Model Guide for definitions and held assumptions.</x:t>
        </x:r>
      </x:text>
    </x:comment>
    <x:comment ref="G9" authorId="0">
      <x:text>
        <x:r>
          <x:t>Forecast. Formula: =F9*(1+'Assumptions'!G22)
Review selected-case observations and Model Guide for definitions and held assumptions.</x:t>
        </x:r>
      </x:text>
    </x:comment>
    <x:comment ref="G10" authorId="0">
      <x:text>
        <x:r>
          <x:t>Forecast. Formula: =F10*(1+'Assumptions'!G27)
Review selected-case observations and Model Guide for definitions and held assumptions.</x:t>
        </x:r>
      </x:text>
    </x:comment>
    <x:comment ref="G11" authorId="0">
      <x:text>
        <x:r>
          <x:t>Forecast. Formula: =F11*(1+'Assumptions'!G32)
Review selected-case observations and Model Guide for definitions and held assumptions.</x:t>
        </x:r>
      </x:text>
    </x:comment>
    <x:comment ref="G12" authorId="0">
      <x:text>
        <x:r>
          <x:t>Forecast. Formula: =SUM(G9:G11)
Review selected-case observations and Model Guide for definitions and held assumptions.</x:t>
        </x:r>
      </x:text>
    </x:comment>
    <x:comment ref="G13" authorId="0">
      <x:text>
        <x:r>
          <x:t>Forecast. Formula: =G12/F12-1
Review selected-case observations and Model Guide for definitions and held assumptions.</x:t>
        </x:r>
      </x:text>
    </x:comment>
    <x:comment ref="G14" authorId="0">
      <x:text>
        <x:r>
          <x:t>Forecast. Formula: ='Assumptions'!G37
Review selected-case observations and Model Guide for definitions and held assumptions.</x:t>
        </x:r>
      </x:text>
    </x:comment>
    <x:comment ref="G15" authorId="0">
      <x:text>
        <x:r>
          <x:t>Forecast. Formula: =G12*G14
Review selected-case observations and Model Guide for definitions and held assumptions.</x:t>
        </x:r>
      </x:text>
    </x:comment>
    <x:comment ref="G16" authorId="0">
      <x:text>
        <x:r>
          <x:t>Forecast. Formula: ='Assumptions'!G42
Review selected-case observations and Model Guide for definitions and held assumptions.</x:t>
        </x:r>
      </x:text>
    </x:comment>
    <x:comment ref="G17" authorId="0">
      <x:text>
        <x:r>
          <x:t>Forecast. Formula: =G15*(1-G16)
Review selected-case observations and Model Guide for definitions and held assumptions.</x:t>
        </x:r>
      </x:text>
    </x:comment>
    <x:comment ref="G18" authorId="0">
      <x:text>
        <x:r>
          <x:t>Forecast. Formula: =G12*'Assumptions'!G47
Review selected-case observations and Model Guide for definitions and held assumptions.</x:t>
        </x:r>
      </x:text>
    </x:comment>
    <x:comment ref="G19" authorId="0">
      <x:text>
        <x:r>
          <x:t>Forecast. Formula: ='Capital Spending'!G13
Review selected-case observations and Model Guide for definitions and held assumptions.</x:t>
        </x:r>
      </x:text>
    </x:comment>
    <x:comment ref="G20" authorId="0">
      <x:text>
        <x:r>
          <x:t>Forecast. Formula: ='Working Capital'!G10
Review selected-case observations and Model Guide for definitions and held assumptions.</x:t>
        </x:r>
      </x:text>
    </x:comment>
    <x:comment ref="G21" authorId="0">
      <x:text>
        <x:r>
          <x:t>Forecast. Formula: ='Working Capital'!G12
Review selected-case observations and Model Guide for definitions and held assumptions.</x:t>
        </x:r>
      </x:text>
    </x:comment>
    <x:comment ref="G22" authorId="0">
      <x:text>
        <x:r>
          <x:t>Forecast. Formula: =G19-G18+G21
Review selected-case observations and Model Guide for definitions and held assumptions.</x:t>
        </x:r>
      </x:text>
    </x:comment>
    <x:comment ref="G23" authorId="0">
      <x:text>
        <x:r>
          <x:t>Forecast. Formula: =G22/G17
Review selected-case observations and Model Guide for definitions and held assumptions.</x:t>
        </x:r>
      </x:text>
    </x:comment>
    <x:comment ref="G24" authorId="0">
      <x:text>
        <x:r>
          <x:t>Forecast. Formula: =G17-G22
Review selected-case observations and Model Guide for definitions and held assumptions.</x:t>
        </x:r>
      </x:text>
    </x:comment>
    <x:comment ref="G25" authorId="0">
      <x:text>
        <x:r>
          <x:t>Forecast. Formula: =G24/G12
Review selected-case observations and Model Guide for definitions and held assumptions.</x:t>
        </x:r>
      </x:text>
    </x:comment>
    <x:comment ref="G26" authorId="0">
      <x:text>
        <x:r>
          <x:t>Forecast. Formula: =G12*'Assumptions'!$E$18
Review selected-case observations and Model Guide for definitions and held assumptions.</x:t>
        </x:r>
      </x:text>
    </x:comment>
    <x:comment ref="H9" authorId="0">
      <x:text>
        <x:r>
          <x:t>Forecast. Formula: =G9*(1+'Assumptions'!H22)
Review selected-case observations and Model Guide for definitions and held assumptions.</x:t>
        </x:r>
      </x:text>
    </x:comment>
    <x:comment ref="H10" authorId="0">
      <x:text>
        <x:r>
          <x:t>Forecast. Formula: =G10*(1+'Assumptions'!H27)
Review selected-case observations and Model Guide for definitions and held assumptions.</x:t>
        </x:r>
      </x:text>
    </x:comment>
    <x:comment ref="H11" authorId="0">
      <x:text>
        <x:r>
          <x:t>Forecast. Formula: =G11*(1+'Assumptions'!H32)
Review selected-case observations and Model Guide for definitions and held assumptions.</x:t>
        </x:r>
      </x:text>
    </x:comment>
    <x:comment ref="H12" authorId="0">
      <x:text>
        <x:r>
          <x:t>Forecast. Formula: =SUM(H9:H11)
Review selected-case observations and Model Guide for definitions and held assumptions.</x:t>
        </x:r>
      </x:text>
    </x:comment>
    <x:comment ref="H13" authorId="0">
      <x:text>
        <x:r>
          <x:t>Forecast. Formula: =H12/G12-1
Review selected-case observations and Model Guide for definitions and held assumptions.</x:t>
        </x:r>
      </x:text>
    </x:comment>
    <x:comment ref="H14" authorId="0">
      <x:text>
        <x:r>
          <x:t>Forecast. Formula: ='Assumptions'!H37
Review selected-case observations and Model Guide for definitions and held assumptions.</x:t>
        </x:r>
      </x:text>
    </x:comment>
    <x:comment ref="H15" authorId="0">
      <x:text>
        <x:r>
          <x:t>Forecast. Formula: =H12*H14
Review selected-case observations and Model Guide for definitions and held assumptions.</x:t>
        </x:r>
      </x:text>
    </x:comment>
    <x:comment ref="H16" authorId="0">
      <x:text>
        <x:r>
          <x:t>Forecast. Formula: ='Assumptions'!H42
Review selected-case observations and Model Guide for definitions and held assumptions.</x:t>
        </x:r>
      </x:text>
    </x:comment>
    <x:comment ref="H17" authorId="0">
      <x:text>
        <x:r>
          <x:t>Forecast. Formula: =H15*(1-H16)
Review selected-case observations and Model Guide for definitions and held assumptions.</x:t>
        </x:r>
      </x:text>
    </x:comment>
    <x:comment ref="H18" authorId="0">
      <x:text>
        <x:r>
          <x:t>Forecast. Formula: =H12*'Assumptions'!H47
Review selected-case observations and Model Guide for definitions and held assumptions.</x:t>
        </x:r>
      </x:text>
    </x:comment>
    <x:comment ref="H19" authorId="0">
      <x:text>
        <x:r>
          <x:t>Forecast. Formula: ='Capital Spending'!H13
Review selected-case observations and Model Guide for definitions and held assumptions.</x:t>
        </x:r>
      </x:text>
    </x:comment>
    <x:comment ref="H20" authorId="0">
      <x:text>
        <x:r>
          <x:t>Forecast. Formula: ='Working Capital'!H10
Review selected-case observations and Model Guide for definitions and held assumptions.</x:t>
        </x:r>
      </x:text>
    </x:comment>
    <x:comment ref="H21" authorId="0">
      <x:text>
        <x:r>
          <x:t>Forecast. Formula: ='Working Capital'!H12
Review selected-case observations and Model Guide for definitions and held assumptions.</x:t>
        </x:r>
      </x:text>
    </x:comment>
    <x:comment ref="H22" authorId="0">
      <x:text>
        <x:r>
          <x:t>Forecast. Formula: =H19-H18+H21
Review selected-case observations and Model Guide for definitions and held assumptions.</x:t>
        </x:r>
      </x:text>
    </x:comment>
    <x:comment ref="H23" authorId="0">
      <x:text>
        <x:r>
          <x:t>Forecast. Formula: =H22/H17
Review selected-case observations and Model Guide for definitions and held assumptions.</x:t>
        </x:r>
      </x:text>
    </x:comment>
    <x:comment ref="H24" authorId="0">
      <x:text>
        <x:r>
          <x:t>Forecast. Formula: =H17-H22
Review selected-case observations and Model Guide for definitions and held assumptions.</x:t>
        </x:r>
      </x:text>
    </x:comment>
    <x:comment ref="H25" authorId="0">
      <x:text>
        <x:r>
          <x:t>Forecast. Formula: =H24/H12
Review selected-case observations and Model Guide for definitions and held assumptions.</x:t>
        </x:r>
      </x:text>
    </x:comment>
    <x:comment ref="H26" authorId="0">
      <x:text>
        <x:r>
          <x:t>Forecast. Formula: =H12*'Assumptions'!$E$18
Review selected-case observations and Model Guide for definitions and held assumptions.</x:t>
        </x:r>
      </x:text>
    </x:comment>
    <x:comment ref="I9" authorId="0">
      <x:text>
        <x:r>
          <x:t>Forecast. Formula: =H9*(1+'Assumptions'!I22)
Review selected-case observations and Model Guide for definitions and held assumptions.</x:t>
        </x:r>
      </x:text>
    </x:comment>
    <x:comment ref="I10" authorId="0">
      <x:text>
        <x:r>
          <x:t>Forecast. Formula: =H10*(1+'Assumptions'!I27)
Review selected-case observations and Model Guide for definitions and held assumptions.</x:t>
        </x:r>
      </x:text>
    </x:comment>
    <x:comment ref="I11" authorId="0">
      <x:text>
        <x:r>
          <x:t>Forecast. Formula: =H11*(1+'Assumptions'!I32)
Review selected-case observations and Model Guide for definitions and held assumptions.</x:t>
        </x:r>
      </x:text>
    </x:comment>
    <x:comment ref="I12" authorId="0">
      <x:text>
        <x:r>
          <x:t>Forecast. Formula: =SUM(I9:I11)
Review selected-case observations and Model Guide for definitions and held assumptions.</x:t>
        </x:r>
      </x:text>
    </x:comment>
    <x:comment ref="I13" authorId="0">
      <x:text>
        <x:r>
          <x:t>Forecast. Formula: =I12/H12-1
Review selected-case observations and Model Guide for definitions and held assumptions.</x:t>
        </x:r>
      </x:text>
    </x:comment>
    <x:comment ref="I14" authorId="0">
      <x:text>
        <x:r>
          <x:t>Forecast. Formula: ='Assumptions'!I37
Review selected-case observations and Model Guide for definitions and held assumptions.</x:t>
        </x:r>
      </x:text>
    </x:comment>
    <x:comment ref="I15" authorId="0">
      <x:text>
        <x:r>
          <x:t>Forecast. Formula: =I12*I14
Review selected-case observations and Model Guide for definitions and held assumptions.</x:t>
        </x:r>
      </x:text>
    </x:comment>
    <x:comment ref="I16" authorId="0">
      <x:text>
        <x:r>
          <x:t>Forecast. Formula: ='Assumptions'!I42
Review selected-case observations and Model Guide for definitions and held assumptions.</x:t>
        </x:r>
      </x:text>
    </x:comment>
    <x:comment ref="I17" authorId="0">
      <x:text>
        <x:r>
          <x:t>Forecast. Formula: =I15*(1-I16)
Review selected-case observations and Model Guide for definitions and held assumptions.</x:t>
        </x:r>
      </x:text>
    </x:comment>
    <x:comment ref="I18" authorId="0">
      <x:text>
        <x:r>
          <x:t>Forecast. Formula: =I12*'Assumptions'!I47
Review selected-case observations and Model Guide for definitions and held assumptions.</x:t>
        </x:r>
      </x:text>
    </x:comment>
    <x:comment ref="I19" authorId="0">
      <x:text>
        <x:r>
          <x:t>Forecast. Formula: ='Capital Spending'!I13
Review selected-case observations and Model Guide for definitions and held assumptions.</x:t>
        </x:r>
      </x:text>
    </x:comment>
    <x:comment ref="I20" authorId="0">
      <x:text>
        <x:r>
          <x:t>Forecast. Formula: ='Working Capital'!I10
Review selected-case observations and Model Guide for definitions and held assumptions.</x:t>
        </x:r>
      </x:text>
    </x:comment>
    <x:comment ref="I21" authorId="0">
      <x:text>
        <x:r>
          <x:t>Forecast. Formula: ='Working Capital'!I12
Review selected-case observations and Model Guide for definitions and held assumptions.</x:t>
        </x:r>
      </x:text>
    </x:comment>
    <x:comment ref="I22" authorId="0">
      <x:text>
        <x:r>
          <x:t>Forecast. Formula: =I19-I18+I21
Review selected-case observations and Model Guide for definitions and held assumptions.</x:t>
        </x:r>
      </x:text>
    </x:comment>
    <x:comment ref="I23" authorId="0">
      <x:text>
        <x:r>
          <x:t>Forecast. Formula: =I22/I17
Review selected-case observations and Model Guide for definitions and held assumptions.</x:t>
        </x:r>
      </x:text>
    </x:comment>
    <x:comment ref="I24" authorId="0">
      <x:text>
        <x:r>
          <x:t>Forecast. Formula: =I17-I22
Review selected-case observations and Model Guide for definitions and held assumptions.</x:t>
        </x:r>
      </x:text>
    </x:comment>
    <x:comment ref="I25" authorId="0">
      <x:text>
        <x:r>
          <x:t>Forecast. Formula: =I24/I12
Review selected-case observations and Model Guide for definitions and held assumptions.</x:t>
        </x:r>
      </x:text>
    </x:comment>
    <x:comment ref="I26" authorId="0">
      <x:text>
        <x:r>
          <x:t>Forecast. Formula: =I12*'Assumptions'!$E$18
Review selected-case observations and Model Guide for definitions and held assumptions.</x:t>
        </x:r>
      </x:text>
    </x:comment>
    <x:comment ref="D32" authorId="0">
      <x:text>
        <x:r>
          <x:t>Forecast. Formula: =E12
Review selected-case observations and Model Guide for definitions and held assumptions.</x:t>
        </x:r>
      </x:text>
    </x:comment>
    <x:comment ref="E32" authorId="0">
      <x:text>
        <x:r>
          <x:t>Forecast. Formula: =E17
Review selected-case observations and Model Guide for definitions and held assumptions.</x:t>
        </x:r>
      </x:text>
    </x:comment>
    <x:comment ref="F32" authorId="0">
      <x:text>
        <x:r>
          <x:t>Forecast. Formula: =E24
Review selected-case observations and Model Guide for definitions and held assumptions.</x:t>
        </x:r>
      </x:text>
    </x:comment>
    <x:comment ref="D33" authorId="0">
      <x:text>
        <x:r>
          <x:t>Forecast. Formula: =F12
Review selected-case observations and Model Guide for definitions and held assumptions.</x:t>
        </x:r>
      </x:text>
    </x:comment>
    <x:comment ref="E33" authorId="0">
      <x:text>
        <x:r>
          <x:t>Forecast. Formula: =F17
Review selected-case observations and Model Guide for definitions and held assumptions.</x:t>
        </x:r>
      </x:text>
    </x:comment>
    <x:comment ref="F33" authorId="0">
      <x:text>
        <x:r>
          <x:t>Forecast. Formula: =F24
Review selected-case observations and Model Guide for definitions and held assumptions.</x:t>
        </x:r>
      </x:text>
    </x:comment>
    <x:comment ref="D34" authorId="0">
      <x:text>
        <x:r>
          <x:t>Forecast. Formula: =G12
Review selected-case observations and Model Guide for definitions and held assumptions.</x:t>
        </x:r>
      </x:text>
    </x:comment>
    <x:comment ref="E34" authorId="0">
      <x:text>
        <x:r>
          <x:t>Forecast. Formula: =G17
Review selected-case observations and Model Guide for definitions and held assumptions.</x:t>
        </x:r>
      </x:text>
    </x:comment>
    <x:comment ref="F34" authorId="0">
      <x:text>
        <x:r>
          <x:t>Forecast. Formula: =G24
Review selected-case observations and Model Guide for definitions and held assumptions.</x:t>
        </x:r>
      </x:text>
    </x:comment>
    <x:comment ref="D35" authorId="0">
      <x:text>
        <x:r>
          <x:t>Forecast. Formula: =H12
Review selected-case observations and Model Guide for definitions and held assumptions.</x:t>
        </x:r>
      </x:text>
    </x:comment>
    <x:comment ref="E35" authorId="0">
      <x:text>
        <x:r>
          <x:t>Forecast. Formula: =H17
Review selected-case observations and Model Guide for definitions and held assumptions.</x:t>
        </x:r>
      </x:text>
    </x:comment>
    <x:comment ref="F35" authorId="0">
      <x:text>
        <x:r>
          <x:t>Forecast. Formula: =H24
Review selected-case observations and Model Guide for definitions and held assumptions.</x:t>
        </x:r>
      </x:text>
    </x:comment>
    <x:comment ref="D36" authorId="0">
      <x:text>
        <x:r>
          <x:t>Forecast. Formula: =I12
Review selected-case observations and Model Guide for definitions and held assumptions.</x:t>
        </x:r>
      </x:text>
    </x:comment>
    <x:comment ref="E36" authorId="0">
      <x:text>
        <x:r>
          <x:t>Forecast. Formula: =I17
Review selected-case observations and Model Guide for definitions and held assumptions.</x:t>
        </x:r>
      </x:text>
    </x:comment>
    <x:comment ref="F36" authorId="0">
      <x:text>
        <x:r>
          <x:t>Forecast. Formula: =I24
Review selected-case observations and Model Guide for definitions and held assumptions.</x:t>
        </x:r>
      </x:text>
    </x:comment>
    <x:comment ref="C41" authorId="0">
      <x:text>
        <x:r>
          <x:t>Forecast. Formula: ="Revenue rises from USD "&amp;ROUND(E12/1000,1)&amp;"bn to "&amp;ROUND(I12/1000,1)&amp;"bn; final annual FCFF is USD "&amp;ROUND(I24/1000,1)&amp;"bn. "&amp;"Segment growth is linked to active annual assumptions. Operating margins, D&amp;A and capitalized-interest ratios retain the project 03 scenario calibration; changes to those ratios are visible inputs."
Review selected-case observations and Model Guide for definitions and held assumptions.</x:t>
        </x:r>
      </x:text>
    </x:comment>
  </x:commentList>
</x:comments>
</file>

<file path=xl/comments5.xml><?xml version="1.0" encoding="utf-8"?>
<x:comments xmlns:x="http://schemas.openxmlformats.org/spreadsheetml/2006/main">
  <x:authors>
    <x:author>Goran Brkich</x:author>
  </x:authors>
  <x:commentList>
    <x:comment ref="E6" authorId="0">
      <x:text>
        <x:r>
          <x:t>Opening operating NWC. Opening 30 June 2026 operating assets less operating liabilities. Cash, taxes, capex payables and lease financing are excluded.
Excel formula: ='Historical Inputs'!N62</x:t>
        </x:r>
      </x:text>
    </x:comment>
    <x:comment ref="C6" authorId="0">
      <x:text>
        <x:r>
          <x:t>Opening 30 June 2026 operating assets less operating liabilities. Cash, taxes, capex payables and lease financing are excluded.</x:t>
        </x:r>
      </x:text>
    </x:comment>
    <x:comment ref="E4" authorId="0">
      <x:text>
        <x:r>
          <x:t>Working Capital. Formula: =CHOOSE('DCF'!$E$5,"Base","Upside","Downside")
Review selected-case observations and Model Guide for definitions and held assumptions.</x:t>
        </x:r>
      </x:text>
    </x:comment>
    <x:comment ref="E9" authorId="0">
      <x:text>
        <x:r>
          <x:t>Working Capital. Formula: ='Assumptions'!E67
Review selected-case observations and Model Guide for definitions and held assumptions.</x:t>
        </x:r>
      </x:text>
    </x:comment>
    <x:comment ref="E10" authorId="0">
      <x:text>
        <x:r>
          <x:t>Working Capital. Formula: ='Forecast'!E12*E9
Review selected-case observations and Model Guide for definitions and held assumptions.</x:t>
        </x:r>
      </x:text>
    </x:comment>
    <x:comment ref="E11" authorId="0">
      <x:text>
        <x:r>
          <x:t>Working Capital. Formula: =$E$6
Review selected-case observations and Model Guide for definitions and held assumptions.</x:t>
        </x:r>
      </x:text>
    </x:comment>
    <x:comment ref="E12" authorId="0">
      <x:text>
        <x:r>
          <x:t>Working Capital. Formula: =E10-E11
Review selected-case observations and Model Guide for definitions and held assumptions.</x:t>
        </x:r>
      </x:text>
    </x:comment>
    <x:comment ref="E13" authorId="0">
      <x:text>
        <x:r>
          <x:t>Working Capital. Formula: ='Forecast'!E12
Review selected-case observations and Model Guide for definitions and held assumptions.</x:t>
        </x:r>
      </x:text>
    </x:comment>
    <x:comment ref="E14" authorId="0">
      <x:text>
        <x:r>
          <x:t>Working Capital. Formula: =E12/E13
Review selected-case observations and Model Guide for definitions and held assumptions.</x:t>
        </x:r>
      </x:text>
    </x:comment>
    <x:comment ref="F9" authorId="0">
      <x:text>
        <x:r>
          <x:t>Working Capital. Formula: ='Assumptions'!F67
Review selected-case observations and Model Guide for definitions and held assumptions.</x:t>
        </x:r>
      </x:text>
    </x:comment>
    <x:comment ref="F10" authorId="0">
      <x:text>
        <x:r>
          <x:t>Working Capital. Formula: ='Forecast'!F12*F9
Review selected-case observations and Model Guide for definitions and held assumptions.</x:t>
        </x:r>
      </x:text>
    </x:comment>
    <x:comment ref="F11" authorId="0">
      <x:text>
        <x:r>
          <x:t>Working Capital. Formula: =E10
Review selected-case observations and Model Guide for definitions and held assumptions.</x:t>
        </x:r>
      </x:text>
    </x:comment>
    <x:comment ref="F12" authorId="0">
      <x:text>
        <x:r>
          <x:t>Working Capital. Formula: =F10-F11
Review selected-case observations and Model Guide for definitions and held assumptions.</x:t>
        </x:r>
      </x:text>
    </x:comment>
    <x:comment ref="F13" authorId="0">
      <x:text>
        <x:r>
          <x:t>Working Capital. Formula: ='Forecast'!F12
Review selected-case observations and Model Guide for definitions and held assumptions.</x:t>
        </x:r>
      </x:text>
    </x:comment>
    <x:comment ref="F14" authorId="0">
      <x:text>
        <x:r>
          <x:t>Working Capital. Formula: =F12/F13
Review selected-case observations and Model Guide for definitions and held assumptions.</x:t>
        </x:r>
      </x:text>
    </x:comment>
    <x:comment ref="G9" authorId="0">
      <x:text>
        <x:r>
          <x:t>Working Capital. Formula: ='Assumptions'!G67
Review selected-case observations and Model Guide for definitions and held assumptions.</x:t>
        </x:r>
      </x:text>
    </x:comment>
    <x:comment ref="G10" authorId="0">
      <x:text>
        <x:r>
          <x:t>Working Capital. Formula: ='Forecast'!G12*G9
Review selected-case observations and Model Guide for definitions and held assumptions.</x:t>
        </x:r>
      </x:text>
    </x:comment>
    <x:comment ref="G11" authorId="0">
      <x:text>
        <x:r>
          <x:t>Working Capital. Formula: =F10
Review selected-case observations and Model Guide for definitions and held assumptions.</x:t>
        </x:r>
      </x:text>
    </x:comment>
    <x:comment ref="G12" authorId="0">
      <x:text>
        <x:r>
          <x:t>Working Capital. Formula: =G10-G11
Review selected-case observations and Model Guide for definitions and held assumptions.</x:t>
        </x:r>
      </x:text>
    </x:comment>
    <x:comment ref="G13" authorId="0">
      <x:text>
        <x:r>
          <x:t>Working Capital. Formula: ='Forecast'!G12
Review selected-case observations and Model Guide for definitions and held assumptions.</x:t>
        </x:r>
      </x:text>
    </x:comment>
    <x:comment ref="G14" authorId="0">
      <x:text>
        <x:r>
          <x:t>Working Capital. Formula: =G12/G13
Review selected-case observations and Model Guide for definitions and held assumptions.</x:t>
        </x:r>
      </x:text>
    </x:comment>
    <x:comment ref="H9" authorId="0">
      <x:text>
        <x:r>
          <x:t>Working Capital. Formula: ='Assumptions'!H67
Review selected-case observations and Model Guide for definitions and held assumptions.</x:t>
        </x:r>
      </x:text>
    </x:comment>
    <x:comment ref="H10" authorId="0">
      <x:text>
        <x:r>
          <x:t>Working Capital. Formula: ='Forecast'!H12*H9
Review selected-case observations and Model Guide for definitions and held assumptions.</x:t>
        </x:r>
      </x:text>
    </x:comment>
    <x:comment ref="H11" authorId="0">
      <x:text>
        <x:r>
          <x:t>Working Capital. Formula: =G10
Review selected-case observations and Model Guide for definitions and held assumptions.</x:t>
        </x:r>
      </x:text>
    </x:comment>
    <x:comment ref="H12" authorId="0">
      <x:text>
        <x:r>
          <x:t>Working Capital. Formula: =H10-H11
Review selected-case observations and Model Guide for definitions and held assumptions.</x:t>
        </x:r>
      </x:text>
    </x:comment>
    <x:comment ref="H13" authorId="0">
      <x:text>
        <x:r>
          <x:t>Working Capital. Formula: ='Forecast'!H12
Review selected-case observations and Model Guide for definitions and held assumptions.</x:t>
        </x:r>
      </x:text>
    </x:comment>
    <x:comment ref="H14" authorId="0">
      <x:text>
        <x:r>
          <x:t>Working Capital. Formula: =H12/H13
Review selected-case observations and Model Guide for definitions and held assumptions.</x:t>
        </x:r>
      </x:text>
    </x:comment>
    <x:comment ref="I9" authorId="0">
      <x:text>
        <x:r>
          <x:t>Working Capital. Formula: ='Assumptions'!I67
Review selected-case observations and Model Guide for definitions and held assumptions.</x:t>
        </x:r>
      </x:text>
    </x:comment>
    <x:comment ref="I10" authorId="0">
      <x:text>
        <x:r>
          <x:t>Working Capital. Formula: ='Forecast'!I12*I9
Review selected-case observations and Model Guide for definitions and held assumptions.</x:t>
        </x:r>
      </x:text>
    </x:comment>
    <x:comment ref="I11" authorId="0">
      <x:text>
        <x:r>
          <x:t>Working Capital. Formula: =H10
Review selected-case observations and Model Guide for definitions and held assumptions.</x:t>
        </x:r>
      </x:text>
    </x:comment>
    <x:comment ref="I12" authorId="0">
      <x:text>
        <x:r>
          <x:t>Working Capital. Formula: =I10-I11
Review selected-case observations and Model Guide for definitions and held assumptions.</x:t>
        </x:r>
      </x:text>
    </x:comment>
    <x:comment ref="I13" authorId="0">
      <x:text>
        <x:r>
          <x:t>Working Capital. Formula: ='Forecast'!I12
Review selected-case observations and Model Guide for definitions and held assumptions.</x:t>
        </x:r>
      </x:text>
    </x:comment>
    <x:comment ref="I14" authorId="0">
      <x:text>
        <x:r>
          <x:t>Working Capital. Formula: =I12/I13
Review selected-case observations and Model Guide for definitions and held assumptions.</x:t>
        </x:r>
      </x:text>
    </x:comment>
    <x:comment ref="D19" authorId="0">
      <x:text>
        <x:r>
          <x:t>Working Capital. Formula: =E10
Review selected-case observations and Model Guide for definitions and held assumptions.</x:t>
        </x:r>
      </x:text>
    </x:comment>
    <x:comment ref="E19" authorId="0">
      <x:text>
        <x:r>
          <x:t>Working Capital. Formula: =E12
Review selected-case observations and Model Guide for definitions and held assumptions.</x:t>
        </x:r>
      </x:text>
    </x:comment>
    <x:comment ref="D20" authorId="0">
      <x:text>
        <x:r>
          <x:t>Working Capital. Formula: =F10
Review selected-case observations and Model Guide for definitions and held assumptions.</x:t>
        </x:r>
      </x:text>
    </x:comment>
    <x:comment ref="E20" authorId="0">
      <x:text>
        <x:r>
          <x:t>Working Capital. Formula: =F12
Review selected-case observations and Model Guide for definitions and held assumptions.</x:t>
        </x:r>
      </x:text>
    </x:comment>
    <x:comment ref="D21" authorId="0">
      <x:text>
        <x:r>
          <x:t>Working Capital. Formula: =G10
Review selected-case observations and Model Guide for definitions and held assumptions.</x:t>
        </x:r>
      </x:text>
    </x:comment>
    <x:comment ref="E21" authorId="0">
      <x:text>
        <x:r>
          <x:t>Working Capital. Formula: =G12
Review selected-case observations and Model Guide for definitions and held assumptions.</x:t>
        </x:r>
      </x:text>
    </x:comment>
    <x:comment ref="D22" authorId="0">
      <x:text>
        <x:r>
          <x:t>Working Capital. Formula: =H10
Review selected-case observations and Model Guide for definitions and held assumptions.</x:t>
        </x:r>
      </x:text>
    </x:comment>
    <x:comment ref="E22" authorId="0">
      <x:text>
        <x:r>
          <x:t>Working Capital. Formula: =H12
Review selected-case observations and Model Guide for definitions and held assumptions.</x:t>
        </x:r>
      </x:text>
    </x:comment>
    <x:comment ref="D23" authorId="0">
      <x:text>
        <x:r>
          <x:t>Working Capital. Formula: =I10
Review selected-case observations and Model Guide for definitions and held assumptions.</x:t>
        </x:r>
      </x:text>
    </x:comment>
    <x:comment ref="E23" authorId="0">
      <x:text>
        <x:r>
          <x:t>Working Capital. Formula: =I12
Review selected-case observations and Model Guide for definitions and held assumptions.</x:t>
        </x:r>
      </x:text>
    </x:comment>
    <x:comment ref="C28" authorId="0">
      <x:text>
        <x:r>
          <x:t>Working Capital. Formula: ="Opening NWC is USD "&amp;ROUND(E6,0)&amp;"m and final NWC USD "&amp;ROUND(I10,0)&amp;"m. FY2027 change is USD "&amp;ROUND(E12,0)&amp;"m. "&amp;"A rise in operating NWC uses cash and reduces FCFF. Customer prepayments and other operating liabilities can make NWC negative; a negative balance does not mean cash or debt is being counted as operating funding."
Review selected-case observations and Model Guide for definitions and held assumptions.</x:t>
        </x:r>
      </x:text>
    </x:comment>
  </x:commentList>
</x:comments>
</file>

<file path=xl/comments6.xml><?xml version="1.0" encoding="utf-8"?>
<x:comments xmlns:x="http://schemas.openxmlformats.org/spreadsheetml/2006/main">
  <x:authors>
    <x:author>Goran Brkich</x:author>
  </x:authors>
  <x:commentList>
    <x:comment ref="E4" authorId="0">
      <x:text>
        <x:r>
          <x:t>Capital Spending. Formula: =CHOOSE('DCF'!$E$5,"Base","Upside","Downside")
Review selected-case observations and Model Guide for definitions and held assumptions.</x:t>
        </x:r>
      </x:text>
    </x:comment>
    <x:comment ref="E9" authorId="0">
      <x:text>
        <x:r>
          <x:t>Capital Spending. Formula: ='Forecast'!E12*'Assumptions'!E52
Review selected-case observations and Model Guide for definitions and held assumptions.</x:t>
        </x:r>
      </x:text>
    </x:comment>
    <x:comment ref="E10" authorId="0">
      <x:text>
        <x:r>
          <x:t>Capital Spending. Formula: ='Forecast'!E12*'Assumptions'!E57
Review selected-case observations and Model Guide for definitions and held assumptions.</x:t>
        </x:r>
      </x:text>
    </x:comment>
    <x:comment ref="E11" authorId="0">
      <x:text>
        <x:r>
          <x:t>Capital Spending. Formula: =E9-E10
Review selected-case observations and Model Guide for definitions and held assumptions.</x:t>
        </x:r>
      </x:text>
    </x:comment>
    <x:comment ref="E12" authorId="0">
      <x:text>
        <x:r>
          <x:t>Capital Spending. Formula: ='Forecast'!E12*'Assumptions'!E62
Review selected-case observations and Model Guide for definitions and held assumptions.</x:t>
        </x:r>
      </x:text>
    </x:comment>
    <x:comment ref="E13" authorId="0">
      <x:text>
        <x:r>
          <x:t>Capital Spending. Formula: =SUM(E11:E12)
Review selected-case observations and Model Guide for definitions and held assumptions.</x:t>
        </x:r>
      </x:text>
    </x:comment>
    <x:comment ref="E14" authorId="0">
      <x:text>
        <x:r>
          <x:t>Capital Spending. Formula: ='Forecast'!E18
Review selected-case observations and Model Guide for definitions and held assumptions.</x:t>
        </x:r>
      </x:text>
    </x:comment>
    <x:comment ref="E15" authorId="0">
      <x:text>
        <x:r>
          <x:t>Capital Spending. Formula: =E13-E14
Review selected-case observations and Model Guide for definitions and held assumptions.</x:t>
        </x:r>
      </x:text>
    </x:comment>
    <x:comment ref="E16" authorId="0">
      <x:text>
        <x:r>
          <x:t>Capital Spending. Formula: =E9/'Forecast'!E12
Review selected-case observations and Model Guide for definitions and held assumptions.</x:t>
        </x:r>
      </x:text>
    </x:comment>
    <x:comment ref="E17" authorId="0">
      <x:text>
        <x:r>
          <x:t>Capital Spending. Formula: =E12/'Forecast'!E12
Review selected-case observations and Model Guide for definitions and held assumptions.</x:t>
        </x:r>
      </x:text>
    </x:comment>
    <x:comment ref="F9" authorId="0">
      <x:text>
        <x:r>
          <x:t>Capital Spending. Formula: ='Forecast'!F12*'Assumptions'!F52
Review selected-case observations and Model Guide for definitions and held assumptions.</x:t>
        </x:r>
      </x:text>
    </x:comment>
    <x:comment ref="F10" authorId="0">
      <x:text>
        <x:r>
          <x:t>Capital Spending. Formula: ='Forecast'!F12*'Assumptions'!F57
Review selected-case observations and Model Guide for definitions and held assumptions.</x:t>
        </x:r>
      </x:text>
    </x:comment>
    <x:comment ref="F11" authorId="0">
      <x:text>
        <x:r>
          <x:t>Capital Spending. Formula: =F9-F10
Review selected-case observations and Model Guide for definitions and held assumptions.</x:t>
        </x:r>
      </x:text>
    </x:comment>
    <x:comment ref="F12" authorId="0">
      <x:text>
        <x:r>
          <x:t>Capital Spending. Formula: ='Forecast'!F12*'Assumptions'!F62
Review selected-case observations and Model Guide for definitions and held assumptions.</x:t>
        </x:r>
      </x:text>
    </x:comment>
    <x:comment ref="F13" authorId="0">
      <x:text>
        <x:r>
          <x:t>Capital Spending. Formula: =SUM(F11:F12)
Review selected-case observations and Model Guide for definitions and held assumptions.</x:t>
        </x:r>
      </x:text>
    </x:comment>
    <x:comment ref="F14" authorId="0">
      <x:text>
        <x:r>
          <x:t>Capital Spending. Formula: ='Forecast'!F18
Review selected-case observations and Model Guide for definitions and held assumptions.</x:t>
        </x:r>
      </x:text>
    </x:comment>
    <x:comment ref="F15" authorId="0">
      <x:text>
        <x:r>
          <x:t>Capital Spending. Formula: =F13-F14
Review selected-case observations and Model Guide for definitions and held assumptions.</x:t>
        </x:r>
      </x:text>
    </x:comment>
    <x:comment ref="F16" authorId="0">
      <x:text>
        <x:r>
          <x:t>Capital Spending. Formula: =F9/'Forecast'!F12
Review selected-case observations and Model Guide for definitions and held assumptions.</x:t>
        </x:r>
      </x:text>
    </x:comment>
    <x:comment ref="F17" authorId="0">
      <x:text>
        <x:r>
          <x:t>Capital Spending. Formula: =F12/'Forecast'!F12
Review selected-case observations and Model Guide for definitions and held assumptions.</x:t>
        </x:r>
      </x:text>
    </x:comment>
    <x:comment ref="G9" authorId="0">
      <x:text>
        <x:r>
          <x:t>Capital Spending. Formula: ='Forecast'!G12*'Assumptions'!G52
Review selected-case observations and Model Guide for definitions and held assumptions.</x:t>
        </x:r>
      </x:text>
    </x:comment>
    <x:comment ref="G10" authorId="0">
      <x:text>
        <x:r>
          <x:t>Capital Spending. Formula: ='Forecast'!G12*'Assumptions'!G57
Review selected-case observations and Model Guide for definitions and held assumptions.</x:t>
        </x:r>
      </x:text>
    </x:comment>
    <x:comment ref="G11" authorId="0">
      <x:text>
        <x:r>
          <x:t>Capital Spending. Formula: =G9-G10
Review selected-case observations and Model Guide for definitions and held assumptions.</x:t>
        </x:r>
      </x:text>
    </x:comment>
    <x:comment ref="G12" authorId="0">
      <x:text>
        <x:r>
          <x:t>Capital Spending. Formula: ='Forecast'!G12*'Assumptions'!G62
Review selected-case observations and Model Guide for definitions and held assumptions.</x:t>
        </x:r>
      </x:text>
    </x:comment>
    <x:comment ref="G13" authorId="0">
      <x:text>
        <x:r>
          <x:t>Capital Spending. Formula: =SUM(G11:G12)
Review selected-case observations and Model Guide for definitions and held assumptions.</x:t>
        </x:r>
      </x:text>
    </x:comment>
    <x:comment ref="G14" authorId="0">
      <x:text>
        <x:r>
          <x:t>Capital Spending. Formula: ='Forecast'!G18
Review selected-case observations and Model Guide for definitions and held assumptions.</x:t>
        </x:r>
      </x:text>
    </x:comment>
    <x:comment ref="G15" authorId="0">
      <x:text>
        <x:r>
          <x:t>Capital Spending. Formula: =G13-G14
Review selected-case observations and Model Guide for definitions and held assumptions.</x:t>
        </x:r>
      </x:text>
    </x:comment>
    <x:comment ref="G16" authorId="0">
      <x:text>
        <x:r>
          <x:t>Capital Spending. Formula: =G9/'Forecast'!G12
Review selected-case observations and Model Guide for definitions and held assumptions.</x:t>
        </x:r>
      </x:text>
    </x:comment>
    <x:comment ref="G17" authorId="0">
      <x:text>
        <x:r>
          <x:t>Capital Spending. Formula: =G12/'Forecast'!G12
Review selected-case observations and Model Guide for definitions and held assumptions.</x:t>
        </x:r>
      </x:text>
    </x:comment>
    <x:comment ref="H9" authorId="0">
      <x:text>
        <x:r>
          <x:t>Capital Spending. Formula: ='Forecast'!H12*'Assumptions'!H52
Review selected-case observations and Model Guide for definitions and held assumptions.</x:t>
        </x:r>
      </x:text>
    </x:comment>
    <x:comment ref="H10" authorId="0">
      <x:text>
        <x:r>
          <x:t>Capital Spending. Formula: ='Forecast'!H12*'Assumptions'!H57
Review selected-case observations and Model Guide for definitions and held assumptions.</x:t>
        </x:r>
      </x:text>
    </x:comment>
    <x:comment ref="H11" authorId="0">
      <x:text>
        <x:r>
          <x:t>Capital Spending. Formula: =H9-H10
Review selected-case observations and Model Guide for definitions and held assumptions.</x:t>
        </x:r>
      </x:text>
    </x:comment>
    <x:comment ref="H12" authorId="0">
      <x:text>
        <x:r>
          <x:t>Capital Spending. Formula: ='Forecast'!H12*'Assumptions'!H62
Review selected-case observations and Model Guide for definitions and held assumptions.</x:t>
        </x:r>
      </x:text>
    </x:comment>
    <x:comment ref="H13" authorId="0">
      <x:text>
        <x:r>
          <x:t>Capital Spending. Formula: =SUM(H11:H12)
Review selected-case observations and Model Guide for definitions and held assumptions.</x:t>
        </x:r>
      </x:text>
    </x:comment>
    <x:comment ref="H14" authorId="0">
      <x:text>
        <x:r>
          <x:t>Capital Spending. Formula: ='Forecast'!H18
Review selected-case observations and Model Guide for definitions and held assumptions.</x:t>
        </x:r>
      </x:text>
    </x:comment>
    <x:comment ref="H15" authorId="0">
      <x:text>
        <x:r>
          <x:t>Capital Spending. Formula: =H13-H14
Review selected-case observations and Model Guide for definitions and held assumptions.</x:t>
        </x:r>
      </x:text>
    </x:comment>
    <x:comment ref="H16" authorId="0">
      <x:text>
        <x:r>
          <x:t>Capital Spending. Formula: =H9/'Forecast'!H12
Review selected-case observations and Model Guide for definitions and held assumptions.</x:t>
        </x:r>
      </x:text>
    </x:comment>
    <x:comment ref="H17" authorId="0">
      <x:text>
        <x:r>
          <x:t>Capital Spending. Formula: =H12/'Forecast'!H12
Review selected-case observations and Model Guide for definitions and held assumptions.</x:t>
        </x:r>
      </x:text>
    </x:comment>
    <x:comment ref="I9" authorId="0">
      <x:text>
        <x:r>
          <x:t>Capital Spending. Formula: ='Forecast'!I12*'Assumptions'!I52
Review selected-case observations and Model Guide for definitions and held assumptions.</x:t>
        </x:r>
      </x:text>
    </x:comment>
    <x:comment ref="I10" authorId="0">
      <x:text>
        <x:r>
          <x:t>Capital Spending. Formula: ='Forecast'!I12*'Assumptions'!I57
Review selected-case observations and Model Guide for definitions and held assumptions.</x:t>
        </x:r>
      </x:text>
    </x:comment>
    <x:comment ref="I11" authorId="0">
      <x:text>
        <x:r>
          <x:t>Capital Spending. Formula: =I9-I10
Review selected-case observations and Model Guide for definitions and held assumptions.</x:t>
        </x:r>
      </x:text>
    </x:comment>
    <x:comment ref="I12" authorId="0">
      <x:text>
        <x:r>
          <x:t>Capital Spending. Formula: ='Forecast'!I12*'Assumptions'!I62
Review selected-case observations and Model Guide for definitions and held assumptions.</x:t>
        </x:r>
      </x:text>
    </x:comment>
    <x:comment ref="I13" authorId="0">
      <x:text>
        <x:r>
          <x:t>Capital Spending. Formula: =SUM(I11:I12)
Review selected-case observations and Model Guide for definitions and held assumptions.</x:t>
        </x:r>
      </x:text>
    </x:comment>
    <x:comment ref="I14" authorId="0">
      <x:text>
        <x:r>
          <x:t>Capital Spending. Formula: ='Forecast'!I18
Review selected-case observations and Model Guide for definitions and held assumptions.</x:t>
        </x:r>
      </x:text>
    </x:comment>
    <x:comment ref="I15" authorId="0">
      <x:text>
        <x:r>
          <x:t>Capital Spending. Formula: =I13-I14
Review selected-case observations and Model Guide for definitions and held assumptions.</x:t>
        </x:r>
      </x:text>
    </x:comment>
    <x:comment ref="I16" authorId="0">
      <x:text>
        <x:r>
          <x:t>Capital Spending. Formula: =I9/'Forecast'!I12
Review selected-case observations and Model Guide for definitions and held assumptions.</x:t>
        </x:r>
      </x:text>
    </x:comment>
    <x:comment ref="I17" authorId="0">
      <x:text>
        <x:r>
          <x:t>Capital Spending. Formula: =I12/'Forecast'!I12
Review selected-case observations and Model Guide for definitions and held assumptions.</x:t>
        </x:r>
      </x:text>
    </x:comment>
    <x:comment ref="D22" authorId="0">
      <x:text>
        <x:r>
          <x:t>Capital Spending. Formula: =E9
Review selected-case observations and Model Guide for definitions and held assumptions.</x:t>
        </x:r>
      </x:text>
    </x:comment>
    <x:comment ref="E22" authorId="0">
      <x:text>
        <x:r>
          <x:t>Capital Spending. Formula: =E12
Review selected-case observations and Model Guide for definitions and held assumptions.</x:t>
        </x:r>
      </x:text>
    </x:comment>
    <x:comment ref="F22" authorId="0">
      <x:text>
        <x:r>
          <x:t>Capital Spending. Formula: =E13
Review selected-case observations and Model Guide for definitions and held assumptions.</x:t>
        </x:r>
      </x:text>
    </x:comment>
    <x:comment ref="G22" authorId="0">
      <x:text>
        <x:r>
          <x:t>Capital Spending. Formula: =E14
Review selected-case observations and Model Guide for definitions and held assumptions.</x:t>
        </x:r>
      </x:text>
    </x:comment>
    <x:comment ref="D23" authorId="0">
      <x:text>
        <x:r>
          <x:t>Capital Spending. Formula: =F9
Review selected-case observations and Model Guide for definitions and held assumptions.</x:t>
        </x:r>
      </x:text>
    </x:comment>
    <x:comment ref="E23" authorId="0">
      <x:text>
        <x:r>
          <x:t>Capital Spending. Formula: =F12
Review selected-case observations and Model Guide for definitions and held assumptions.</x:t>
        </x:r>
      </x:text>
    </x:comment>
    <x:comment ref="F23" authorId="0">
      <x:text>
        <x:r>
          <x:t>Capital Spending. Formula: =F13
Review selected-case observations and Model Guide for definitions and held assumptions.</x:t>
        </x:r>
      </x:text>
    </x:comment>
    <x:comment ref="G23" authorId="0">
      <x:text>
        <x:r>
          <x:t>Capital Spending. Formula: =F14
Review selected-case observations and Model Guide for definitions and held assumptions.</x:t>
        </x:r>
      </x:text>
    </x:comment>
    <x:comment ref="D24" authorId="0">
      <x:text>
        <x:r>
          <x:t>Capital Spending. Formula: =G9
Review selected-case observations and Model Guide for definitions and held assumptions.</x:t>
        </x:r>
      </x:text>
    </x:comment>
    <x:comment ref="E24" authorId="0">
      <x:text>
        <x:r>
          <x:t>Capital Spending. Formula: =G12
Review selected-case observations and Model Guide for definitions and held assumptions.</x:t>
        </x:r>
      </x:text>
    </x:comment>
    <x:comment ref="F24" authorId="0">
      <x:text>
        <x:r>
          <x:t>Capital Spending. Formula: =G13
Review selected-case observations and Model Guide for definitions and held assumptions.</x:t>
        </x:r>
      </x:text>
    </x:comment>
    <x:comment ref="G24" authorId="0">
      <x:text>
        <x:r>
          <x:t>Capital Spending. Formula: =G14
Review selected-case observations and Model Guide for definitions and held assumptions.</x:t>
        </x:r>
      </x:text>
    </x:comment>
    <x:comment ref="D25" authorId="0">
      <x:text>
        <x:r>
          <x:t>Capital Spending. Formula: =H9
Review selected-case observations and Model Guide for definitions and held assumptions.</x:t>
        </x:r>
      </x:text>
    </x:comment>
    <x:comment ref="E25" authorId="0">
      <x:text>
        <x:r>
          <x:t>Capital Spending. Formula: =H12
Review selected-case observations and Model Guide for definitions and held assumptions.</x:t>
        </x:r>
      </x:text>
    </x:comment>
    <x:comment ref="F25" authorId="0">
      <x:text>
        <x:r>
          <x:t>Capital Spending. Formula: =H13
Review selected-case observations and Model Guide for definitions and held assumptions.</x:t>
        </x:r>
      </x:text>
    </x:comment>
    <x:comment ref="G25" authorId="0">
      <x:text>
        <x:r>
          <x:t>Capital Spending. Formula: =H14
Review selected-case observations and Model Guide for definitions and held assumptions.</x:t>
        </x:r>
      </x:text>
    </x:comment>
    <x:comment ref="D26" authorId="0">
      <x:text>
        <x:r>
          <x:t>Capital Spending. Formula: =I9
Review selected-case observations and Model Guide for definitions and held assumptions.</x:t>
        </x:r>
      </x:text>
    </x:comment>
    <x:comment ref="E26" authorId="0">
      <x:text>
        <x:r>
          <x:t>Capital Spending. Formula: =I12
Review selected-case observations and Model Guide for definitions and held assumptions.</x:t>
        </x:r>
      </x:text>
    </x:comment>
    <x:comment ref="F26" authorId="0">
      <x:text>
        <x:r>
          <x:t>Capital Spending. Formula: =I13
Review selected-case observations and Model Guide for definitions and held assumptions.</x:t>
        </x:r>
      </x:text>
    </x:comment>
    <x:comment ref="G26" authorId="0">
      <x:text>
        <x:r>
          <x:t>Capital Spending. Formula: =I14
Review selected-case observations and Model Guide for definitions and held assumptions.</x:t>
        </x:r>
      </x:text>
    </x:comment>
    <x:comment ref="C31" authorId="0">
      <x:text>
        <x:r>
          <x:t>Capital Spending. Formula: ="Economic investment is USD "&amp;ROUND(E13/1000,1)&amp;"bn in FY2027 and "&amp;ROUND(I13/1000,1)&amp;"bn in FY2031. "&amp;"Finance lease additions acquire operating assets even when the acquisition is noncash at inception. Capitalizing lease financing requires those assets in unlevered reinvestment and existing finance liabilities in the equity bridge."
Review selected-case observations and Model Guide for definitions and held assumptions.</x:t>
        </x:r>
      </x:text>
    </x:comment>
  </x:commentList>
</x:comments>
</file>

<file path=xl/comments7.xml><?xml version="1.0" encoding="utf-8"?>
<x:comments xmlns:x="http://schemas.openxmlformats.org/spreadsheetml/2006/main">
  <x:authors>
    <x:author>Goran Brkich</x:author>
  </x:authors>
  <x:commentList>
    <x:comment ref="C8" authorId="0">
      <x:text>
        <x:r>
          <x:t>Final explicit revenue</x:t>
        </x:r>
      </x:text>
    </x:comment>
    <x:comment ref="C9" authorId="0">
      <x:text>
        <x:r>
          <x:t>Stable growth</x:t>
        </x:r>
      </x:text>
    </x:comment>
    <x:comment ref="C10" authorId="0">
      <x:text>
        <x:r>
          <x:t>Stable operating margin</x:t>
        </x:r>
      </x:text>
    </x:comment>
    <x:comment ref="C11" authorId="0">
      <x:text>
        <x:r>
          <x:t>Stable tax rate</x:t>
        </x:r>
      </x:text>
    </x:comment>
    <x:comment ref="C12" authorId="0">
      <x:text>
        <x:r>
          <x:t>Stable ROIC</x:t>
        </x:r>
      </x:text>
    </x:comment>
    <x:comment ref="E13" authorId="0">
      <x:text>
        <x:r>
          <x:t>FY2032 normalized NOPAT. Normalized stable revenue times operating margin and one minus tax.
Excel formula: =E8*(1+E9)*E10*(1-E11)</x:t>
        </x:r>
      </x:text>
    </x:comment>
    <x:comment ref="C13" authorId="0">
      <x:text>
        <x:r>
          <x:t>Normalized stable revenue times operating margin and one minus tax.</x:t>
        </x:r>
      </x:text>
    </x:comment>
    <x:comment ref="E14" authorId="0">
      <x:text>
        <x:r>
          <x:t>Required stable reinvestment. Fund stable growth: NOPAT times growth divided by return on invested capital.
Excel formula: =E13*E9/E12</x:t>
        </x:r>
      </x:text>
    </x:comment>
    <x:comment ref="C14" authorId="0">
      <x:text>
        <x:r>
          <x:t>Fund stable growth: NOPAT times growth divided by return on invested capital.</x:t>
        </x:r>
      </x:text>
    </x:comment>
    <x:comment ref="C15" authorId="0">
      <x:text>
        <x:r>
          <x:t>Normalized stable FCFF</x:t>
        </x:r>
      </x:text>
    </x:comment>
    <x:comment ref="C16" authorId="0">
      <x:text>
        <x:r>
          <x:t>Stable reinvestment fraction</x:t>
        </x:r>
      </x:text>
    </x:comment>
    <x:comment ref="C17" authorId="0">
      <x:text>
        <x:r>
          <x:t>WACC less stable growth</x:t>
        </x:r>
      </x:text>
    </x:comment>
    <x:comment ref="C18" authorId="0">
      <x:text>
        <x:r>
          <x:t>Stable FCFF terminal value</x:t>
        </x:r>
      </x:text>
    </x:comment>
    <x:comment ref="E19" authorId="0">
      <x:text>
        <x:r>
          <x:t>Simple final FCFF growth value. Alternative Gordon calculation grows final explicit FCFF without normalizing reinvestment. Compare it with the ROIC-constrained primary method.
Excel formula: ='Forecast'!I24*(1+E9)/E17</x:t>
        </x:r>
      </x:text>
    </x:comment>
    <x:comment ref="C19" authorId="0">
      <x:text>
        <x:r>
          <x:t>Alternative Gordon calculation grows final explicit FCFF without normalizing reinvestment. Compare it with the ROIC-constrained primary method.</x:t>
        </x:r>
      </x:text>
    </x:comment>
    <x:comment ref="C20" authorId="0">
      <x:text>
        <x:r>
          <x:t>Primary implied EV / FY2031 EBITDA</x:t>
        </x:r>
      </x:text>
    </x:comment>
    <x:comment ref="E4" authorId="0">
      <x:text>
        <x:r>
          <x:t>Terminal Value. Formula: =CHOOSE('DCF'!$E$5,"Base","Upside","Downside")
Review selected-case observations and Model Guide for definitions and held assumptions.</x:t>
        </x:r>
      </x:text>
    </x:comment>
    <x:comment ref="E8" authorId="0">
      <x:text>
        <x:r>
          <x:t>Terminal Value. Formula: ='Forecast'!I12
Review selected-case observations and Model Guide for definitions and held assumptions.</x:t>
        </x:r>
      </x:text>
    </x:comment>
    <x:comment ref="E9" authorId="0">
      <x:text>
        <x:r>
          <x:t>Terminal Value. Formula: ='DCF'!E7
Review selected-case observations and Model Guide for definitions and held assumptions.</x:t>
        </x:r>
      </x:text>
    </x:comment>
    <x:comment ref="E10" authorId="0">
      <x:text>
        <x:r>
          <x:t>Terminal Value. Formula: ='Assumptions'!E84
Review selected-case observations and Model Guide for definitions and held assumptions.</x:t>
        </x:r>
      </x:text>
    </x:comment>
    <x:comment ref="E11" authorId="0">
      <x:text>
        <x:r>
          <x:t>Terminal Value. Formula: ='Assumptions'!E15
Review selected-case observations and Model Guide for definitions and held assumptions.</x:t>
        </x:r>
      </x:text>
    </x:comment>
    <x:comment ref="E12" authorId="0">
      <x:text>
        <x:r>
          <x:t>Terminal Value. Formula: ='Assumptions'!E79
Review selected-case observations and Model Guide for definitions and held assumptions.</x:t>
        </x:r>
      </x:text>
    </x:comment>
    <x:comment ref="E15" authorId="0">
      <x:text>
        <x:r>
          <x:t>Terminal Value. Formula: =E13-E14
Review selected-case observations and Model Guide for definitions and held assumptions.</x:t>
        </x:r>
      </x:text>
    </x:comment>
    <x:comment ref="E16" authorId="0">
      <x:text>
        <x:r>
          <x:t>Terminal Value. Formula: =E9/E12
Review selected-case observations and Model Guide for definitions and held assumptions.</x:t>
        </x:r>
      </x:text>
    </x:comment>
    <x:comment ref="E17" authorId="0">
      <x:text>
        <x:r>
          <x:t>Terminal Value. Formula: ='DCF'!E6-E9
Review selected-case observations and Model Guide for definitions and held assumptions.</x:t>
        </x:r>
      </x:text>
    </x:comment>
    <x:comment ref="E18" authorId="0">
      <x:text>
        <x:r>
          <x:t>Terminal Value. Formula: =E15/E17
Review selected-case observations and Model Guide for definitions and held assumptions.</x:t>
        </x:r>
      </x:text>
    </x:comment>
    <x:comment ref="E20" authorId="0">
      <x:text>
        <x:r>
          <x:t>Terminal Value. Formula: =E18/('Forecast'!I15+'Forecast'!I18)
Review selected-case observations and Model Guide for definitions and held assumptions.</x:t>
        </x:r>
      </x:text>
    </x:comment>
    <x:comment ref="C25" authorId="0">
      <x:text>
        <x:r>
          <x:t>Terminal Value. Editable source or analyst input.
Review selected-case observations and Model Guide for definitions and held assumptions.</x:t>
        </x:r>
      </x:text>
    </x:comment>
    <x:comment ref="D25" authorId="0">
      <x:text>
        <x:r>
          <x:t>Terminal Value. Formula: =$E$10*(1-$E$11)*(1-$E$9/C25)
Review selected-case observations and Model Guide for definitions and held assumptions.</x:t>
        </x:r>
      </x:text>
    </x:comment>
    <x:comment ref="E25" authorId="0">
      <x:text>
        <x:r>
          <x:t>Terminal Value. Formula: =('DCF'!$E$18+$E$8*(1+$E$9)*D25/$E$17/'DCF'!$E$20+'Equity Bridge'!$E$17)/'Equity Bridge'!$E$20
Review selected-case observations and Model Guide for definitions and held assumptions.</x:t>
        </x:r>
      </x:text>
    </x:comment>
    <x:comment ref="C26" authorId="0">
      <x:text>
        <x:r>
          <x:t>Terminal Value. Editable source or analyst input.
Review selected-case observations and Model Guide for definitions and held assumptions.</x:t>
        </x:r>
      </x:text>
    </x:comment>
    <x:comment ref="D26" authorId="0">
      <x:text>
        <x:r>
          <x:t>Terminal Value. Formula: =$E$10*(1-$E$11)*(1-$E$9/C26)
Review selected-case observations and Model Guide for definitions and held assumptions.</x:t>
        </x:r>
      </x:text>
    </x:comment>
    <x:comment ref="E26" authorId="0">
      <x:text>
        <x:r>
          <x:t>Terminal Value. Formula: =('DCF'!$E$18+$E$8*(1+$E$9)*D26/$E$17/'DCF'!$E$20+'Equity Bridge'!$E$17)/'Equity Bridge'!$E$20
Review selected-case observations and Model Guide for definitions and held assumptions.</x:t>
        </x:r>
      </x:text>
    </x:comment>
    <x:comment ref="C27" authorId="0">
      <x:text>
        <x:r>
          <x:t>Terminal Value. Editable source or analyst input.
Review selected-case observations and Model Guide for definitions and held assumptions.</x:t>
        </x:r>
      </x:text>
    </x:comment>
    <x:comment ref="D27" authorId="0">
      <x:text>
        <x:r>
          <x:t>Terminal Value. Formula: =$E$10*(1-$E$11)*(1-$E$9/C27)
Review selected-case observations and Model Guide for definitions and held assumptions.</x:t>
        </x:r>
      </x:text>
    </x:comment>
    <x:comment ref="E27" authorId="0">
      <x:text>
        <x:r>
          <x:t>Terminal Value. Formula: =('DCF'!$E$18+$E$8*(1+$E$9)*D27/$E$17/'DCF'!$E$20+'Equity Bridge'!$E$17)/'Equity Bridge'!$E$20
Review selected-case observations and Model Guide for definitions and held assumptions.</x:t>
        </x:r>
      </x:text>
    </x:comment>
    <x:comment ref="C28" authorId="0">
      <x:text>
        <x:r>
          <x:t>Terminal Value. Editable source or analyst input.
Review selected-case observations and Model Guide for definitions and held assumptions.</x:t>
        </x:r>
      </x:text>
    </x:comment>
    <x:comment ref="D28" authorId="0">
      <x:text>
        <x:r>
          <x:t>Terminal Value. Formula: =$E$10*(1-$E$11)*(1-$E$9/C28)
Review selected-case observations and Model Guide for definitions and held assumptions.</x:t>
        </x:r>
      </x:text>
    </x:comment>
    <x:comment ref="E28" authorId="0">
      <x:text>
        <x:r>
          <x:t>Terminal Value. Formula: =('DCF'!$E$18+$E$8*(1+$E$9)*D28/$E$17/'DCF'!$E$20+'Equity Bridge'!$E$17)/'Equity Bridge'!$E$20
Review selected-case observations and Model Guide for definitions and held assumptions.</x:t>
        </x:r>
      </x:text>
    </x:comment>
    <x:comment ref="C29" authorId="0">
      <x:text>
        <x:r>
          <x:t>Terminal Value. Editable source or analyst input.
Review selected-case observations and Model Guide for definitions and held assumptions.</x:t>
        </x:r>
      </x:text>
    </x:comment>
    <x:comment ref="D29" authorId="0">
      <x:text>
        <x:r>
          <x:t>Terminal Value. Formula: =$E$10*(1-$E$11)*(1-$E$9/C29)
Review selected-case observations and Model Guide for definitions and held assumptions.</x:t>
        </x:r>
      </x:text>
    </x:comment>
    <x:comment ref="E29" authorId="0">
      <x:text>
        <x:r>
          <x:t>Terminal Value. Formula: =('DCF'!$E$18+$E$8*(1+$E$9)*D29/$E$17/'DCF'!$E$20+'Equity Bridge'!$E$17)/'Equity Bridge'!$E$20
Review selected-case observations and Model Guide for definitions and held assumptions.</x:t>
        </x:r>
      </x:text>
    </x:comment>
    <x:comment ref="C30" authorId="0">
      <x:text>
        <x:r>
          <x:t>Terminal Value. Editable source or analyst input.
Review selected-case observations and Model Guide for definitions and held assumptions.</x:t>
        </x:r>
      </x:text>
    </x:comment>
    <x:comment ref="D30" authorId="0">
      <x:text>
        <x:r>
          <x:t>Terminal Value. Formula: =$E$10*(1-$E$11)*(1-$E$9/C30)
Review selected-case observations and Model Guide for definitions and held assumptions.</x:t>
        </x:r>
      </x:text>
    </x:comment>
    <x:comment ref="E30" authorId="0">
      <x:text>
        <x:r>
          <x:t>Terminal Value. Formula: =('DCF'!$E$18+$E$8*(1+$E$9)*D30/$E$17/'DCF'!$E$20+'Equity Bridge'!$E$17)/'Equity Bridge'!$E$20
Review selected-case observations and Model Guide for definitions and held assumptions.</x:t>
        </x:r>
      </x:text>
    </x:comment>
    <x:comment ref="C31" authorId="0">
      <x:text>
        <x:r>
          <x:t>Terminal Value. Editable source or analyst input.
Review selected-case observations and Model Guide for definitions and held assumptions.</x:t>
        </x:r>
      </x:text>
    </x:comment>
    <x:comment ref="D31" authorId="0">
      <x:text>
        <x:r>
          <x:t>Terminal Value. Formula: =$E$10*(1-$E$11)*(1-$E$9/C31)
Review selected-case observations and Model Guide for definitions and held assumptions.</x:t>
        </x:r>
      </x:text>
    </x:comment>
    <x:comment ref="E31" authorId="0">
      <x:text>
        <x:r>
          <x:t>Terminal Value. Formula: =('DCF'!$E$18+$E$8*(1+$E$9)*D31/$E$17/'DCF'!$E$20+'Equity Bridge'!$E$17)/'Equity Bridge'!$E$20
Review selected-case observations and Model Guide for definitions and held assumptions.</x:t>
        </x:r>
      </x:text>
    </x:comment>
    <x:comment ref="C32" authorId="0">
      <x:text>
        <x:r>
          <x:t>Terminal Value. Editable source or analyst input.
Review selected-case observations and Model Guide for definitions and held assumptions.</x:t>
        </x:r>
      </x:text>
    </x:comment>
    <x:comment ref="D32" authorId="0">
      <x:text>
        <x:r>
          <x:t>Terminal Value. Formula: =$E$10*(1-$E$11)*(1-$E$9/C32)
Review selected-case observations and Model Guide for definitions and held assumptions.</x:t>
        </x:r>
      </x:text>
    </x:comment>
    <x:comment ref="E32" authorId="0">
      <x:text>
        <x:r>
          <x:t>Terminal Value. Formula: =('DCF'!$E$18+$E$8*(1+$E$9)*D32/$E$17/'DCF'!$E$20+'Equity Bridge'!$E$17)/'Equity Bridge'!$E$20
Review selected-case observations and Model Guide for definitions and held assumptions.</x:t>
        </x:r>
      </x:text>
    </x:comment>
    <x:comment ref="C33" authorId="0">
      <x:text>
        <x:r>
          <x:t>Terminal Value. Editable source or analyst input.
Review selected-case observations and Model Guide for definitions and held assumptions.</x:t>
        </x:r>
      </x:text>
    </x:comment>
    <x:comment ref="D33" authorId="0">
      <x:text>
        <x:r>
          <x:t>Terminal Value. Formula: =$E$10*(1-$E$11)*(1-$E$9/C33)
Review selected-case observations and Model Guide for definitions and held assumptions.</x:t>
        </x:r>
      </x:text>
    </x:comment>
    <x:comment ref="E33" authorId="0">
      <x:text>
        <x:r>
          <x:t>Terminal Value. Formula: =('DCF'!$E$18+$E$8*(1+$E$9)*D33/$E$17/'DCF'!$E$20+'Equity Bridge'!$E$17)/'Equity Bridge'!$E$20
Review selected-case observations and Model Guide for definitions and held assumptions.</x:t>
        </x:r>
      </x:text>
    </x:comment>
    <x:comment ref="C38" authorId="0">
      <x:text>
        <x:r>
          <x:t>Terminal Value. Formula: ="Normalized stable FCFF is USD "&amp;ROUND(E15/1000,1)&amp;"bn after reinvestment of "&amp;ROUND(E16*100,1)&amp;"% of NOPAT. "&amp;"Stable growth needs investment. The primary terminal value uses NOPAT times one minus growth divided by ROIC. Setting positive growth with no required reinvestment would overstate cash available to investors."
Review selected-case observations and Model Guide for definitions and held assumptions.</x:t>
        </x:r>
      </x:text>
    </x:comment>
  </x:commentList>
</x:comments>
</file>

<file path=xl/comments8.xml><?xml version="1.0" encoding="utf-8"?>
<x:comments xmlns:x="http://schemas.openxmlformats.org/spreadsheetml/2006/main">
  <x:authors>
    <x:author>Goran Brkich</x:author>
  </x:authors>
  <x:commentList>
    <x:comment ref="C8" authorId="0">
      <x:text>
        <x:r>
          <x:t>Cash and liquid investments</x:t>
        </x:r>
      </x:text>
    </x:comment>
    <x:comment ref="C9" authorId="0">
      <x:text>
        <x:r>
          <x:t>Operating reserve</x:t>
        </x:r>
      </x:text>
    </x:comment>
    <x:comment ref="C10" authorId="0">
      <x:text>
        <x:r>
          <x:t>Excess liquid assets</x:t>
        </x:r>
      </x:text>
    </x:comment>
    <x:comment ref="C11" authorId="0">
      <x:text>
        <x:r>
          <x:t>Disclosed equity investments</x:t>
        </x:r>
      </x:text>
    </x:comment>
    <x:comment ref="C12" authorId="0">
      <x:text>
        <x:r>
          <x:t>Investment value factor</x:t>
        </x:r>
      </x:text>
    </x:comment>
    <x:comment ref="C13" authorId="0">
      <x:text>
        <x:r>
          <x:t>Investment value proxy</x:t>
        </x:r>
      </x:text>
    </x:comment>
    <x:comment ref="C14" authorId="0">
      <x:text>
        <x:r>
          <x:t>Debt fair value proxy</x:t>
        </x:r>
      </x:text>
    </x:comment>
    <x:comment ref="C15" authorId="0">
      <x:text>
        <x:r>
          <x:t>Finance lease liabilities</x:t>
        </x:r>
      </x:text>
    </x:comment>
    <x:comment ref="C17" authorId="0">
      <x:text>
        <x:r>
          <x:t>Net bridge adjustment</x:t>
        </x:r>
      </x:text>
    </x:comment>
    <x:comment ref="C18" authorId="0">
      <x:text>
        <x:r>
          <x:t>Point shares</x:t>
        </x:r>
      </x:text>
    </x:comment>
    <x:comment ref="C19" authorId="0">
      <x:text>
        <x:r>
          <x:t>Incremental dilution proxy</x:t>
        </x:r>
      </x:text>
    </x:comment>
    <x:comment ref="C20" authorId="0">
      <x:text>
        <x:r>
          <x:t>Valuation share denominator</x:t>
        </x:r>
      </x:text>
    </x:comment>
    <x:comment ref="C21" authorId="0">
      <x:text>
        <x:r>
          <x:t>Observed market equity proxy</x:t>
        </x:r>
      </x:text>
    </x:comment>
    <x:comment ref="C23" authorId="0">
      <x:text>
        <x:r>
          <x:t>Market enterprise value target</x:t>
        </x:r>
      </x:text>
    </x:comment>
    <x:comment ref="C24" authorId="0">
      <x:text>
        <x:r>
          <x:t>Modeled operating enterprise value</x:t>
        </x:r>
      </x:text>
    </x:comment>
    <x:comment ref="C25" authorId="0">
      <x:text>
        <x:r>
          <x:t>Modeled equity value</x:t>
        </x:r>
      </x:text>
    </x:comment>
    <x:comment ref="C26" authorId="0">
      <x:text>
        <x:r>
          <x:t>Per share value</x:t>
        </x:r>
      </x:text>
    </x:comment>
    <x:comment ref="E4" authorId="0">
      <x:text>
        <x:r>
          <x:t>Equity Bridge. Formula: =CHOOSE('DCF'!$E$5,"Base","Upside","Downside")
Review selected-case observations and Model Guide for definitions and held assumptions.</x:t>
        </x:r>
      </x:text>
    </x:comment>
    <x:comment ref="E8" authorId="0">
      <x:text>
        <x:r>
          <x:t>Equity Bridge. Formula: ='Historical Inputs'!N19+'Historical Inputs'!N20
Review selected-case observations and Model Guide for definitions and held assumptions.</x:t>
        </x:r>
      </x:text>
    </x:comment>
    <x:comment ref="E9" authorId="0">
      <x:text>
        <x:r>
          <x:t>Equity Bridge. Formula: ='Assumptions'!E12
Review selected-case observations and Model Guide for definitions and held assumptions.</x:t>
        </x:r>
      </x:text>
    </x:comment>
    <x:comment ref="E10" authorId="0">
      <x:text>
        <x:r>
          <x:t>Equity Bridge. Formula: =MAX(E8-E9,0)
Review selected-case observations and Model Guide for definitions and held assumptions.</x:t>
        </x:r>
      </x:text>
    </x:comment>
    <x:comment ref="E11" authorId="0">
      <x:text>
        <x:r>
          <x:t>Equity Bridge. Formula: ='Historical Inputs'!N21
Review selected-case observations and Model Guide for definitions and held assumptions.</x:t>
        </x:r>
      </x:text>
    </x:comment>
    <x:comment ref="E12" authorId="0">
      <x:text>
        <x:r>
          <x:t>Equity Bridge. Formula: ='Assumptions'!E13
Review selected-case observations and Model Guide for definitions and held assumptions.</x:t>
        </x:r>
      </x:text>
    </x:comment>
    <x:comment ref="E13" authorId="0">
      <x:text>
        <x:r>
          <x:t>Equity Bridge. Formula: =E11*E12
Review selected-case observations and Model Guide for definitions and held assumptions.</x:t>
        </x:r>
      </x:text>
    </x:comment>
    <x:comment ref="E14" authorId="0">
      <x:text>
        <x:r>
          <x:t>Equity Bridge. Formula: ='Market Inputs'!E14
Review selected-case observations and Model Guide for definitions and held assumptions.</x:t>
        </x:r>
      </x:text>
    </x:comment>
    <x:comment ref="E15" authorId="0">
      <x:text>
        <x:r>
          <x:t>Equity Bridge. Formula: ='Historical Inputs'!N35
Review selected-case observations and Model Guide for definitions and held assumptions.</x:t>
        </x:r>
      </x:text>
    </x:comment>
    <x:comment ref="E17" authorId="0">
      <x:text>
        <x:r>
          <x:t>Equity Bridge. Formula: =SUM(E10,E13)-SUM(E14:E15)
Review selected-case observations and Model Guide for definitions and held assumptions.</x:t>
        </x:r>
      </x:text>
    </x:comment>
    <x:comment ref="E18" authorId="0">
      <x:text>
        <x:r>
          <x:t>Equity Bridge. Formula: ='Market Inputs'!E11
Review selected-case observations and Model Guide for definitions and held assumptions.</x:t>
        </x:r>
      </x:text>
    </x:comment>
    <x:comment ref="E19" authorId="0">
      <x:text>
        <x:r>
          <x:t>Equity Bridge. Formula: ='Assumptions'!E11
Review selected-case observations and Model Guide for definitions and held assumptions.</x:t>
        </x:r>
      </x:text>
    </x:comment>
    <x:comment ref="E20" authorId="0">
      <x:text>
        <x:r>
          <x:t>Equity Bridge. Formula: =SUM(E18:E19)
Review selected-case observations and Model Guide for definitions and held assumptions.</x:t>
        </x:r>
      </x:text>
    </x:comment>
    <x:comment ref="E21" authorId="0">
      <x:text>
        <x:r>
          <x:t>Equity Bridge. Formula: =E20*'Market Inputs'!E9
Review selected-case observations and Model Guide for definitions and held assumptions.</x:t>
        </x:r>
      </x:text>
    </x:comment>
    <x:comment ref="E23" authorId="0">
      <x:text>
        <x:r>
          <x:t>Equity Bridge. Formula: =E21-E17
Review selected-case observations and Model Guide for definitions and held assumptions.</x:t>
        </x:r>
      </x:text>
    </x:comment>
    <x:comment ref="E24" authorId="0">
      <x:text>
        <x:r>
          <x:t>Equity Bridge. Formula: ='DCF'!E24
Review selected-case observations and Model Guide for definitions and held assumptions.</x:t>
        </x:r>
      </x:text>
    </x:comment>
    <x:comment ref="E25" authorId="0">
      <x:text>
        <x:r>
          <x:t>Equity Bridge. Formula: =E24+E17
Review selected-case observations and Model Guide for definitions and held assumptions.</x:t>
        </x:r>
      </x:text>
    </x:comment>
    <x:comment ref="E26" authorId="0">
      <x:text>
        <x:r>
          <x:t>Equity Bridge. Formula: =E25/E20
Review selected-case observations and Model Guide for definitions and held assumptions.</x:t>
        </x:r>
      </x:text>
    </x:comment>
    <x:comment ref="D31" authorId="0">
      <x:text>
        <x:r>
          <x:t>Equity Bridge. Formula: =E10
Review selected-case observations and Model Guide for definitions and held assumptions.</x:t>
        </x:r>
      </x:text>
    </x:comment>
    <x:comment ref="D32" authorId="0">
      <x:text>
        <x:r>
          <x:t>Equity Bridge. Formula: =E13
Review selected-case observations and Model Guide for definitions and held assumptions.</x:t>
        </x:r>
      </x:text>
    </x:comment>
    <x:comment ref="D33" authorId="0">
      <x:text>
        <x:r>
          <x:t>Equity Bridge. Formula: =E14
Review selected-case observations and Model Guide for definitions and held assumptions.</x:t>
        </x:r>
      </x:text>
    </x:comment>
    <x:comment ref="D34" authorId="0">
      <x:text>
        <x:r>
          <x:t>Equity Bridge. Formula: =E15
Review selected-case observations and Model Guide for definitions and held assumptions.</x:t>
        </x:r>
      </x:text>
    </x:comment>
    <x:comment ref="C39" authorId="0">
      <x:text>
        <x:r>
          <x:t>Equity Bridge. Formula: ="The net equity bridge is USD "&amp;ROUND(E17,0)&amp;"m; the share denominator is "&amp;ROUND(E20,3)&amp;" million. "&amp;"Enterprise value belongs to all operating capital providers. Excess liquid assets and non-operating investments are added; debt and finance lease claims are deducted before dividing by the valuation share denominator."
Review selected-case observations and Model Guide for definitions and held assumptions.</x:t>
        </x:r>
      </x:text>
    </x:comment>
  </x:commentList>
</x:comments>
</file>

<file path=xl/comments9.xml><?xml version="1.0" encoding="utf-8"?>
<x:comments xmlns:x="http://schemas.openxmlformats.org/spreadsheetml/2006/main">
  <x:authors>
    <x:author>Goran Brkich</x:author>
  </x:authors>
  <x:commentList>
    <x:comment ref="C8" authorId="0">
      <x:text>
        <x:r>
          <x:t>USD risk free rate</x:t>
        </x:r>
      </x:text>
    </x:comment>
    <x:comment ref="C9" authorId="0">
      <x:text>
        <x:r>
          <x:t>Selected beta</x:t>
        </x:r>
      </x:text>
    </x:comment>
    <x:comment ref="C10" authorId="0">
      <x:text>
        <x:r>
          <x:t>Equity risk premium</x:t>
        </x:r>
      </x:text>
    </x:comment>
    <x:comment ref="C11" authorId="0">
      <x:text>
        <x:r>
          <x:t>Cost of equity</x:t>
        </x:r>
      </x:text>
    </x:comment>
    <x:comment ref="C12" authorId="0">
      <x:text>
        <x:r>
          <x:t>Historical synthetic debt spread</x:t>
        </x:r>
      </x:text>
    </x:comment>
    <x:comment ref="C13" authorId="0">
      <x:text>
        <x:r>
          <x:t>Pretax cost of debt</x:t>
        </x:r>
      </x:text>
    </x:comment>
    <x:comment ref="C14" authorId="0">
      <x:text>
        <x:r>
          <x:t>Debt tax shield rate</x:t>
        </x:r>
      </x:text>
    </x:comment>
    <x:comment ref="C15" authorId="0">
      <x:text>
        <x:r>
          <x:t>After tax cost of debt</x:t>
        </x:r>
      </x:text>
    </x:comment>
    <x:comment ref="C16" authorId="0">
      <x:text>
        <x:r>
          <x:t>Market value of point equity</x:t>
        </x:r>
      </x:text>
    </x:comment>
    <x:comment ref="C17" authorId="0">
      <x:text>
        <x:r>
          <x:t>Debt and finance lease proxy</x:t>
        </x:r>
      </x:text>
    </x:comment>
    <x:comment ref="C18" authorId="0">
      <x:text>
        <x:r>
          <x:t>Equity weight</x:t>
        </x:r>
      </x:text>
    </x:comment>
    <x:comment ref="C19" authorId="0">
      <x:text>
        <x:r>
          <x:t>Debt weight</x:t>
        </x:r>
      </x:text>
    </x:comment>
    <x:comment ref="C21" authorId="0">
      <x:text>
        <x:r>
          <x:t>Calculated WACC</x:t>
        </x:r>
      </x:text>
    </x:comment>
    <x:comment ref="C24" authorId="0">
      <x:text>
        <x:r>
          <x:t>Selected WACC</x:t>
        </x:r>
      </x:text>
    </x:comment>
    <x:comment ref="E4" authorId="0">
      <x:text>
        <x:r>
          <x:t>WACC. Formula: =CHOOSE('DCF'!$E$5,"Base","Upside","Downside")
Review selected-case observations and Model Guide for definitions and held assumptions.</x:t>
        </x:r>
      </x:text>
    </x:comment>
    <x:comment ref="E8" authorId="0">
      <x:text>
        <x:r>
          <x:t>WACC. Formula: ='Market Inputs'!E10
Review selected-case observations and Model Guide for definitions and held assumptions.</x:t>
        </x:r>
      </x:text>
    </x:comment>
    <x:comment ref="E9" authorId="0">
      <x:text>
        <x:r>
          <x:t>WACC. Formula: =CHOOSE('Assumptions'!E9,'Beta HC3'!E12,'Beta HC3'!E25,'Assumptions'!E10)
Review selected-case observations and Model Guide for definitions and held assumptions.</x:t>
        </x:r>
      </x:text>
    </x:comment>
    <x:comment ref="E10" authorId="0">
      <x:text>
        <x:r>
          <x:t>WACC. Formula: ='Market Inputs'!E12
Review selected-case observations and Model Guide for definitions and held assumptions.</x:t>
        </x:r>
      </x:text>
    </x:comment>
    <x:comment ref="E11" authorId="0">
      <x:text>
        <x:r>
          <x:t>WACC. Formula: =E8+E9*E10
Review selected-case observations and Model Guide for definitions and held assumptions.</x:t>
        </x:r>
      </x:text>
    </x:comment>
    <x:comment ref="E12" authorId="0">
      <x:text>
        <x:r>
          <x:t>WACC. Formula: ='Market Inputs'!E13
Review selected-case observations and Model Guide for definitions and held assumptions.</x:t>
        </x:r>
      </x:text>
    </x:comment>
    <x:comment ref="E13" authorId="0">
      <x:text>
        <x:r>
          <x:t>WACC. Formula: =E8+E12
Review selected-case observations and Model Guide for definitions and held assumptions.</x:t>
        </x:r>
      </x:text>
    </x:comment>
    <x:comment ref="E14" authorId="0">
      <x:text>
        <x:r>
          <x:t>WACC. Formula: ='Assumptions'!E14
Review selected-case observations and Model Guide for definitions and held assumptions.</x:t>
        </x:r>
      </x:text>
    </x:comment>
    <x:comment ref="E15" authorId="0">
      <x:text>
        <x:r>
          <x:t>WACC. Formula: =E13*(1-E14)
Review selected-case observations and Model Guide for definitions and held assumptions.</x:t>
        </x:r>
      </x:text>
    </x:comment>
    <x:comment ref="E16" authorId="0">
      <x:text>
        <x:r>
          <x:t>WACC. Formula: ='Market Inputs'!E9*'Market Inputs'!E11
Review selected-case observations and Model Guide for definitions and held assumptions.</x:t>
        </x:r>
      </x:text>
    </x:comment>
    <x:comment ref="E17" authorId="0">
      <x:text>
        <x:r>
          <x:t>WACC. Formula: ='Market Inputs'!E14+'Equity Bridge'!E15
Review selected-case observations and Model Guide for definitions and held assumptions.</x:t>
        </x:r>
      </x:text>
    </x:comment>
    <x:comment ref="E18" authorId="0">
      <x:text>
        <x:r>
          <x:t>WACC. Formula: =E16/SUM(E16:E17)
Review selected-case observations and Model Guide for definitions and held assumptions.</x:t>
        </x:r>
      </x:text>
    </x:comment>
    <x:comment ref="E19" authorId="0">
      <x:text>
        <x:r>
          <x:t>WACC. Formula: =1-E18
Review selected-case observations and Model Guide for definitions and held assumptions.</x:t>
        </x:r>
      </x:text>
    </x:comment>
    <x:comment ref="E21" authorId="0">
      <x:text>
        <x:r>
          <x:t>WACC. Formula: =E18*E11+E19*E15
Review selected-case observations and Model Guide for definitions and held assumptions.</x:t>
        </x:r>
      </x:text>
    </x:comment>
    <x:comment ref="E24" authorId="0">
      <x:text>
        <x:r>
          <x:t>WACC. Formula: =IF('Assumptions'!E16="",E21,'Assumptions'!E16)
Review selected-case observations and Model Guide for definitions and held assumptions.</x:t>
        </x:r>
      </x:text>
    </x:comment>
    <x:comment ref="C29" authorId="0">
      <x:text>
        <x:r>
          <x:t>WACC. Formula: =$E$9+(0-4)*0.1
Review selected-case observations and Model Guide for definitions and held assumptions.</x:t>
        </x:r>
      </x:text>
    </x:comment>
    <x:comment ref="D29" authorId="0">
      <x:text>
        <x:r>
          <x:t>WACC. Formula: =$E$18*($E$8+C29*$E$10)+$E$19*$E$15
Review selected-case observations and Model Guide for definitions and held assumptions.</x:t>
        </x:r>
      </x:text>
    </x:comment>
    <x:comment ref="E29" authorId="0">
      <x:text>
        <x:r>
          <x:t>WACC. Formula: =(SUM('DCF'!E11*'DCF'!E12/(1+D29)^'DCF'!E13,'DCF'!F11*'DCF'!F12/(1+D29)^'DCF'!F13,'DCF'!G11*'DCF'!G12/(1+D29)^'DCF'!G13,'DCF'!H11*'DCF'!H12/(1+D29)^'DCF'!H13,'DCF'!I11*'DCF'!I12/(1+D29)^'DCF'!I13)+'Terminal Value'!$E$15/(D29-'DCF'!$E$7)/(1+D29)^'DCF'!$E$19+'Equity Bridge'!$E$17)/'Equity Bridge'!$E$20
Review selected-case observations and Model Guide for definitions and held assumptions.</x:t>
        </x:r>
      </x:text>
    </x:comment>
    <x:comment ref="C30" authorId="0">
      <x:text>
        <x:r>
          <x:t>WACC. Formula: =$E$9+(1-4)*0.1
Review selected-case observations and Model Guide for definitions and held assumptions.</x:t>
        </x:r>
      </x:text>
    </x:comment>
    <x:comment ref="D30" authorId="0">
      <x:text>
        <x:r>
          <x:t>WACC. Formula: =$E$18*($E$8+C30*$E$10)+$E$19*$E$15
Review selected-case observations and Model Guide for definitions and held assumptions.</x:t>
        </x:r>
      </x:text>
    </x:comment>
    <x:comment ref="E30" authorId="0">
      <x:text>
        <x:r>
          <x:t>WACC. Formula: =(SUM('DCF'!E11*'DCF'!E12/(1+D30)^'DCF'!E13,'DCF'!F11*'DCF'!F12/(1+D30)^'DCF'!F13,'DCF'!G11*'DCF'!G12/(1+D30)^'DCF'!G13,'DCF'!H11*'DCF'!H12/(1+D30)^'DCF'!H13,'DCF'!I11*'DCF'!I12/(1+D30)^'DCF'!I13)+'Terminal Value'!$E$15/(D30-'DCF'!$E$7)/(1+D30)^'DCF'!$E$19+'Equity Bridge'!$E$17)/'Equity Bridge'!$E$20
Review selected-case observations and Model Guide for definitions and held assumptions.</x:t>
        </x:r>
      </x:text>
    </x:comment>
    <x:comment ref="C31" authorId="0">
      <x:text>
        <x:r>
          <x:t>WACC. Formula: =$E$9+(2-4)*0.1
Review selected-case observations and Model Guide for definitions and held assumptions.</x:t>
        </x:r>
      </x:text>
    </x:comment>
    <x:comment ref="D31" authorId="0">
      <x:text>
        <x:r>
          <x:t>WACC. Formula: =$E$18*($E$8+C31*$E$10)+$E$19*$E$15
Review selected-case observations and Model Guide for definitions and held assumptions.</x:t>
        </x:r>
      </x:text>
    </x:comment>
    <x:comment ref="E31" authorId="0">
      <x:text>
        <x:r>
          <x:t>WACC. Formula: =(SUM('DCF'!E11*'DCF'!E12/(1+D31)^'DCF'!E13,'DCF'!F11*'DCF'!F12/(1+D31)^'DCF'!F13,'DCF'!G11*'DCF'!G12/(1+D31)^'DCF'!G13,'DCF'!H11*'DCF'!H12/(1+D31)^'DCF'!H13,'DCF'!I11*'DCF'!I12/(1+D31)^'DCF'!I13)+'Terminal Value'!$E$15/(D31-'DCF'!$E$7)/(1+D31)^'DCF'!$E$19+'Equity Bridge'!$E$17)/'Equity Bridge'!$E$20
Review selected-case observations and Model Guide for definitions and held assumptions.</x:t>
        </x:r>
      </x:text>
    </x:comment>
    <x:comment ref="C32" authorId="0">
      <x:text>
        <x:r>
          <x:t>WACC. Formula: =$E$9+(3-4)*0.1
Review selected-case observations and Model Guide for definitions and held assumptions.</x:t>
        </x:r>
      </x:text>
    </x:comment>
    <x:comment ref="D32" authorId="0">
      <x:text>
        <x:r>
          <x:t>WACC. Formula: =$E$18*($E$8+C32*$E$10)+$E$19*$E$15
Review selected-case observations and Model Guide for definitions and held assumptions.</x:t>
        </x:r>
      </x:text>
    </x:comment>
    <x:comment ref="E32" authorId="0">
      <x:text>
        <x:r>
          <x:t>WACC. Formula: =(SUM('DCF'!E11*'DCF'!E12/(1+D32)^'DCF'!E13,'DCF'!F11*'DCF'!F12/(1+D32)^'DCF'!F13,'DCF'!G11*'DCF'!G12/(1+D32)^'DCF'!G13,'DCF'!H11*'DCF'!H12/(1+D32)^'DCF'!H13,'DCF'!I11*'DCF'!I12/(1+D32)^'DCF'!I13)+'Terminal Value'!$E$15/(D32-'DCF'!$E$7)/(1+D32)^'DCF'!$E$19+'Equity Bridge'!$E$17)/'Equity Bridge'!$E$20
Review selected-case observations and Model Guide for definitions and held assumptions.</x:t>
        </x:r>
      </x:text>
    </x:comment>
    <x:comment ref="C33" authorId="0">
      <x:text>
        <x:r>
          <x:t>WACC. Formula: =$E$9+(4-4)*0.1
Review selected-case observations and Model Guide for definitions and held assumptions.</x:t>
        </x:r>
      </x:text>
    </x:comment>
    <x:comment ref="D33" authorId="0">
      <x:text>
        <x:r>
          <x:t>WACC. Formula: =$E$18*($E$8+C33*$E$10)+$E$19*$E$15
Review selected-case observations and Model Guide for definitions and held assumptions.</x:t>
        </x:r>
      </x:text>
    </x:comment>
    <x:comment ref="E33" authorId="0">
      <x:text>
        <x:r>
          <x:t>WACC. Formula: =(SUM('DCF'!E11*'DCF'!E12/(1+D33)^'DCF'!E13,'DCF'!F11*'DCF'!F12/(1+D33)^'DCF'!F13,'DCF'!G11*'DCF'!G12/(1+D33)^'DCF'!G13,'DCF'!H11*'DCF'!H12/(1+D33)^'DCF'!H13,'DCF'!I11*'DCF'!I12/(1+D33)^'DCF'!I13)+'Terminal Value'!$E$15/(D33-'DCF'!$E$7)/(1+D33)^'DCF'!$E$19+'Equity Bridge'!$E$17)/'Equity Bridge'!$E$20
Review selected-case observations and Model Guide for definitions and held assumptions.</x:t>
        </x:r>
      </x:text>
    </x:comment>
    <x:comment ref="C34" authorId="0">
      <x:text>
        <x:r>
          <x:t>WACC. Formula: =$E$9+(5-4)*0.1
Review selected-case observations and Model Guide for definitions and held assumptions.</x:t>
        </x:r>
      </x:text>
    </x:comment>
    <x:comment ref="D34" authorId="0">
      <x:text>
        <x:r>
          <x:t>WACC. Formula: =$E$18*($E$8+C34*$E$10)+$E$19*$E$15
Review selected-case observations and Model Guide for definitions and held assumptions.</x:t>
        </x:r>
      </x:text>
    </x:comment>
    <x:comment ref="E34" authorId="0">
      <x:text>
        <x:r>
          <x:t>WACC. Formula: =(SUM('DCF'!E11*'DCF'!E12/(1+D34)^'DCF'!E13,'DCF'!F11*'DCF'!F12/(1+D34)^'DCF'!F13,'DCF'!G11*'DCF'!G12/(1+D34)^'DCF'!G13,'DCF'!H11*'DCF'!H12/(1+D34)^'DCF'!H13,'DCF'!I11*'DCF'!I12/(1+D34)^'DCF'!I13)+'Terminal Value'!$E$15/(D34-'DCF'!$E$7)/(1+D34)^'DCF'!$E$19+'Equity Bridge'!$E$17)/'Equity Bridge'!$E$20
Review selected-case observations and Model Guide for definitions and held assumptions.</x:t>
        </x:r>
      </x:text>
    </x:comment>
    <x:comment ref="C35" authorId="0">
      <x:text>
        <x:r>
          <x:t>WACC. Formula: =$E$9+(6-4)*0.1
Review selected-case observations and Model Guide for definitions and held assumptions.</x:t>
        </x:r>
      </x:text>
    </x:comment>
    <x:comment ref="D35" authorId="0">
      <x:text>
        <x:r>
          <x:t>WACC. Formula: =$E$18*($E$8+C35*$E$10)+$E$19*$E$15
Review selected-case observations and Model Guide for definitions and held assumptions.</x:t>
        </x:r>
      </x:text>
    </x:comment>
    <x:comment ref="E35" authorId="0">
      <x:text>
        <x:r>
          <x:t>WACC. Formula: =(SUM('DCF'!E11*'DCF'!E12/(1+D35)^'DCF'!E13,'DCF'!F11*'DCF'!F12/(1+D35)^'DCF'!F13,'DCF'!G11*'DCF'!G12/(1+D35)^'DCF'!G13,'DCF'!H11*'DCF'!H12/(1+D35)^'DCF'!H13,'DCF'!I11*'DCF'!I12/(1+D35)^'DCF'!I13)+'Terminal Value'!$E$15/(D35-'DCF'!$E$7)/(1+D35)^'DCF'!$E$19+'Equity Bridge'!$E$17)/'Equity Bridge'!$E$20
Review selected-case observations and Model Guide for definitions and held assumptions.</x:t>
        </x:r>
      </x:text>
    </x:comment>
    <x:comment ref="C36" authorId="0">
      <x:text>
        <x:r>
          <x:t>WACC. Formula: =$E$9+(7-4)*0.1
Review selected-case observations and Model Guide for definitions and held assumptions.</x:t>
        </x:r>
      </x:text>
    </x:comment>
    <x:comment ref="D36" authorId="0">
      <x:text>
        <x:r>
          <x:t>WACC. Formula: =$E$18*($E$8+C36*$E$10)+$E$19*$E$15
Review selected-case observations and Model Guide for definitions and held assumptions.</x:t>
        </x:r>
      </x:text>
    </x:comment>
    <x:comment ref="E36" authorId="0">
      <x:text>
        <x:r>
          <x:t>WACC. Formula: =(SUM('DCF'!E11*'DCF'!E12/(1+D36)^'DCF'!E13,'DCF'!F11*'DCF'!F12/(1+D36)^'DCF'!F13,'DCF'!G11*'DCF'!G12/(1+D36)^'DCF'!G13,'DCF'!H11*'DCF'!H12/(1+D36)^'DCF'!H13,'DCF'!I11*'DCF'!I12/(1+D36)^'DCF'!I13)+'Terminal Value'!$E$15/(D36-'DCF'!$E$7)/(1+D36)^'DCF'!$E$19+'Equity Bridge'!$E$17)/'Equity Bridge'!$E$20
Review selected-case observations and Model Guide for definitions and held assumptions.</x:t>
        </x:r>
      </x:text>
    </x:comment>
    <x:comment ref="C37" authorId="0">
      <x:text>
        <x:r>
          <x:t>WACC. Formula: =$E$9+(8-4)*0.1
Review selected-case observations and Model Guide for definitions and held assumptions.</x:t>
        </x:r>
      </x:text>
    </x:comment>
    <x:comment ref="D37" authorId="0">
      <x:text>
        <x:r>
          <x:t>WACC. Formula: =$E$18*($E$8+C37*$E$10)+$E$19*$E$15
Review selected-case observations and Model Guide for definitions and held assumptions.</x:t>
        </x:r>
      </x:text>
    </x:comment>
    <x:comment ref="E37" authorId="0">
      <x:text>
        <x:r>
          <x:t>WACC. Formula: =(SUM('DCF'!E11*'DCF'!E12/(1+D37)^'DCF'!E13,'DCF'!F11*'DCF'!F12/(1+D37)^'DCF'!F13,'DCF'!G11*'DCF'!G12/(1+D37)^'DCF'!G13,'DCF'!H11*'DCF'!H12/(1+D37)^'DCF'!H13,'DCF'!I11*'DCF'!I12/(1+D37)^'DCF'!I13)+'Terminal Value'!$E$15/(D37-'DCF'!$E$7)/(1+D37)^'DCF'!$E$19+'Equity Bridge'!$E$17)/'Equity Bridge'!$E$20
Review selected-case observations and Model Guide for definitions and held assumptions.</x:t>
        </x:r>
      </x:text>
    </x:comment>
    <x:comment ref="C42" authorId="0">
      <x:text>
        <x:r>
          <x:t>WACC. Formula: ="Selected WACC is "&amp;ROUND(E24*100,2)&amp;"% using beta "&amp;ROUND(E9,3)&amp;". "&amp;"The primary discount rate uses the 8 October Treasury yield, month-start ERP and a five-year daily OLS beta. Market capitalization uses point shares; the valuation share denominator separately includes the dilution proxy."
Review selected-case observations and Model Guide for definitions and held assumptions.</x:t>
        </x:r>
      </x:text>
    </x:comment>
  </x:commentList>
</x:comments>
</file>

<file path=xl/comments10.xml><?xml version="1.0" encoding="utf-8"?>
<x:comments xmlns:x="http://schemas.openxmlformats.org/spreadsheetml/2006/main">
  <x:authors>
    <x:author>Goran Brkich</x:author>
  </x:authors>
  <x:commentList>
    <x:comment ref="E8" authorId="0">
      <x:text>
        <x:r>
          <x:t>Daily return observations. Five-year daily MSFT versus SPY market model with an intercept. HC3 uses residual squared divided by one minus leverage squared; it does not correct serial correlation.
Excel formula: =COUNT('Market Data'!I10:I1264)</x:t>
        </x:r>
      </x:text>
    </x:comment>
    <x:comment ref="C8" authorId="0">
      <x:text>
        <x:r>
          <x:t>Five-year daily MSFT versus SPY market model with an intercept. HC3 uses residual squared divided by one minus leverage squared; it does not correct serial correlation.</x:t>
        </x:r>
      </x:text>
    </x:comment>
    <x:comment ref="E9" authorId="0">
      <x:text>
        <x:r>
          <x:t>Mean market return. Five-year daily MSFT versus SPY market model with an intercept. HC3 uses residual squared divided by one minus leverage squared; it does not correct serial correlation.
Excel formula: =AVERAGE('Market Data'!I10:I1264)</x:t>
        </x:r>
      </x:text>
    </x:comment>
    <x:comment ref="C9" authorId="0">
      <x:text>
        <x:r>
          <x:t>Five-year daily MSFT versus SPY market model with an intercept. HC3 uses residual squared divided by one minus leverage squared; it does not correct serial correlation.</x:t>
        </x:r>
      </x:text>
    </x:comment>
    <x:comment ref="E10" authorId="0">
      <x:text>
        <x:r>
          <x:t>Mean MSFT return. Five-year daily MSFT versus SPY market model with an intercept. HC3 uses residual squared divided by one minus leverage squared; it does not correct serial correlation.
Excel formula: =AVERAGE('Market Data'!H10:H1264)</x:t>
        </x:r>
      </x:text>
    </x:comment>
    <x:comment ref="C10" authorId="0">
      <x:text>
        <x:r>
          <x:t>Five-year daily MSFT versus SPY market model with an intercept. HC3 uses residual squared divided by one minus leverage squared; it does not correct serial correlation.</x:t>
        </x:r>
      </x:text>
    </x:comment>
    <x:comment ref="E11" authorId="0">
      <x:text>
        <x:r>
          <x:t>Centered market sum of squares. Five-year daily MSFT versus SPY market model with an intercept. HC3 uses residual squared divided by one minus leverage squared; it does not correct serial correlation.
Excel formula: =SUMSQ('Market Data'!I10:I1264)-SUM('Market Data'!I10:I1264)^2/E8</x:t>
        </x:r>
      </x:text>
    </x:comment>
    <x:comment ref="C11" authorId="0">
      <x:text>
        <x:r>
          <x:t>Five-year daily MSFT versus SPY market model with an intercept. HC3 uses residual squared divided by one minus leverage squared; it does not correct serial correlation.</x:t>
        </x:r>
      </x:text>
    </x:comment>
    <x:comment ref="E12" authorId="0">
      <x:text>
        <x:r>
          <x:t>OLS market beta. Five-year daily MSFT versus SPY market model with an intercept. HC3 uses residual squared divided by one minus leverage squared; it does not correct serial correlation.
Excel formula: =(SUMPRODUCT('Market Data'!H10:H1264,'Market Data'!I10:I1264)-SUM('Market Data'!H10:H1264)*SUM('Market Data'!I10:I1264)/E8)/E11</x:t>
        </x:r>
      </x:text>
    </x:comment>
    <x:comment ref="C12" authorId="0">
      <x:text>
        <x:r>
          <x:t>Five-year daily MSFT versus SPY market model with an intercept. HC3 uses residual squared divided by one minus leverage squared; it does not correct serial correlation.</x:t>
        </x:r>
      </x:text>
    </x:comment>
    <x:comment ref="E13" authorId="0">
      <x:text>
        <x:r>
          <x:t>Daily market-model alpha. Five-year daily MSFT versus SPY market model with an intercept. HC3 uses residual squared divided by one minus leverage squared; it does not correct serial correlation.
Excel formula: =E10-E12*E9</x:t>
        </x:r>
      </x:text>
    </x:comment>
    <x:comment ref="C13" authorId="0">
      <x:text>
        <x:r>
          <x:t>Five-year daily MSFT versus SPY market model with an intercept. HC3 uses residual squared divided by one minus leverage squared; it does not correct serial correlation.</x:t>
        </x:r>
      </x:text>
    </x:comment>
    <x:comment ref="E14" authorId="0">
      <x:text>
        <x:r>
          <x:t>Residual sum of squares. Five-year daily MSFT versus SPY market model with an intercept. HC3 uses residual squared divided by one minus leverage squared; it does not correct serial correlation.
Excel formula: =SUMSQ('Market Data'!K10:K1264)</x:t>
        </x:r>
      </x:text>
    </x:comment>
    <x:comment ref="C14" authorId="0">
      <x:text>
        <x:r>
          <x:t>Five-year daily MSFT versus SPY market model with an intercept. HC3 uses residual squared divided by one minus leverage squared; it does not correct serial correlation.</x:t>
        </x:r>
      </x:text>
    </x:comment>
    <x:comment ref="E15" authorId="0">
      <x:text>
        <x:r>
          <x:t>Return total sum of squares. Five-year daily MSFT versus SPY market model with an intercept. HC3 uses residual squared divided by one minus leverage squared; it does not correct serial correlation.
Excel formula: =SUMSQ('Market Data'!H10:H1264)-SUM('Market Data'!H10:H1264)^2/E8</x:t>
        </x:r>
      </x:text>
    </x:comment>
    <x:comment ref="C15" authorId="0">
      <x:text>
        <x:r>
          <x:t>Five-year daily MSFT versus SPY market model with an intercept. HC3 uses residual squared divided by one minus leverage squared; it does not correct serial correlation.</x:t>
        </x:r>
      </x:text>
    </x:comment>
    <x:comment ref="E16" authorId="0">
      <x:text>
        <x:r>
          <x:t>R squared. Five-year daily MSFT versus SPY market model with an intercept. HC3 uses residual squared divided by one minus leverage squared; it does not correct serial correlation.
Excel formula: =1-E14/E15</x:t>
        </x:r>
      </x:text>
    </x:comment>
    <x:comment ref="C16" authorId="0">
      <x:text>
        <x:r>
          <x:t>Five-year daily MSFT versus SPY market model with an intercept. HC3 uses residual squared divided by one minus leverage squared; it does not correct serial correlation.</x:t>
        </x:r>
      </x:text>
    </x:comment>
    <x:comment ref="E17" authorId="0">
      <x:text>
        <x:r>
          <x:t>Degrees of freedom. Five-year daily MSFT versus SPY market model with an intercept. HC3 uses residual squared divided by one minus leverage squared; it does not correct serial correlation.
Excel formula: =E8-2</x:t>
        </x:r>
      </x:text>
    </x:comment>
    <x:comment ref="C17" authorId="0">
      <x:text>
        <x:r>
          <x:t>Five-year daily MSFT versus SPY market model with an intercept. HC3 uses residual squared divided by one minus leverage squared; it does not correct serial correlation.</x:t>
        </x:r>
      </x:text>
    </x:comment>
    <x:comment ref="E18" authorId="0">
      <x:text>
        <x:r>
          <x:t>Conventional beta standard error. Five-year daily MSFT versus SPY market model with an intercept. HC3 uses residual squared divided by one minus leverage squared; it does not correct serial correlation.
Excel formula: =SQRT(E14/E17/E11)</x:t>
        </x:r>
      </x:text>
    </x:comment>
    <x:comment ref="C18" authorId="0">
      <x:text>
        <x:r>
          <x:t>Five-year daily MSFT versus SPY market model with an intercept. HC3 uses residual squared divided by one minus leverage squared; it does not correct serial correlation.</x:t>
        </x:r>
      </x:text>
    </x:comment>
    <x:comment ref="E19" authorId="0">
      <x:text>
        <x:r>
          <x:t>HC3 beta standard error. Five-year daily MSFT versus SPY market model with an intercept. HC3 uses residual squared divided by one minus leverage squared; it does not correct serial correlation.
Excel formula: =SQRT(SUM('Market Data'!O10:O1264))</x:t>
        </x:r>
      </x:text>
    </x:comment>
    <x:comment ref="C19" authorId="0">
      <x:text>
        <x:r>
          <x:t>Five-year daily MSFT versus SPY market model with an intercept. HC3 uses residual squared divided by one minus leverage squared; it does not correct serial correlation.</x:t>
        </x:r>
      </x:text>
    </x:comment>
    <x:comment ref="E20" authorId="0">
      <x:text>
        <x:r>
          <x:t>HC3 alpha standard error. Five-year daily MSFT versus SPY market model with an intercept. HC3 uses residual squared divided by one minus leverage squared; it does not correct serial correlation.
Excel formula: =SQRT(SUM('Market Data'!P10:P1264))</x:t>
        </x:r>
      </x:text>
    </x:comment>
    <x:comment ref="C20" authorId="0">
      <x:text>
        <x:r>
          <x:t>Five-year daily MSFT versus SPY market model with an intercept. HC3 uses residual squared divided by one minus leverage squared; it does not correct serial correlation.</x:t>
        </x:r>
      </x:text>
    </x:comment>
    <x:comment ref="E21" authorId="0">
      <x:text>
        <x:r>
          <x:t>HC3 alpha beta covariance. Five-year daily MSFT versus SPY market model with an intercept. HC3 uses residual squared divided by one minus leverage squared; it does not correct serial correlation.
Excel formula: =SUM('Market Data'!Q10:Q1264)</x:t>
        </x:r>
      </x:text>
    </x:comment>
    <x:comment ref="C21" authorId="0">
      <x:text>
        <x:r>
          <x:t>Five-year daily MSFT versus SPY market model with an intercept. HC3 uses residual squared divided by one minus leverage squared; it does not correct serial correlation.</x:t>
        </x:r>
      </x:text>
    </x:comment>
    <x:comment ref="E22" authorId="0">
      <x:text>
        <x:r>
          <x:t>95 percent Student t critical. Five-year daily MSFT versus SPY market model with an intercept. HC3 uses residual squared divided by one minus leverage squared; it does not correct serial correlation.
Excel formula: =TINV(0.05,E17)</x:t>
        </x:r>
      </x:text>
    </x:comment>
    <x:comment ref="C22" authorId="0">
      <x:text>
        <x:r>
          <x:t>Five-year daily MSFT versus SPY market model with an intercept. HC3 uses residual squared divided by one minus leverage squared; it does not correct serial correlation.</x:t>
        </x:r>
      </x:text>
    </x:comment>
    <x:comment ref="E23" authorId="0">
      <x:text>
        <x:r>
          <x:t>HC3 beta lower confidence limit. Five-year daily MSFT versus SPY market model with an intercept. HC3 uses residual squared divided by one minus leverage squared; it does not correct serial correlation.
Excel formula: =E12-E22*E19</x:t>
        </x:r>
      </x:text>
    </x:comment>
    <x:comment ref="C23" authorId="0">
      <x:text>
        <x:r>
          <x:t>Five-year daily MSFT versus SPY market model with an intercept. HC3 uses residual squared divided by one minus leverage squared; it does not correct serial correlation.</x:t>
        </x:r>
      </x:text>
    </x:comment>
    <x:comment ref="E24" authorId="0">
      <x:text>
        <x:r>
          <x:t>HC3 beta upper confidence limit. Five-year daily MSFT versus SPY market model with an intercept. HC3 uses residual squared divided by one minus leverage squared; it does not correct serial correlation.
Excel formula: =E12+E22*E19</x:t>
        </x:r>
      </x:text>
    </x:comment>
    <x:comment ref="C24" authorId="0">
      <x:text>
        <x:r>
          <x:t>Five-year daily MSFT versus SPY market model with an intercept. HC3 uses residual squared divided by one minus leverage squared; it does not correct serial correlation.</x:t>
        </x:r>
      </x:text>
    </x:comment>
    <x:comment ref="E25" authorId="0">
      <x:text>
        <x:r>
          <x:t>Blume adjusted beta. Five-year daily MSFT versus SPY market model with an intercept. HC3 uses residual squared divided by one minus leverage squared; it does not correct serial correlation.
Excel formula: =2/3*E12+1/3</x:t>
        </x:r>
      </x:text>
    </x:comment>
    <x:comment ref="C25" authorId="0">
      <x:text>
        <x:r>
          <x:t>Five-year daily MSFT versus SPY market model with an intercept. HC3 uses residual squared divided by one minus leverage squared; it does not correct serial correlation.</x:t>
        </x:r>
      </x:text>
    </x:comment>
    <x:comment ref="E26" authorId="0">
      <x:text>
        <x:r>
          <x:t>Durbin Watson residual diagnostic. Five-year daily MSFT versus SPY market model with an intercept. HC3 uses residual squared divided by one minus leverage squared; it does not correct serial correlation.
Excel formula: =SUM('Market Data'!S11:S1264)/E14</x:t>
        </x:r>
      </x:text>
    </x:comment>
    <x:comment ref="C26" authorId="0">
      <x:text>
        <x:r>
          <x:t>Five-year daily MSFT versus SPY market model with an intercept. HC3 uses residual squared divided by one minus leverage squared; it does not correct serial correlation.</x:t>
        </x:r>
      </x:text>
    </x:comment>
    <x:comment ref="E27" authorId="0">
      <x:text>
        <x:r>
          <x:t>Two year daily OLS beta. Five-year daily MSFT versus SPY market model with an intercept. HC3 uses residual squared divided by one minus leverage squared; it does not correct serial correlation.
Excel formula: =SLOPE('Market Data'!H761:H1264,'Market Data'!I761:I1264)</x:t>
        </x:r>
      </x:text>
    </x:comment>
    <x:comment ref="C27" authorId="0">
      <x:text>
        <x:r>
          <x:t>Five-year daily MSFT versus SPY market model with an intercept. HC3 uses residual squared divided by one minus leverage squared; it does not correct serial correlation.</x:t>
        </x:r>
      </x:text>
    </x:comment>
    <x:comment ref="E29" authorId="0">
      <x:text>
        <x:r>
          <x:t>Newey West lag 5 beta error. Bartlett lag-five sandwich estimate with degrees of freedom adjustment. Checks sensitivity to heteroskedasticity and short serial dependence.
Excel formula: =SQRT((SUMSQ('Market Data'!R10:R1264)+2*SUMPRODUCT(H32:H36,I32:I36))*E8/E17)</x:t>
        </x:r>
      </x:text>
    </x:comment>
    <x:comment ref="C29" authorId="0">
      <x:text>
        <x:r>
          <x:t>Bartlett lag-five sandwich estimate with degrees of freedom adjustment. Checks sensitivity to heteroskedasticity and short serial dependence.</x:t>
        </x:r>
      </x:text>
    </x:comment>
    <x:comment ref="E4" authorId="0">
      <x:text>
        <x:r>
          <x:t>Beta HC3. Formula: =CHOOSE('DCF'!$E$5,"Base","Upside","Downside")
Review selected-case observations and Model Guide for definitions and held assumptions.</x:t>
        </x:r>
      </x:text>
    </x:comment>
    <x:comment ref="G32" authorId="0">
      <x:text>
        <x:r>
          <x:t>Beta HC3. Editable source or analyst input.
Review selected-case observations and Model Guide for definitions and held assumptions.</x:t>
        </x:r>
      </x:text>
    </x:comment>
    <x:comment ref="H32" authorId="0">
      <x:text>
        <x:r>
          <x:t>Beta HC3. Formula: =1-G32/6
Review selected-case observations and Model Guide for definitions and held assumptions.</x:t>
        </x:r>
      </x:text>
    </x:comment>
    <x:comment ref="I32" authorId="0">
      <x:text>
        <x:r>
          <x:t>Beta HC3. Formula: =SUMPRODUCT('Market Data'!R11:R1264,'Market Data'!R10:R1263)
Review selected-case observations and Model Guide for definitions and held assumptions.</x:t>
        </x:r>
      </x:text>
    </x:comment>
    <x:comment ref="G33" authorId="0">
      <x:text>
        <x:r>
          <x:t>Beta HC3. Editable source or analyst input.
Review selected-case observations and Model Guide for definitions and held assumptions.</x:t>
        </x:r>
      </x:text>
    </x:comment>
    <x:comment ref="H33" authorId="0">
      <x:text>
        <x:r>
          <x:t>Beta HC3. Formula: =1-G33/6
Review selected-case observations and Model Guide for definitions and held assumptions.</x:t>
        </x:r>
      </x:text>
    </x:comment>
    <x:comment ref="I33" authorId="0">
      <x:text>
        <x:r>
          <x:t>Beta HC3. Formula: =SUMPRODUCT('Market Data'!R12:R1264,'Market Data'!R10:R1262)
Review selected-case observations and Model Guide for definitions and held assumptions.</x:t>
        </x:r>
      </x:text>
    </x:comment>
    <x:comment ref="G34" authorId="0">
      <x:text>
        <x:r>
          <x:t>Beta HC3. Editable source or analyst input.
Review selected-case observations and Model Guide for definitions and held assumptions.</x:t>
        </x:r>
      </x:text>
    </x:comment>
    <x:comment ref="H34" authorId="0">
      <x:text>
        <x:r>
          <x:t>Beta HC3. Formula: =1-G34/6
Review selected-case observations and Model Guide for definitions and held assumptions.</x:t>
        </x:r>
      </x:text>
    </x:comment>
    <x:comment ref="I34" authorId="0">
      <x:text>
        <x:r>
          <x:t>Beta HC3. Formula: =SUMPRODUCT('Market Data'!R13:R1264,'Market Data'!R10:R1261)
Review selected-case observations and Model Guide for definitions and held assumptions.</x:t>
        </x:r>
      </x:text>
    </x:comment>
    <x:comment ref="G35" authorId="0">
      <x:text>
        <x:r>
          <x:t>Beta HC3. Editable source or analyst input.
Review selected-case observations and Model Guide for definitions and held assumptions.</x:t>
        </x:r>
      </x:text>
    </x:comment>
    <x:comment ref="H35" authorId="0">
      <x:text>
        <x:r>
          <x:t>Beta HC3. Formula: =1-G35/6
Review selected-case observations and Model Guide for definitions and held assumptions.</x:t>
        </x:r>
      </x:text>
    </x:comment>
    <x:comment ref="I35" authorId="0">
      <x:text>
        <x:r>
          <x:t>Beta HC3. Formula: =SUMPRODUCT('Market Data'!R14:R1264,'Market Data'!R10:R1260)
Review selected-case observations and Model Guide for definitions and held assumptions.</x:t>
        </x:r>
      </x:text>
    </x:comment>
    <x:comment ref="G36" authorId="0">
      <x:text>
        <x:r>
          <x:t>Beta HC3. Editable source or analyst input.
Review selected-case observations and Model Guide for definitions and held assumptions.</x:t>
        </x:r>
      </x:text>
    </x:comment>
    <x:comment ref="H36" authorId="0">
      <x:text>
        <x:r>
          <x:t>Beta HC3. Formula: =1-G36/6
Review selected-case observations and Model Guide for definitions and held assumptions.</x:t>
        </x:r>
      </x:text>
    </x:comment>
    <x:comment ref="I36" authorId="0">
      <x:text>
        <x:r>
          <x:t>Beta HC3. Formula: =SUMPRODUCT('Market Data'!R15:R1264,'Market Data'!R10:R1259)
Review selected-case observations and Model Guide for definitions and held assumptions.</x:t>
        </x:r>
      </x:text>
    </x:comment>
    <x:comment ref="D40" authorId="0">
      <x:text>
        <x:r>
          <x:t>Beta HC3. Formula: =E12
Review selected-case observations and Model Guide for definitions and held assumptions.</x:t>
        </x:r>
      </x:text>
    </x:comment>
    <x:comment ref="D41" authorId="0">
      <x:text>
        <x:r>
          <x:t>Beta HC3. Formula: =E25
Review selected-case observations and Model Guide for definitions and held assumptions.</x:t>
        </x:r>
      </x:text>
    </x:comment>
    <x:comment ref="D42" authorId="0">
      <x:text>
        <x:r>
          <x:t>Beta HC3. Formula: =E27
Review selected-case observations and Model Guide for definitions and held assumptions.</x:t>
        </x:r>
      </x:text>
    </x:comment>
    <x:comment ref="D47" authorId="0">
      <x:text>
        <x:r>
          <x:t>Beta HC3. Formula: =E18
Review selected-case observations and Model Guide for definitions and held assumptions.</x:t>
        </x:r>
      </x:text>
    </x:comment>
    <x:comment ref="D48" authorId="0">
      <x:text>
        <x:r>
          <x:t>Beta HC3. Formula: =E19
Review selected-case observations and Model Guide for definitions and held assumptions.</x:t>
        </x:r>
      </x:text>
    </x:comment>
    <x:comment ref="D49" authorId="0">
      <x:text>
        <x:r>
          <x:t>Beta HC3. Formula: =E29
Review selected-case observations and Model Guide for definitions and held assumptions.</x:t>
        </x:r>
      </x:text>
    </x:comment>
    <x:comment ref="C54" authorId="0">
      <x:text>
        <x:r>
          <x:t>Beta HC3. Formula: ="OLS beta "&amp;ROUND(E12,4)&amp;" has HC3 standard error "&amp;ROUND(E19,4)&amp;" and confidence limits "&amp;ROUND(E23,3)&amp;" to "&amp;ROUND(E24,3)&amp;". "&amp;"The estimation window contains returns from 8 October 2021 through 8 October 2026. MSFT and SPY dividend-adjusted prices are joined by date. SPY is a traded S&amp;P 500 proxy, not the entire global investable market."
Review selected-case observations and Model Guide for definitions and held assumptions.</x:t>
        </x:r>
      </x:text>
    </x:comment>
  </x:commentList>
</x:comments>
</file>

<file path=xl/comments11.xml><?xml version="1.0" encoding="utf-8"?>
<x:comments xmlns:x="http://schemas.openxmlformats.org/spreadsheetml/2006/main">
  <x:authors>
    <x:author>Goran Brkich</x:author>
  </x:authors>
  <x:commentList>
    <x:comment ref="E4" authorId="0">
      <x:text>
        <x:r>
          <x:t>Sensitivity. Formula: =CHOOSE('DCF'!$E$5,"Base","Upside","Downside")
Review selected-case observations and Model Guide for definitions and held assumptions.</x:t>
        </x:r>
      </x:text>
    </x:comment>
    <x:comment ref="E10" authorId="0">
      <x:text>
        <x:r>
          <x:t>Sensitivity. Formula: ='DCF'!E40
Review selected-case observations and Model Guide for definitions and held assumptions.</x:t>
        </x:r>
      </x:text>
    </x:comment>
    <x:comment ref="F10" authorId="0">
      <x:text>
        <x:r>
          <x:t>Sensitivity. Formula: ='DCF'!F40
Review selected-case observations and Model Guide for definitions and held assumptions.</x:t>
        </x:r>
      </x:text>
    </x:comment>
    <x:comment ref="G10" authorId="0">
      <x:text>
        <x:r>
          <x:t>Sensitivity. Formula: ='DCF'!G40
Review selected-case observations and Model Guide for definitions and held assumptions.</x:t>
        </x:r>
      </x:text>
    </x:comment>
    <x:comment ref="H10" authorId="0">
      <x:text>
        <x:r>
          <x:t>Sensitivity. Formula: ='DCF'!H40
Review selected-case observations and Model Guide for definitions and held assumptions.</x:t>
        </x:r>
      </x:text>
    </x:comment>
    <x:comment ref="I10" authorId="0">
      <x:text>
        <x:r>
          <x:t>Sensitivity. Formula: ='DCF'!I40
Review selected-case observations and Model Guide for definitions and held assumptions.</x:t>
        </x:r>
      </x:text>
    </x:comment>
    <x:comment ref="J10" authorId="0">
      <x:text>
        <x:r>
          <x:t>Sensitivity. Formula: ='DCF'!J40
Review selected-case observations and Model Guide for definitions and held assumptions.</x:t>
        </x:r>
      </x:text>
    </x:comment>
    <x:comment ref="K10" authorId="0">
      <x:text>
        <x:r>
          <x:t>Sensitivity. Formula: ='DCF'!K40
Review selected-case observations and Model Guide for definitions and held assumptions.</x:t>
        </x:r>
      </x:text>
    </x:comment>
    <x:comment ref="L10" authorId="0">
      <x:text>
        <x:r>
          <x:t>Sensitivity. Formula: ='DCF'!L40
Review selected-case observations and Model Guide for definitions and held assumptions.</x:t>
        </x:r>
      </x:text>
    </x:comment>
    <x:comment ref="E11" authorId="0">
      <x:text>
        <x:r>
          <x:t>Sensitivity. Formula: ='DCF'!E41
Review selected-case observations and Model Guide for definitions and held assumptions.</x:t>
        </x:r>
      </x:text>
    </x:comment>
    <x:comment ref="F11" authorId="0">
      <x:text>
        <x:r>
          <x:t>Sensitivity. Formula: ='DCF'!F41
Review selected-case observations and Model Guide for definitions and held assumptions.</x:t>
        </x:r>
      </x:text>
    </x:comment>
    <x:comment ref="G11" authorId="0">
      <x:text>
        <x:r>
          <x:t>Sensitivity. Formula: ='DCF'!G41
Review selected-case observations and Model Guide for definitions and held assumptions.</x:t>
        </x:r>
      </x:text>
    </x:comment>
    <x:comment ref="H11" authorId="0">
      <x:text>
        <x:r>
          <x:t>Sensitivity. Formula: ='DCF'!H41
Review selected-case observations and Model Guide for definitions and held assumptions.</x:t>
        </x:r>
      </x:text>
    </x:comment>
    <x:comment ref="I11" authorId="0">
      <x:text>
        <x:r>
          <x:t>Sensitivity. Formula: ='DCF'!I41
Review selected-case observations and Model Guide for definitions and held assumptions.</x:t>
        </x:r>
      </x:text>
    </x:comment>
    <x:comment ref="J11" authorId="0">
      <x:text>
        <x:r>
          <x:t>Sensitivity. Formula: ='DCF'!J41
Review selected-case observations and Model Guide for definitions and held assumptions.</x:t>
        </x:r>
      </x:text>
    </x:comment>
    <x:comment ref="K11" authorId="0">
      <x:text>
        <x:r>
          <x:t>Sensitivity. Formula: ='DCF'!K41
Review selected-case observations and Model Guide for definitions and held assumptions.</x:t>
        </x:r>
      </x:text>
    </x:comment>
    <x:comment ref="L11" authorId="0">
      <x:text>
        <x:r>
          <x:t>Sensitivity. Formula: ='DCF'!L41
Review selected-case observations and Model Guide for definitions and held assumptions.</x:t>
        </x:r>
      </x:text>
    </x:comment>
    <x:comment ref="E12" authorId="0">
      <x:text>
        <x:r>
          <x:t>Sensitivity. Formula: ='DCF'!E42
Review selected-case observations and Model Guide for definitions and held assumptions.</x:t>
        </x:r>
      </x:text>
    </x:comment>
    <x:comment ref="F12" authorId="0">
      <x:text>
        <x:r>
          <x:t>Sensitivity. Formula: ='DCF'!F42
Review selected-case observations and Model Guide for definitions and held assumptions.</x:t>
        </x:r>
      </x:text>
    </x:comment>
    <x:comment ref="G12" authorId="0">
      <x:text>
        <x:r>
          <x:t>Sensitivity. Formula: ='DCF'!G42
Review selected-case observations and Model Guide for definitions and held assumptions.</x:t>
        </x:r>
      </x:text>
    </x:comment>
    <x:comment ref="H12" authorId="0">
      <x:text>
        <x:r>
          <x:t>Sensitivity. Formula: ='DCF'!H42
Review selected-case observations and Model Guide for definitions and held assumptions.</x:t>
        </x:r>
      </x:text>
    </x:comment>
    <x:comment ref="I12" authorId="0">
      <x:text>
        <x:r>
          <x:t>Sensitivity. Formula: ='DCF'!I42
Review selected-case observations and Model Guide for definitions and held assumptions.</x:t>
        </x:r>
      </x:text>
    </x:comment>
    <x:comment ref="J12" authorId="0">
      <x:text>
        <x:r>
          <x:t>Sensitivity. Formula: ='DCF'!J42
Review selected-case observations and Model Guide for definitions and held assumptions.</x:t>
        </x:r>
      </x:text>
    </x:comment>
    <x:comment ref="K12" authorId="0">
      <x:text>
        <x:r>
          <x:t>Sensitivity. Formula: ='DCF'!K42
Review selected-case observations and Model Guide for definitions and held assumptions.</x:t>
        </x:r>
      </x:text>
    </x:comment>
    <x:comment ref="L12" authorId="0">
      <x:text>
        <x:r>
          <x:t>Sensitivity. Formula: ='DCF'!L42
Review selected-case observations and Model Guide for definitions and held assumptions.</x:t>
        </x:r>
      </x:text>
    </x:comment>
    <x:comment ref="E13" authorId="0">
      <x:text>
        <x:r>
          <x:t>Sensitivity. Formula: ='DCF'!E43
Review selected-case observations and Model Guide for definitions and held assumptions.</x:t>
        </x:r>
      </x:text>
    </x:comment>
    <x:comment ref="F13" authorId="0">
      <x:text>
        <x:r>
          <x:t>Sensitivity. Formula: ='DCF'!F43
Review selected-case observations and Model Guide for definitions and held assumptions.</x:t>
        </x:r>
      </x:text>
    </x:comment>
    <x:comment ref="G13" authorId="0">
      <x:text>
        <x:r>
          <x:t>Sensitivity. Formula: ='DCF'!G43
Review selected-case observations and Model Guide for definitions and held assumptions.</x:t>
        </x:r>
      </x:text>
    </x:comment>
    <x:comment ref="H13" authorId="0">
      <x:text>
        <x:r>
          <x:t>Sensitivity. Formula: ='DCF'!H43
Review selected-case observations and Model Guide for definitions and held assumptions.</x:t>
        </x:r>
      </x:text>
    </x:comment>
    <x:comment ref="I13" authorId="0">
      <x:text>
        <x:r>
          <x:t>Sensitivity. Formula: ='DCF'!I43
Review selected-case observations and Model Guide for definitions and held assumptions.</x:t>
        </x:r>
      </x:text>
    </x:comment>
    <x:comment ref="J13" authorId="0">
      <x:text>
        <x:r>
          <x:t>Sensitivity. Formula: ='DCF'!J43
Review selected-case observations and Model Guide for definitions and held assumptions.</x:t>
        </x:r>
      </x:text>
    </x:comment>
    <x:comment ref="K13" authorId="0">
      <x:text>
        <x:r>
          <x:t>Sensitivity. Formula: ='DCF'!K43
Review selected-case observations and Model Guide for definitions and held assumptions.</x:t>
        </x:r>
      </x:text>
    </x:comment>
    <x:comment ref="L13" authorId="0">
      <x:text>
        <x:r>
          <x:t>Sensitivity. Formula: ='DCF'!L43
Review selected-case observations and Model Guide for definitions and held assumptions.</x:t>
        </x:r>
      </x:text>
    </x:comment>
    <x:comment ref="E14" authorId="0">
      <x:text>
        <x:r>
          <x:t>Sensitivity. Formula: ='DCF'!E44
Review selected-case observations and Model Guide for definitions and held assumptions.</x:t>
        </x:r>
      </x:text>
    </x:comment>
    <x:comment ref="F14" authorId="0">
      <x:text>
        <x:r>
          <x:t>Sensitivity. Formula: ='DCF'!F44
Review selected-case observations and Model Guide for definitions and held assumptions.</x:t>
        </x:r>
      </x:text>
    </x:comment>
    <x:comment ref="G14" authorId="0">
      <x:text>
        <x:r>
          <x:t>Sensitivity. Formula: ='DCF'!G44
Review selected-case observations and Model Guide for definitions and held assumptions.</x:t>
        </x:r>
      </x:text>
    </x:comment>
    <x:comment ref="H14" authorId="0">
      <x:text>
        <x:r>
          <x:t>Sensitivity. Formula: ='DCF'!H44
Review selected-case observations and Model Guide for definitions and held assumptions.</x:t>
        </x:r>
      </x:text>
    </x:comment>
    <x:comment ref="I14" authorId="0">
      <x:text>
        <x:r>
          <x:t>Sensitivity. Formula: ='DCF'!I44
Review selected-case observations and Model Guide for definitions and held assumptions.</x:t>
        </x:r>
      </x:text>
    </x:comment>
    <x:comment ref="J14" authorId="0">
      <x:text>
        <x:r>
          <x:t>Sensitivity. Formula: ='DCF'!J44
Review selected-case observations and Model Guide for definitions and held assumptions.</x:t>
        </x:r>
      </x:text>
    </x:comment>
    <x:comment ref="K14" authorId="0">
      <x:text>
        <x:r>
          <x:t>Sensitivity. Formula: ='DCF'!K44
Review selected-case observations and Model Guide for definitions and held assumptions.</x:t>
        </x:r>
      </x:text>
    </x:comment>
    <x:comment ref="L14" authorId="0">
      <x:text>
        <x:r>
          <x:t>Sensitivity. Formula: ='DCF'!L44
Review selected-case observations and Model Guide for definitions and held assumptions.</x:t>
        </x:r>
      </x:text>
    </x:comment>
    <x:comment ref="E15" authorId="0">
      <x:text>
        <x:r>
          <x:t>Sensitivity. Formula: ='DCF'!E45
Review selected-case observations and Model Guide for definitions and held assumptions.</x:t>
        </x:r>
      </x:text>
    </x:comment>
    <x:comment ref="F15" authorId="0">
      <x:text>
        <x:r>
          <x:t>Sensitivity. Formula: ='DCF'!F45
Review selected-case observations and Model Guide for definitions and held assumptions.</x:t>
        </x:r>
      </x:text>
    </x:comment>
    <x:comment ref="G15" authorId="0">
      <x:text>
        <x:r>
          <x:t>Sensitivity. Formula: ='DCF'!G45
Review selected-case observations and Model Guide for definitions and held assumptions.</x:t>
        </x:r>
      </x:text>
    </x:comment>
    <x:comment ref="H15" authorId="0">
      <x:text>
        <x:r>
          <x:t>Sensitivity. Formula: ='DCF'!H45
Review selected-case observations and Model Guide for definitions and held assumptions.</x:t>
        </x:r>
      </x:text>
    </x:comment>
    <x:comment ref="I15" authorId="0">
      <x:text>
        <x:r>
          <x:t>Sensitivity. Formula: ='DCF'!I45
Review selected-case observations and Model Guide for definitions and held assumptions.</x:t>
        </x:r>
      </x:text>
    </x:comment>
    <x:comment ref="J15" authorId="0">
      <x:text>
        <x:r>
          <x:t>Sensitivity. Formula: ='DCF'!J45
Review selected-case observations and Model Guide for definitions and held assumptions.</x:t>
        </x:r>
      </x:text>
    </x:comment>
    <x:comment ref="K15" authorId="0">
      <x:text>
        <x:r>
          <x:t>Sensitivity. Formula: ='DCF'!K45
Review selected-case observations and Model Guide for definitions and held assumptions.</x:t>
        </x:r>
      </x:text>
    </x:comment>
    <x:comment ref="L15" authorId="0">
      <x:text>
        <x:r>
          <x:t>Sensitivity. Formula: ='DCF'!L45
Review selected-case observations and Model Guide for definitions and held assumptions.</x:t>
        </x:r>
      </x:text>
    </x:comment>
    <x:comment ref="E16" authorId="0">
      <x:text>
        <x:r>
          <x:t>Sensitivity. Formula: ='DCF'!E46
Review selected-case observations and Model Guide for definitions and held assumptions.</x:t>
        </x:r>
      </x:text>
    </x:comment>
    <x:comment ref="F16" authorId="0">
      <x:text>
        <x:r>
          <x:t>Sensitivity. Formula: ='DCF'!F46
Review selected-case observations and Model Guide for definitions and held assumptions.</x:t>
        </x:r>
      </x:text>
    </x:comment>
    <x:comment ref="G16" authorId="0">
      <x:text>
        <x:r>
          <x:t>Sensitivity. Formula: ='DCF'!G46
Review selected-case observations and Model Guide for definitions and held assumptions.</x:t>
        </x:r>
      </x:text>
    </x:comment>
    <x:comment ref="H16" authorId="0">
      <x:text>
        <x:r>
          <x:t>Sensitivity. Formula: ='DCF'!H46
Review selected-case observations and Model Guide for definitions and held assumptions.</x:t>
        </x:r>
      </x:text>
    </x:comment>
    <x:comment ref="I16" authorId="0">
      <x:text>
        <x:r>
          <x:t>Sensitivity. Formula: ='DCF'!I46
Review selected-case observations and Model Guide for definitions and held assumptions.</x:t>
        </x:r>
      </x:text>
    </x:comment>
    <x:comment ref="J16" authorId="0">
      <x:text>
        <x:r>
          <x:t>Sensitivity. Formula: ='DCF'!J46
Review selected-case observations and Model Guide for definitions and held assumptions.</x:t>
        </x:r>
      </x:text>
    </x:comment>
    <x:comment ref="K16" authorId="0">
      <x:text>
        <x:r>
          <x:t>Sensitivity. Formula: ='DCF'!K46
Review selected-case observations and Model Guide for definitions and held assumptions.</x:t>
        </x:r>
      </x:text>
    </x:comment>
    <x:comment ref="L16" authorId="0">
      <x:text>
        <x:r>
          <x:t>Sensitivity. Formula: ='DCF'!L46
Review selected-case observations and Model Guide for definitions and held assumptions.</x:t>
        </x:r>
      </x:text>
    </x:comment>
    <x:comment ref="E17" authorId="0">
      <x:text>
        <x:r>
          <x:t>Sensitivity. Formula: ='DCF'!E47
Review selected-case observations and Model Guide for definitions and held assumptions.</x:t>
        </x:r>
      </x:text>
    </x:comment>
    <x:comment ref="F17" authorId="0">
      <x:text>
        <x:r>
          <x:t>Sensitivity. Formula: ='DCF'!F47
Review selected-case observations and Model Guide for definitions and held assumptions.</x:t>
        </x:r>
      </x:text>
    </x:comment>
    <x:comment ref="G17" authorId="0">
      <x:text>
        <x:r>
          <x:t>Sensitivity. Formula: ='DCF'!G47
Review selected-case observations and Model Guide for definitions and held assumptions.</x:t>
        </x:r>
      </x:text>
    </x:comment>
    <x:comment ref="H17" authorId="0">
      <x:text>
        <x:r>
          <x:t>Sensitivity. Formula: ='DCF'!H47
Review selected-case observations and Model Guide for definitions and held assumptions.</x:t>
        </x:r>
      </x:text>
    </x:comment>
    <x:comment ref="I17" authorId="0">
      <x:text>
        <x:r>
          <x:t>Sensitivity. Formula: ='DCF'!I47
Review selected-case observations and Model Guide for definitions and held assumptions.</x:t>
        </x:r>
      </x:text>
    </x:comment>
    <x:comment ref="J17" authorId="0">
      <x:text>
        <x:r>
          <x:t>Sensitivity. Formula: ='DCF'!J47
Review selected-case observations and Model Guide for definitions and held assumptions.</x:t>
        </x:r>
      </x:text>
    </x:comment>
    <x:comment ref="K17" authorId="0">
      <x:text>
        <x:r>
          <x:t>Sensitivity. Formula: ='DCF'!K47
Review selected-case observations and Model Guide for definitions and held assumptions.</x:t>
        </x:r>
      </x:text>
    </x:comment>
    <x:comment ref="L17" authorId="0">
      <x:text>
        <x:r>
          <x:t>Sensitivity. Formula: ='DCF'!L47
Review selected-case observations and Model Guide for definitions and held assumptions.</x:t>
        </x:r>
      </x:text>
    </x:comment>
    <x:comment ref="D22" authorId="0">
      <x:text>
        <x:r>
          <x:t>Sensitivity. Formula: ='DCF'!F53
Review selected-case observations and Model Guide for definitions and held assumptions.</x:t>
        </x:r>
      </x:text>
    </x:comment>
    <x:comment ref="E22" authorId="0">
      <x:text>
        <x:r>
          <x:t>Sensitivity. Formula: =D22/'Market Inputs'!E9-1
Review selected-case observations and Model Guide for definitions and held assumptions.</x:t>
        </x:r>
      </x:text>
    </x:comment>
    <x:comment ref="D23" authorId="0">
      <x:text>
        <x:r>
          <x:t>Sensitivity. Formula: ='DCF'!G54
Review selected-case observations and Model Guide for definitions and held assumptions.</x:t>
        </x:r>
      </x:text>
    </x:comment>
    <x:comment ref="E23" authorId="0">
      <x:text>
        <x:r>
          <x:t>Sensitivity. Formula: =D23/'Market Inputs'!E9-1
Review selected-case observations and Model Guide for definitions and held assumptions.</x:t>
        </x:r>
      </x:text>
    </x:comment>
    <x:comment ref="D24" authorId="0">
      <x:text>
        <x:r>
          <x:t>Sensitivity. Formula: ='DCF'!H55
Review selected-case observations and Model Guide for definitions and held assumptions.</x:t>
        </x:r>
      </x:text>
    </x:comment>
    <x:comment ref="E24" authorId="0">
      <x:text>
        <x:r>
          <x:t>Sensitivity. Formula: =D24/'Market Inputs'!E9-1
Review selected-case observations and Model Guide for definitions and held assumptions.</x:t>
        </x:r>
      </x:text>
    </x:comment>
    <x:comment ref="C29" authorId="0">
      <x:text>
        <x:r>
          <x:t>Sensitivity. Formula: ='DCF'!F40
Review selected-case observations and Model Guide for definitions and held assumptions.</x:t>
        </x:r>
      </x:text>
    </x:comment>
    <x:comment ref="D29" authorId="0">
      <x:text>
        <x:r>
          <x:t>Sensitivity. Formula: ='DCF'!F44
Review selected-case observations and Model Guide for definitions and held assumptions.</x:t>
        </x:r>
      </x:text>
    </x:comment>
    <x:comment ref="C30" authorId="0">
      <x:text>
        <x:r>
          <x:t>Sensitivity. Formula: ='DCF'!G40
Review selected-case observations and Model Guide for definitions and held assumptions.</x:t>
        </x:r>
      </x:text>
    </x:comment>
    <x:comment ref="D30" authorId="0">
      <x:text>
        <x:r>
          <x:t>Sensitivity. Formula: ='DCF'!G44
Review selected-case observations and Model Guide for definitions and held assumptions.</x:t>
        </x:r>
      </x:text>
    </x:comment>
    <x:comment ref="C31" authorId="0">
      <x:text>
        <x:r>
          <x:t>Sensitivity. Formula: ='DCF'!H40
Review selected-case observations and Model Guide for definitions and held assumptions.</x:t>
        </x:r>
      </x:text>
    </x:comment>
    <x:comment ref="D31" authorId="0">
      <x:text>
        <x:r>
          <x:t>Sensitivity. Formula: ='DCF'!H44
Review selected-case observations and Model Guide for definitions and held assumptions.</x:t>
        </x:r>
      </x:text>
    </x:comment>
    <x:comment ref="C32" authorId="0">
      <x:text>
        <x:r>
          <x:t>Sensitivity. Formula: ='DCF'!I40
Review selected-case observations and Model Guide for definitions and held assumptions.</x:t>
        </x:r>
      </x:text>
    </x:comment>
    <x:comment ref="D32" authorId="0">
      <x:text>
        <x:r>
          <x:t>Sensitivity. Formula: ='DCF'!I44
Review selected-case observations and Model Guide for definitions and held assumptions.</x:t>
        </x:r>
      </x:text>
    </x:comment>
    <x:comment ref="C33" authorId="0">
      <x:text>
        <x:r>
          <x:t>Sensitivity. Formula: ='DCF'!J40
Review selected-case observations and Model Guide for definitions and held assumptions.</x:t>
        </x:r>
      </x:text>
    </x:comment>
    <x:comment ref="D33" authorId="0">
      <x:text>
        <x:r>
          <x:t>Sensitivity. Formula: ='DCF'!J44
Review selected-case observations and Model Guide for definitions and held assumptions.</x:t>
        </x:r>
      </x:text>
    </x:comment>
    <x:comment ref="C34" authorId="0">
      <x:text>
        <x:r>
          <x:t>Sensitivity. Formula: ='DCF'!K40
Review selected-case observations and Model Guide for definitions and held assumptions.</x:t>
        </x:r>
      </x:text>
    </x:comment>
    <x:comment ref="D34" authorId="0">
      <x:text>
        <x:r>
          <x:t>Sensitivity. Formula: ='DCF'!K44
Review selected-case observations and Model Guide for definitions and held assumptions.</x:t>
        </x:r>
      </x:text>
    </x:comment>
    <x:comment ref="C35" authorId="0">
      <x:text>
        <x:r>
          <x:t>Sensitivity. Formula: ='DCF'!L40
Review selected-case observations and Model Guide for definitions and held assumptions.</x:t>
        </x:r>
      </x:text>
    </x:comment>
    <x:comment ref="D35" authorId="0">
      <x:text>
        <x:r>
          <x:t>Sensitivity. Formula: ='DCF'!L44
Review selected-case observations and Model Guide for definitions and held assumptions.</x:t>
        </x:r>
      </x:text>
    </x:comment>
  </x:commentList>
</x:comments>
</file>

<file path=xl/comments12.xml><?xml version="1.0" encoding="utf-8"?>
<x:comments xmlns:x="http://schemas.openxmlformats.org/spreadsheetml/2006/main">
  <x:authors>
    <x:author>Goran Brkich</x:author>
  </x:authors>
  <x:commentList>
    <x:comment ref="E8" authorId="0">
      <x:text>
        <x:r>
          <x:t>Analyst exit EV / EBITDA. Explicit illustrative multiple. No external peer sample was supplied, so this is an editable assumption, not a market consensus.</x:t>
        </x:r>
      </x:text>
    </x:comment>
    <x:comment ref="C8" authorId="0">
      <x:text>
        <x:r>
          <x:t>Explicit illustrative multiple. No external peer sample was supplied, so this is an editable assumption, not a market consensus.</x:t>
        </x:r>
      </x:text>
    </x:comment>
    <x:comment ref="C9" authorId="0">
      <x:text>
        <x:r>
          <x:t>FY2031 EBITDA</x:t>
        </x:r>
      </x:text>
    </x:comment>
    <x:comment ref="C10" authorId="0">
      <x:text>
        <x:r>
          <x:t>Terminal enterprise value</x:t>
        </x:r>
      </x:text>
    </x:comment>
    <x:comment ref="C11" authorId="0">
      <x:text>
        <x:r>
          <x:t>PV of exit enterprise value</x:t>
        </x:r>
      </x:text>
    </x:comment>
    <x:comment ref="C12" authorId="0">
      <x:text>
        <x:r>
          <x:t>PV of explicit FCFF</x:t>
        </x:r>
      </x:text>
    </x:comment>
    <x:comment ref="C14" authorId="0">
      <x:text>
        <x:r>
          <x:t>Exit multiple equity value</x:t>
        </x:r>
      </x:text>
    </x:comment>
    <x:comment ref="C15" authorId="0">
      <x:text>
        <x:r>
          <x:t>Exit multiple value per share</x:t>
        </x:r>
      </x:text>
    </x:comment>
    <x:comment ref="C16" authorId="0">
      <x:text>
        <x:r>
          <x:t>Reinvestment DCF value per share</x:t>
        </x:r>
      </x:text>
    </x:comment>
    <x:comment ref="C17" authorId="0">
      <x:text>
        <x:r>
          <x:t>Required market exit multiple</x:t>
        </x:r>
      </x:text>
    </x:comment>
    <x:comment ref="E4" authorId="0">
      <x:text>
        <x:r>
          <x:t>Exit Multiple. Formula: =CHOOSE('DCF'!$E$5,"Base","Upside","Downside")
Review selected-case observations and Model Guide for definitions and held assumptions.</x:t>
        </x:r>
      </x:text>
    </x:comment>
    <x:comment ref="E9" authorId="0">
      <x:text>
        <x:r>
          <x:t>Exit Multiple. Formula: ='Forecast'!I15+'Forecast'!I18
Review selected-case observations and Model Guide for definitions and held assumptions.</x:t>
        </x:r>
      </x:text>
    </x:comment>
    <x:comment ref="E10" authorId="0">
      <x:text>
        <x:r>
          <x:t>Exit Multiple. Formula: =E8*E9
Review selected-case observations and Model Guide for definitions and held assumptions.</x:t>
        </x:r>
      </x:text>
    </x:comment>
    <x:comment ref="E11" authorId="0">
      <x:text>
        <x:r>
          <x:t>Exit Multiple. Formula: =E10/'DCF'!E20
Review selected-case observations and Model Guide for definitions and held assumptions.</x:t>
        </x:r>
      </x:text>
    </x:comment>
    <x:comment ref="E12" authorId="0">
      <x:text>
        <x:r>
          <x:t>Exit Multiple. Formula: ='DCF'!E18
Review selected-case observations and Model Guide for definitions and held assumptions.</x:t>
        </x:r>
      </x:text>
    </x:comment>
    <x:comment ref="E14" authorId="0">
      <x:text>
        <x:r>
          <x:t>Exit Multiple. Formula: =SUM(E11:E12)+'Equity Bridge'!E17
Review selected-case observations and Model Guide for definitions and held assumptions.</x:t>
        </x:r>
      </x:text>
    </x:comment>
    <x:comment ref="E15" authorId="0">
      <x:text>
        <x:r>
          <x:t>Exit Multiple. Formula: =E14/'Equity Bridge'!E20
Review selected-case observations and Model Guide for definitions and held assumptions.</x:t>
        </x:r>
      </x:text>
    </x:comment>
    <x:comment ref="E16" authorId="0">
      <x:text>
        <x:r>
          <x:t>Exit Multiple. Formula: ='DCF'!E28
Review selected-case observations and Model Guide for definitions and held assumptions.</x:t>
        </x:r>
      </x:text>
    </x:comment>
    <x:comment ref="E17" authorId="0">
      <x:text>
        <x:r>
          <x:t>Exit Multiple. Formula: ='Reverse Multiple'!E12
Review selected-case observations and Model Guide for definitions and held assumptions.</x:t>
        </x:r>
      </x:text>
    </x:comment>
    <x:comment ref="C22" authorId="0">
      <x:text>
        <x:r>
          <x:t>Exit Multiple. Editable source or analyst input.
Review selected-case observations and Model Guide for definitions and held assumptions.</x:t>
        </x:r>
      </x:text>
    </x:comment>
    <x:comment ref="D22" authorId="0">
      <x:text>
        <x:r>
          <x:t>Exit Multiple. Formula: =($E$12+C22*$E$9/'DCF'!E20+'Equity Bridge'!E17)/'Equity Bridge'!E20
Review selected-case observations and Model Guide for definitions and held assumptions.</x:t>
        </x:r>
      </x:text>
    </x:comment>
    <x:comment ref="C23" authorId="0">
      <x:text>
        <x:r>
          <x:t>Exit Multiple. Editable source or analyst input.
Review selected-case observations and Model Guide for definitions and held assumptions.</x:t>
        </x:r>
      </x:text>
    </x:comment>
    <x:comment ref="D23" authorId="0">
      <x:text>
        <x:r>
          <x:t>Exit Multiple. Formula: =($E$12+C23*$E$9/'DCF'!E20+'Equity Bridge'!E17)/'Equity Bridge'!E20
Review selected-case observations and Model Guide for definitions and held assumptions.</x:t>
        </x:r>
      </x:text>
    </x:comment>
    <x:comment ref="C24" authorId="0">
      <x:text>
        <x:r>
          <x:t>Exit Multiple. Editable source or analyst input.
Review selected-case observations and Model Guide for definitions and held assumptions.</x:t>
        </x:r>
      </x:text>
    </x:comment>
    <x:comment ref="D24" authorId="0">
      <x:text>
        <x:r>
          <x:t>Exit Multiple. Formula: =($E$12+C24*$E$9/'DCF'!E20+'Equity Bridge'!E17)/'Equity Bridge'!E20
Review selected-case observations and Model Guide for definitions and held assumptions.</x:t>
        </x:r>
      </x:text>
    </x:comment>
    <x:comment ref="C25" authorId="0">
      <x:text>
        <x:r>
          <x:t>Exit Multiple. Editable source or analyst input.
Review selected-case observations and Model Guide for definitions and held assumptions.</x:t>
        </x:r>
      </x:text>
    </x:comment>
    <x:comment ref="D25" authorId="0">
      <x:text>
        <x:r>
          <x:t>Exit Multiple. Formula: =($E$12+C25*$E$9/'DCF'!E20+'Equity Bridge'!E17)/'Equity Bridge'!E20
Review selected-case observations and Model Guide for definitions and held assumptions.</x:t>
        </x:r>
      </x:text>
    </x:comment>
    <x:comment ref="C26" authorId="0">
      <x:text>
        <x:r>
          <x:t>Exit Multiple. Editable source or analyst input.
Review selected-case observations and Model Guide for definitions and held assumptions.</x:t>
        </x:r>
      </x:text>
    </x:comment>
    <x:comment ref="D26" authorId="0">
      <x:text>
        <x:r>
          <x:t>Exit Multiple. Formula: =($E$12+C26*$E$9/'DCF'!E20+'Equity Bridge'!E17)/'Equity Bridge'!E20
Review selected-case observations and Model Guide for definitions and held assumptions.</x:t>
        </x:r>
      </x:text>
    </x:comment>
    <x:comment ref="C27" authorId="0">
      <x:text>
        <x:r>
          <x:t>Exit Multiple. Editable source or analyst input.
Review selected-case observations and Model Guide for definitions and held assumptions.</x:t>
        </x:r>
      </x:text>
    </x:comment>
    <x:comment ref="D27" authorId="0">
      <x:text>
        <x:r>
          <x:t>Exit Multiple. Formula: =($E$12+C27*$E$9/'DCF'!E20+'Equity Bridge'!E17)/'Equity Bridge'!E20
Review selected-case observations and Model Guide for definitions and held assumptions.</x:t>
        </x:r>
      </x:text>
    </x:comment>
    <x:comment ref="C28" authorId="0">
      <x:text>
        <x:r>
          <x:t>Exit Multiple. Editable source or analyst input.
Review selected-case observations and Model Guide for definitions and held assumptions.</x:t>
        </x:r>
      </x:text>
    </x:comment>
    <x:comment ref="D28" authorId="0">
      <x:text>
        <x:r>
          <x:t>Exit Multiple. Formula: =($E$12+C28*$E$9/'DCF'!E20+'Equity Bridge'!E17)/'Equity Bridge'!E20
Review selected-case observations and Model Guide for definitions and held assumptions.</x:t>
        </x:r>
      </x:text>
    </x:comment>
    <x:comment ref="C29" authorId="0">
      <x:text>
        <x:r>
          <x:t>Exit Multiple. Editable source or analyst input.
Review selected-case observations and Model Guide for definitions and held assumptions.</x:t>
        </x:r>
      </x:text>
    </x:comment>
    <x:comment ref="D29" authorId="0">
      <x:text>
        <x:r>
          <x:t>Exit Multiple. Formula: =($E$12+C29*$E$9/'DCF'!E20+'Equity Bridge'!E17)/'Equity Bridge'!E20
Review selected-case observations and Model Guide for definitions and held assumptions.</x:t>
        </x:r>
      </x:text>
    </x:comment>
    <x:comment ref="C30" authorId="0">
      <x:text>
        <x:r>
          <x:t>Exit Multiple. Editable source or analyst input.
Review selected-case observations and Model Guide for definitions and held assumptions.</x:t>
        </x:r>
      </x:text>
    </x:comment>
    <x:comment ref="D30" authorId="0">
      <x:text>
        <x:r>
          <x:t>Exit Multiple. Formula: =($E$12+C30*$E$9/'DCF'!E20+'Equity Bridge'!E17)/'Equity Bridge'!E20
Review selected-case observations and Model Guide for definitions and held assumptions.</x:t>
        </x:r>
      </x:text>
    </x:comment>
    <x:comment ref="C35" authorId="0">
      <x:text>
        <x:r>
          <x:t>Exit Multiple. Formula: ="At exit multiple "&amp;ROUND(E8,2)&amp;"x the crosscheck price is USD "&amp;ROUND(E15,2)&amp;". "&amp;"This crosscheck replaces the primary terminal cash-flow value with an illustrative EV / EBITDA multiple. It keeps explicit cash flows, discount timing and the bridge unchanged."
Review selected-case observations and Model Guide for definitions and held assumptions.</x:t>
        </x:r>
      </x:text>
    </x:comment>
  </x:commentList>
</x:comments>
</file>

<file path=xl/comments13.xml><?xml version="1.0" encoding="utf-8"?>
<x:comments xmlns:x="http://schemas.openxmlformats.org/spreadsheetml/2006/main">
  <x:authors>
    <x:author>Goran Brkich</x:author>
  </x:authors>
  <x:commentList>
    <x:comment ref="C9" authorId="0">
      <x:text>
        <x:r>
          <x:t>Open Reverse Growth for the full formulas, holding assumptions, feasibility criteria and explanatory chart.</x:t>
        </x:r>
      </x:text>
    </x:comment>
    <x:comment ref="C10" authorId="0">
      <x:text>
        <x:r>
          <x:t>Open Reverse Margin for the full formulas, holding assumptions, feasibility criteria and explanatory chart.</x:t>
        </x:r>
      </x:text>
    </x:comment>
    <x:comment ref="C11" authorId="0">
      <x:text>
        <x:r>
          <x:t>Open Reverse Capex for the full formulas, holding assumptions, feasibility criteria and explanatory chart.</x:t>
        </x:r>
      </x:text>
    </x:comment>
    <x:comment ref="C12" authorId="0">
      <x:text>
        <x:r>
          <x:t>Open Reverse NWC for the full formulas, holding assumptions, feasibility criteria and explanatory chart.</x:t>
        </x:r>
      </x:text>
    </x:comment>
    <x:comment ref="C13" authorId="0">
      <x:text>
        <x:r>
          <x:t>Open Reverse WACC for the full formulas, holding assumptions, feasibility criteria and explanatory chart.</x:t>
        </x:r>
      </x:text>
    </x:comment>
    <x:comment ref="C14" authorId="0">
      <x:text>
        <x:r>
          <x:t>Open Reverse Terminal g for the full formulas, holding assumptions, feasibility criteria and explanatory chart.</x:t>
        </x:r>
      </x:text>
    </x:comment>
    <x:comment ref="C15" authorId="0">
      <x:text>
        <x:r>
          <x:t>Open Reverse ROIC for the full formulas, holding assumptions, feasibility criteria and explanatory chart.</x:t>
        </x:r>
      </x:text>
    </x:comment>
    <x:comment ref="C16" authorId="0">
      <x:text>
        <x:r>
          <x:t>Open Reverse Tax for the full formulas, holding assumptions, feasibility criteria and explanatory chart.</x:t>
        </x:r>
      </x:text>
    </x:comment>
    <x:comment ref="C17" authorId="0">
      <x:text>
        <x:r>
          <x:t>Open Reverse Leases for the full formulas, holding assumptions, feasibility criteria and explanatory chart.</x:t>
        </x:r>
      </x:text>
    </x:comment>
    <x:comment ref="C18" authorId="0">
      <x:text>
        <x:r>
          <x:t>Open Reverse FCF for the full formulas, holding assumptions, feasibility criteria and explanatory chart.</x:t>
        </x:r>
      </x:text>
    </x:comment>
    <x:comment ref="C19" authorId="0">
      <x:text>
        <x:r>
          <x:t>Open Reverse Multiple for the full formulas, holding assumptions, feasibility criteria and explanatory chart.</x:t>
        </x:r>
      </x:text>
    </x:comment>
    <x:comment ref="C20" authorId="0">
      <x:text>
        <x:r>
          <x:t>Open Ownership for the full formulas, holding assumptions, feasibility criteria and explanatory chart.</x:t>
        </x:r>
      </x:text>
    </x:comment>
    <x:comment ref="E4" authorId="0">
      <x:text>
        <x:r>
          <x:t>Reverse Summary. Formula: =CHOOSE('DCF'!$E$5,"Base","Upside","Downside")
Review selected-case observations and Model Guide for definitions and held assumptions.</x:t>
        </x:r>
      </x:text>
    </x:comment>
    <x:comment ref="D9" authorId="0">
      <x:text>
        <x:r>
          <x:t>Reverse Summary. Formula: ='Reverse Growth'!E12
Review selected-case observations and Model Guide for definitions and held assumptions.</x:t>
        </x:r>
      </x:text>
    </x:comment>
    <x:comment ref="E9" authorId="0">
      <x:text>
        <x:r>
          <x:t>Reverse Summary. Formula: ='Reverse Growth'!E14
Review selected-case observations and Model Guide for definitions and held assumptions.</x:t>
        </x:r>
      </x:text>
    </x:comment>
    <x:comment ref="D10" authorId="0">
      <x:text>
        <x:r>
          <x:t>Reverse Summary. Formula: ='Reverse Margin'!E12
Review selected-case observations and Model Guide for definitions and held assumptions.</x:t>
        </x:r>
      </x:text>
    </x:comment>
    <x:comment ref="E10" authorId="0">
      <x:text>
        <x:r>
          <x:t>Reverse Summary. Formula: ='Reverse Margin'!E14
Review selected-case observations and Model Guide for definitions and held assumptions.</x:t>
        </x:r>
      </x:text>
    </x:comment>
    <x:comment ref="D11" authorId="0">
      <x:text>
        <x:r>
          <x:t>Reverse Summary. Formula: ='Reverse Capex'!E12
Review selected-case observations and Model Guide for definitions and held assumptions.</x:t>
        </x:r>
      </x:text>
    </x:comment>
    <x:comment ref="E11" authorId="0">
      <x:text>
        <x:r>
          <x:t>Reverse Summary. Formula: ='Reverse Capex'!E14
Review selected-case observations and Model Guide for definitions and held assumptions.</x:t>
        </x:r>
      </x:text>
    </x:comment>
    <x:comment ref="D12" authorId="0">
      <x:text>
        <x:r>
          <x:t>Reverse Summary. Formula: ='Reverse NWC'!E12
Review selected-case observations and Model Guide for definitions and held assumptions.</x:t>
        </x:r>
      </x:text>
    </x:comment>
    <x:comment ref="E12" authorId="0">
      <x:text>
        <x:r>
          <x:t>Reverse Summary. Formula: ='Reverse NWC'!E14
Review selected-case observations and Model Guide for definitions and held assumptions.</x:t>
        </x:r>
      </x:text>
    </x:comment>
    <x:comment ref="D13" authorId="0">
      <x:text>
        <x:r>
          <x:t>Reverse Summary. Formula: ='Reverse WACC'!E12
Review selected-case observations and Model Guide for definitions and held assumptions.</x:t>
        </x:r>
      </x:text>
    </x:comment>
    <x:comment ref="E13" authorId="0">
      <x:text>
        <x:r>
          <x:t>Reverse Summary. Formula: ='Reverse WACC'!E14
Review selected-case observations and Model Guide for definitions and held assumptions.</x:t>
        </x:r>
      </x:text>
    </x:comment>
    <x:comment ref="D14" authorId="0">
      <x:text>
        <x:r>
          <x:t>Reverse Summary. Formula: ='Reverse Terminal g'!E12
Review selected-case observations and Model Guide for definitions and held assumptions.</x:t>
        </x:r>
      </x:text>
    </x:comment>
    <x:comment ref="E14" authorId="0">
      <x:text>
        <x:r>
          <x:t>Reverse Summary. Formula: ='Reverse Terminal g'!E14
Review selected-case observations and Model Guide for definitions and held assumptions.</x:t>
        </x:r>
      </x:text>
    </x:comment>
    <x:comment ref="D15" authorId="0">
      <x:text>
        <x:r>
          <x:t>Reverse Summary. Formula: ='Reverse ROIC'!E12
Review selected-case observations and Model Guide for definitions and held assumptions.</x:t>
        </x:r>
      </x:text>
    </x:comment>
    <x:comment ref="E15" authorId="0">
      <x:text>
        <x:r>
          <x:t>Reverse Summary. Formula: ='Reverse ROIC'!E14
Review selected-case observations and Model Guide for definitions and held assumptions.</x:t>
        </x:r>
      </x:text>
    </x:comment>
    <x:comment ref="D16" authorId="0">
      <x:text>
        <x:r>
          <x:t>Reverse Summary. Formula: ='Reverse Tax'!E12
Review selected-case observations and Model Guide for definitions and held assumptions.</x:t>
        </x:r>
      </x:text>
    </x:comment>
    <x:comment ref="E16" authorId="0">
      <x:text>
        <x:r>
          <x:t>Reverse Summary. Formula: ='Reverse Tax'!E14
Review selected-case observations and Model Guide for definitions and held assumptions.</x:t>
        </x:r>
      </x:text>
    </x:comment>
    <x:comment ref="D17" authorId="0">
      <x:text>
        <x:r>
          <x:t>Reverse Summary. Formula: ='Reverse Leases'!E12
Review selected-case observations and Model Guide for definitions and held assumptions.</x:t>
        </x:r>
      </x:text>
    </x:comment>
    <x:comment ref="E17" authorId="0">
      <x:text>
        <x:r>
          <x:t>Reverse Summary. Formula: ='Reverse Leases'!E14
Review selected-case observations and Model Guide for definitions and held assumptions.</x:t>
        </x:r>
      </x:text>
    </x:comment>
    <x:comment ref="D18" authorId="0">
      <x:text>
        <x:r>
          <x:t>Reverse Summary. Formula: ='Reverse FCF'!E12
Review selected-case observations and Model Guide for definitions and held assumptions.</x:t>
        </x:r>
      </x:text>
    </x:comment>
    <x:comment ref="E18" authorId="0">
      <x:text>
        <x:r>
          <x:t>Reverse Summary. Formula: ='Reverse FCF'!E14
Review selected-case observations and Model Guide for definitions and held assumptions.</x:t>
        </x:r>
      </x:text>
    </x:comment>
    <x:comment ref="D19" authorId="0">
      <x:text>
        <x:r>
          <x:t>Reverse Summary. Formula: ='Reverse Multiple'!E12
Review selected-case observations and Model Guide for definitions and held assumptions.</x:t>
        </x:r>
      </x:text>
    </x:comment>
    <x:comment ref="E19" authorId="0">
      <x:text>
        <x:r>
          <x:t>Reverse Summary. Formula: ='Reverse Multiple'!E14
Review selected-case observations and Model Guide for definitions and held assumptions.</x:t>
        </x:r>
      </x:text>
    </x:comment>
    <x:comment ref="D20" authorId="0">
      <x:text>
        <x:r>
          <x:t>Reverse Summary. Formula: ='Ownership'!E12
Review selected-case observations and Model Guide for definitions and held assumptions.</x:t>
        </x:r>
      </x:text>
    </x:comment>
    <x:comment ref="E20" authorId="0">
      <x:text>
        <x:r>
          <x:t>Reverse Summary. Formula: ='Ownership'!E14
Review selected-case observations and Model Guide for definitions and held assumptions.</x:t>
        </x:r>
      </x:text>
    </x:comment>
    <x:comment ref="D25" authorId="0">
      <x:text>
        <x:r>
          <x:t>Reverse Summary. Formula: ='DCF'!E28
Review selected-case observations and Model Guide for definitions and held assumptions.</x:t>
        </x:r>
      </x:text>
    </x:comment>
    <x:comment ref="D26" authorId="0">
      <x:text>
        <x:r>
          <x:t>Reverse Summary. Formula: ='Market Inputs'!E9
Review selected-case observations and Model Guide for definitions and held assumptions.</x:t>
        </x:r>
      </x:text>
    </x:comment>
    <x:comment ref="D27" authorId="0">
      <x:text>
        <x:r>
          <x:t>Reverse Summary. Formula: ='Reverse ROIC'!E17
Review selected-case observations and Model Guide for definitions and held assumptions.</x:t>
        </x:r>
      </x:text>
    </x:comment>
  </x:commentList>
</x:comments>
</file>

<file path=xl/comments14.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E12" authorId="0">
      <x:text>
        <x:r>
          <x:t>Required revenue CAGR. 48 transparent bisection steps. Endpoint prices must bracket the market value. This solves one conditional criterion and does not estimate its likelihood.
Excel formula: =IF(($E$20-$E$9)*($E$21-$E$9)&lt;=0,F81,"No bracket")</x:t>
        </x:r>
      </x:text>
    </x:comment>
    <x:comment ref="C12" authorId="0">
      <x:text>
        <x:r>
          <x:t>48 transparent bisection steps. Endpoint prices must bracket the market value. This solves one conditional criterion and does not estimate its likelihood.</x:t>
        </x:r>
      </x:text>
    </x:comment>
    <x:comment ref="C16" authorId="0">
      <x:text>
        <x:r>
          <x:t>Lower solver bound</x:t>
        </x:r>
      </x:text>
    </x:comment>
    <x:comment ref="C17" authorId="0">
      <x:text>
        <x:r>
          <x:t>Upper solver bound</x:t>
        </x:r>
      </x:text>
    </x:comment>
    <x:comment ref="C20" authorId="0">
      <x:text>
        <x:r>
          <x:t>Value at lower solver bound</x:t>
        </x:r>
      </x:text>
    </x:comment>
    <x:comment ref="C21" authorId="0">
      <x:text>
        <x:r>
          <x:t>Value at upper solver bound</x:t>
        </x:r>
      </x:text>
    </x:comment>
    <x:comment ref="E14" authorId="0">
      <x:text>
        <x:r>
          <x:t>Economically permitted?. Revenue is reset to a uniform five-year CAGR from FY2026. This is a different path from the three segment growth schedules, even when final revenue matches. A 0% to 35% CAGR is the displayed analyst plausibility band, not a guaranteed business limit.
Excel formula: =IF(ISNUMBER(E12),IF(AND(E12&gt;=0,E12&lt;=0.35),"Inside analyst band","Outside analyst band"),"No solution")</x:t>
        </x:r>
      </x:text>
    </x:comment>
    <x:comment ref="C14" authorId="0">
      <x:text>
        <x:r>
          <x:t>Revenue is reset to a uniform five-year CAGR from FY2026. This is a different path from the three segment growth schedules, even when final revenue matches. A 0% to 35% CAGR is the displayed analyst plausibility band, not a guaranteed business limit.</x:t>
        </x:r>
      </x:text>
    </x:comment>
    <x:comment ref="C18" authorId="0">
      <x:text>
        <x:r>
          <x:t>Final valuation residual</x:t>
        </x:r>
      </x:text>
    </x:comment>
    <x:comment ref="E4" authorId="0">
      <x:text>
        <x:r>
          <x:t>Reverse Growth. Formula: =CHOOSE('DCF'!$E$5,"Base","Upside","Downside")
Review selected-case observations and Model Guide for definitions and held assumptions.</x:t>
        </x:r>
      </x:text>
    </x:comment>
    <x:comment ref="E8" authorId="0">
      <x:text>
        <x:r>
          <x:t>Reverse Growth. Formula: ='DCF'!E24
Review selected-case observations and Model Guide for definitions and held assumptions.</x:t>
        </x:r>
      </x:text>
    </x:comment>
    <x:comment ref="E9" authorId="0">
      <x:text>
        <x:r>
          <x:t>Reverse Growth. Formula: ='DCF'!E32
Review selected-case observations and Model Guide for definitions and held assumptions.</x:t>
        </x:r>
      </x:text>
    </x:comment>
    <x:comment ref="E20" authorId="0">
      <x:text>
        <x:r>
          <x:t>Reverse Growth. Formula: =(SUM((('Historical Inputs'!$N$9*(1+($E$16))^1)*(('Assumptions'!E37+(0))*(1-'Assumptions'!E42-(0))+'Assumptions'!E47-'Assumptions'!E52*(1)+'Assumptions'!E57-'Assumptions'!E62*(1)-'Assumptions'!E67-(0))+('Working Capital'!$E$6))*'DCF'!E12/(1+('DCF'!$E$6))^'DCF'!E13,(('Historical Inputs'!$N$9*(1+($E$16))^2)*(('Assumptions'!F37+(0))*(1-'Assumptions'!F42-(0))+'Assumptions'!F47-'Assumptions'!F52*(1)+'Assumptions'!F57-'Assumptions'!F62*(1)-'Assumptions'!F67-(0))+(('Historical Inputs'!$N$9*(1+($E$16))^1)*('Assumptions'!E67+(0))))*'DCF'!F12/(1+('DCF'!$E$6))^'DCF'!F13,(('Historical Inputs'!$N$9*(1+($E$16))^3)*(('Assumptions'!G37+(0))*(1-'Assumptions'!G42-(0))+'Assumptions'!G47-'Assumptions'!G52*(1)+'Assumptions'!G57-'Assumptions'!G62*(1)-'Assumptions'!G67-(0))+(('Historical Inputs'!$N$9*(1+($E$16))^2)*('Assumptions'!F67+(0))))*'DCF'!G12/(1+('DCF'!$E$6))^'DCF'!G13,(('Historical Inputs'!$N$9*(1+($E$16))^4)*(('Assumptions'!H37+(0))*(1-'Assumptions'!H42-(0))+'Assumptions'!H47-'Assumptions'!H52*(1)+'Assumptions'!H57-'Assumptions'!H62*(1)-'Assumptions'!H67-(0))+(('Historical Inputs'!$N$9*(1+($E$16))^3)*('Assumptions'!G67+(0))))*'DCF'!H12/(1+('DCF'!$E$6))^'DCF'!H13,(('Historical Inputs'!$N$9*(1+($E$16))^5)*(('Assumptions'!I37+(0))*(1-'Assumptions'!I42-(0))+'Assumptions'!I47-'Assumptions'!I52*(1)+'Assumptions'!I57-'Assumptions'!I62*(1)-'Assumptions'!I67-(0))+(('Historical Inputs'!$N$9*(1+($E$16))^4)*('Assumptions'!H67+(0))))*'DCF'!I12/(1+('DCF'!$E$6))^'DCF'!I13)+('Historical Inputs'!$N$9*(1+($E$16))^5)*(1+('DCF'!$E$7))*('Terminal Value'!$E$10+(0))*(1-'Assumptions'!$E$15-(0))*(1-('DCF'!$E$7)/('Terminal Value'!$E$12))/(('DCF'!$E$6)-('DCF'!$E$7))/(1+('DCF'!$E$6))^'DCF'!$E$19)
Review selected-case observations and Model Guide for definitions and held assumptions.</x:t>
        </x:r>
      </x:text>
    </x:comment>
    <x:comment ref="E21" authorId="0">
      <x:text>
        <x:r>
          <x:t>Reverse Growth. Formula: =(SUM((('Historical Inputs'!$N$9*(1+($E$17))^1)*(('Assumptions'!E37+(0))*(1-'Assumptions'!E42-(0))+'Assumptions'!E47-'Assumptions'!E52*(1)+'Assumptions'!E57-'Assumptions'!E62*(1)-'Assumptions'!E67-(0))+('Working Capital'!$E$6))*'DCF'!E12/(1+('DCF'!$E$6))^'DCF'!E13,(('Historical Inputs'!$N$9*(1+($E$17))^2)*(('Assumptions'!F37+(0))*(1-'Assumptions'!F42-(0))+'Assumptions'!F47-'Assumptions'!F52*(1)+'Assumptions'!F57-'Assumptions'!F62*(1)-'Assumptions'!F67-(0))+(('Historical Inputs'!$N$9*(1+($E$17))^1)*('Assumptions'!E67+(0))))*'DCF'!F12/(1+('DCF'!$E$6))^'DCF'!F13,(('Historical Inputs'!$N$9*(1+($E$17))^3)*(('Assumptions'!G37+(0))*(1-'Assumptions'!G42-(0))+'Assumptions'!G47-'Assumptions'!G52*(1)+'Assumptions'!G57-'Assumptions'!G62*(1)-'Assumptions'!G67-(0))+(('Historical Inputs'!$N$9*(1+($E$17))^2)*('Assumptions'!F67+(0))))*'DCF'!G12/(1+('DCF'!$E$6))^'DCF'!G13,(('Historical Inputs'!$N$9*(1+($E$17))^4)*(('Assumptions'!H37+(0))*(1-'Assumptions'!H42-(0))+'Assumptions'!H47-'Assumptions'!H52*(1)+'Assumptions'!H57-'Assumptions'!H62*(1)-'Assumptions'!H67-(0))+(('Historical Inputs'!$N$9*(1+($E$17))^3)*('Assumptions'!G67+(0))))*'DCF'!H12/(1+('DCF'!$E$6))^'DCF'!H13,(('Historical Inputs'!$N$9*(1+($E$17))^5)*(('Assumptions'!I37+(0))*(1-'Assumptions'!I42-(0))+'Assumptions'!I47-'Assumptions'!I52*(1)+'Assumptions'!I57-'Assumptions'!I62*(1)-'Assumptions'!I67-(0))+(('Historical Inputs'!$N$9*(1+($E$17))^4)*('Assumptions'!H67+(0))))*'DCF'!I12/(1+('DCF'!$E$6))^'DCF'!I13)+('Historical Inputs'!$N$9*(1+($E$17))^5)*(1+('DCF'!$E$7))*('Terminal Value'!$E$10+(0))*(1-'Assumptions'!$E$15-(0))*(1-('DCF'!$E$7)/('Terminal Value'!$E$12))/(('DCF'!$E$6)-('DCF'!$E$7))/(1+('DCF'!$E$6))^'DCF'!$E$19)
Review selected-case observations and Model Guide for definitions and held assumptions.</x:t>
        </x:r>
      </x:text>
    </x:comment>
    <x:comment ref="C24" authorId="0">
      <x:text>
        <x:r>
          <x:t>Reverse Growth. Formula: =IF(ISNUMBER(E12),"Required uniform revenue CAGR is "&amp;ROUND(E12*100,2)&amp;"%. ","No numeric root within solver bounds. ")&amp;"Revenue is reset to a uniform five-year CAGR from FY2026. This is a different path from the three segment growth schedules, even when final revenue matches. A 0% to 35% CAGR is the displayed analyst plausibility band, not a guaranteed business limit."
Review selected-case observations and Model Guide for definitions and held assumptions.</x:t>
        </x:r>
      </x:text>
    </x:comment>
    <x:comment ref="C34" authorId="0">
      <x:text>
        <x:r>
          <x:t>Reverse Growth. Editable source or analyst input.
Review selected-case observations and Model Guide for definitions and held assumptions.</x:t>
        </x:r>
      </x:text>
    </x:comment>
    <x:comment ref="D34" authorId="0">
      <x:text>
        <x:r>
          <x:t>Reverse Growth. Formula: =$E$16
Review selected-case observations and Model Guide for definitions and held assumptions.</x:t>
        </x:r>
      </x:text>
    </x:comment>
    <x:comment ref="E34" authorId="0">
      <x:text>
        <x:r>
          <x:t>Reverse Growth. Formula: =$E$17
Review selected-case observations and Model Guide for definitions and held assumptions.</x:t>
        </x:r>
      </x:text>
    </x:comment>
    <x:comment ref="F34" authorId="0">
      <x:text>
        <x:r>
          <x:t>Reverse Growth. Formula: =(D34+E34)/2
Review selected-case observations and Model Guide for definitions and held assumptions.</x:t>
        </x:r>
      </x:text>
    </x:comment>
    <x:comment ref="G34" authorId="0">
      <x:text>
        <x:r>
          <x:t>Reverse Growth. Formula: =(SUM((('Historical Inputs'!$N$9*(1+(F34))^1)*(('Assumptions'!E37+(0))*(1-'Assumptions'!E42-(0))+'Assumptions'!E47-'Assumptions'!E52*(1)+'Assumptions'!E57-'Assumptions'!E62*(1)-'Assumptions'!E67-(0))+('Working Capital'!$E$6))*'DCF'!E12/(1+('DCF'!$E$6))^'DCF'!E13,(('Historical Inputs'!$N$9*(1+(F34))^2)*(('Assumptions'!F37+(0))*(1-'Assumptions'!F42-(0))+'Assumptions'!F47-'Assumptions'!F52*(1)+'Assumptions'!F57-'Assumptions'!F62*(1)-'Assumptions'!F67-(0))+(('Historical Inputs'!$N$9*(1+(F34))^1)*('Assumptions'!E67+(0))))*'DCF'!F12/(1+('DCF'!$E$6))^'DCF'!F13,(('Historical Inputs'!$N$9*(1+(F34))^3)*(('Assumptions'!G37+(0))*(1-'Assumptions'!G42-(0))+'Assumptions'!G47-'Assumptions'!G52*(1)+'Assumptions'!G57-'Assumptions'!G62*(1)-'Assumptions'!G67-(0))+(('Historical Inputs'!$N$9*(1+(F34))^2)*('Assumptions'!F67+(0))))*'DCF'!G12/(1+('DCF'!$E$6))^'DCF'!G13,(('Historical Inputs'!$N$9*(1+(F34))^4)*(('Assumptions'!H37+(0))*(1-'Assumptions'!H42-(0))+'Assumptions'!H47-'Assumptions'!H52*(1)+'Assumptions'!H57-'Assumptions'!H62*(1)-'Assumptions'!H67-(0))+(('Historical Inputs'!$N$9*(1+(F34))^3)*('Assumptions'!G67+(0))))*'DCF'!H12/(1+('DCF'!$E$6))^'DCF'!H13,(('Historical Inputs'!$N$9*(1+(F34))^5)*(('Assumptions'!I37+(0))*(1-'Assumptions'!I42-(0))+'Assumptions'!I47-'Assumptions'!I52*(1)+'Assumptions'!I57-'Assumptions'!I62*(1)-'Assumptions'!I67-(0))+(('Historical Inputs'!$N$9*(1+(F34))^4)*('Assumptions'!H67+(0))))*'DCF'!I12/(1+('DCF'!$E$6))^'DCF'!I13)+('Historical Inputs'!$N$9*(1+(F34))^5)*(1+('DCF'!$E$7))*('Terminal Value'!$E$10+(0))*(1-'Assumptions'!$E$15-(0))*(1-('DCF'!$E$7)/('Terminal Value'!$E$12))/(('DCF'!$E$6)-('DCF'!$E$7))/(1+('DCF'!$E$6))^'DCF'!$E$19)
Review selected-case observations and Model Guide for definitions and held assumptions.</x:t>
        </x:r>
      </x:text>
    </x:comment>
    <x:comment ref="H34" authorId="0">
      <x:text>
        <x:r>
          <x:t>Reverse Growth. Formula: =G34-$E$9
Review selected-case observations and Model Guide for definitions and held assumptions.</x:t>
        </x:r>
      </x:text>
    </x:comment>
    <x:comment ref="C35" authorId="0">
      <x:text>
        <x:r>
          <x:t>Reverse Growth. Editable source or analyst input.
Review selected-case observations and Model Guide for definitions and held assumptions.</x:t>
        </x:r>
      </x:text>
    </x:comment>
    <x:comment ref="D35" authorId="0">
      <x:text>
        <x:r>
          <x:t>Reverse Growth. Formula: =IF(G34&lt;$E$9,F34,D34)
Review selected-case observations and Model Guide for definitions and held assumptions.</x:t>
        </x:r>
      </x:text>
    </x:comment>
    <x:comment ref="E35" authorId="0">
      <x:text>
        <x:r>
          <x:t>Reverse Growth. Formula: =IF(G34&lt;$E$9,E34,F34)
Review selected-case observations and Model Guide for definitions and held assumptions.</x:t>
        </x:r>
      </x:text>
    </x:comment>
    <x:comment ref="F35" authorId="0">
      <x:text>
        <x:r>
          <x:t>Reverse Growth. Formula: =(D35+E35)/2
Review selected-case observations and Model Guide for definitions and held assumptions.</x:t>
        </x:r>
      </x:text>
    </x:comment>
    <x:comment ref="G35" authorId="0">
      <x:text>
        <x:r>
          <x:t>Reverse Growth. Formula: =(SUM((('Historical Inputs'!$N$9*(1+(F35))^1)*(('Assumptions'!E37+(0))*(1-'Assumptions'!E42-(0))+'Assumptions'!E47-'Assumptions'!E52*(1)+'Assumptions'!E57-'Assumptions'!E62*(1)-'Assumptions'!E67-(0))+('Working Capital'!$E$6))*'DCF'!E12/(1+('DCF'!$E$6))^'DCF'!E13,(('Historical Inputs'!$N$9*(1+(F35))^2)*(('Assumptions'!F37+(0))*(1-'Assumptions'!F42-(0))+'Assumptions'!F47-'Assumptions'!F52*(1)+'Assumptions'!F57-'Assumptions'!F62*(1)-'Assumptions'!F67-(0))+(('Historical Inputs'!$N$9*(1+(F35))^1)*('Assumptions'!E67+(0))))*'DCF'!F12/(1+('DCF'!$E$6))^'DCF'!F13,(('Historical Inputs'!$N$9*(1+(F35))^3)*(('Assumptions'!G37+(0))*(1-'Assumptions'!G42-(0))+'Assumptions'!G47-'Assumptions'!G52*(1)+'Assumptions'!G57-'Assumptions'!G62*(1)-'Assumptions'!G67-(0))+(('Historical Inputs'!$N$9*(1+(F35))^2)*('Assumptions'!F67+(0))))*'DCF'!G12/(1+('DCF'!$E$6))^'DCF'!G13,(('Historical Inputs'!$N$9*(1+(F35))^4)*(('Assumptions'!H37+(0))*(1-'Assumptions'!H42-(0))+'Assumptions'!H47-'Assumptions'!H52*(1)+'Assumptions'!H57-'Assumptions'!H62*(1)-'Assumptions'!H67-(0))+(('Historical Inputs'!$N$9*(1+(F35))^3)*('Assumptions'!G67+(0))))*'DCF'!H12/(1+('DCF'!$E$6))^'DCF'!H13,(('Historical Inputs'!$N$9*(1+(F35))^5)*(('Assumptions'!I37+(0))*(1-'Assumptions'!I42-(0))+'Assumptions'!I47-'Assumptions'!I52*(1)+'Assumptions'!I57-'Assumptions'!I62*(1)-'Assumptions'!I67-(0))+(('Historical Inputs'!$N$9*(1+(F35))^4)*('Assumptions'!H67+(0))))*'DCF'!I12/(1+('DCF'!$E$6))^'DCF'!I13)+('Historical Inputs'!$N$9*(1+(F35))^5)*(1+('DCF'!$E$7))*('Terminal Value'!$E$10+(0))*(1-'Assumptions'!$E$15-(0))*(1-('DCF'!$E$7)/('Terminal Value'!$E$12))/(('DCF'!$E$6)-('DCF'!$E$7))/(1+('DCF'!$E$6))^'DCF'!$E$19)
Review selected-case observations and Model Guide for definitions and held assumptions.</x:t>
        </x:r>
      </x:text>
    </x:comment>
    <x:comment ref="H35" authorId="0">
      <x:text>
        <x:r>
          <x:t>Reverse Growth. Formula: =G35-$E$9
Review selected-case observations and Model Guide for definitions and held assumptions.</x:t>
        </x:r>
      </x:text>
    </x:comment>
    <x:comment ref="C36" authorId="0">
      <x:text>
        <x:r>
          <x:t>Reverse Growth. Editable source or analyst input.
Review selected-case observations and Model Guide for definitions and held assumptions.</x:t>
        </x:r>
      </x:text>
    </x:comment>
    <x:comment ref="D36" authorId="0">
      <x:text>
        <x:r>
          <x:t>Reverse Growth. Formula: =IF(G35&lt;$E$9,F35,D35)
Review selected-case observations and Model Guide for definitions and held assumptions.</x:t>
        </x:r>
      </x:text>
    </x:comment>
    <x:comment ref="E36" authorId="0">
      <x:text>
        <x:r>
          <x:t>Reverse Growth. Formula: =IF(G35&lt;$E$9,E35,F35)
Review selected-case observations and Model Guide for definitions and held assumptions.</x:t>
        </x:r>
      </x:text>
    </x:comment>
    <x:comment ref="F36" authorId="0">
      <x:text>
        <x:r>
          <x:t>Reverse Growth. Formula: =(D36+E36)/2
Review selected-case observations and Model Guide for definitions and held assumptions.</x:t>
        </x:r>
      </x:text>
    </x:comment>
    <x:comment ref="G36" authorId="0">
      <x:text>
        <x:r>
          <x:t>Reverse Growth. Formula: =(SUM((('Historical Inputs'!$N$9*(1+(F36))^1)*(('Assumptions'!E37+(0))*(1-'Assumptions'!E42-(0))+'Assumptions'!E47-'Assumptions'!E52*(1)+'Assumptions'!E57-'Assumptions'!E62*(1)-'Assumptions'!E67-(0))+('Working Capital'!$E$6))*'DCF'!E12/(1+('DCF'!$E$6))^'DCF'!E13,(('Historical Inputs'!$N$9*(1+(F36))^2)*(('Assumptions'!F37+(0))*(1-'Assumptions'!F42-(0))+'Assumptions'!F47-'Assumptions'!F52*(1)+'Assumptions'!F57-'Assumptions'!F62*(1)-'Assumptions'!F67-(0))+(('Historical Inputs'!$N$9*(1+(F36))^1)*('Assumptions'!E67+(0))))*'DCF'!F12/(1+('DCF'!$E$6))^'DCF'!F13,(('Historical Inputs'!$N$9*(1+(F36))^3)*(('Assumptions'!G37+(0))*(1-'Assumptions'!G42-(0))+'Assumptions'!G47-'Assumptions'!G52*(1)+'Assumptions'!G57-'Assumptions'!G62*(1)-'Assumptions'!G67-(0))+(('Historical Inputs'!$N$9*(1+(F36))^2)*('Assumptions'!F67+(0))))*'DCF'!G12/(1+('DCF'!$E$6))^'DCF'!G13,(('Historical Inputs'!$N$9*(1+(F36))^4)*(('Assumptions'!H37+(0))*(1-'Assumptions'!H42-(0))+'Assumptions'!H47-'Assumptions'!H52*(1)+'Assumptions'!H57-'Assumptions'!H62*(1)-'Assumptions'!H67-(0))+(('Historical Inputs'!$N$9*(1+(F36))^3)*('Assumptions'!G67+(0))))*'DCF'!H12/(1+('DCF'!$E$6))^'DCF'!H13,(('Historical Inputs'!$N$9*(1+(F36))^5)*(('Assumptions'!I37+(0))*(1-'Assumptions'!I42-(0))+'Assumptions'!I47-'Assumptions'!I52*(1)+'Assumptions'!I57-'Assumptions'!I62*(1)-'Assumptions'!I67-(0))+(('Historical Inputs'!$N$9*(1+(F36))^4)*('Assumptions'!H67+(0))))*'DCF'!I12/(1+('DCF'!$E$6))^'DCF'!I13)+('Historical Inputs'!$N$9*(1+(F36))^5)*(1+('DCF'!$E$7))*('Terminal Value'!$E$10+(0))*(1-'Assumptions'!$E$15-(0))*(1-('DCF'!$E$7)/('Terminal Value'!$E$12))/(('DCF'!$E$6)-('DCF'!$E$7))/(1+('DCF'!$E$6))^'DCF'!$E$19)
Review selected-case observations and Model Guide for definitions and held assumptions.</x:t>
        </x:r>
      </x:text>
    </x:comment>
    <x:comment ref="H36" authorId="0">
      <x:text>
        <x:r>
          <x:t>Reverse Growth. Formula: =G36-$E$9
Review selected-case observations and Model Guide for definitions and held assumptions.</x:t>
        </x:r>
      </x:text>
    </x:comment>
    <x:comment ref="C37" authorId="0">
      <x:text>
        <x:r>
          <x:t>Reverse Growth. Editable source or analyst input.
Review selected-case observations and Model Guide for definitions and held assumptions.</x:t>
        </x:r>
      </x:text>
    </x:comment>
    <x:comment ref="D37" authorId="0">
      <x:text>
        <x:r>
          <x:t>Reverse Growth. Formula: =IF(G36&lt;$E$9,F36,D36)
Review selected-case observations and Model Guide for definitions and held assumptions.</x:t>
        </x:r>
      </x:text>
    </x:comment>
    <x:comment ref="E37" authorId="0">
      <x:text>
        <x:r>
          <x:t>Reverse Growth. Formula: =IF(G36&lt;$E$9,E36,F36)
Review selected-case observations and Model Guide for definitions and held assumptions.</x:t>
        </x:r>
      </x:text>
    </x:comment>
    <x:comment ref="F37" authorId="0">
      <x:text>
        <x:r>
          <x:t>Reverse Growth. Formula: =(D37+E37)/2
Review selected-case observations and Model Guide for definitions and held assumptions.</x:t>
        </x:r>
      </x:text>
    </x:comment>
    <x:comment ref="G37" authorId="0">
      <x:text>
        <x:r>
          <x:t>Reverse Growth. Formula: =(SUM((('Historical Inputs'!$N$9*(1+(F37))^1)*(('Assumptions'!E37+(0))*(1-'Assumptions'!E42-(0))+'Assumptions'!E47-'Assumptions'!E52*(1)+'Assumptions'!E57-'Assumptions'!E62*(1)-'Assumptions'!E67-(0))+('Working Capital'!$E$6))*'DCF'!E12/(1+('DCF'!$E$6))^'DCF'!E13,(('Historical Inputs'!$N$9*(1+(F37))^2)*(('Assumptions'!F37+(0))*(1-'Assumptions'!F42-(0))+'Assumptions'!F47-'Assumptions'!F52*(1)+'Assumptions'!F57-'Assumptions'!F62*(1)-'Assumptions'!F67-(0))+(('Historical Inputs'!$N$9*(1+(F37))^1)*('Assumptions'!E67+(0))))*'DCF'!F12/(1+('DCF'!$E$6))^'DCF'!F13,(('Historical Inputs'!$N$9*(1+(F37))^3)*(('Assumptions'!G37+(0))*(1-'Assumptions'!G42-(0))+'Assumptions'!G47-'Assumptions'!G52*(1)+'Assumptions'!G57-'Assumptions'!G62*(1)-'Assumptions'!G67-(0))+(('Historical Inputs'!$N$9*(1+(F37))^2)*('Assumptions'!F67+(0))))*'DCF'!G12/(1+('DCF'!$E$6))^'DCF'!G13,(('Historical Inputs'!$N$9*(1+(F37))^4)*(('Assumptions'!H37+(0))*(1-'Assumptions'!H42-(0))+'Assumptions'!H47-'Assumptions'!H52*(1)+'Assumptions'!H57-'Assumptions'!H62*(1)-'Assumptions'!H67-(0))+(('Historical Inputs'!$N$9*(1+(F37))^3)*('Assumptions'!G67+(0))))*'DCF'!H12/(1+('DCF'!$E$6))^'DCF'!H13,(('Historical Inputs'!$N$9*(1+(F37))^5)*(('Assumptions'!I37+(0))*(1-'Assumptions'!I42-(0))+'Assumptions'!I47-'Assumptions'!I52*(1)+'Assumptions'!I57-'Assumptions'!I62*(1)-'Assumptions'!I67-(0))+(('Historical Inputs'!$N$9*(1+(F37))^4)*('Assumptions'!H67+(0))))*'DCF'!I12/(1+('DCF'!$E$6))^'DCF'!I13)+('Historical Inputs'!$N$9*(1+(F37))^5)*(1+('DCF'!$E$7))*('Terminal Value'!$E$10+(0))*(1-'Assumptions'!$E$15-(0))*(1-('DCF'!$E$7)/('Terminal Value'!$E$12))/(('DCF'!$E$6)-('DCF'!$E$7))/(1+('DCF'!$E$6))^'DCF'!$E$19)
Review selected-case observations and Model Guide for definitions and held assumptions.</x:t>
        </x:r>
      </x:text>
    </x:comment>
    <x:comment ref="H37" authorId="0">
      <x:text>
        <x:r>
          <x:t>Reverse Growth. Formula: =G37-$E$9
Review selected-case observations and Model Guide for definitions and held assumptions.</x:t>
        </x:r>
      </x:text>
    </x:comment>
    <x:comment ref="C38" authorId="0">
      <x:text>
        <x:r>
          <x:t>Reverse Growth. Editable source or analyst input.
Review selected-case observations and Model Guide for definitions and held assumptions.</x:t>
        </x:r>
      </x:text>
    </x:comment>
    <x:comment ref="D38" authorId="0">
      <x:text>
        <x:r>
          <x:t>Reverse Growth. Formula: =IF(G37&lt;$E$9,F37,D37)
Review selected-case observations and Model Guide for definitions and held assumptions.</x:t>
        </x:r>
      </x:text>
    </x:comment>
    <x:comment ref="E38" authorId="0">
      <x:text>
        <x:r>
          <x:t>Reverse Growth. Formula: =IF(G37&lt;$E$9,E37,F37)
Review selected-case observations and Model Guide for definitions and held assumptions.</x:t>
        </x:r>
      </x:text>
    </x:comment>
    <x:comment ref="F38" authorId="0">
      <x:text>
        <x:r>
          <x:t>Reverse Growth. Formula: =(D38+E38)/2
Review selected-case observations and Model Guide for definitions and held assumptions.</x:t>
        </x:r>
      </x:text>
    </x:comment>
    <x:comment ref="G38" authorId="0">
      <x:text>
        <x:r>
          <x:t>Reverse Growth. Formula: =(SUM((('Historical Inputs'!$N$9*(1+(F38))^1)*(('Assumptions'!E37+(0))*(1-'Assumptions'!E42-(0))+'Assumptions'!E47-'Assumptions'!E52*(1)+'Assumptions'!E57-'Assumptions'!E62*(1)-'Assumptions'!E67-(0))+('Working Capital'!$E$6))*'DCF'!E12/(1+('DCF'!$E$6))^'DCF'!E13,(('Historical Inputs'!$N$9*(1+(F38))^2)*(('Assumptions'!F37+(0))*(1-'Assumptions'!F42-(0))+'Assumptions'!F47-'Assumptions'!F52*(1)+'Assumptions'!F57-'Assumptions'!F62*(1)-'Assumptions'!F67-(0))+(('Historical Inputs'!$N$9*(1+(F38))^1)*('Assumptions'!E67+(0))))*'DCF'!F12/(1+('DCF'!$E$6))^'DCF'!F13,(('Historical Inputs'!$N$9*(1+(F38))^3)*(('Assumptions'!G37+(0))*(1-'Assumptions'!G42-(0))+'Assumptions'!G47-'Assumptions'!G52*(1)+'Assumptions'!G57-'Assumptions'!G62*(1)-'Assumptions'!G67-(0))+(('Historical Inputs'!$N$9*(1+(F38))^2)*('Assumptions'!F67+(0))))*'DCF'!G12/(1+('DCF'!$E$6))^'DCF'!G13,(('Historical Inputs'!$N$9*(1+(F38))^4)*(('Assumptions'!H37+(0))*(1-'Assumptions'!H42-(0))+'Assumptions'!H47-'Assumptions'!H52*(1)+'Assumptions'!H57-'Assumptions'!H62*(1)-'Assumptions'!H67-(0))+(('Historical Inputs'!$N$9*(1+(F38))^3)*('Assumptions'!G67+(0))))*'DCF'!H12/(1+('DCF'!$E$6))^'DCF'!H13,(('Historical Inputs'!$N$9*(1+(F38))^5)*(('Assumptions'!I37+(0))*(1-'Assumptions'!I42-(0))+'Assumptions'!I47-'Assumptions'!I52*(1)+'Assumptions'!I57-'Assumptions'!I62*(1)-'Assumptions'!I67-(0))+(('Historical Inputs'!$N$9*(1+(F38))^4)*('Assumptions'!H67+(0))))*'DCF'!I12/(1+('DCF'!$E$6))^'DCF'!I13)+('Historical Inputs'!$N$9*(1+(F38))^5)*(1+('DCF'!$E$7))*('Terminal Value'!$E$10+(0))*(1-'Assumptions'!$E$15-(0))*(1-('DCF'!$E$7)/('Terminal Value'!$E$12))/(('DCF'!$E$6)-('DCF'!$E$7))/(1+('DCF'!$E$6))^'DCF'!$E$19)
Review selected-case observations and Model Guide for definitions and held assumptions.</x:t>
        </x:r>
      </x:text>
    </x:comment>
    <x:comment ref="H38" authorId="0">
      <x:text>
        <x:r>
          <x:t>Reverse Growth. Formula: =G38-$E$9
Review selected-case observations and Model Guide for definitions and held assumptions.</x:t>
        </x:r>
      </x:text>
    </x:comment>
    <x:comment ref="C39" authorId="0">
      <x:text>
        <x:r>
          <x:t>Reverse Growth. Editable source or analyst input.
Review selected-case observations and Model Guide for definitions and held assumptions.</x:t>
        </x:r>
      </x:text>
    </x:comment>
    <x:comment ref="D39" authorId="0">
      <x:text>
        <x:r>
          <x:t>Reverse Growth. Formula: =IF(G38&lt;$E$9,F38,D38)
Review selected-case observations and Model Guide for definitions and held assumptions.</x:t>
        </x:r>
      </x:text>
    </x:comment>
    <x:comment ref="E39" authorId="0">
      <x:text>
        <x:r>
          <x:t>Reverse Growth. Formula: =IF(G38&lt;$E$9,E38,F38)
Review selected-case observations and Model Guide for definitions and held assumptions.</x:t>
        </x:r>
      </x:text>
    </x:comment>
    <x:comment ref="F39" authorId="0">
      <x:text>
        <x:r>
          <x:t>Reverse Growth. Formula: =(D39+E39)/2
Review selected-case observations and Model Guide for definitions and held assumptions.</x:t>
        </x:r>
      </x:text>
    </x:comment>
    <x:comment ref="G39" authorId="0">
      <x:text>
        <x:r>
          <x:t>Reverse Growth. Formula: =(SUM((('Historical Inputs'!$N$9*(1+(F39))^1)*(('Assumptions'!E37+(0))*(1-'Assumptions'!E42-(0))+'Assumptions'!E47-'Assumptions'!E52*(1)+'Assumptions'!E57-'Assumptions'!E62*(1)-'Assumptions'!E67-(0))+('Working Capital'!$E$6))*'DCF'!E12/(1+('DCF'!$E$6))^'DCF'!E13,(('Historical Inputs'!$N$9*(1+(F39))^2)*(('Assumptions'!F37+(0))*(1-'Assumptions'!F42-(0))+'Assumptions'!F47-'Assumptions'!F52*(1)+'Assumptions'!F57-'Assumptions'!F62*(1)-'Assumptions'!F67-(0))+(('Historical Inputs'!$N$9*(1+(F39))^1)*('Assumptions'!E67+(0))))*'DCF'!F12/(1+('DCF'!$E$6))^'DCF'!F13,(('Historical Inputs'!$N$9*(1+(F39))^3)*(('Assumptions'!G37+(0))*(1-'Assumptions'!G42-(0))+'Assumptions'!G47-'Assumptions'!G52*(1)+'Assumptions'!G57-'Assumptions'!G62*(1)-'Assumptions'!G67-(0))+(('Historical Inputs'!$N$9*(1+(F39))^2)*('Assumptions'!F67+(0))))*'DCF'!G12/(1+('DCF'!$E$6))^'DCF'!G13,(('Historical Inputs'!$N$9*(1+(F39))^4)*(('Assumptions'!H37+(0))*(1-'Assumptions'!H42-(0))+'Assumptions'!H47-'Assumptions'!H52*(1)+'Assumptions'!H57-'Assumptions'!H62*(1)-'Assumptions'!H67-(0))+(('Historical Inputs'!$N$9*(1+(F39))^3)*('Assumptions'!G67+(0))))*'DCF'!H12/(1+('DCF'!$E$6))^'DCF'!H13,(('Historical Inputs'!$N$9*(1+(F39))^5)*(('Assumptions'!I37+(0))*(1-'Assumptions'!I42-(0))+'Assumptions'!I47-'Assumptions'!I52*(1)+'Assumptions'!I57-'Assumptions'!I62*(1)-'Assumptions'!I67-(0))+(('Historical Inputs'!$N$9*(1+(F39))^4)*('Assumptions'!H67+(0))))*'DCF'!I12/(1+('DCF'!$E$6))^'DCF'!I13)+('Historical Inputs'!$N$9*(1+(F39))^5)*(1+('DCF'!$E$7))*('Terminal Value'!$E$10+(0))*(1-'Assumptions'!$E$15-(0))*(1-('DCF'!$E$7)/('Terminal Value'!$E$12))/(('DCF'!$E$6)-('DCF'!$E$7))/(1+('DCF'!$E$6))^'DCF'!$E$19)
Review selected-case observations and Model Guide for definitions and held assumptions.</x:t>
        </x:r>
      </x:text>
    </x:comment>
    <x:comment ref="H39" authorId="0">
      <x:text>
        <x:r>
          <x:t>Reverse Growth. Formula: =G39-$E$9
Review selected-case observations and Model Guide for definitions and held assumptions.</x:t>
        </x:r>
      </x:text>
    </x:comment>
    <x:comment ref="C40" authorId="0">
      <x:text>
        <x:r>
          <x:t>Reverse Growth. Editable source or analyst input.
Review selected-case observations and Model Guide for definitions and held assumptions.</x:t>
        </x:r>
      </x:text>
    </x:comment>
    <x:comment ref="D40" authorId="0">
      <x:text>
        <x:r>
          <x:t>Reverse Growth. Formula: =IF(G39&lt;$E$9,F39,D39)
Review selected-case observations and Model Guide for definitions and held assumptions.</x:t>
        </x:r>
      </x:text>
    </x:comment>
    <x:comment ref="E40" authorId="0">
      <x:text>
        <x:r>
          <x:t>Reverse Growth. Formula: =IF(G39&lt;$E$9,E39,F39)
Review selected-case observations and Model Guide for definitions and held assumptions.</x:t>
        </x:r>
      </x:text>
    </x:comment>
    <x:comment ref="F40" authorId="0">
      <x:text>
        <x:r>
          <x:t>Reverse Growth. Formula: =(D40+E40)/2
Review selected-case observations and Model Guide for definitions and held assumptions.</x:t>
        </x:r>
      </x:text>
    </x:comment>
    <x:comment ref="G40" authorId="0">
      <x:text>
        <x:r>
          <x:t>Reverse Growth. Formula: =(SUM((('Historical Inputs'!$N$9*(1+(F40))^1)*(('Assumptions'!E37+(0))*(1-'Assumptions'!E42-(0))+'Assumptions'!E47-'Assumptions'!E52*(1)+'Assumptions'!E57-'Assumptions'!E62*(1)-'Assumptions'!E67-(0))+('Working Capital'!$E$6))*'DCF'!E12/(1+('DCF'!$E$6))^'DCF'!E13,(('Historical Inputs'!$N$9*(1+(F40))^2)*(('Assumptions'!F37+(0))*(1-'Assumptions'!F42-(0))+'Assumptions'!F47-'Assumptions'!F52*(1)+'Assumptions'!F57-'Assumptions'!F62*(1)-'Assumptions'!F67-(0))+(('Historical Inputs'!$N$9*(1+(F40))^1)*('Assumptions'!E67+(0))))*'DCF'!F12/(1+('DCF'!$E$6))^'DCF'!F13,(('Historical Inputs'!$N$9*(1+(F40))^3)*(('Assumptions'!G37+(0))*(1-'Assumptions'!G42-(0))+'Assumptions'!G47-'Assumptions'!G52*(1)+'Assumptions'!G57-'Assumptions'!G62*(1)-'Assumptions'!G67-(0))+(('Historical Inputs'!$N$9*(1+(F40))^2)*('Assumptions'!F67+(0))))*'DCF'!G12/(1+('DCF'!$E$6))^'DCF'!G13,(('Historical Inputs'!$N$9*(1+(F40))^4)*(('Assumptions'!H37+(0))*(1-'Assumptions'!H42-(0))+'Assumptions'!H47-'Assumptions'!H52*(1)+'Assumptions'!H57-'Assumptions'!H62*(1)-'Assumptions'!H67-(0))+(('Historical Inputs'!$N$9*(1+(F40))^3)*('Assumptions'!G67+(0))))*'DCF'!H12/(1+('DCF'!$E$6))^'DCF'!H13,(('Historical Inputs'!$N$9*(1+(F40))^5)*(('Assumptions'!I37+(0))*(1-'Assumptions'!I42-(0))+'Assumptions'!I47-'Assumptions'!I52*(1)+'Assumptions'!I57-'Assumptions'!I62*(1)-'Assumptions'!I67-(0))+(('Historical Inputs'!$N$9*(1+(F40))^4)*('Assumptions'!H67+(0))))*'DCF'!I12/(1+('DCF'!$E$6))^'DCF'!I13)+('Historical Inputs'!$N$9*(1+(F40))^5)*(1+('DCF'!$E$7))*('Terminal Value'!$E$10+(0))*(1-'Assumptions'!$E$15-(0))*(1-('DCF'!$E$7)/('Terminal Value'!$E$12))/(('DCF'!$E$6)-('DCF'!$E$7))/(1+('DCF'!$E$6))^'DCF'!$E$19)
Review selected-case observations and Model Guide for definitions and held assumptions.</x:t>
        </x:r>
      </x:text>
    </x:comment>
    <x:comment ref="H40" authorId="0">
      <x:text>
        <x:r>
          <x:t>Reverse Growth. Formula: =G40-$E$9
Review selected-case observations and Model Guide for definitions and held assumptions.</x:t>
        </x:r>
      </x:text>
    </x:comment>
    <x:comment ref="C41" authorId="0">
      <x:text>
        <x:r>
          <x:t>Reverse Growth. Editable source or analyst input.
Review selected-case observations and Model Guide for definitions and held assumptions.</x:t>
        </x:r>
      </x:text>
    </x:comment>
    <x:comment ref="D41" authorId="0">
      <x:text>
        <x:r>
          <x:t>Reverse Growth. Formula: =IF(G40&lt;$E$9,F40,D40)
Review selected-case observations and Model Guide for definitions and held assumptions.</x:t>
        </x:r>
      </x:text>
    </x:comment>
    <x:comment ref="E41" authorId="0">
      <x:text>
        <x:r>
          <x:t>Reverse Growth. Formula: =IF(G40&lt;$E$9,E40,F40)
Review selected-case observations and Model Guide for definitions and held assumptions.</x:t>
        </x:r>
      </x:text>
    </x:comment>
    <x:comment ref="F41" authorId="0">
      <x:text>
        <x:r>
          <x:t>Reverse Growth. Formula: =(D41+E41)/2
Review selected-case observations and Model Guide for definitions and held assumptions.</x:t>
        </x:r>
      </x:text>
    </x:comment>
    <x:comment ref="G41" authorId="0">
      <x:text>
        <x:r>
          <x:t>Reverse Growth. Formula: =(SUM((('Historical Inputs'!$N$9*(1+(F41))^1)*(('Assumptions'!E37+(0))*(1-'Assumptions'!E42-(0))+'Assumptions'!E47-'Assumptions'!E52*(1)+'Assumptions'!E57-'Assumptions'!E62*(1)-'Assumptions'!E67-(0))+('Working Capital'!$E$6))*'DCF'!E12/(1+('DCF'!$E$6))^'DCF'!E13,(('Historical Inputs'!$N$9*(1+(F41))^2)*(('Assumptions'!F37+(0))*(1-'Assumptions'!F42-(0))+'Assumptions'!F47-'Assumptions'!F52*(1)+'Assumptions'!F57-'Assumptions'!F62*(1)-'Assumptions'!F67-(0))+(('Historical Inputs'!$N$9*(1+(F41))^1)*('Assumptions'!E67+(0))))*'DCF'!F12/(1+('DCF'!$E$6))^'DCF'!F13,(('Historical Inputs'!$N$9*(1+(F41))^3)*(('Assumptions'!G37+(0))*(1-'Assumptions'!G42-(0))+'Assumptions'!G47-'Assumptions'!G52*(1)+'Assumptions'!G57-'Assumptions'!G62*(1)-'Assumptions'!G67-(0))+(('Historical Inputs'!$N$9*(1+(F41))^2)*('Assumptions'!F67+(0))))*'DCF'!G12/(1+('DCF'!$E$6))^'DCF'!G13,(('Historical Inputs'!$N$9*(1+(F41))^4)*(('Assumptions'!H37+(0))*(1-'Assumptions'!H42-(0))+'Assumptions'!H47-'Assumptions'!H52*(1)+'Assumptions'!H57-'Assumptions'!H62*(1)-'Assumptions'!H67-(0))+(('Historical Inputs'!$N$9*(1+(F41))^3)*('Assumptions'!G67+(0))))*'DCF'!H12/(1+('DCF'!$E$6))^'DCF'!H13,(('Historical Inputs'!$N$9*(1+(F41))^5)*(('Assumptions'!I37+(0))*(1-'Assumptions'!I42-(0))+'Assumptions'!I47-'Assumptions'!I52*(1)+'Assumptions'!I57-'Assumptions'!I62*(1)-'Assumptions'!I67-(0))+(('Historical Inputs'!$N$9*(1+(F41))^4)*('Assumptions'!H67+(0))))*'DCF'!I12/(1+('DCF'!$E$6))^'DCF'!I13)+('Historical Inputs'!$N$9*(1+(F41))^5)*(1+('DCF'!$E$7))*('Terminal Value'!$E$10+(0))*(1-'Assumptions'!$E$15-(0))*(1-('DCF'!$E$7)/('Terminal Value'!$E$12))/(('DCF'!$E$6)-('DCF'!$E$7))/(1+('DCF'!$E$6))^'DCF'!$E$19)
Review selected-case observations and Model Guide for definitions and held assumptions.</x:t>
        </x:r>
      </x:text>
    </x:comment>
    <x:comment ref="H41" authorId="0">
      <x:text>
        <x:r>
          <x:t>Reverse Growth. Formula: =G41-$E$9
Review selected-case observations and Model Guide for definitions and held assumptions.</x:t>
        </x:r>
      </x:text>
    </x:comment>
    <x:comment ref="C42" authorId="0">
      <x:text>
        <x:r>
          <x:t>Reverse Growth. Editable source or analyst input.
Review selected-case observations and Model Guide for definitions and held assumptions.</x:t>
        </x:r>
      </x:text>
    </x:comment>
    <x:comment ref="D42" authorId="0">
      <x:text>
        <x:r>
          <x:t>Reverse Growth. Formula: =IF(G41&lt;$E$9,F41,D41)
Review selected-case observations and Model Guide for definitions and held assumptions.</x:t>
        </x:r>
      </x:text>
    </x:comment>
    <x:comment ref="E42" authorId="0">
      <x:text>
        <x:r>
          <x:t>Reverse Growth. Formula: =IF(G41&lt;$E$9,E41,F41)
Review selected-case observations and Model Guide for definitions and held assumptions.</x:t>
        </x:r>
      </x:text>
    </x:comment>
    <x:comment ref="F42" authorId="0">
      <x:text>
        <x:r>
          <x:t>Reverse Growth. Formula: =(D42+E42)/2
Review selected-case observations and Model Guide for definitions and held assumptions.</x:t>
        </x:r>
      </x:text>
    </x:comment>
    <x:comment ref="G42" authorId="0">
      <x:text>
        <x:r>
          <x:t>Reverse Growth. Formula: =(SUM((('Historical Inputs'!$N$9*(1+(F42))^1)*(('Assumptions'!E37+(0))*(1-'Assumptions'!E42-(0))+'Assumptions'!E47-'Assumptions'!E52*(1)+'Assumptions'!E57-'Assumptions'!E62*(1)-'Assumptions'!E67-(0))+('Working Capital'!$E$6))*'DCF'!E12/(1+('DCF'!$E$6))^'DCF'!E13,(('Historical Inputs'!$N$9*(1+(F42))^2)*(('Assumptions'!F37+(0))*(1-'Assumptions'!F42-(0))+'Assumptions'!F47-'Assumptions'!F52*(1)+'Assumptions'!F57-'Assumptions'!F62*(1)-'Assumptions'!F67-(0))+(('Historical Inputs'!$N$9*(1+(F42))^1)*('Assumptions'!E67+(0))))*'DCF'!F12/(1+('DCF'!$E$6))^'DCF'!F13,(('Historical Inputs'!$N$9*(1+(F42))^3)*(('Assumptions'!G37+(0))*(1-'Assumptions'!G42-(0))+'Assumptions'!G47-'Assumptions'!G52*(1)+'Assumptions'!G57-'Assumptions'!G62*(1)-'Assumptions'!G67-(0))+(('Historical Inputs'!$N$9*(1+(F42))^2)*('Assumptions'!F67+(0))))*'DCF'!G12/(1+('DCF'!$E$6))^'DCF'!G13,(('Historical Inputs'!$N$9*(1+(F42))^4)*(('Assumptions'!H37+(0))*(1-'Assumptions'!H42-(0))+'Assumptions'!H47-'Assumptions'!H52*(1)+'Assumptions'!H57-'Assumptions'!H62*(1)-'Assumptions'!H67-(0))+(('Historical Inputs'!$N$9*(1+(F42))^3)*('Assumptions'!G67+(0))))*'DCF'!H12/(1+('DCF'!$E$6))^'DCF'!H13,(('Historical Inputs'!$N$9*(1+(F42))^5)*(('Assumptions'!I37+(0))*(1-'Assumptions'!I42-(0))+'Assumptions'!I47-'Assumptions'!I52*(1)+'Assumptions'!I57-'Assumptions'!I62*(1)-'Assumptions'!I67-(0))+(('Historical Inputs'!$N$9*(1+(F42))^4)*('Assumptions'!H67+(0))))*'DCF'!I12/(1+('DCF'!$E$6))^'DCF'!I13)+('Historical Inputs'!$N$9*(1+(F42))^5)*(1+('DCF'!$E$7))*('Terminal Value'!$E$10+(0))*(1-'Assumptions'!$E$15-(0))*(1-('DCF'!$E$7)/('Terminal Value'!$E$12))/(('DCF'!$E$6)-('DCF'!$E$7))/(1+('DCF'!$E$6))^'DCF'!$E$19)
Review selected-case observations and Model Guide for definitions and held assumptions.</x:t>
        </x:r>
      </x:text>
    </x:comment>
    <x:comment ref="H42" authorId="0">
      <x:text>
        <x:r>
          <x:t>Reverse Growth. Formula: =G42-$E$9
Review selected-case observations and Model Guide for definitions and held assumptions.</x:t>
        </x:r>
      </x:text>
    </x:comment>
    <x:comment ref="C43" authorId="0">
      <x:text>
        <x:r>
          <x:t>Reverse Growth. Editable source or analyst input.
Review selected-case observations and Model Guide for definitions and held assumptions.</x:t>
        </x:r>
      </x:text>
    </x:comment>
    <x:comment ref="D43" authorId="0">
      <x:text>
        <x:r>
          <x:t>Reverse Growth. Formula: =IF(G42&lt;$E$9,F42,D42)
Review selected-case observations and Model Guide for definitions and held assumptions.</x:t>
        </x:r>
      </x:text>
    </x:comment>
    <x:comment ref="E43" authorId="0">
      <x:text>
        <x:r>
          <x:t>Reverse Growth. Formula: =IF(G42&lt;$E$9,E42,F42)
Review selected-case observations and Model Guide for definitions and held assumptions.</x:t>
        </x:r>
      </x:text>
    </x:comment>
    <x:comment ref="F43" authorId="0">
      <x:text>
        <x:r>
          <x:t>Reverse Growth. Formula: =(D43+E43)/2
Review selected-case observations and Model Guide for definitions and held assumptions.</x:t>
        </x:r>
      </x:text>
    </x:comment>
    <x:comment ref="G43" authorId="0">
      <x:text>
        <x:r>
          <x:t>Reverse Growth. Formula: =(SUM((('Historical Inputs'!$N$9*(1+(F43))^1)*(('Assumptions'!E37+(0))*(1-'Assumptions'!E42-(0))+'Assumptions'!E47-'Assumptions'!E52*(1)+'Assumptions'!E57-'Assumptions'!E62*(1)-'Assumptions'!E67-(0))+('Working Capital'!$E$6))*'DCF'!E12/(1+('DCF'!$E$6))^'DCF'!E13,(('Historical Inputs'!$N$9*(1+(F43))^2)*(('Assumptions'!F37+(0))*(1-'Assumptions'!F42-(0))+'Assumptions'!F47-'Assumptions'!F52*(1)+'Assumptions'!F57-'Assumptions'!F62*(1)-'Assumptions'!F67-(0))+(('Historical Inputs'!$N$9*(1+(F43))^1)*('Assumptions'!E67+(0))))*'DCF'!F12/(1+('DCF'!$E$6))^'DCF'!F13,(('Historical Inputs'!$N$9*(1+(F43))^3)*(('Assumptions'!G37+(0))*(1-'Assumptions'!G42-(0))+'Assumptions'!G47-'Assumptions'!G52*(1)+'Assumptions'!G57-'Assumptions'!G62*(1)-'Assumptions'!G67-(0))+(('Historical Inputs'!$N$9*(1+(F43))^2)*('Assumptions'!F67+(0))))*'DCF'!G12/(1+('DCF'!$E$6))^'DCF'!G13,(('Historical Inputs'!$N$9*(1+(F43))^4)*(('Assumptions'!H37+(0))*(1-'Assumptions'!H42-(0))+'Assumptions'!H47-'Assumptions'!H52*(1)+'Assumptions'!H57-'Assumptions'!H62*(1)-'Assumptions'!H67-(0))+(('Historical Inputs'!$N$9*(1+(F43))^3)*('Assumptions'!G67+(0))))*'DCF'!H12/(1+('DCF'!$E$6))^'DCF'!H13,(('Historical Inputs'!$N$9*(1+(F43))^5)*(('Assumptions'!I37+(0))*(1-'Assumptions'!I42-(0))+'Assumptions'!I47-'Assumptions'!I52*(1)+'Assumptions'!I57-'Assumptions'!I62*(1)-'Assumptions'!I67-(0))+(('Historical Inputs'!$N$9*(1+(F43))^4)*('Assumptions'!H67+(0))))*'DCF'!I12/(1+('DCF'!$E$6))^'DCF'!I13)+('Historical Inputs'!$N$9*(1+(F43))^5)*(1+('DCF'!$E$7))*('Terminal Value'!$E$10+(0))*(1-'Assumptions'!$E$15-(0))*(1-('DCF'!$E$7)/('Terminal Value'!$E$12))/(('DCF'!$E$6)-('DCF'!$E$7))/(1+('DCF'!$E$6))^'DCF'!$E$19)
Review selected-case observations and Model Guide for definitions and held assumptions.</x:t>
        </x:r>
      </x:text>
    </x:comment>
    <x:comment ref="H43" authorId="0">
      <x:text>
        <x:r>
          <x:t>Reverse Growth. Formula: =G43-$E$9
Review selected-case observations and Model Guide for definitions and held assumptions.</x:t>
        </x:r>
      </x:text>
    </x:comment>
    <x:comment ref="C44" authorId="0">
      <x:text>
        <x:r>
          <x:t>Reverse Growth. Editable source or analyst input.
Review selected-case observations and Model Guide for definitions and held assumptions.</x:t>
        </x:r>
      </x:text>
    </x:comment>
    <x:comment ref="D44" authorId="0">
      <x:text>
        <x:r>
          <x:t>Reverse Growth. Formula: =IF(G43&lt;$E$9,F43,D43)
Review selected-case observations and Model Guide for definitions and held assumptions.</x:t>
        </x:r>
      </x:text>
    </x:comment>
    <x:comment ref="E44" authorId="0">
      <x:text>
        <x:r>
          <x:t>Reverse Growth. Formula: =IF(G43&lt;$E$9,E43,F43)
Review selected-case observations and Model Guide for definitions and held assumptions.</x:t>
        </x:r>
      </x:text>
    </x:comment>
    <x:comment ref="F44" authorId="0">
      <x:text>
        <x:r>
          <x:t>Reverse Growth. Formula: =(D44+E44)/2
Review selected-case observations and Model Guide for definitions and held assumptions.</x:t>
        </x:r>
      </x:text>
    </x:comment>
    <x:comment ref="G44" authorId="0">
      <x:text>
        <x:r>
          <x:t>Reverse Growth. Formula: =(SUM((('Historical Inputs'!$N$9*(1+(F44))^1)*(('Assumptions'!E37+(0))*(1-'Assumptions'!E42-(0))+'Assumptions'!E47-'Assumptions'!E52*(1)+'Assumptions'!E57-'Assumptions'!E62*(1)-'Assumptions'!E67-(0))+('Working Capital'!$E$6))*'DCF'!E12/(1+('DCF'!$E$6))^'DCF'!E13,(('Historical Inputs'!$N$9*(1+(F44))^2)*(('Assumptions'!F37+(0))*(1-'Assumptions'!F42-(0))+'Assumptions'!F47-'Assumptions'!F52*(1)+'Assumptions'!F57-'Assumptions'!F62*(1)-'Assumptions'!F67-(0))+(('Historical Inputs'!$N$9*(1+(F44))^1)*('Assumptions'!E67+(0))))*'DCF'!F12/(1+('DCF'!$E$6))^'DCF'!F13,(('Historical Inputs'!$N$9*(1+(F44))^3)*(('Assumptions'!G37+(0))*(1-'Assumptions'!G42-(0))+'Assumptions'!G47-'Assumptions'!G52*(1)+'Assumptions'!G57-'Assumptions'!G62*(1)-'Assumptions'!G67-(0))+(('Historical Inputs'!$N$9*(1+(F44))^2)*('Assumptions'!F67+(0))))*'DCF'!G12/(1+('DCF'!$E$6))^'DCF'!G13,(('Historical Inputs'!$N$9*(1+(F44))^4)*(('Assumptions'!H37+(0))*(1-'Assumptions'!H42-(0))+'Assumptions'!H47-'Assumptions'!H52*(1)+'Assumptions'!H57-'Assumptions'!H62*(1)-'Assumptions'!H67-(0))+(('Historical Inputs'!$N$9*(1+(F44))^3)*('Assumptions'!G67+(0))))*'DCF'!H12/(1+('DCF'!$E$6))^'DCF'!H13,(('Historical Inputs'!$N$9*(1+(F44))^5)*(('Assumptions'!I37+(0))*(1-'Assumptions'!I42-(0))+'Assumptions'!I47-'Assumptions'!I52*(1)+'Assumptions'!I57-'Assumptions'!I62*(1)-'Assumptions'!I67-(0))+(('Historical Inputs'!$N$9*(1+(F44))^4)*('Assumptions'!H67+(0))))*'DCF'!I12/(1+('DCF'!$E$6))^'DCF'!I13)+('Historical Inputs'!$N$9*(1+(F44))^5)*(1+('DCF'!$E$7))*('Terminal Value'!$E$10+(0))*(1-'Assumptions'!$E$15-(0))*(1-('DCF'!$E$7)/('Terminal Value'!$E$12))/(('DCF'!$E$6)-('DCF'!$E$7))/(1+('DCF'!$E$6))^'DCF'!$E$19)
Review selected-case observations and Model Guide for definitions and held assumptions.</x:t>
        </x:r>
      </x:text>
    </x:comment>
    <x:comment ref="H44" authorId="0">
      <x:text>
        <x:r>
          <x:t>Reverse Growth. Formula: =G44-$E$9
Review selected-case observations and Model Guide for definitions and held assumptions.</x:t>
        </x:r>
      </x:text>
    </x:comment>
    <x:comment ref="C45" authorId="0">
      <x:text>
        <x:r>
          <x:t>Reverse Growth. Editable source or analyst input.
Review selected-case observations and Model Guide for definitions and held assumptions.</x:t>
        </x:r>
      </x:text>
    </x:comment>
    <x:comment ref="D45" authorId="0">
      <x:text>
        <x:r>
          <x:t>Reverse Growth. Formula: =IF(G44&lt;$E$9,F44,D44)
Review selected-case observations and Model Guide for definitions and held assumptions.</x:t>
        </x:r>
      </x:text>
    </x:comment>
    <x:comment ref="E45" authorId="0">
      <x:text>
        <x:r>
          <x:t>Reverse Growth. Formula: =IF(G44&lt;$E$9,E44,F44)
Review selected-case observations and Model Guide for definitions and held assumptions.</x:t>
        </x:r>
      </x:text>
    </x:comment>
    <x:comment ref="F45" authorId="0">
      <x:text>
        <x:r>
          <x:t>Reverse Growth. Formula: =(D45+E45)/2
Review selected-case observations and Model Guide for definitions and held assumptions.</x:t>
        </x:r>
      </x:text>
    </x:comment>
    <x:comment ref="G45" authorId="0">
      <x:text>
        <x:r>
          <x:t>Reverse Growth. Formula: =(SUM((('Historical Inputs'!$N$9*(1+(F45))^1)*(('Assumptions'!E37+(0))*(1-'Assumptions'!E42-(0))+'Assumptions'!E47-'Assumptions'!E52*(1)+'Assumptions'!E57-'Assumptions'!E62*(1)-'Assumptions'!E67-(0))+('Working Capital'!$E$6))*'DCF'!E12/(1+('DCF'!$E$6))^'DCF'!E13,(('Historical Inputs'!$N$9*(1+(F45))^2)*(('Assumptions'!F37+(0))*(1-'Assumptions'!F42-(0))+'Assumptions'!F47-'Assumptions'!F52*(1)+'Assumptions'!F57-'Assumptions'!F62*(1)-'Assumptions'!F67-(0))+(('Historical Inputs'!$N$9*(1+(F45))^1)*('Assumptions'!E67+(0))))*'DCF'!F12/(1+('DCF'!$E$6))^'DCF'!F13,(('Historical Inputs'!$N$9*(1+(F45))^3)*(('Assumptions'!G37+(0))*(1-'Assumptions'!G42-(0))+'Assumptions'!G47-'Assumptions'!G52*(1)+'Assumptions'!G57-'Assumptions'!G62*(1)-'Assumptions'!G67-(0))+(('Historical Inputs'!$N$9*(1+(F45))^2)*('Assumptions'!F67+(0))))*'DCF'!G12/(1+('DCF'!$E$6))^'DCF'!G13,(('Historical Inputs'!$N$9*(1+(F45))^4)*(('Assumptions'!H37+(0))*(1-'Assumptions'!H42-(0))+'Assumptions'!H47-'Assumptions'!H52*(1)+'Assumptions'!H57-'Assumptions'!H62*(1)-'Assumptions'!H67-(0))+(('Historical Inputs'!$N$9*(1+(F45))^3)*('Assumptions'!G67+(0))))*'DCF'!H12/(1+('DCF'!$E$6))^'DCF'!H13,(('Historical Inputs'!$N$9*(1+(F45))^5)*(('Assumptions'!I37+(0))*(1-'Assumptions'!I42-(0))+'Assumptions'!I47-'Assumptions'!I52*(1)+'Assumptions'!I57-'Assumptions'!I62*(1)-'Assumptions'!I67-(0))+(('Historical Inputs'!$N$9*(1+(F45))^4)*('Assumptions'!H67+(0))))*'DCF'!I12/(1+('DCF'!$E$6))^'DCF'!I13)+('Historical Inputs'!$N$9*(1+(F45))^5)*(1+('DCF'!$E$7))*('Terminal Value'!$E$10+(0))*(1-'Assumptions'!$E$15-(0))*(1-('DCF'!$E$7)/('Terminal Value'!$E$12))/(('DCF'!$E$6)-('DCF'!$E$7))/(1+('DCF'!$E$6))^'DCF'!$E$19)
Review selected-case observations and Model Guide for definitions and held assumptions.</x:t>
        </x:r>
      </x:text>
    </x:comment>
    <x:comment ref="H45" authorId="0">
      <x:text>
        <x:r>
          <x:t>Reverse Growth. Formula: =G45-$E$9
Review selected-case observations and Model Guide for definitions and held assumptions.</x:t>
        </x:r>
      </x:text>
    </x:comment>
    <x:comment ref="C46" authorId="0">
      <x:text>
        <x:r>
          <x:t>Reverse Growth. Editable source or analyst input.
Review selected-case observations and Model Guide for definitions and held assumptions.</x:t>
        </x:r>
      </x:text>
    </x:comment>
    <x:comment ref="D46" authorId="0">
      <x:text>
        <x:r>
          <x:t>Reverse Growth. Formula: =IF(G45&lt;$E$9,F45,D45)
Review selected-case observations and Model Guide for definitions and held assumptions.</x:t>
        </x:r>
      </x:text>
    </x:comment>
    <x:comment ref="E46" authorId="0">
      <x:text>
        <x:r>
          <x:t>Reverse Growth. Formula: =IF(G45&lt;$E$9,E45,F45)
Review selected-case observations and Model Guide for definitions and held assumptions.</x:t>
        </x:r>
      </x:text>
    </x:comment>
    <x:comment ref="F46" authorId="0">
      <x:text>
        <x:r>
          <x:t>Reverse Growth. Formula: =(D46+E46)/2
Review selected-case observations and Model Guide for definitions and held assumptions.</x:t>
        </x:r>
      </x:text>
    </x:comment>
    <x:comment ref="G46" authorId="0">
      <x:text>
        <x:r>
          <x:t>Reverse Growth. Formula: =(SUM((('Historical Inputs'!$N$9*(1+(F46))^1)*(('Assumptions'!E37+(0))*(1-'Assumptions'!E42-(0))+'Assumptions'!E47-'Assumptions'!E52*(1)+'Assumptions'!E57-'Assumptions'!E62*(1)-'Assumptions'!E67-(0))+('Working Capital'!$E$6))*'DCF'!E12/(1+('DCF'!$E$6))^'DCF'!E13,(('Historical Inputs'!$N$9*(1+(F46))^2)*(('Assumptions'!F37+(0))*(1-'Assumptions'!F42-(0))+'Assumptions'!F47-'Assumptions'!F52*(1)+'Assumptions'!F57-'Assumptions'!F62*(1)-'Assumptions'!F67-(0))+(('Historical Inputs'!$N$9*(1+(F46))^1)*('Assumptions'!E67+(0))))*'DCF'!F12/(1+('DCF'!$E$6))^'DCF'!F13,(('Historical Inputs'!$N$9*(1+(F46))^3)*(('Assumptions'!G37+(0))*(1-'Assumptions'!G42-(0))+'Assumptions'!G47-'Assumptions'!G52*(1)+'Assumptions'!G57-'Assumptions'!G62*(1)-'Assumptions'!G67-(0))+(('Historical Inputs'!$N$9*(1+(F46))^2)*('Assumptions'!F67+(0))))*'DCF'!G12/(1+('DCF'!$E$6))^'DCF'!G13,(('Historical Inputs'!$N$9*(1+(F46))^4)*(('Assumptions'!H37+(0))*(1-'Assumptions'!H42-(0))+'Assumptions'!H47-'Assumptions'!H52*(1)+'Assumptions'!H57-'Assumptions'!H62*(1)-'Assumptions'!H67-(0))+(('Historical Inputs'!$N$9*(1+(F46))^3)*('Assumptions'!G67+(0))))*'DCF'!H12/(1+('DCF'!$E$6))^'DCF'!H13,(('Historical Inputs'!$N$9*(1+(F46))^5)*(('Assumptions'!I37+(0))*(1-'Assumptions'!I42-(0))+'Assumptions'!I47-'Assumptions'!I52*(1)+'Assumptions'!I57-'Assumptions'!I62*(1)-'Assumptions'!I67-(0))+(('Historical Inputs'!$N$9*(1+(F46))^4)*('Assumptions'!H67+(0))))*'DCF'!I12/(1+('DCF'!$E$6))^'DCF'!I13)+('Historical Inputs'!$N$9*(1+(F46))^5)*(1+('DCF'!$E$7))*('Terminal Value'!$E$10+(0))*(1-'Assumptions'!$E$15-(0))*(1-('DCF'!$E$7)/('Terminal Value'!$E$12))/(('DCF'!$E$6)-('DCF'!$E$7))/(1+('DCF'!$E$6))^'DCF'!$E$19)
Review selected-case observations and Model Guide for definitions and held assumptions.</x:t>
        </x:r>
      </x:text>
    </x:comment>
    <x:comment ref="H46" authorId="0">
      <x:text>
        <x:r>
          <x:t>Reverse Growth. Formula: =G46-$E$9
Review selected-case observations and Model Guide for definitions and held assumptions.</x:t>
        </x:r>
      </x:text>
    </x:comment>
    <x:comment ref="C47" authorId="0">
      <x:text>
        <x:r>
          <x:t>Reverse Growth. Editable source or analyst input.
Review selected-case observations and Model Guide for definitions and held assumptions.</x:t>
        </x:r>
      </x:text>
    </x:comment>
    <x:comment ref="D47" authorId="0">
      <x:text>
        <x:r>
          <x:t>Reverse Growth. Formula: =IF(G46&lt;$E$9,F46,D46)
Review selected-case observations and Model Guide for definitions and held assumptions.</x:t>
        </x:r>
      </x:text>
    </x:comment>
    <x:comment ref="E47" authorId="0">
      <x:text>
        <x:r>
          <x:t>Reverse Growth. Formula: =IF(G46&lt;$E$9,E46,F46)
Review selected-case observations and Model Guide for definitions and held assumptions.</x:t>
        </x:r>
      </x:text>
    </x:comment>
    <x:comment ref="F47" authorId="0">
      <x:text>
        <x:r>
          <x:t>Reverse Growth. Formula: =(D47+E47)/2
Review selected-case observations and Model Guide for definitions and held assumptions.</x:t>
        </x:r>
      </x:text>
    </x:comment>
    <x:comment ref="G47" authorId="0">
      <x:text>
        <x:r>
          <x:t>Reverse Growth. Formula: =(SUM((('Historical Inputs'!$N$9*(1+(F47))^1)*(('Assumptions'!E37+(0))*(1-'Assumptions'!E42-(0))+'Assumptions'!E47-'Assumptions'!E52*(1)+'Assumptions'!E57-'Assumptions'!E62*(1)-'Assumptions'!E67-(0))+('Working Capital'!$E$6))*'DCF'!E12/(1+('DCF'!$E$6))^'DCF'!E13,(('Historical Inputs'!$N$9*(1+(F47))^2)*(('Assumptions'!F37+(0))*(1-'Assumptions'!F42-(0))+'Assumptions'!F47-'Assumptions'!F52*(1)+'Assumptions'!F57-'Assumptions'!F62*(1)-'Assumptions'!F67-(0))+(('Historical Inputs'!$N$9*(1+(F47))^1)*('Assumptions'!E67+(0))))*'DCF'!F12/(1+('DCF'!$E$6))^'DCF'!F13,(('Historical Inputs'!$N$9*(1+(F47))^3)*(('Assumptions'!G37+(0))*(1-'Assumptions'!G42-(0))+'Assumptions'!G47-'Assumptions'!G52*(1)+'Assumptions'!G57-'Assumptions'!G62*(1)-'Assumptions'!G67-(0))+(('Historical Inputs'!$N$9*(1+(F47))^2)*('Assumptions'!F67+(0))))*'DCF'!G12/(1+('DCF'!$E$6))^'DCF'!G13,(('Historical Inputs'!$N$9*(1+(F47))^4)*(('Assumptions'!H37+(0))*(1-'Assumptions'!H42-(0))+'Assumptions'!H47-'Assumptions'!H52*(1)+'Assumptions'!H57-'Assumptions'!H62*(1)-'Assumptions'!H67-(0))+(('Historical Inputs'!$N$9*(1+(F47))^3)*('Assumptions'!G67+(0))))*'DCF'!H12/(1+('DCF'!$E$6))^'DCF'!H13,(('Historical Inputs'!$N$9*(1+(F47))^5)*(('Assumptions'!I37+(0))*(1-'Assumptions'!I42-(0))+'Assumptions'!I47-'Assumptions'!I52*(1)+'Assumptions'!I57-'Assumptions'!I62*(1)-'Assumptions'!I67-(0))+(('Historical Inputs'!$N$9*(1+(F47))^4)*('Assumptions'!H67+(0))))*'DCF'!I12/(1+('DCF'!$E$6))^'DCF'!I13)+('Historical Inputs'!$N$9*(1+(F47))^5)*(1+('DCF'!$E$7))*('Terminal Value'!$E$10+(0))*(1-'Assumptions'!$E$15-(0))*(1-('DCF'!$E$7)/('Terminal Value'!$E$12))/(('DCF'!$E$6)-('DCF'!$E$7))/(1+('DCF'!$E$6))^'DCF'!$E$19)
Review selected-case observations and Model Guide for definitions and held assumptions.</x:t>
        </x:r>
      </x:text>
    </x:comment>
    <x:comment ref="H47" authorId="0">
      <x:text>
        <x:r>
          <x:t>Reverse Growth. Formula: =G47-$E$9
Review selected-case observations and Model Guide for definitions and held assumptions.</x:t>
        </x:r>
      </x:text>
    </x:comment>
    <x:comment ref="C48" authorId="0">
      <x:text>
        <x:r>
          <x:t>Reverse Growth. Editable source or analyst input.
Review selected-case observations and Model Guide for definitions and held assumptions.</x:t>
        </x:r>
      </x:text>
    </x:comment>
    <x:comment ref="D48" authorId="0">
      <x:text>
        <x:r>
          <x:t>Reverse Growth. Formula: =IF(G47&lt;$E$9,F47,D47)
Review selected-case observations and Model Guide for definitions and held assumptions.</x:t>
        </x:r>
      </x:text>
    </x:comment>
    <x:comment ref="E48" authorId="0">
      <x:text>
        <x:r>
          <x:t>Reverse Growth. Formula: =IF(G47&lt;$E$9,E47,F47)
Review selected-case observations and Model Guide for definitions and held assumptions.</x:t>
        </x:r>
      </x:text>
    </x:comment>
    <x:comment ref="F48" authorId="0">
      <x:text>
        <x:r>
          <x:t>Reverse Growth. Formula: =(D48+E48)/2
Review selected-case observations and Model Guide for definitions and held assumptions.</x:t>
        </x:r>
      </x:text>
    </x:comment>
    <x:comment ref="G48" authorId="0">
      <x:text>
        <x:r>
          <x:t>Reverse Growth. Formula: =(SUM((('Historical Inputs'!$N$9*(1+(F48))^1)*(('Assumptions'!E37+(0))*(1-'Assumptions'!E42-(0))+'Assumptions'!E47-'Assumptions'!E52*(1)+'Assumptions'!E57-'Assumptions'!E62*(1)-'Assumptions'!E67-(0))+('Working Capital'!$E$6))*'DCF'!E12/(1+('DCF'!$E$6))^'DCF'!E13,(('Historical Inputs'!$N$9*(1+(F48))^2)*(('Assumptions'!F37+(0))*(1-'Assumptions'!F42-(0))+'Assumptions'!F47-'Assumptions'!F52*(1)+'Assumptions'!F57-'Assumptions'!F62*(1)-'Assumptions'!F67-(0))+(('Historical Inputs'!$N$9*(1+(F48))^1)*('Assumptions'!E67+(0))))*'DCF'!F12/(1+('DCF'!$E$6))^'DCF'!F13,(('Historical Inputs'!$N$9*(1+(F48))^3)*(('Assumptions'!G37+(0))*(1-'Assumptions'!G42-(0))+'Assumptions'!G47-'Assumptions'!G52*(1)+'Assumptions'!G57-'Assumptions'!G62*(1)-'Assumptions'!G67-(0))+(('Historical Inputs'!$N$9*(1+(F48))^2)*('Assumptions'!F67+(0))))*'DCF'!G12/(1+('DCF'!$E$6))^'DCF'!G13,(('Historical Inputs'!$N$9*(1+(F48))^4)*(('Assumptions'!H37+(0))*(1-'Assumptions'!H42-(0))+'Assumptions'!H47-'Assumptions'!H52*(1)+'Assumptions'!H57-'Assumptions'!H62*(1)-'Assumptions'!H67-(0))+(('Historical Inputs'!$N$9*(1+(F48))^3)*('Assumptions'!G67+(0))))*'DCF'!H12/(1+('DCF'!$E$6))^'DCF'!H13,(('Historical Inputs'!$N$9*(1+(F48))^5)*(('Assumptions'!I37+(0))*(1-'Assumptions'!I42-(0))+'Assumptions'!I47-'Assumptions'!I52*(1)+'Assumptions'!I57-'Assumptions'!I62*(1)-'Assumptions'!I67-(0))+(('Historical Inputs'!$N$9*(1+(F48))^4)*('Assumptions'!H67+(0))))*'DCF'!I12/(1+('DCF'!$E$6))^'DCF'!I13)+('Historical Inputs'!$N$9*(1+(F48))^5)*(1+('DCF'!$E$7))*('Terminal Value'!$E$10+(0))*(1-'Assumptions'!$E$15-(0))*(1-('DCF'!$E$7)/('Terminal Value'!$E$12))/(('DCF'!$E$6)-('DCF'!$E$7))/(1+('DCF'!$E$6))^'DCF'!$E$19)
Review selected-case observations and Model Guide for definitions and held assumptions.</x:t>
        </x:r>
      </x:text>
    </x:comment>
    <x:comment ref="H48" authorId="0">
      <x:text>
        <x:r>
          <x:t>Reverse Growth. Formula: =G48-$E$9
Review selected-case observations and Model Guide for definitions and held assumptions.</x:t>
        </x:r>
      </x:text>
    </x:comment>
    <x:comment ref="C49" authorId="0">
      <x:text>
        <x:r>
          <x:t>Reverse Growth. Editable source or analyst input.
Review selected-case observations and Model Guide for definitions and held assumptions.</x:t>
        </x:r>
      </x:text>
    </x:comment>
    <x:comment ref="D49" authorId="0">
      <x:text>
        <x:r>
          <x:t>Reverse Growth. Formula: =IF(G48&lt;$E$9,F48,D48)
Review selected-case observations and Model Guide for definitions and held assumptions.</x:t>
        </x:r>
      </x:text>
    </x:comment>
    <x:comment ref="E49" authorId="0">
      <x:text>
        <x:r>
          <x:t>Reverse Growth. Formula: =IF(G48&lt;$E$9,E48,F48)
Review selected-case observations and Model Guide for definitions and held assumptions.</x:t>
        </x:r>
      </x:text>
    </x:comment>
    <x:comment ref="F49" authorId="0">
      <x:text>
        <x:r>
          <x:t>Reverse Growth. Formula: =(D49+E49)/2
Review selected-case observations and Model Guide for definitions and held assumptions.</x:t>
        </x:r>
      </x:text>
    </x:comment>
    <x:comment ref="G49" authorId="0">
      <x:text>
        <x:r>
          <x:t>Reverse Growth. Formula: =(SUM((('Historical Inputs'!$N$9*(1+(F49))^1)*(('Assumptions'!E37+(0))*(1-'Assumptions'!E42-(0))+'Assumptions'!E47-'Assumptions'!E52*(1)+'Assumptions'!E57-'Assumptions'!E62*(1)-'Assumptions'!E67-(0))+('Working Capital'!$E$6))*'DCF'!E12/(1+('DCF'!$E$6))^'DCF'!E13,(('Historical Inputs'!$N$9*(1+(F49))^2)*(('Assumptions'!F37+(0))*(1-'Assumptions'!F42-(0))+'Assumptions'!F47-'Assumptions'!F52*(1)+'Assumptions'!F57-'Assumptions'!F62*(1)-'Assumptions'!F67-(0))+(('Historical Inputs'!$N$9*(1+(F49))^1)*('Assumptions'!E67+(0))))*'DCF'!F12/(1+('DCF'!$E$6))^'DCF'!F13,(('Historical Inputs'!$N$9*(1+(F49))^3)*(('Assumptions'!G37+(0))*(1-'Assumptions'!G42-(0))+'Assumptions'!G47-'Assumptions'!G52*(1)+'Assumptions'!G57-'Assumptions'!G62*(1)-'Assumptions'!G67-(0))+(('Historical Inputs'!$N$9*(1+(F49))^2)*('Assumptions'!F67+(0))))*'DCF'!G12/(1+('DCF'!$E$6))^'DCF'!G13,(('Historical Inputs'!$N$9*(1+(F49))^4)*(('Assumptions'!H37+(0))*(1-'Assumptions'!H42-(0))+'Assumptions'!H47-'Assumptions'!H52*(1)+'Assumptions'!H57-'Assumptions'!H62*(1)-'Assumptions'!H67-(0))+(('Historical Inputs'!$N$9*(1+(F49))^3)*('Assumptions'!G67+(0))))*'DCF'!H12/(1+('DCF'!$E$6))^'DCF'!H13,(('Historical Inputs'!$N$9*(1+(F49))^5)*(('Assumptions'!I37+(0))*(1-'Assumptions'!I42-(0))+'Assumptions'!I47-'Assumptions'!I52*(1)+'Assumptions'!I57-'Assumptions'!I62*(1)-'Assumptions'!I67-(0))+(('Historical Inputs'!$N$9*(1+(F49))^4)*('Assumptions'!H67+(0))))*'DCF'!I12/(1+('DCF'!$E$6))^'DCF'!I13)+('Historical Inputs'!$N$9*(1+(F49))^5)*(1+('DCF'!$E$7))*('Terminal Value'!$E$10+(0))*(1-'Assumptions'!$E$15-(0))*(1-('DCF'!$E$7)/('Terminal Value'!$E$12))/(('DCF'!$E$6)-('DCF'!$E$7))/(1+('DCF'!$E$6))^'DCF'!$E$19)
Review selected-case observations and Model Guide for definitions and held assumptions.</x:t>
        </x:r>
      </x:text>
    </x:comment>
    <x:comment ref="H49" authorId="0">
      <x:text>
        <x:r>
          <x:t>Reverse Growth. Formula: =G49-$E$9
Review selected-case observations and Model Guide for definitions and held assumptions.</x:t>
        </x:r>
      </x:text>
    </x:comment>
    <x:comment ref="C50" authorId="0">
      <x:text>
        <x:r>
          <x:t>Reverse Growth. Editable source or analyst input.
Review selected-case observations and Model Guide for definitions and held assumptions.</x:t>
        </x:r>
      </x:text>
    </x:comment>
    <x:comment ref="D50" authorId="0">
      <x:text>
        <x:r>
          <x:t>Reverse Growth. Formula: =IF(G49&lt;$E$9,F49,D49)
Review selected-case observations and Model Guide for definitions and held assumptions.</x:t>
        </x:r>
      </x:text>
    </x:comment>
    <x:comment ref="E50" authorId="0">
      <x:text>
        <x:r>
          <x:t>Reverse Growth. Formula: =IF(G49&lt;$E$9,E49,F49)
Review selected-case observations and Model Guide for definitions and held assumptions.</x:t>
        </x:r>
      </x:text>
    </x:comment>
    <x:comment ref="F50" authorId="0">
      <x:text>
        <x:r>
          <x:t>Reverse Growth. Formula: =(D50+E50)/2
Review selected-case observations and Model Guide for definitions and held assumptions.</x:t>
        </x:r>
      </x:text>
    </x:comment>
    <x:comment ref="G50" authorId="0">
      <x:text>
        <x:r>
          <x:t>Reverse Growth. Formula: =(SUM((('Historical Inputs'!$N$9*(1+(F50))^1)*(('Assumptions'!E37+(0))*(1-'Assumptions'!E42-(0))+'Assumptions'!E47-'Assumptions'!E52*(1)+'Assumptions'!E57-'Assumptions'!E62*(1)-'Assumptions'!E67-(0))+('Working Capital'!$E$6))*'DCF'!E12/(1+('DCF'!$E$6))^'DCF'!E13,(('Historical Inputs'!$N$9*(1+(F50))^2)*(('Assumptions'!F37+(0))*(1-'Assumptions'!F42-(0))+'Assumptions'!F47-'Assumptions'!F52*(1)+'Assumptions'!F57-'Assumptions'!F62*(1)-'Assumptions'!F67-(0))+(('Historical Inputs'!$N$9*(1+(F50))^1)*('Assumptions'!E67+(0))))*'DCF'!F12/(1+('DCF'!$E$6))^'DCF'!F13,(('Historical Inputs'!$N$9*(1+(F50))^3)*(('Assumptions'!G37+(0))*(1-'Assumptions'!G42-(0))+'Assumptions'!G47-'Assumptions'!G52*(1)+'Assumptions'!G57-'Assumptions'!G62*(1)-'Assumptions'!G67-(0))+(('Historical Inputs'!$N$9*(1+(F50))^2)*('Assumptions'!F67+(0))))*'DCF'!G12/(1+('DCF'!$E$6))^'DCF'!G13,(('Historical Inputs'!$N$9*(1+(F50))^4)*(('Assumptions'!H37+(0))*(1-'Assumptions'!H42-(0))+'Assumptions'!H47-'Assumptions'!H52*(1)+'Assumptions'!H57-'Assumptions'!H62*(1)-'Assumptions'!H67-(0))+(('Historical Inputs'!$N$9*(1+(F50))^3)*('Assumptions'!G67+(0))))*'DCF'!H12/(1+('DCF'!$E$6))^'DCF'!H13,(('Historical Inputs'!$N$9*(1+(F50))^5)*(('Assumptions'!I37+(0))*(1-'Assumptions'!I42-(0))+'Assumptions'!I47-'Assumptions'!I52*(1)+'Assumptions'!I57-'Assumptions'!I62*(1)-'Assumptions'!I67-(0))+(('Historical Inputs'!$N$9*(1+(F50))^4)*('Assumptions'!H67+(0))))*'DCF'!I12/(1+('DCF'!$E$6))^'DCF'!I13)+('Historical Inputs'!$N$9*(1+(F50))^5)*(1+('DCF'!$E$7))*('Terminal Value'!$E$10+(0))*(1-'Assumptions'!$E$15-(0))*(1-('DCF'!$E$7)/('Terminal Value'!$E$12))/(('DCF'!$E$6)-('DCF'!$E$7))/(1+('DCF'!$E$6))^'DCF'!$E$19)
Review selected-case observations and Model Guide for definitions and held assumptions.</x:t>
        </x:r>
      </x:text>
    </x:comment>
    <x:comment ref="H50" authorId="0">
      <x:text>
        <x:r>
          <x:t>Reverse Growth. Formula: =G50-$E$9
Review selected-case observations and Model Guide for definitions and held assumptions.</x:t>
        </x:r>
      </x:text>
    </x:comment>
    <x:comment ref="C51" authorId="0">
      <x:text>
        <x:r>
          <x:t>Reverse Growth. Editable source or analyst input.
Review selected-case observations and Model Guide for definitions and held assumptions.</x:t>
        </x:r>
      </x:text>
    </x:comment>
    <x:comment ref="D51" authorId="0">
      <x:text>
        <x:r>
          <x:t>Reverse Growth. Formula: =IF(G50&lt;$E$9,F50,D50)
Review selected-case observations and Model Guide for definitions and held assumptions.</x:t>
        </x:r>
      </x:text>
    </x:comment>
    <x:comment ref="E51" authorId="0">
      <x:text>
        <x:r>
          <x:t>Reverse Growth. Formula: =IF(G50&lt;$E$9,E50,F50)
Review selected-case observations and Model Guide for definitions and held assumptions.</x:t>
        </x:r>
      </x:text>
    </x:comment>
    <x:comment ref="F51" authorId="0">
      <x:text>
        <x:r>
          <x:t>Reverse Growth. Formula: =(D51+E51)/2
Review selected-case observations and Model Guide for definitions and held assumptions.</x:t>
        </x:r>
      </x:text>
    </x:comment>
    <x:comment ref="G51" authorId="0">
      <x:text>
        <x:r>
          <x:t>Reverse Growth. Formula: =(SUM((('Historical Inputs'!$N$9*(1+(F51))^1)*(('Assumptions'!E37+(0))*(1-'Assumptions'!E42-(0))+'Assumptions'!E47-'Assumptions'!E52*(1)+'Assumptions'!E57-'Assumptions'!E62*(1)-'Assumptions'!E67-(0))+('Working Capital'!$E$6))*'DCF'!E12/(1+('DCF'!$E$6))^'DCF'!E13,(('Historical Inputs'!$N$9*(1+(F51))^2)*(('Assumptions'!F37+(0))*(1-'Assumptions'!F42-(0))+'Assumptions'!F47-'Assumptions'!F52*(1)+'Assumptions'!F57-'Assumptions'!F62*(1)-'Assumptions'!F67-(0))+(('Historical Inputs'!$N$9*(1+(F51))^1)*('Assumptions'!E67+(0))))*'DCF'!F12/(1+('DCF'!$E$6))^'DCF'!F13,(('Historical Inputs'!$N$9*(1+(F51))^3)*(('Assumptions'!G37+(0))*(1-'Assumptions'!G42-(0))+'Assumptions'!G47-'Assumptions'!G52*(1)+'Assumptions'!G57-'Assumptions'!G62*(1)-'Assumptions'!G67-(0))+(('Historical Inputs'!$N$9*(1+(F51))^2)*('Assumptions'!F67+(0))))*'DCF'!G12/(1+('DCF'!$E$6))^'DCF'!G13,(('Historical Inputs'!$N$9*(1+(F51))^4)*(('Assumptions'!H37+(0))*(1-'Assumptions'!H42-(0))+'Assumptions'!H47-'Assumptions'!H52*(1)+'Assumptions'!H57-'Assumptions'!H62*(1)-'Assumptions'!H67-(0))+(('Historical Inputs'!$N$9*(1+(F51))^3)*('Assumptions'!G67+(0))))*'DCF'!H12/(1+('DCF'!$E$6))^'DCF'!H13,(('Historical Inputs'!$N$9*(1+(F51))^5)*(('Assumptions'!I37+(0))*(1-'Assumptions'!I42-(0))+'Assumptions'!I47-'Assumptions'!I52*(1)+'Assumptions'!I57-'Assumptions'!I62*(1)-'Assumptions'!I67-(0))+(('Historical Inputs'!$N$9*(1+(F51))^4)*('Assumptions'!H67+(0))))*'DCF'!I12/(1+('DCF'!$E$6))^'DCF'!I13)+('Historical Inputs'!$N$9*(1+(F51))^5)*(1+('DCF'!$E$7))*('Terminal Value'!$E$10+(0))*(1-'Assumptions'!$E$15-(0))*(1-('DCF'!$E$7)/('Terminal Value'!$E$12))/(('DCF'!$E$6)-('DCF'!$E$7))/(1+('DCF'!$E$6))^'DCF'!$E$19)
Review selected-case observations and Model Guide for definitions and held assumptions.</x:t>
        </x:r>
      </x:text>
    </x:comment>
    <x:comment ref="H51" authorId="0">
      <x:text>
        <x:r>
          <x:t>Reverse Growth. Formula: =G51-$E$9
Review selected-case observations and Model Guide for definitions and held assumptions.</x:t>
        </x:r>
      </x:text>
    </x:comment>
    <x:comment ref="C52" authorId="0">
      <x:text>
        <x:r>
          <x:t>Reverse Growth. Editable source or analyst input.
Review selected-case observations and Model Guide for definitions and held assumptions.</x:t>
        </x:r>
      </x:text>
    </x:comment>
    <x:comment ref="D52" authorId="0">
      <x:text>
        <x:r>
          <x:t>Reverse Growth. Formula: =IF(G51&lt;$E$9,F51,D51)
Review selected-case observations and Model Guide for definitions and held assumptions.</x:t>
        </x:r>
      </x:text>
    </x:comment>
    <x:comment ref="E52" authorId="0">
      <x:text>
        <x:r>
          <x:t>Reverse Growth. Formula: =IF(G51&lt;$E$9,E51,F51)
Review selected-case observations and Model Guide for definitions and held assumptions.</x:t>
        </x:r>
      </x:text>
    </x:comment>
    <x:comment ref="F52" authorId="0">
      <x:text>
        <x:r>
          <x:t>Reverse Growth. Formula: =(D52+E52)/2
Review selected-case observations and Model Guide for definitions and held assumptions.</x:t>
        </x:r>
      </x:text>
    </x:comment>
    <x:comment ref="G52" authorId="0">
      <x:text>
        <x:r>
          <x:t>Reverse Growth. Formula: =(SUM((('Historical Inputs'!$N$9*(1+(F52))^1)*(('Assumptions'!E37+(0))*(1-'Assumptions'!E42-(0))+'Assumptions'!E47-'Assumptions'!E52*(1)+'Assumptions'!E57-'Assumptions'!E62*(1)-'Assumptions'!E67-(0))+('Working Capital'!$E$6))*'DCF'!E12/(1+('DCF'!$E$6))^'DCF'!E13,(('Historical Inputs'!$N$9*(1+(F52))^2)*(('Assumptions'!F37+(0))*(1-'Assumptions'!F42-(0))+'Assumptions'!F47-'Assumptions'!F52*(1)+'Assumptions'!F57-'Assumptions'!F62*(1)-'Assumptions'!F67-(0))+(('Historical Inputs'!$N$9*(1+(F52))^1)*('Assumptions'!E67+(0))))*'DCF'!F12/(1+('DCF'!$E$6))^'DCF'!F13,(('Historical Inputs'!$N$9*(1+(F52))^3)*(('Assumptions'!G37+(0))*(1-'Assumptions'!G42-(0))+'Assumptions'!G47-'Assumptions'!G52*(1)+'Assumptions'!G57-'Assumptions'!G62*(1)-'Assumptions'!G67-(0))+(('Historical Inputs'!$N$9*(1+(F52))^2)*('Assumptions'!F67+(0))))*'DCF'!G12/(1+('DCF'!$E$6))^'DCF'!G13,(('Historical Inputs'!$N$9*(1+(F52))^4)*(('Assumptions'!H37+(0))*(1-'Assumptions'!H42-(0))+'Assumptions'!H47-'Assumptions'!H52*(1)+'Assumptions'!H57-'Assumptions'!H62*(1)-'Assumptions'!H67-(0))+(('Historical Inputs'!$N$9*(1+(F52))^3)*('Assumptions'!G67+(0))))*'DCF'!H12/(1+('DCF'!$E$6))^'DCF'!H13,(('Historical Inputs'!$N$9*(1+(F52))^5)*(('Assumptions'!I37+(0))*(1-'Assumptions'!I42-(0))+'Assumptions'!I47-'Assumptions'!I52*(1)+'Assumptions'!I57-'Assumptions'!I62*(1)-'Assumptions'!I67-(0))+(('Historical Inputs'!$N$9*(1+(F52))^4)*('Assumptions'!H67+(0))))*'DCF'!I12/(1+('DCF'!$E$6))^'DCF'!I13)+('Historical Inputs'!$N$9*(1+(F52))^5)*(1+('DCF'!$E$7))*('Terminal Value'!$E$10+(0))*(1-'Assumptions'!$E$15-(0))*(1-('DCF'!$E$7)/('Terminal Value'!$E$12))/(('DCF'!$E$6)-('DCF'!$E$7))/(1+('DCF'!$E$6))^'DCF'!$E$19)
Review selected-case observations and Model Guide for definitions and held assumptions.</x:t>
        </x:r>
      </x:text>
    </x:comment>
    <x:comment ref="H52" authorId="0">
      <x:text>
        <x:r>
          <x:t>Reverse Growth. Formula: =G52-$E$9
Review selected-case observations and Model Guide for definitions and held assumptions.</x:t>
        </x:r>
      </x:text>
    </x:comment>
    <x:comment ref="C53" authorId="0">
      <x:text>
        <x:r>
          <x:t>Reverse Growth. Editable source or analyst input.
Review selected-case observations and Model Guide for definitions and held assumptions.</x:t>
        </x:r>
      </x:text>
    </x:comment>
    <x:comment ref="D53" authorId="0">
      <x:text>
        <x:r>
          <x:t>Reverse Growth. Formula: =IF(G52&lt;$E$9,F52,D52)
Review selected-case observations and Model Guide for definitions and held assumptions.</x:t>
        </x:r>
      </x:text>
    </x:comment>
    <x:comment ref="E53" authorId="0">
      <x:text>
        <x:r>
          <x:t>Reverse Growth. Formula: =IF(G52&lt;$E$9,E52,F52)
Review selected-case observations and Model Guide for definitions and held assumptions.</x:t>
        </x:r>
      </x:text>
    </x:comment>
    <x:comment ref="F53" authorId="0">
      <x:text>
        <x:r>
          <x:t>Reverse Growth. Formula: =(D53+E53)/2
Review selected-case observations and Model Guide for definitions and held assumptions.</x:t>
        </x:r>
      </x:text>
    </x:comment>
    <x:comment ref="G53" authorId="0">
      <x:text>
        <x:r>
          <x:t>Reverse Growth. Formula: =(SUM((('Historical Inputs'!$N$9*(1+(F53))^1)*(('Assumptions'!E37+(0))*(1-'Assumptions'!E42-(0))+'Assumptions'!E47-'Assumptions'!E52*(1)+'Assumptions'!E57-'Assumptions'!E62*(1)-'Assumptions'!E67-(0))+('Working Capital'!$E$6))*'DCF'!E12/(1+('DCF'!$E$6))^'DCF'!E13,(('Historical Inputs'!$N$9*(1+(F53))^2)*(('Assumptions'!F37+(0))*(1-'Assumptions'!F42-(0))+'Assumptions'!F47-'Assumptions'!F52*(1)+'Assumptions'!F57-'Assumptions'!F62*(1)-'Assumptions'!F67-(0))+(('Historical Inputs'!$N$9*(1+(F53))^1)*('Assumptions'!E67+(0))))*'DCF'!F12/(1+('DCF'!$E$6))^'DCF'!F13,(('Historical Inputs'!$N$9*(1+(F53))^3)*(('Assumptions'!G37+(0))*(1-'Assumptions'!G42-(0))+'Assumptions'!G47-'Assumptions'!G52*(1)+'Assumptions'!G57-'Assumptions'!G62*(1)-'Assumptions'!G67-(0))+(('Historical Inputs'!$N$9*(1+(F53))^2)*('Assumptions'!F67+(0))))*'DCF'!G12/(1+('DCF'!$E$6))^'DCF'!G13,(('Historical Inputs'!$N$9*(1+(F53))^4)*(('Assumptions'!H37+(0))*(1-'Assumptions'!H42-(0))+'Assumptions'!H47-'Assumptions'!H52*(1)+'Assumptions'!H57-'Assumptions'!H62*(1)-'Assumptions'!H67-(0))+(('Historical Inputs'!$N$9*(1+(F53))^3)*('Assumptions'!G67+(0))))*'DCF'!H12/(1+('DCF'!$E$6))^'DCF'!H13,(('Historical Inputs'!$N$9*(1+(F53))^5)*(('Assumptions'!I37+(0))*(1-'Assumptions'!I42-(0))+'Assumptions'!I47-'Assumptions'!I52*(1)+'Assumptions'!I57-'Assumptions'!I62*(1)-'Assumptions'!I67-(0))+(('Historical Inputs'!$N$9*(1+(F53))^4)*('Assumptions'!H67+(0))))*'DCF'!I12/(1+('DCF'!$E$6))^'DCF'!I13)+('Historical Inputs'!$N$9*(1+(F53))^5)*(1+('DCF'!$E$7))*('Terminal Value'!$E$10+(0))*(1-'Assumptions'!$E$15-(0))*(1-('DCF'!$E$7)/('Terminal Value'!$E$12))/(('DCF'!$E$6)-('DCF'!$E$7))/(1+('DCF'!$E$6))^'DCF'!$E$19)
Review selected-case observations and Model Guide for definitions and held assumptions.</x:t>
        </x:r>
      </x:text>
    </x:comment>
    <x:comment ref="H53" authorId="0">
      <x:text>
        <x:r>
          <x:t>Reverse Growth. Formula: =G53-$E$9
Review selected-case observations and Model Guide for definitions and held assumptions.</x:t>
        </x:r>
      </x:text>
    </x:comment>
    <x:comment ref="C54" authorId="0">
      <x:text>
        <x:r>
          <x:t>Reverse Growth. Editable source or analyst input.
Review selected-case observations and Model Guide for definitions and held assumptions.</x:t>
        </x:r>
      </x:text>
    </x:comment>
    <x:comment ref="D54" authorId="0">
      <x:text>
        <x:r>
          <x:t>Reverse Growth. Formula: =IF(G53&lt;$E$9,F53,D53)
Review selected-case observations and Model Guide for definitions and held assumptions.</x:t>
        </x:r>
      </x:text>
    </x:comment>
    <x:comment ref="E54" authorId="0">
      <x:text>
        <x:r>
          <x:t>Reverse Growth. Formula: =IF(G53&lt;$E$9,E53,F53)
Review selected-case observations and Model Guide for definitions and held assumptions.</x:t>
        </x:r>
      </x:text>
    </x:comment>
    <x:comment ref="F54" authorId="0">
      <x:text>
        <x:r>
          <x:t>Reverse Growth. Formula: =(D54+E54)/2
Review selected-case observations and Model Guide for definitions and held assumptions.</x:t>
        </x:r>
      </x:text>
    </x:comment>
    <x:comment ref="G54" authorId="0">
      <x:text>
        <x:r>
          <x:t>Reverse Growth. Formula: =(SUM((('Historical Inputs'!$N$9*(1+(F54))^1)*(('Assumptions'!E37+(0))*(1-'Assumptions'!E42-(0))+'Assumptions'!E47-'Assumptions'!E52*(1)+'Assumptions'!E57-'Assumptions'!E62*(1)-'Assumptions'!E67-(0))+('Working Capital'!$E$6))*'DCF'!E12/(1+('DCF'!$E$6))^'DCF'!E13,(('Historical Inputs'!$N$9*(1+(F54))^2)*(('Assumptions'!F37+(0))*(1-'Assumptions'!F42-(0))+'Assumptions'!F47-'Assumptions'!F52*(1)+'Assumptions'!F57-'Assumptions'!F62*(1)-'Assumptions'!F67-(0))+(('Historical Inputs'!$N$9*(1+(F54))^1)*('Assumptions'!E67+(0))))*'DCF'!F12/(1+('DCF'!$E$6))^'DCF'!F13,(('Historical Inputs'!$N$9*(1+(F54))^3)*(('Assumptions'!G37+(0))*(1-'Assumptions'!G42-(0))+'Assumptions'!G47-'Assumptions'!G52*(1)+'Assumptions'!G57-'Assumptions'!G62*(1)-'Assumptions'!G67-(0))+(('Historical Inputs'!$N$9*(1+(F54))^2)*('Assumptions'!F67+(0))))*'DCF'!G12/(1+('DCF'!$E$6))^'DCF'!G13,(('Historical Inputs'!$N$9*(1+(F54))^4)*(('Assumptions'!H37+(0))*(1-'Assumptions'!H42-(0))+'Assumptions'!H47-'Assumptions'!H52*(1)+'Assumptions'!H57-'Assumptions'!H62*(1)-'Assumptions'!H67-(0))+(('Historical Inputs'!$N$9*(1+(F54))^3)*('Assumptions'!G67+(0))))*'DCF'!H12/(1+('DCF'!$E$6))^'DCF'!H13,(('Historical Inputs'!$N$9*(1+(F54))^5)*(('Assumptions'!I37+(0))*(1-'Assumptions'!I42-(0))+'Assumptions'!I47-'Assumptions'!I52*(1)+'Assumptions'!I57-'Assumptions'!I62*(1)-'Assumptions'!I67-(0))+(('Historical Inputs'!$N$9*(1+(F54))^4)*('Assumptions'!H67+(0))))*'DCF'!I12/(1+('DCF'!$E$6))^'DCF'!I13)+('Historical Inputs'!$N$9*(1+(F54))^5)*(1+('DCF'!$E$7))*('Terminal Value'!$E$10+(0))*(1-'Assumptions'!$E$15-(0))*(1-('DCF'!$E$7)/('Terminal Value'!$E$12))/(('DCF'!$E$6)-('DCF'!$E$7))/(1+('DCF'!$E$6))^'DCF'!$E$19)
Review selected-case observations and Model Guide for definitions and held assumptions.</x:t>
        </x:r>
      </x:text>
    </x:comment>
    <x:comment ref="H54" authorId="0">
      <x:text>
        <x:r>
          <x:t>Reverse Growth. Formula: =G54-$E$9
Review selected-case observations and Model Guide for definitions and held assumptions.</x:t>
        </x:r>
      </x:text>
    </x:comment>
    <x:comment ref="C55" authorId="0">
      <x:text>
        <x:r>
          <x:t>Reverse Growth. Editable source or analyst input.
Review selected-case observations and Model Guide for definitions and held assumptions.</x:t>
        </x:r>
      </x:text>
    </x:comment>
    <x:comment ref="D55" authorId="0">
      <x:text>
        <x:r>
          <x:t>Reverse Growth. Formula: =IF(G54&lt;$E$9,F54,D54)
Review selected-case observations and Model Guide for definitions and held assumptions.</x:t>
        </x:r>
      </x:text>
    </x:comment>
    <x:comment ref="E55" authorId="0">
      <x:text>
        <x:r>
          <x:t>Reverse Growth. Formula: =IF(G54&lt;$E$9,E54,F54)
Review selected-case observations and Model Guide for definitions and held assumptions.</x:t>
        </x:r>
      </x:text>
    </x:comment>
    <x:comment ref="F55" authorId="0">
      <x:text>
        <x:r>
          <x:t>Reverse Growth. Formula: =(D55+E55)/2
Review selected-case observations and Model Guide for definitions and held assumptions.</x:t>
        </x:r>
      </x:text>
    </x:comment>
    <x:comment ref="G55" authorId="0">
      <x:text>
        <x:r>
          <x:t>Reverse Growth. Formula: =(SUM((('Historical Inputs'!$N$9*(1+(F55))^1)*(('Assumptions'!E37+(0))*(1-'Assumptions'!E42-(0))+'Assumptions'!E47-'Assumptions'!E52*(1)+'Assumptions'!E57-'Assumptions'!E62*(1)-'Assumptions'!E67-(0))+('Working Capital'!$E$6))*'DCF'!E12/(1+('DCF'!$E$6))^'DCF'!E13,(('Historical Inputs'!$N$9*(1+(F55))^2)*(('Assumptions'!F37+(0))*(1-'Assumptions'!F42-(0))+'Assumptions'!F47-'Assumptions'!F52*(1)+'Assumptions'!F57-'Assumptions'!F62*(1)-'Assumptions'!F67-(0))+(('Historical Inputs'!$N$9*(1+(F55))^1)*('Assumptions'!E67+(0))))*'DCF'!F12/(1+('DCF'!$E$6))^'DCF'!F13,(('Historical Inputs'!$N$9*(1+(F55))^3)*(('Assumptions'!G37+(0))*(1-'Assumptions'!G42-(0))+'Assumptions'!G47-'Assumptions'!G52*(1)+'Assumptions'!G57-'Assumptions'!G62*(1)-'Assumptions'!G67-(0))+(('Historical Inputs'!$N$9*(1+(F55))^2)*('Assumptions'!F67+(0))))*'DCF'!G12/(1+('DCF'!$E$6))^'DCF'!G13,(('Historical Inputs'!$N$9*(1+(F55))^4)*(('Assumptions'!H37+(0))*(1-'Assumptions'!H42-(0))+'Assumptions'!H47-'Assumptions'!H52*(1)+'Assumptions'!H57-'Assumptions'!H62*(1)-'Assumptions'!H67-(0))+(('Historical Inputs'!$N$9*(1+(F55))^3)*('Assumptions'!G67+(0))))*'DCF'!H12/(1+('DCF'!$E$6))^'DCF'!H13,(('Historical Inputs'!$N$9*(1+(F55))^5)*(('Assumptions'!I37+(0))*(1-'Assumptions'!I42-(0))+'Assumptions'!I47-'Assumptions'!I52*(1)+'Assumptions'!I57-'Assumptions'!I62*(1)-'Assumptions'!I67-(0))+(('Historical Inputs'!$N$9*(1+(F55))^4)*('Assumptions'!H67+(0))))*'DCF'!I12/(1+('DCF'!$E$6))^'DCF'!I13)+('Historical Inputs'!$N$9*(1+(F55))^5)*(1+('DCF'!$E$7))*('Terminal Value'!$E$10+(0))*(1-'Assumptions'!$E$15-(0))*(1-('DCF'!$E$7)/('Terminal Value'!$E$12))/(('DCF'!$E$6)-('DCF'!$E$7))/(1+('DCF'!$E$6))^'DCF'!$E$19)
Review selected-case observations and Model Guide for definitions and held assumptions.</x:t>
        </x:r>
      </x:text>
    </x:comment>
    <x:comment ref="H55" authorId="0">
      <x:text>
        <x:r>
          <x:t>Reverse Growth. Formula: =G55-$E$9
Review selected-case observations and Model Guide for definitions and held assumptions.</x:t>
        </x:r>
      </x:text>
    </x:comment>
    <x:comment ref="C56" authorId="0">
      <x:text>
        <x:r>
          <x:t>Reverse Growth. Editable source or analyst input.
Review selected-case observations and Model Guide for definitions and held assumptions.</x:t>
        </x:r>
      </x:text>
    </x:comment>
    <x:comment ref="D56" authorId="0">
      <x:text>
        <x:r>
          <x:t>Reverse Growth. Formula: =IF(G55&lt;$E$9,F55,D55)
Review selected-case observations and Model Guide for definitions and held assumptions.</x:t>
        </x:r>
      </x:text>
    </x:comment>
    <x:comment ref="E56" authorId="0">
      <x:text>
        <x:r>
          <x:t>Reverse Growth. Formula: =IF(G55&lt;$E$9,E55,F55)
Review selected-case observations and Model Guide for definitions and held assumptions.</x:t>
        </x:r>
      </x:text>
    </x:comment>
    <x:comment ref="F56" authorId="0">
      <x:text>
        <x:r>
          <x:t>Reverse Growth. Formula: =(D56+E56)/2
Review selected-case observations and Model Guide for definitions and held assumptions.</x:t>
        </x:r>
      </x:text>
    </x:comment>
    <x:comment ref="G56" authorId="0">
      <x:text>
        <x:r>
          <x:t>Reverse Growth. Formula: =(SUM((('Historical Inputs'!$N$9*(1+(F56))^1)*(('Assumptions'!E37+(0))*(1-'Assumptions'!E42-(0))+'Assumptions'!E47-'Assumptions'!E52*(1)+'Assumptions'!E57-'Assumptions'!E62*(1)-'Assumptions'!E67-(0))+('Working Capital'!$E$6))*'DCF'!E12/(1+('DCF'!$E$6))^'DCF'!E13,(('Historical Inputs'!$N$9*(1+(F56))^2)*(('Assumptions'!F37+(0))*(1-'Assumptions'!F42-(0))+'Assumptions'!F47-'Assumptions'!F52*(1)+'Assumptions'!F57-'Assumptions'!F62*(1)-'Assumptions'!F67-(0))+(('Historical Inputs'!$N$9*(1+(F56))^1)*('Assumptions'!E67+(0))))*'DCF'!F12/(1+('DCF'!$E$6))^'DCF'!F13,(('Historical Inputs'!$N$9*(1+(F56))^3)*(('Assumptions'!G37+(0))*(1-'Assumptions'!G42-(0))+'Assumptions'!G47-'Assumptions'!G52*(1)+'Assumptions'!G57-'Assumptions'!G62*(1)-'Assumptions'!G67-(0))+(('Historical Inputs'!$N$9*(1+(F56))^2)*('Assumptions'!F67+(0))))*'DCF'!G12/(1+('DCF'!$E$6))^'DCF'!G13,(('Historical Inputs'!$N$9*(1+(F56))^4)*(('Assumptions'!H37+(0))*(1-'Assumptions'!H42-(0))+'Assumptions'!H47-'Assumptions'!H52*(1)+'Assumptions'!H57-'Assumptions'!H62*(1)-'Assumptions'!H67-(0))+(('Historical Inputs'!$N$9*(1+(F56))^3)*('Assumptions'!G67+(0))))*'DCF'!H12/(1+('DCF'!$E$6))^'DCF'!H13,(('Historical Inputs'!$N$9*(1+(F56))^5)*(('Assumptions'!I37+(0))*(1-'Assumptions'!I42-(0))+'Assumptions'!I47-'Assumptions'!I52*(1)+'Assumptions'!I57-'Assumptions'!I62*(1)-'Assumptions'!I67-(0))+(('Historical Inputs'!$N$9*(1+(F56))^4)*('Assumptions'!H67+(0))))*'DCF'!I12/(1+('DCF'!$E$6))^'DCF'!I13)+('Historical Inputs'!$N$9*(1+(F56))^5)*(1+('DCF'!$E$7))*('Terminal Value'!$E$10+(0))*(1-'Assumptions'!$E$15-(0))*(1-('DCF'!$E$7)/('Terminal Value'!$E$12))/(('DCF'!$E$6)-('DCF'!$E$7))/(1+('DCF'!$E$6))^'DCF'!$E$19)
Review selected-case observations and Model Guide for definitions and held assumptions.</x:t>
        </x:r>
      </x:text>
    </x:comment>
    <x:comment ref="H56" authorId="0">
      <x:text>
        <x:r>
          <x:t>Reverse Growth. Formula: =G56-$E$9
Review selected-case observations and Model Guide for definitions and held assumptions.</x:t>
        </x:r>
      </x:text>
    </x:comment>
    <x:comment ref="C57" authorId="0">
      <x:text>
        <x:r>
          <x:t>Reverse Growth. Editable source or analyst input.
Review selected-case observations and Model Guide for definitions and held assumptions.</x:t>
        </x:r>
      </x:text>
    </x:comment>
    <x:comment ref="D57" authorId="0">
      <x:text>
        <x:r>
          <x:t>Reverse Growth. Formula: =IF(G56&lt;$E$9,F56,D56)
Review selected-case observations and Model Guide for definitions and held assumptions.</x:t>
        </x:r>
      </x:text>
    </x:comment>
    <x:comment ref="E57" authorId="0">
      <x:text>
        <x:r>
          <x:t>Reverse Growth. Formula: =IF(G56&lt;$E$9,E56,F56)
Review selected-case observations and Model Guide for definitions and held assumptions.</x:t>
        </x:r>
      </x:text>
    </x:comment>
    <x:comment ref="F57" authorId="0">
      <x:text>
        <x:r>
          <x:t>Reverse Growth. Formula: =(D57+E57)/2
Review selected-case observations and Model Guide for definitions and held assumptions.</x:t>
        </x:r>
      </x:text>
    </x:comment>
    <x:comment ref="G57" authorId="0">
      <x:text>
        <x:r>
          <x:t>Reverse Growth. Formula: =(SUM((('Historical Inputs'!$N$9*(1+(F57))^1)*(('Assumptions'!E37+(0))*(1-'Assumptions'!E42-(0))+'Assumptions'!E47-'Assumptions'!E52*(1)+'Assumptions'!E57-'Assumptions'!E62*(1)-'Assumptions'!E67-(0))+('Working Capital'!$E$6))*'DCF'!E12/(1+('DCF'!$E$6))^'DCF'!E13,(('Historical Inputs'!$N$9*(1+(F57))^2)*(('Assumptions'!F37+(0))*(1-'Assumptions'!F42-(0))+'Assumptions'!F47-'Assumptions'!F52*(1)+'Assumptions'!F57-'Assumptions'!F62*(1)-'Assumptions'!F67-(0))+(('Historical Inputs'!$N$9*(1+(F57))^1)*('Assumptions'!E67+(0))))*'DCF'!F12/(1+('DCF'!$E$6))^'DCF'!F13,(('Historical Inputs'!$N$9*(1+(F57))^3)*(('Assumptions'!G37+(0))*(1-'Assumptions'!G42-(0))+'Assumptions'!G47-'Assumptions'!G52*(1)+'Assumptions'!G57-'Assumptions'!G62*(1)-'Assumptions'!G67-(0))+(('Historical Inputs'!$N$9*(1+(F57))^2)*('Assumptions'!F67+(0))))*'DCF'!G12/(1+('DCF'!$E$6))^'DCF'!G13,(('Historical Inputs'!$N$9*(1+(F57))^4)*(('Assumptions'!H37+(0))*(1-'Assumptions'!H42-(0))+'Assumptions'!H47-'Assumptions'!H52*(1)+'Assumptions'!H57-'Assumptions'!H62*(1)-'Assumptions'!H67-(0))+(('Historical Inputs'!$N$9*(1+(F57))^3)*('Assumptions'!G67+(0))))*'DCF'!H12/(1+('DCF'!$E$6))^'DCF'!H13,(('Historical Inputs'!$N$9*(1+(F57))^5)*(('Assumptions'!I37+(0))*(1-'Assumptions'!I42-(0))+'Assumptions'!I47-'Assumptions'!I52*(1)+'Assumptions'!I57-'Assumptions'!I62*(1)-'Assumptions'!I67-(0))+(('Historical Inputs'!$N$9*(1+(F57))^4)*('Assumptions'!H67+(0))))*'DCF'!I12/(1+('DCF'!$E$6))^'DCF'!I13)+('Historical Inputs'!$N$9*(1+(F57))^5)*(1+('DCF'!$E$7))*('Terminal Value'!$E$10+(0))*(1-'Assumptions'!$E$15-(0))*(1-('DCF'!$E$7)/('Terminal Value'!$E$12))/(('DCF'!$E$6)-('DCF'!$E$7))/(1+('DCF'!$E$6))^'DCF'!$E$19)
Review selected-case observations and Model Guide for definitions and held assumptions.</x:t>
        </x:r>
      </x:text>
    </x:comment>
    <x:comment ref="H57" authorId="0">
      <x:text>
        <x:r>
          <x:t>Reverse Growth. Formula: =G57-$E$9
Review selected-case observations and Model Guide for definitions and held assumptions.</x:t>
        </x:r>
      </x:text>
    </x:comment>
    <x:comment ref="C58" authorId="0">
      <x:text>
        <x:r>
          <x:t>Reverse Growth. Editable source or analyst input.
Review selected-case observations and Model Guide for definitions and held assumptions.</x:t>
        </x:r>
      </x:text>
    </x:comment>
    <x:comment ref="D58" authorId="0">
      <x:text>
        <x:r>
          <x:t>Reverse Growth. Formula: =IF(G57&lt;$E$9,F57,D57)
Review selected-case observations and Model Guide for definitions and held assumptions.</x:t>
        </x:r>
      </x:text>
    </x:comment>
    <x:comment ref="E58" authorId="0">
      <x:text>
        <x:r>
          <x:t>Reverse Growth. Formula: =IF(G57&lt;$E$9,E57,F57)
Review selected-case observations and Model Guide for definitions and held assumptions.</x:t>
        </x:r>
      </x:text>
    </x:comment>
    <x:comment ref="F58" authorId="0">
      <x:text>
        <x:r>
          <x:t>Reverse Growth. Formula: =(D58+E58)/2
Review selected-case observations and Model Guide for definitions and held assumptions.</x:t>
        </x:r>
      </x:text>
    </x:comment>
    <x:comment ref="G58" authorId="0">
      <x:text>
        <x:r>
          <x:t>Reverse Growth. Formula: =(SUM((('Historical Inputs'!$N$9*(1+(F58))^1)*(('Assumptions'!E37+(0))*(1-'Assumptions'!E42-(0))+'Assumptions'!E47-'Assumptions'!E52*(1)+'Assumptions'!E57-'Assumptions'!E62*(1)-'Assumptions'!E67-(0))+('Working Capital'!$E$6))*'DCF'!E12/(1+('DCF'!$E$6))^'DCF'!E13,(('Historical Inputs'!$N$9*(1+(F58))^2)*(('Assumptions'!F37+(0))*(1-'Assumptions'!F42-(0))+'Assumptions'!F47-'Assumptions'!F52*(1)+'Assumptions'!F57-'Assumptions'!F62*(1)-'Assumptions'!F67-(0))+(('Historical Inputs'!$N$9*(1+(F58))^1)*('Assumptions'!E67+(0))))*'DCF'!F12/(1+('DCF'!$E$6))^'DCF'!F13,(('Historical Inputs'!$N$9*(1+(F58))^3)*(('Assumptions'!G37+(0))*(1-'Assumptions'!G42-(0))+'Assumptions'!G47-'Assumptions'!G52*(1)+'Assumptions'!G57-'Assumptions'!G62*(1)-'Assumptions'!G67-(0))+(('Historical Inputs'!$N$9*(1+(F58))^2)*('Assumptions'!F67+(0))))*'DCF'!G12/(1+('DCF'!$E$6))^'DCF'!G13,(('Historical Inputs'!$N$9*(1+(F58))^4)*(('Assumptions'!H37+(0))*(1-'Assumptions'!H42-(0))+'Assumptions'!H47-'Assumptions'!H52*(1)+'Assumptions'!H57-'Assumptions'!H62*(1)-'Assumptions'!H67-(0))+(('Historical Inputs'!$N$9*(1+(F58))^3)*('Assumptions'!G67+(0))))*'DCF'!H12/(1+('DCF'!$E$6))^'DCF'!H13,(('Historical Inputs'!$N$9*(1+(F58))^5)*(('Assumptions'!I37+(0))*(1-'Assumptions'!I42-(0))+'Assumptions'!I47-'Assumptions'!I52*(1)+'Assumptions'!I57-'Assumptions'!I62*(1)-'Assumptions'!I67-(0))+(('Historical Inputs'!$N$9*(1+(F58))^4)*('Assumptions'!H67+(0))))*'DCF'!I12/(1+('DCF'!$E$6))^'DCF'!I13)+('Historical Inputs'!$N$9*(1+(F58))^5)*(1+('DCF'!$E$7))*('Terminal Value'!$E$10+(0))*(1-'Assumptions'!$E$15-(0))*(1-('DCF'!$E$7)/('Terminal Value'!$E$12))/(('DCF'!$E$6)-('DCF'!$E$7))/(1+('DCF'!$E$6))^'DCF'!$E$19)
Review selected-case observations and Model Guide for definitions and held assumptions.</x:t>
        </x:r>
      </x:text>
    </x:comment>
    <x:comment ref="H58" authorId="0">
      <x:text>
        <x:r>
          <x:t>Reverse Growth. Formula: =G58-$E$9
Review selected-case observations and Model Guide for definitions and held assumptions.</x:t>
        </x:r>
      </x:text>
    </x:comment>
    <x:comment ref="C59" authorId="0">
      <x:text>
        <x:r>
          <x:t>Reverse Growth. Editable source or analyst input.
Review selected-case observations and Model Guide for definitions and held assumptions.</x:t>
        </x:r>
      </x:text>
    </x:comment>
    <x:comment ref="D59" authorId="0">
      <x:text>
        <x:r>
          <x:t>Reverse Growth. Formula: =IF(G58&lt;$E$9,F58,D58)
Review selected-case observations and Model Guide for definitions and held assumptions.</x:t>
        </x:r>
      </x:text>
    </x:comment>
    <x:comment ref="E59" authorId="0">
      <x:text>
        <x:r>
          <x:t>Reverse Growth. Formula: =IF(G58&lt;$E$9,E58,F58)
Review selected-case observations and Model Guide for definitions and held assumptions.</x:t>
        </x:r>
      </x:text>
    </x:comment>
    <x:comment ref="F59" authorId="0">
      <x:text>
        <x:r>
          <x:t>Reverse Growth. Formula: =(D59+E59)/2
Review selected-case observations and Model Guide for definitions and held assumptions.</x:t>
        </x:r>
      </x:text>
    </x:comment>
    <x:comment ref="G59" authorId="0">
      <x:text>
        <x:r>
          <x:t>Reverse Growth. Formula: =(SUM((('Historical Inputs'!$N$9*(1+(F59))^1)*(('Assumptions'!E37+(0))*(1-'Assumptions'!E42-(0))+'Assumptions'!E47-'Assumptions'!E52*(1)+'Assumptions'!E57-'Assumptions'!E62*(1)-'Assumptions'!E67-(0))+('Working Capital'!$E$6))*'DCF'!E12/(1+('DCF'!$E$6))^'DCF'!E13,(('Historical Inputs'!$N$9*(1+(F59))^2)*(('Assumptions'!F37+(0))*(1-'Assumptions'!F42-(0))+'Assumptions'!F47-'Assumptions'!F52*(1)+'Assumptions'!F57-'Assumptions'!F62*(1)-'Assumptions'!F67-(0))+(('Historical Inputs'!$N$9*(1+(F59))^1)*('Assumptions'!E67+(0))))*'DCF'!F12/(1+('DCF'!$E$6))^'DCF'!F13,(('Historical Inputs'!$N$9*(1+(F59))^3)*(('Assumptions'!G37+(0))*(1-'Assumptions'!G42-(0))+'Assumptions'!G47-'Assumptions'!G52*(1)+'Assumptions'!G57-'Assumptions'!G62*(1)-'Assumptions'!G67-(0))+(('Historical Inputs'!$N$9*(1+(F59))^2)*('Assumptions'!F67+(0))))*'DCF'!G12/(1+('DCF'!$E$6))^'DCF'!G13,(('Historical Inputs'!$N$9*(1+(F59))^4)*(('Assumptions'!H37+(0))*(1-'Assumptions'!H42-(0))+'Assumptions'!H47-'Assumptions'!H52*(1)+'Assumptions'!H57-'Assumptions'!H62*(1)-'Assumptions'!H67-(0))+(('Historical Inputs'!$N$9*(1+(F59))^3)*('Assumptions'!G67+(0))))*'DCF'!H12/(1+('DCF'!$E$6))^'DCF'!H13,(('Historical Inputs'!$N$9*(1+(F59))^5)*(('Assumptions'!I37+(0))*(1-'Assumptions'!I42-(0))+'Assumptions'!I47-'Assumptions'!I52*(1)+'Assumptions'!I57-'Assumptions'!I62*(1)-'Assumptions'!I67-(0))+(('Historical Inputs'!$N$9*(1+(F59))^4)*('Assumptions'!H67+(0))))*'DCF'!I12/(1+('DCF'!$E$6))^'DCF'!I13)+('Historical Inputs'!$N$9*(1+(F59))^5)*(1+('DCF'!$E$7))*('Terminal Value'!$E$10+(0))*(1-'Assumptions'!$E$15-(0))*(1-('DCF'!$E$7)/('Terminal Value'!$E$12))/(('DCF'!$E$6)-('DCF'!$E$7))/(1+('DCF'!$E$6))^'DCF'!$E$19)
Review selected-case observations and Model Guide for definitions and held assumptions.</x:t>
        </x:r>
      </x:text>
    </x:comment>
    <x:comment ref="H59" authorId="0">
      <x:text>
        <x:r>
          <x:t>Reverse Growth. Formula: =G59-$E$9
Review selected-case observations and Model Guide for definitions and held assumptions.</x:t>
        </x:r>
      </x:text>
    </x:comment>
    <x:comment ref="C60" authorId="0">
      <x:text>
        <x:r>
          <x:t>Reverse Growth. Editable source or analyst input.
Review selected-case observations and Model Guide for definitions and held assumptions.</x:t>
        </x:r>
      </x:text>
    </x:comment>
    <x:comment ref="D60" authorId="0">
      <x:text>
        <x:r>
          <x:t>Reverse Growth. Formula: =IF(G59&lt;$E$9,F59,D59)
Review selected-case observations and Model Guide for definitions and held assumptions.</x:t>
        </x:r>
      </x:text>
    </x:comment>
    <x:comment ref="E60" authorId="0">
      <x:text>
        <x:r>
          <x:t>Reverse Growth. Formula: =IF(G59&lt;$E$9,E59,F59)
Review selected-case observations and Model Guide for definitions and held assumptions.</x:t>
        </x:r>
      </x:text>
    </x:comment>
    <x:comment ref="F60" authorId="0">
      <x:text>
        <x:r>
          <x:t>Reverse Growth. Formula: =(D60+E60)/2
Review selected-case observations and Model Guide for definitions and held assumptions.</x:t>
        </x:r>
      </x:text>
    </x:comment>
    <x:comment ref="G60" authorId="0">
      <x:text>
        <x:r>
          <x:t>Reverse Growth. Formula: =(SUM((('Historical Inputs'!$N$9*(1+(F60))^1)*(('Assumptions'!E37+(0))*(1-'Assumptions'!E42-(0))+'Assumptions'!E47-'Assumptions'!E52*(1)+'Assumptions'!E57-'Assumptions'!E62*(1)-'Assumptions'!E67-(0))+('Working Capital'!$E$6))*'DCF'!E12/(1+('DCF'!$E$6))^'DCF'!E13,(('Historical Inputs'!$N$9*(1+(F60))^2)*(('Assumptions'!F37+(0))*(1-'Assumptions'!F42-(0))+'Assumptions'!F47-'Assumptions'!F52*(1)+'Assumptions'!F57-'Assumptions'!F62*(1)-'Assumptions'!F67-(0))+(('Historical Inputs'!$N$9*(1+(F60))^1)*('Assumptions'!E67+(0))))*'DCF'!F12/(1+('DCF'!$E$6))^'DCF'!F13,(('Historical Inputs'!$N$9*(1+(F60))^3)*(('Assumptions'!G37+(0))*(1-'Assumptions'!G42-(0))+'Assumptions'!G47-'Assumptions'!G52*(1)+'Assumptions'!G57-'Assumptions'!G62*(1)-'Assumptions'!G67-(0))+(('Historical Inputs'!$N$9*(1+(F60))^2)*('Assumptions'!F67+(0))))*'DCF'!G12/(1+('DCF'!$E$6))^'DCF'!G13,(('Historical Inputs'!$N$9*(1+(F60))^4)*(('Assumptions'!H37+(0))*(1-'Assumptions'!H42-(0))+'Assumptions'!H47-'Assumptions'!H52*(1)+'Assumptions'!H57-'Assumptions'!H62*(1)-'Assumptions'!H67-(0))+(('Historical Inputs'!$N$9*(1+(F60))^3)*('Assumptions'!G67+(0))))*'DCF'!H12/(1+('DCF'!$E$6))^'DCF'!H13,(('Historical Inputs'!$N$9*(1+(F60))^5)*(('Assumptions'!I37+(0))*(1-'Assumptions'!I42-(0))+'Assumptions'!I47-'Assumptions'!I52*(1)+'Assumptions'!I57-'Assumptions'!I62*(1)-'Assumptions'!I67-(0))+(('Historical Inputs'!$N$9*(1+(F60))^4)*('Assumptions'!H67+(0))))*'DCF'!I12/(1+('DCF'!$E$6))^'DCF'!I13)+('Historical Inputs'!$N$9*(1+(F60))^5)*(1+('DCF'!$E$7))*('Terminal Value'!$E$10+(0))*(1-'Assumptions'!$E$15-(0))*(1-('DCF'!$E$7)/('Terminal Value'!$E$12))/(('DCF'!$E$6)-('DCF'!$E$7))/(1+('DCF'!$E$6))^'DCF'!$E$19)
Review selected-case observations and Model Guide for definitions and held assumptions.</x:t>
        </x:r>
      </x:text>
    </x:comment>
    <x:comment ref="H60" authorId="0">
      <x:text>
        <x:r>
          <x:t>Reverse Growth. Formula: =G60-$E$9
Review selected-case observations and Model Guide for definitions and held assumptions.</x:t>
        </x:r>
      </x:text>
    </x:comment>
    <x:comment ref="C61" authorId="0">
      <x:text>
        <x:r>
          <x:t>Reverse Growth. Editable source or analyst input.
Review selected-case observations and Model Guide for definitions and held assumptions.</x:t>
        </x:r>
      </x:text>
    </x:comment>
    <x:comment ref="D61" authorId="0">
      <x:text>
        <x:r>
          <x:t>Reverse Growth. Formula: =IF(G60&lt;$E$9,F60,D60)
Review selected-case observations and Model Guide for definitions and held assumptions.</x:t>
        </x:r>
      </x:text>
    </x:comment>
    <x:comment ref="E61" authorId="0">
      <x:text>
        <x:r>
          <x:t>Reverse Growth. Formula: =IF(G60&lt;$E$9,E60,F60)
Review selected-case observations and Model Guide for definitions and held assumptions.</x:t>
        </x:r>
      </x:text>
    </x:comment>
    <x:comment ref="F61" authorId="0">
      <x:text>
        <x:r>
          <x:t>Reverse Growth. Formula: =(D61+E61)/2
Review selected-case observations and Model Guide for definitions and held assumptions.</x:t>
        </x:r>
      </x:text>
    </x:comment>
    <x:comment ref="G61" authorId="0">
      <x:text>
        <x:r>
          <x:t>Reverse Growth. Formula: =(SUM((('Historical Inputs'!$N$9*(1+(F61))^1)*(('Assumptions'!E37+(0))*(1-'Assumptions'!E42-(0))+'Assumptions'!E47-'Assumptions'!E52*(1)+'Assumptions'!E57-'Assumptions'!E62*(1)-'Assumptions'!E67-(0))+('Working Capital'!$E$6))*'DCF'!E12/(1+('DCF'!$E$6))^'DCF'!E13,(('Historical Inputs'!$N$9*(1+(F61))^2)*(('Assumptions'!F37+(0))*(1-'Assumptions'!F42-(0))+'Assumptions'!F47-'Assumptions'!F52*(1)+'Assumptions'!F57-'Assumptions'!F62*(1)-'Assumptions'!F67-(0))+(('Historical Inputs'!$N$9*(1+(F61))^1)*('Assumptions'!E67+(0))))*'DCF'!F12/(1+('DCF'!$E$6))^'DCF'!F13,(('Historical Inputs'!$N$9*(1+(F61))^3)*(('Assumptions'!G37+(0))*(1-'Assumptions'!G42-(0))+'Assumptions'!G47-'Assumptions'!G52*(1)+'Assumptions'!G57-'Assumptions'!G62*(1)-'Assumptions'!G67-(0))+(('Historical Inputs'!$N$9*(1+(F61))^2)*('Assumptions'!F67+(0))))*'DCF'!G12/(1+('DCF'!$E$6))^'DCF'!G13,(('Historical Inputs'!$N$9*(1+(F61))^4)*(('Assumptions'!H37+(0))*(1-'Assumptions'!H42-(0))+'Assumptions'!H47-'Assumptions'!H52*(1)+'Assumptions'!H57-'Assumptions'!H62*(1)-'Assumptions'!H67-(0))+(('Historical Inputs'!$N$9*(1+(F61))^3)*('Assumptions'!G67+(0))))*'DCF'!H12/(1+('DCF'!$E$6))^'DCF'!H13,(('Historical Inputs'!$N$9*(1+(F61))^5)*(('Assumptions'!I37+(0))*(1-'Assumptions'!I42-(0))+'Assumptions'!I47-'Assumptions'!I52*(1)+'Assumptions'!I57-'Assumptions'!I62*(1)-'Assumptions'!I67-(0))+(('Historical Inputs'!$N$9*(1+(F61))^4)*('Assumptions'!H67+(0))))*'DCF'!I12/(1+('DCF'!$E$6))^'DCF'!I13)+('Historical Inputs'!$N$9*(1+(F61))^5)*(1+('DCF'!$E$7))*('Terminal Value'!$E$10+(0))*(1-'Assumptions'!$E$15-(0))*(1-('DCF'!$E$7)/('Terminal Value'!$E$12))/(('DCF'!$E$6)-('DCF'!$E$7))/(1+('DCF'!$E$6))^'DCF'!$E$19)
Review selected-case observations and Model Guide for definitions and held assumptions.</x:t>
        </x:r>
      </x:text>
    </x:comment>
    <x:comment ref="H61" authorId="0">
      <x:text>
        <x:r>
          <x:t>Reverse Growth. Formula: =G61-$E$9
Review selected-case observations and Model Guide for definitions and held assumptions.</x:t>
        </x:r>
      </x:text>
    </x:comment>
    <x:comment ref="C62" authorId="0">
      <x:text>
        <x:r>
          <x:t>Reverse Growth. Editable source or analyst input.
Review selected-case observations and Model Guide for definitions and held assumptions.</x:t>
        </x:r>
      </x:text>
    </x:comment>
    <x:comment ref="D62" authorId="0">
      <x:text>
        <x:r>
          <x:t>Reverse Growth. Formula: =IF(G61&lt;$E$9,F61,D61)
Review selected-case observations and Model Guide for definitions and held assumptions.</x:t>
        </x:r>
      </x:text>
    </x:comment>
    <x:comment ref="E62" authorId="0">
      <x:text>
        <x:r>
          <x:t>Reverse Growth. Formula: =IF(G61&lt;$E$9,E61,F61)
Review selected-case observations and Model Guide for definitions and held assumptions.</x:t>
        </x:r>
      </x:text>
    </x:comment>
    <x:comment ref="F62" authorId="0">
      <x:text>
        <x:r>
          <x:t>Reverse Growth. Formula: =(D62+E62)/2
Review selected-case observations and Model Guide for definitions and held assumptions.</x:t>
        </x:r>
      </x:text>
    </x:comment>
    <x:comment ref="G62" authorId="0">
      <x:text>
        <x:r>
          <x:t>Reverse Growth. Formula: =(SUM((('Historical Inputs'!$N$9*(1+(F62))^1)*(('Assumptions'!E37+(0))*(1-'Assumptions'!E42-(0))+'Assumptions'!E47-'Assumptions'!E52*(1)+'Assumptions'!E57-'Assumptions'!E62*(1)-'Assumptions'!E67-(0))+('Working Capital'!$E$6))*'DCF'!E12/(1+('DCF'!$E$6))^'DCF'!E13,(('Historical Inputs'!$N$9*(1+(F62))^2)*(('Assumptions'!F37+(0))*(1-'Assumptions'!F42-(0))+'Assumptions'!F47-'Assumptions'!F52*(1)+'Assumptions'!F57-'Assumptions'!F62*(1)-'Assumptions'!F67-(0))+(('Historical Inputs'!$N$9*(1+(F62))^1)*('Assumptions'!E67+(0))))*'DCF'!F12/(1+('DCF'!$E$6))^'DCF'!F13,(('Historical Inputs'!$N$9*(1+(F62))^3)*(('Assumptions'!G37+(0))*(1-'Assumptions'!G42-(0))+'Assumptions'!G47-'Assumptions'!G52*(1)+'Assumptions'!G57-'Assumptions'!G62*(1)-'Assumptions'!G67-(0))+(('Historical Inputs'!$N$9*(1+(F62))^2)*('Assumptions'!F67+(0))))*'DCF'!G12/(1+('DCF'!$E$6))^'DCF'!G13,(('Historical Inputs'!$N$9*(1+(F62))^4)*(('Assumptions'!H37+(0))*(1-'Assumptions'!H42-(0))+'Assumptions'!H47-'Assumptions'!H52*(1)+'Assumptions'!H57-'Assumptions'!H62*(1)-'Assumptions'!H67-(0))+(('Historical Inputs'!$N$9*(1+(F62))^3)*('Assumptions'!G67+(0))))*'DCF'!H12/(1+('DCF'!$E$6))^'DCF'!H13,(('Historical Inputs'!$N$9*(1+(F62))^5)*(('Assumptions'!I37+(0))*(1-'Assumptions'!I42-(0))+'Assumptions'!I47-'Assumptions'!I52*(1)+'Assumptions'!I57-'Assumptions'!I62*(1)-'Assumptions'!I67-(0))+(('Historical Inputs'!$N$9*(1+(F62))^4)*('Assumptions'!H67+(0))))*'DCF'!I12/(1+('DCF'!$E$6))^'DCF'!I13)+('Historical Inputs'!$N$9*(1+(F62))^5)*(1+('DCF'!$E$7))*('Terminal Value'!$E$10+(0))*(1-'Assumptions'!$E$15-(0))*(1-('DCF'!$E$7)/('Terminal Value'!$E$12))/(('DCF'!$E$6)-('DCF'!$E$7))/(1+('DCF'!$E$6))^'DCF'!$E$19)
Review selected-case observations and Model Guide for definitions and held assumptions.</x:t>
        </x:r>
      </x:text>
    </x:comment>
    <x:comment ref="H62" authorId="0">
      <x:text>
        <x:r>
          <x:t>Reverse Growth. Formula: =G62-$E$9
Review selected-case observations and Model Guide for definitions and held assumptions.</x:t>
        </x:r>
      </x:text>
    </x:comment>
    <x:comment ref="C63" authorId="0">
      <x:text>
        <x:r>
          <x:t>Reverse Growth. Editable source or analyst input.
Review selected-case observations and Model Guide for definitions and held assumptions.</x:t>
        </x:r>
      </x:text>
    </x:comment>
    <x:comment ref="D63" authorId="0">
      <x:text>
        <x:r>
          <x:t>Reverse Growth. Formula: =IF(G62&lt;$E$9,F62,D62)
Review selected-case observations and Model Guide for definitions and held assumptions.</x:t>
        </x:r>
      </x:text>
    </x:comment>
    <x:comment ref="E63" authorId="0">
      <x:text>
        <x:r>
          <x:t>Reverse Growth. Formula: =IF(G62&lt;$E$9,E62,F62)
Review selected-case observations and Model Guide for definitions and held assumptions.</x:t>
        </x:r>
      </x:text>
    </x:comment>
    <x:comment ref="F63" authorId="0">
      <x:text>
        <x:r>
          <x:t>Reverse Growth. Formula: =(D63+E63)/2
Review selected-case observations and Model Guide for definitions and held assumptions.</x:t>
        </x:r>
      </x:text>
    </x:comment>
    <x:comment ref="G63" authorId="0">
      <x:text>
        <x:r>
          <x:t>Reverse Growth. Formula: =(SUM((('Historical Inputs'!$N$9*(1+(F63))^1)*(('Assumptions'!E37+(0))*(1-'Assumptions'!E42-(0))+'Assumptions'!E47-'Assumptions'!E52*(1)+'Assumptions'!E57-'Assumptions'!E62*(1)-'Assumptions'!E67-(0))+('Working Capital'!$E$6))*'DCF'!E12/(1+('DCF'!$E$6))^'DCF'!E13,(('Historical Inputs'!$N$9*(1+(F63))^2)*(('Assumptions'!F37+(0))*(1-'Assumptions'!F42-(0))+'Assumptions'!F47-'Assumptions'!F52*(1)+'Assumptions'!F57-'Assumptions'!F62*(1)-'Assumptions'!F67-(0))+(('Historical Inputs'!$N$9*(1+(F63))^1)*('Assumptions'!E67+(0))))*'DCF'!F12/(1+('DCF'!$E$6))^'DCF'!F13,(('Historical Inputs'!$N$9*(1+(F63))^3)*(('Assumptions'!G37+(0))*(1-'Assumptions'!G42-(0))+'Assumptions'!G47-'Assumptions'!G52*(1)+'Assumptions'!G57-'Assumptions'!G62*(1)-'Assumptions'!G67-(0))+(('Historical Inputs'!$N$9*(1+(F63))^2)*('Assumptions'!F67+(0))))*'DCF'!G12/(1+('DCF'!$E$6))^'DCF'!G13,(('Historical Inputs'!$N$9*(1+(F63))^4)*(('Assumptions'!H37+(0))*(1-'Assumptions'!H42-(0))+'Assumptions'!H47-'Assumptions'!H52*(1)+'Assumptions'!H57-'Assumptions'!H62*(1)-'Assumptions'!H67-(0))+(('Historical Inputs'!$N$9*(1+(F63))^3)*('Assumptions'!G67+(0))))*'DCF'!H12/(1+('DCF'!$E$6))^'DCF'!H13,(('Historical Inputs'!$N$9*(1+(F63))^5)*(('Assumptions'!I37+(0))*(1-'Assumptions'!I42-(0))+'Assumptions'!I47-'Assumptions'!I52*(1)+'Assumptions'!I57-'Assumptions'!I62*(1)-'Assumptions'!I67-(0))+(('Historical Inputs'!$N$9*(1+(F63))^4)*('Assumptions'!H67+(0))))*'DCF'!I12/(1+('DCF'!$E$6))^'DCF'!I13)+('Historical Inputs'!$N$9*(1+(F63))^5)*(1+('DCF'!$E$7))*('Terminal Value'!$E$10+(0))*(1-'Assumptions'!$E$15-(0))*(1-('DCF'!$E$7)/('Terminal Value'!$E$12))/(('DCF'!$E$6)-('DCF'!$E$7))/(1+('DCF'!$E$6))^'DCF'!$E$19)
Review selected-case observations and Model Guide for definitions and held assumptions.</x:t>
        </x:r>
      </x:text>
    </x:comment>
    <x:comment ref="H63" authorId="0">
      <x:text>
        <x:r>
          <x:t>Reverse Growth. Formula: =G63-$E$9
Review selected-case observations and Model Guide for definitions and held assumptions.</x:t>
        </x:r>
      </x:text>
    </x:comment>
    <x:comment ref="C64" authorId="0">
      <x:text>
        <x:r>
          <x:t>Reverse Growth. Editable source or analyst input.
Review selected-case observations and Model Guide for definitions and held assumptions.</x:t>
        </x:r>
      </x:text>
    </x:comment>
    <x:comment ref="D64" authorId="0">
      <x:text>
        <x:r>
          <x:t>Reverse Growth. Formula: =IF(G63&lt;$E$9,F63,D63)
Review selected-case observations and Model Guide for definitions and held assumptions.</x:t>
        </x:r>
      </x:text>
    </x:comment>
    <x:comment ref="E64" authorId="0">
      <x:text>
        <x:r>
          <x:t>Reverse Growth. Formula: =IF(G63&lt;$E$9,E63,F63)
Review selected-case observations and Model Guide for definitions and held assumptions.</x:t>
        </x:r>
      </x:text>
    </x:comment>
    <x:comment ref="F64" authorId="0">
      <x:text>
        <x:r>
          <x:t>Reverse Growth. Formula: =(D64+E64)/2
Review selected-case observations and Model Guide for definitions and held assumptions.</x:t>
        </x:r>
      </x:text>
    </x:comment>
    <x:comment ref="G64" authorId="0">
      <x:text>
        <x:r>
          <x:t>Reverse Growth. Formula: =(SUM((('Historical Inputs'!$N$9*(1+(F64))^1)*(('Assumptions'!E37+(0))*(1-'Assumptions'!E42-(0))+'Assumptions'!E47-'Assumptions'!E52*(1)+'Assumptions'!E57-'Assumptions'!E62*(1)-'Assumptions'!E67-(0))+('Working Capital'!$E$6))*'DCF'!E12/(1+('DCF'!$E$6))^'DCF'!E13,(('Historical Inputs'!$N$9*(1+(F64))^2)*(('Assumptions'!F37+(0))*(1-'Assumptions'!F42-(0))+'Assumptions'!F47-'Assumptions'!F52*(1)+'Assumptions'!F57-'Assumptions'!F62*(1)-'Assumptions'!F67-(0))+(('Historical Inputs'!$N$9*(1+(F64))^1)*('Assumptions'!E67+(0))))*'DCF'!F12/(1+('DCF'!$E$6))^'DCF'!F13,(('Historical Inputs'!$N$9*(1+(F64))^3)*(('Assumptions'!G37+(0))*(1-'Assumptions'!G42-(0))+'Assumptions'!G47-'Assumptions'!G52*(1)+'Assumptions'!G57-'Assumptions'!G62*(1)-'Assumptions'!G67-(0))+(('Historical Inputs'!$N$9*(1+(F64))^2)*('Assumptions'!F67+(0))))*'DCF'!G12/(1+('DCF'!$E$6))^'DCF'!G13,(('Historical Inputs'!$N$9*(1+(F64))^4)*(('Assumptions'!H37+(0))*(1-'Assumptions'!H42-(0))+'Assumptions'!H47-'Assumptions'!H52*(1)+'Assumptions'!H57-'Assumptions'!H62*(1)-'Assumptions'!H67-(0))+(('Historical Inputs'!$N$9*(1+(F64))^3)*('Assumptions'!G67+(0))))*'DCF'!H12/(1+('DCF'!$E$6))^'DCF'!H13,(('Historical Inputs'!$N$9*(1+(F64))^5)*(('Assumptions'!I37+(0))*(1-'Assumptions'!I42-(0))+'Assumptions'!I47-'Assumptions'!I52*(1)+'Assumptions'!I57-'Assumptions'!I62*(1)-'Assumptions'!I67-(0))+(('Historical Inputs'!$N$9*(1+(F64))^4)*('Assumptions'!H67+(0))))*'DCF'!I12/(1+('DCF'!$E$6))^'DCF'!I13)+('Historical Inputs'!$N$9*(1+(F64))^5)*(1+('DCF'!$E$7))*('Terminal Value'!$E$10+(0))*(1-'Assumptions'!$E$15-(0))*(1-('DCF'!$E$7)/('Terminal Value'!$E$12))/(('DCF'!$E$6)-('DCF'!$E$7))/(1+('DCF'!$E$6))^'DCF'!$E$19)
Review selected-case observations and Model Guide for definitions and held assumptions.</x:t>
        </x:r>
      </x:text>
    </x:comment>
    <x:comment ref="H64" authorId="0">
      <x:text>
        <x:r>
          <x:t>Reverse Growth. Formula: =G64-$E$9
Review selected-case observations and Model Guide for definitions and held assumptions.</x:t>
        </x:r>
      </x:text>
    </x:comment>
    <x:comment ref="C65" authorId="0">
      <x:text>
        <x:r>
          <x:t>Reverse Growth. Editable source or analyst input.
Review selected-case observations and Model Guide for definitions and held assumptions.</x:t>
        </x:r>
      </x:text>
    </x:comment>
    <x:comment ref="D65" authorId="0">
      <x:text>
        <x:r>
          <x:t>Reverse Growth. Formula: =IF(G64&lt;$E$9,F64,D64)
Review selected-case observations and Model Guide for definitions and held assumptions.</x:t>
        </x:r>
      </x:text>
    </x:comment>
    <x:comment ref="E65" authorId="0">
      <x:text>
        <x:r>
          <x:t>Reverse Growth. Formula: =IF(G64&lt;$E$9,E64,F64)
Review selected-case observations and Model Guide for definitions and held assumptions.</x:t>
        </x:r>
      </x:text>
    </x:comment>
    <x:comment ref="F65" authorId="0">
      <x:text>
        <x:r>
          <x:t>Reverse Growth. Formula: =(D65+E65)/2
Review selected-case observations and Model Guide for definitions and held assumptions.</x:t>
        </x:r>
      </x:text>
    </x:comment>
    <x:comment ref="G65" authorId="0">
      <x:text>
        <x:r>
          <x:t>Reverse Growth. Formula: =(SUM((('Historical Inputs'!$N$9*(1+(F65))^1)*(('Assumptions'!E37+(0))*(1-'Assumptions'!E42-(0))+'Assumptions'!E47-'Assumptions'!E52*(1)+'Assumptions'!E57-'Assumptions'!E62*(1)-'Assumptions'!E67-(0))+('Working Capital'!$E$6))*'DCF'!E12/(1+('DCF'!$E$6))^'DCF'!E13,(('Historical Inputs'!$N$9*(1+(F65))^2)*(('Assumptions'!F37+(0))*(1-'Assumptions'!F42-(0))+'Assumptions'!F47-'Assumptions'!F52*(1)+'Assumptions'!F57-'Assumptions'!F62*(1)-'Assumptions'!F67-(0))+(('Historical Inputs'!$N$9*(1+(F65))^1)*('Assumptions'!E67+(0))))*'DCF'!F12/(1+('DCF'!$E$6))^'DCF'!F13,(('Historical Inputs'!$N$9*(1+(F65))^3)*(('Assumptions'!G37+(0))*(1-'Assumptions'!G42-(0))+'Assumptions'!G47-'Assumptions'!G52*(1)+'Assumptions'!G57-'Assumptions'!G62*(1)-'Assumptions'!G67-(0))+(('Historical Inputs'!$N$9*(1+(F65))^2)*('Assumptions'!F67+(0))))*'DCF'!G12/(1+('DCF'!$E$6))^'DCF'!G13,(('Historical Inputs'!$N$9*(1+(F65))^4)*(('Assumptions'!H37+(0))*(1-'Assumptions'!H42-(0))+'Assumptions'!H47-'Assumptions'!H52*(1)+'Assumptions'!H57-'Assumptions'!H62*(1)-'Assumptions'!H67-(0))+(('Historical Inputs'!$N$9*(1+(F65))^3)*('Assumptions'!G67+(0))))*'DCF'!H12/(1+('DCF'!$E$6))^'DCF'!H13,(('Historical Inputs'!$N$9*(1+(F65))^5)*(('Assumptions'!I37+(0))*(1-'Assumptions'!I42-(0))+'Assumptions'!I47-'Assumptions'!I52*(1)+'Assumptions'!I57-'Assumptions'!I62*(1)-'Assumptions'!I67-(0))+(('Historical Inputs'!$N$9*(1+(F65))^4)*('Assumptions'!H67+(0))))*'DCF'!I12/(1+('DCF'!$E$6))^'DCF'!I13)+('Historical Inputs'!$N$9*(1+(F65))^5)*(1+('DCF'!$E$7))*('Terminal Value'!$E$10+(0))*(1-'Assumptions'!$E$15-(0))*(1-('DCF'!$E$7)/('Terminal Value'!$E$12))/(('DCF'!$E$6)-('DCF'!$E$7))/(1+('DCF'!$E$6))^'DCF'!$E$19)
Review selected-case observations and Model Guide for definitions and held assumptions.</x:t>
        </x:r>
      </x:text>
    </x:comment>
    <x:comment ref="H65" authorId="0">
      <x:text>
        <x:r>
          <x:t>Reverse Growth. Formula: =G65-$E$9
Review selected-case observations and Model Guide for definitions and held assumptions.</x:t>
        </x:r>
      </x:text>
    </x:comment>
    <x:comment ref="C66" authorId="0">
      <x:text>
        <x:r>
          <x:t>Reverse Growth. Editable source or analyst input.
Review selected-case observations and Model Guide for definitions and held assumptions.</x:t>
        </x:r>
      </x:text>
    </x:comment>
    <x:comment ref="D66" authorId="0">
      <x:text>
        <x:r>
          <x:t>Reverse Growth. Formula: =IF(G65&lt;$E$9,F65,D65)
Review selected-case observations and Model Guide for definitions and held assumptions.</x:t>
        </x:r>
      </x:text>
    </x:comment>
    <x:comment ref="E66" authorId="0">
      <x:text>
        <x:r>
          <x:t>Reverse Growth. Formula: =IF(G65&lt;$E$9,E65,F65)
Review selected-case observations and Model Guide for definitions and held assumptions.</x:t>
        </x:r>
      </x:text>
    </x:comment>
    <x:comment ref="F66" authorId="0">
      <x:text>
        <x:r>
          <x:t>Reverse Growth. Formula: =(D66+E66)/2
Review selected-case observations and Model Guide for definitions and held assumptions.</x:t>
        </x:r>
      </x:text>
    </x:comment>
    <x:comment ref="G66" authorId="0">
      <x:text>
        <x:r>
          <x:t>Reverse Growth. Formula: =(SUM((('Historical Inputs'!$N$9*(1+(F66))^1)*(('Assumptions'!E37+(0))*(1-'Assumptions'!E42-(0))+'Assumptions'!E47-'Assumptions'!E52*(1)+'Assumptions'!E57-'Assumptions'!E62*(1)-'Assumptions'!E67-(0))+('Working Capital'!$E$6))*'DCF'!E12/(1+('DCF'!$E$6))^'DCF'!E13,(('Historical Inputs'!$N$9*(1+(F66))^2)*(('Assumptions'!F37+(0))*(1-'Assumptions'!F42-(0))+'Assumptions'!F47-'Assumptions'!F52*(1)+'Assumptions'!F57-'Assumptions'!F62*(1)-'Assumptions'!F67-(0))+(('Historical Inputs'!$N$9*(1+(F66))^1)*('Assumptions'!E67+(0))))*'DCF'!F12/(1+('DCF'!$E$6))^'DCF'!F13,(('Historical Inputs'!$N$9*(1+(F66))^3)*(('Assumptions'!G37+(0))*(1-'Assumptions'!G42-(0))+'Assumptions'!G47-'Assumptions'!G52*(1)+'Assumptions'!G57-'Assumptions'!G62*(1)-'Assumptions'!G67-(0))+(('Historical Inputs'!$N$9*(1+(F66))^2)*('Assumptions'!F67+(0))))*'DCF'!G12/(1+('DCF'!$E$6))^'DCF'!G13,(('Historical Inputs'!$N$9*(1+(F66))^4)*(('Assumptions'!H37+(0))*(1-'Assumptions'!H42-(0))+'Assumptions'!H47-'Assumptions'!H52*(1)+'Assumptions'!H57-'Assumptions'!H62*(1)-'Assumptions'!H67-(0))+(('Historical Inputs'!$N$9*(1+(F66))^3)*('Assumptions'!G67+(0))))*'DCF'!H12/(1+('DCF'!$E$6))^'DCF'!H13,(('Historical Inputs'!$N$9*(1+(F66))^5)*(('Assumptions'!I37+(0))*(1-'Assumptions'!I42-(0))+'Assumptions'!I47-'Assumptions'!I52*(1)+'Assumptions'!I57-'Assumptions'!I62*(1)-'Assumptions'!I67-(0))+(('Historical Inputs'!$N$9*(1+(F66))^4)*('Assumptions'!H67+(0))))*'DCF'!I12/(1+('DCF'!$E$6))^'DCF'!I13)+('Historical Inputs'!$N$9*(1+(F66))^5)*(1+('DCF'!$E$7))*('Terminal Value'!$E$10+(0))*(1-'Assumptions'!$E$15-(0))*(1-('DCF'!$E$7)/('Terminal Value'!$E$12))/(('DCF'!$E$6)-('DCF'!$E$7))/(1+('DCF'!$E$6))^'DCF'!$E$19)
Review selected-case observations and Model Guide for definitions and held assumptions.</x:t>
        </x:r>
      </x:text>
    </x:comment>
    <x:comment ref="H66" authorId="0">
      <x:text>
        <x:r>
          <x:t>Reverse Growth. Formula: =G66-$E$9
Review selected-case observations and Model Guide for definitions and held assumptions.</x:t>
        </x:r>
      </x:text>
    </x:comment>
    <x:comment ref="C67" authorId="0">
      <x:text>
        <x:r>
          <x:t>Reverse Growth. Editable source or analyst input.
Review selected-case observations and Model Guide for definitions and held assumptions.</x:t>
        </x:r>
      </x:text>
    </x:comment>
    <x:comment ref="D67" authorId="0">
      <x:text>
        <x:r>
          <x:t>Reverse Growth. Formula: =IF(G66&lt;$E$9,F66,D66)
Review selected-case observations and Model Guide for definitions and held assumptions.</x:t>
        </x:r>
      </x:text>
    </x:comment>
    <x:comment ref="E67" authorId="0">
      <x:text>
        <x:r>
          <x:t>Reverse Growth. Formula: =IF(G66&lt;$E$9,E66,F66)
Review selected-case observations and Model Guide for definitions and held assumptions.</x:t>
        </x:r>
      </x:text>
    </x:comment>
    <x:comment ref="F67" authorId="0">
      <x:text>
        <x:r>
          <x:t>Reverse Growth. Formula: =(D67+E67)/2
Review selected-case observations and Model Guide for definitions and held assumptions.</x:t>
        </x:r>
      </x:text>
    </x:comment>
    <x:comment ref="G67" authorId="0">
      <x:text>
        <x:r>
          <x:t>Reverse Growth. Formula: =(SUM((('Historical Inputs'!$N$9*(1+(F67))^1)*(('Assumptions'!E37+(0))*(1-'Assumptions'!E42-(0))+'Assumptions'!E47-'Assumptions'!E52*(1)+'Assumptions'!E57-'Assumptions'!E62*(1)-'Assumptions'!E67-(0))+('Working Capital'!$E$6))*'DCF'!E12/(1+('DCF'!$E$6))^'DCF'!E13,(('Historical Inputs'!$N$9*(1+(F67))^2)*(('Assumptions'!F37+(0))*(1-'Assumptions'!F42-(0))+'Assumptions'!F47-'Assumptions'!F52*(1)+'Assumptions'!F57-'Assumptions'!F62*(1)-'Assumptions'!F67-(0))+(('Historical Inputs'!$N$9*(1+(F67))^1)*('Assumptions'!E67+(0))))*'DCF'!F12/(1+('DCF'!$E$6))^'DCF'!F13,(('Historical Inputs'!$N$9*(1+(F67))^3)*(('Assumptions'!G37+(0))*(1-'Assumptions'!G42-(0))+'Assumptions'!G47-'Assumptions'!G52*(1)+'Assumptions'!G57-'Assumptions'!G62*(1)-'Assumptions'!G67-(0))+(('Historical Inputs'!$N$9*(1+(F67))^2)*('Assumptions'!F67+(0))))*'DCF'!G12/(1+('DCF'!$E$6))^'DCF'!G13,(('Historical Inputs'!$N$9*(1+(F67))^4)*(('Assumptions'!H37+(0))*(1-'Assumptions'!H42-(0))+'Assumptions'!H47-'Assumptions'!H52*(1)+'Assumptions'!H57-'Assumptions'!H62*(1)-'Assumptions'!H67-(0))+(('Historical Inputs'!$N$9*(1+(F67))^3)*('Assumptions'!G67+(0))))*'DCF'!H12/(1+('DCF'!$E$6))^'DCF'!H13,(('Historical Inputs'!$N$9*(1+(F67))^5)*(('Assumptions'!I37+(0))*(1-'Assumptions'!I42-(0))+'Assumptions'!I47-'Assumptions'!I52*(1)+'Assumptions'!I57-'Assumptions'!I62*(1)-'Assumptions'!I67-(0))+(('Historical Inputs'!$N$9*(1+(F67))^4)*('Assumptions'!H67+(0))))*'DCF'!I12/(1+('DCF'!$E$6))^'DCF'!I13)+('Historical Inputs'!$N$9*(1+(F67))^5)*(1+('DCF'!$E$7))*('Terminal Value'!$E$10+(0))*(1-'Assumptions'!$E$15-(0))*(1-('DCF'!$E$7)/('Terminal Value'!$E$12))/(('DCF'!$E$6)-('DCF'!$E$7))/(1+('DCF'!$E$6))^'DCF'!$E$19)
Review selected-case observations and Model Guide for definitions and held assumptions.</x:t>
        </x:r>
      </x:text>
    </x:comment>
    <x:comment ref="H67" authorId="0">
      <x:text>
        <x:r>
          <x:t>Reverse Growth. Formula: =G67-$E$9
Review selected-case observations and Model Guide for definitions and held assumptions.</x:t>
        </x:r>
      </x:text>
    </x:comment>
    <x:comment ref="C68" authorId="0">
      <x:text>
        <x:r>
          <x:t>Reverse Growth. Editable source or analyst input.
Review selected-case observations and Model Guide for definitions and held assumptions.</x:t>
        </x:r>
      </x:text>
    </x:comment>
    <x:comment ref="D68" authorId="0">
      <x:text>
        <x:r>
          <x:t>Reverse Growth. Formula: =IF(G67&lt;$E$9,F67,D67)
Review selected-case observations and Model Guide for definitions and held assumptions.</x:t>
        </x:r>
      </x:text>
    </x:comment>
    <x:comment ref="E68" authorId="0">
      <x:text>
        <x:r>
          <x:t>Reverse Growth. Formula: =IF(G67&lt;$E$9,E67,F67)
Review selected-case observations and Model Guide for definitions and held assumptions.</x:t>
        </x:r>
      </x:text>
    </x:comment>
    <x:comment ref="F68" authorId="0">
      <x:text>
        <x:r>
          <x:t>Reverse Growth. Formula: =(D68+E68)/2
Review selected-case observations and Model Guide for definitions and held assumptions.</x:t>
        </x:r>
      </x:text>
    </x:comment>
    <x:comment ref="G68" authorId="0">
      <x:text>
        <x:r>
          <x:t>Reverse Growth. Formula: =(SUM((('Historical Inputs'!$N$9*(1+(F68))^1)*(('Assumptions'!E37+(0))*(1-'Assumptions'!E42-(0))+'Assumptions'!E47-'Assumptions'!E52*(1)+'Assumptions'!E57-'Assumptions'!E62*(1)-'Assumptions'!E67-(0))+('Working Capital'!$E$6))*'DCF'!E12/(1+('DCF'!$E$6))^'DCF'!E13,(('Historical Inputs'!$N$9*(1+(F68))^2)*(('Assumptions'!F37+(0))*(1-'Assumptions'!F42-(0))+'Assumptions'!F47-'Assumptions'!F52*(1)+'Assumptions'!F57-'Assumptions'!F62*(1)-'Assumptions'!F67-(0))+(('Historical Inputs'!$N$9*(1+(F68))^1)*('Assumptions'!E67+(0))))*'DCF'!F12/(1+('DCF'!$E$6))^'DCF'!F13,(('Historical Inputs'!$N$9*(1+(F68))^3)*(('Assumptions'!G37+(0))*(1-'Assumptions'!G42-(0))+'Assumptions'!G47-'Assumptions'!G52*(1)+'Assumptions'!G57-'Assumptions'!G62*(1)-'Assumptions'!G67-(0))+(('Historical Inputs'!$N$9*(1+(F68))^2)*('Assumptions'!F67+(0))))*'DCF'!G12/(1+('DCF'!$E$6))^'DCF'!G13,(('Historical Inputs'!$N$9*(1+(F68))^4)*(('Assumptions'!H37+(0))*(1-'Assumptions'!H42-(0))+'Assumptions'!H47-'Assumptions'!H52*(1)+'Assumptions'!H57-'Assumptions'!H62*(1)-'Assumptions'!H67-(0))+(('Historical Inputs'!$N$9*(1+(F68))^3)*('Assumptions'!G67+(0))))*'DCF'!H12/(1+('DCF'!$E$6))^'DCF'!H13,(('Historical Inputs'!$N$9*(1+(F68))^5)*(('Assumptions'!I37+(0))*(1-'Assumptions'!I42-(0))+'Assumptions'!I47-'Assumptions'!I52*(1)+'Assumptions'!I57-'Assumptions'!I62*(1)-'Assumptions'!I67-(0))+(('Historical Inputs'!$N$9*(1+(F68))^4)*('Assumptions'!H67+(0))))*'DCF'!I12/(1+('DCF'!$E$6))^'DCF'!I13)+('Historical Inputs'!$N$9*(1+(F68))^5)*(1+('DCF'!$E$7))*('Terminal Value'!$E$10+(0))*(1-'Assumptions'!$E$15-(0))*(1-('DCF'!$E$7)/('Terminal Value'!$E$12))/(('DCF'!$E$6)-('DCF'!$E$7))/(1+('DCF'!$E$6))^'DCF'!$E$19)
Review selected-case observations and Model Guide for definitions and held assumptions.</x:t>
        </x:r>
      </x:text>
    </x:comment>
    <x:comment ref="H68" authorId="0">
      <x:text>
        <x:r>
          <x:t>Reverse Growth. Formula: =G68-$E$9
Review selected-case observations and Model Guide for definitions and held assumptions.</x:t>
        </x:r>
      </x:text>
    </x:comment>
    <x:comment ref="C69" authorId="0">
      <x:text>
        <x:r>
          <x:t>Reverse Growth. Editable source or analyst input.
Review selected-case observations and Model Guide for definitions and held assumptions.</x:t>
        </x:r>
      </x:text>
    </x:comment>
    <x:comment ref="D69" authorId="0">
      <x:text>
        <x:r>
          <x:t>Reverse Growth. Formula: =IF(G68&lt;$E$9,F68,D68)
Review selected-case observations and Model Guide for definitions and held assumptions.</x:t>
        </x:r>
      </x:text>
    </x:comment>
    <x:comment ref="E69" authorId="0">
      <x:text>
        <x:r>
          <x:t>Reverse Growth. Formula: =IF(G68&lt;$E$9,E68,F68)
Review selected-case observations and Model Guide for definitions and held assumptions.</x:t>
        </x:r>
      </x:text>
    </x:comment>
    <x:comment ref="F69" authorId="0">
      <x:text>
        <x:r>
          <x:t>Reverse Growth. Formula: =(D69+E69)/2
Review selected-case observations and Model Guide for definitions and held assumptions.</x:t>
        </x:r>
      </x:text>
    </x:comment>
    <x:comment ref="G69" authorId="0">
      <x:text>
        <x:r>
          <x:t>Reverse Growth. Formula: =(SUM((('Historical Inputs'!$N$9*(1+(F69))^1)*(('Assumptions'!E37+(0))*(1-'Assumptions'!E42-(0))+'Assumptions'!E47-'Assumptions'!E52*(1)+'Assumptions'!E57-'Assumptions'!E62*(1)-'Assumptions'!E67-(0))+('Working Capital'!$E$6))*'DCF'!E12/(1+('DCF'!$E$6))^'DCF'!E13,(('Historical Inputs'!$N$9*(1+(F69))^2)*(('Assumptions'!F37+(0))*(1-'Assumptions'!F42-(0))+'Assumptions'!F47-'Assumptions'!F52*(1)+'Assumptions'!F57-'Assumptions'!F62*(1)-'Assumptions'!F67-(0))+(('Historical Inputs'!$N$9*(1+(F69))^1)*('Assumptions'!E67+(0))))*'DCF'!F12/(1+('DCF'!$E$6))^'DCF'!F13,(('Historical Inputs'!$N$9*(1+(F69))^3)*(('Assumptions'!G37+(0))*(1-'Assumptions'!G42-(0))+'Assumptions'!G47-'Assumptions'!G52*(1)+'Assumptions'!G57-'Assumptions'!G62*(1)-'Assumptions'!G67-(0))+(('Historical Inputs'!$N$9*(1+(F69))^2)*('Assumptions'!F67+(0))))*'DCF'!G12/(1+('DCF'!$E$6))^'DCF'!G13,(('Historical Inputs'!$N$9*(1+(F69))^4)*(('Assumptions'!H37+(0))*(1-'Assumptions'!H42-(0))+'Assumptions'!H47-'Assumptions'!H52*(1)+'Assumptions'!H57-'Assumptions'!H62*(1)-'Assumptions'!H67-(0))+(('Historical Inputs'!$N$9*(1+(F69))^3)*('Assumptions'!G67+(0))))*'DCF'!H12/(1+('DCF'!$E$6))^'DCF'!H13,(('Historical Inputs'!$N$9*(1+(F69))^5)*(('Assumptions'!I37+(0))*(1-'Assumptions'!I42-(0))+'Assumptions'!I47-'Assumptions'!I52*(1)+'Assumptions'!I57-'Assumptions'!I62*(1)-'Assumptions'!I67-(0))+(('Historical Inputs'!$N$9*(1+(F69))^4)*('Assumptions'!H67+(0))))*'DCF'!I12/(1+('DCF'!$E$6))^'DCF'!I13)+('Historical Inputs'!$N$9*(1+(F69))^5)*(1+('DCF'!$E$7))*('Terminal Value'!$E$10+(0))*(1-'Assumptions'!$E$15-(0))*(1-('DCF'!$E$7)/('Terminal Value'!$E$12))/(('DCF'!$E$6)-('DCF'!$E$7))/(1+('DCF'!$E$6))^'DCF'!$E$19)
Review selected-case observations and Model Guide for definitions and held assumptions.</x:t>
        </x:r>
      </x:text>
    </x:comment>
    <x:comment ref="H69" authorId="0">
      <x:text>
        <x:r>
          <x:t>Reverse Growth. Formula: =G69-$E$9
Review selected-case observations and Model Guide for definitions and held assumptions.</x:t>
        </x:r>
      </x:text>
    </x:comment>
    <x:comment ref="C70" authorId="0">
      <x:text>
        <x:r>
          <x:t>Reverse Growth. Editable source or analyst input.
Review selected-case observations and Model Guide for definitions and held assumptions.</x:t>
        </x:r>
      </x:text>
    </x:comment>
    <x:comment ref="D70" authorId="0">
      <x:text>
        <x:r>
          <x:t>Reverse Growth. Formula: =IF(G69&lt;$E$9,F69,D69)
Review selected-case observations and Model Guide for definitions and held assumptions.</x:t>
        </x:r>
      </x:text>
    </x:comment>
    <x:comment ref="E70" authorId="0">
      <x:text>
        <x:r>
          <x:t>Reverse Growth. Formula: =IF(G69&lt;$E$9,E69,F69)
Review selected-case observations and Model Guide for definitions and held assumptions.</x:t>
        </x:r>
      </x:text>
    </x:comment>
    <x:comment ref="F70" authorId="0">
      <x:text>
        <x:r>
          <x:t>Reverse Growth. Formula: =(D70+E70)/2
Review selected-case observations and Model Guide for definitions and held assumptions.</x:t>
        </x:r>
      </x:text>
    </x:comment>
    <x:comment ref="G70" authorId="0">
      <x:text>
        <x:r>
          <x:t>Reverse Growth. Formula: =(SUM((('Historical Inputs'!$N$9*(1+(F70))^1)*(('Assumptions'!E37+(0))*(1-'Assumptions'!E42-(0))+'Assumptions'!E47-'Assumptions'!E52*(1)+'Assumptions'!E57-'Assumptions'!E62*(1)-'Assumptions'!E67-(0))+('Working Capital'!$E$6))*'DCF'!E12/(1+('DCF'!$E$6))^'DCF'!E13,(('Historical Inputs'!$N$9*(1+(F70))^2)*(('Assumptions'!F37+(0))*(1-'Assumptions'!F42-(0))+'Assumptions'!F47-'Assumptions'!F52*(1)+'Assumptions'!F57-'Assumptions'!F62*(1)-'Assumptions'!F67-(0))+(('Historical Inputs'!$N$9*(1+(F70))^1)*('Assumptions'!E67+(0))))*'DCF'!F12/(1+('DCF'!$E$6))^'DCF'!F13,(('Historical Inputs'!$N$9*(1+(F70))^3)*(('Assumptions'!G37+(0))*(1-'Assumptions'!G42-(0))+'Assumptions'!G47-'Assumptions'!G52*(1)+'Assumptions'!G57-'Assumptions'!G62*(1)-'Assumptions'!G67-(0))+(('Historical Inputs'!$N$9*(1+(F70))^2)*('Assumptions'!F67+(0))))*'DCF'!G12/(1+('DCF'!$E$6))^'DCF'!G13,(('Historical Inputs'!$N$9*(1+(F70))^4)*(('Assumptions'!H37+(0))*(1-'Assumptions'!H42-(0))+'Assumptions'!H47-'Assumptions'!H52*(1)+'Assumptions'!H57-'Assumptions'!H62*(1)-'Assumptions'!H67-(0))+(('Historical Inputs'!$N$9*(1+(F70))^3)*('Assumptions'!G67+(0))))*'DCF'!H12/(1+('DCF'!$E$6))^'DCF'!H13,(('Historical Inputs'!$N$9*(1+(F70))^5)*(('Assumptions'!I37+(0))*(1-'Assumptions'!I42-(0))+'Assumptions'!I47-'Assumptions'!I52*(1)+'Assumptions'!I57-'Assumptions'!I62*(1)-'Assumptions'!I67-(0))+(('Historical Inputs'!$N$9*(1+(F70))^4)*('Assumptions'!H67+(0))))*'DCF'!I12/(1+('DCF'!$E$6))^'DCF'!I13)+('Historical Inputs'!$N$9*(1+(F70))^5)*(1+('DCF'!$E$7))*('Terminal Value'!$E$10+(0))*(1-'Assumptions'!$E$15-(0))*(1-('DCF'!$E$7)/('Terminal Value'!$E$12))/(('DCF'!$E$6)-('DCF'!$E$7))/(1+('DCF'!$E$6))^'DCF'!$E$19)
Review selected-case observations and Model Guide for definitions and held assumptions.</x:t>
        </x:r>
      </x:text>
    </x:comment>
    <x:comment ref="H70" authorId="0">
      <x:text>
        <x:r>
          <x:t>Reverse Growth. Formula: =G70-$E$9
Review selected-case observations and Model Guide for definitions and held assumptions.</x:t>
        </x:r>
      </x:text>
    </x:comment>
    <x:comment ref="C71" authorId="0">
      <x:text>
        <x:r>
          <x:t>Reverse Growth. Editable source or analyst input.
Review selected-case observations and Model Guide for definitions and held assumptions.</x:t>
        </x:r>
      </x:text>
    </x:comment>
    <x:comment ref="D71" authorId="0">
      <x:text>
        <x:r>
          <x:t>Reverse Growth. Formula: =IF(G70&lt;$E$9,F70,D70)
Review selected-case observations and Model Guide for definitions and held assumptions.</x:t>
        </x:r>
      </x:text>
    </x:comment>
    <x:comment ref="E71" authorId="0">
      <x:text>
        <x:r>
          <x:t>Reverse Growth. Formula: =IF(G70&lt;$E$9,E70,F70)
Review selected-case observations and Model Guide for definitions and held assumptions.</x:t>
        </x:r>
      </x:text>
    </x:comment>
    <x:comment ref="F71" authorId="0">
      <x:text>
        <x:r>
          <x:t>Reverse Growth. Formula: =(D71+E71)/2
Review selected-case observations and Model Guide for definitions and held assumptions.</x:t>
        </x:r>
      </x:text>
    </x:comment>
    <x:comment ref="G71" authorId="0">
      <x:text>
        <x:r>
          <x:t>Reverse Growth. Formula: =(SUM((('Historical Inputs'!$N$9*(1+(F71))^1)*(('Assumptions'!E37+(0))*(1-'Assumptions'!E42-(0))+'Assumptions'!E47-'Assumptions'!E52*(1)+'Assumptions'!E57-'Assumptions'!E62*(1)-'Assumptions'!E67-(0))+('Working Capital'!$E$6))*'DCF'!E12/(1+('DCF'!$E$6))^'DCF'!E13,(('Historical Inputs'!$N$9*(1+(F71))^2)*(('Assumptions'!F37+(0))*(1-'Assumptions'!F42-(0))+'Assumptions'!F47-'Assumptions'!F52*(1)+'Assumptions'!F57-'Assumptions'!F62*(1)-'Assumptions'!F67-(0))+(('Historical Inputs'!$N$9*(1+(F71))^1)*('Assumptions'!E67+(0))))*'DCF'!F12/(1+('DCF'!$E$6))^'DCF'!F13,(('Historical Inputs'!$N$9*(1+(F71))^3)*(('Assumptions'!G37+(0))*(1-'Assumptions'!G42-(0))+'Assumptions'!G47-'Assumptions'!G52*(1)+'Assumptions'!G57-'Assumptions'!G62*(1)-'Assumptions'!G67-(0))+(('Historical Inputs'!$N$9*(1+(F71))^2)*('Assumptions'!F67+(0))))*'DCF'!G12/(1+('DCF'!$E$6))^'DCF'!G13,(('Historical Inputs'!$N$9*(1+(F71))^4)*(('Assumptions'!H37+(0))*(1-'Assumptions'!H42-(0))+'Assumptions'!H47-'Assumptions'!H52*(1)+'Assumptions'!H57-'Assumptions'!H62*(1)-'Assumptions'!H67-(0))+(('Historical Inputs'!$N$9*(1+(F71))^3)*('Assumptions'!G67+(0))))*'DCF'!H12/(1+('DCF'!$E$6))^'DCF'!H13,(('Historical Inputs'!$N$9*(1+(F71))^5)*(('Assumptions'!I37+(0))*(1-'Assumptions'!I42-(0))+'Assumptions'!I47-'Assumptions'!I52*(1)+'Assumptions'!I57-'Assumptions'!I62*(1)-'Assumptions'!I67-(0))+(('Historical Inputs'!$N$9*(1+(F71))^4)*('Assumptions'!H67+(0))))*'DCF'!I12/(1+('DCF'!$E$6))^'DCF'!I13)+('Historical Inputs'!$N$9*(1+(F71))^5)*(1+('DCF'!$E$7))*('Terminal Value'!$E$10+(0))*(1-'Assumptions'!$E$15-(0))*(1-('DCF'!$E$7)/('Terminal Value'!$E$12))/(('DCF'!$E$6)-('DCF'!$E$7))/(1+('DCF'!$E$6))^'DCF'!$E$19)
Review selected-case observations and Model Guide for definitions and held assumptions.</x:t>
        </x:r>
      </x:text>
    </x:comment>
    <x:comment ref="H71" authorId="0">
      <x:text>
        <x:r>
          <x:t>Reverse Growth. Formula: =G71-$E$9
Review selected-case observations and Model Guide for definitions and held assumptions.</x:t>
        </x:r>
      </x:text>
    </x:comment>
    <x:comment ref="C72" authorId="0">
      <x:text>
        <x:r>
          <x:t>Reverse Growth. Editable source or analyst input.
Review selected-case observations and Model Guide for definitions and held assumptions.</x:t>
        </x:r>
      </x:text>
    </x:comment>
    <x:comment ref="D72" authorId="0">
      <x:text>
        <x:r>
          <x:t>Reverse Growth. Formula: =IF(G71&lt;$E$9,F71,D71)
Review selected-case observations and Model Guide for definitions and held assumptions.</x:t>
        </x:r>
      </x:text>
    </x:comment>
    <x:comment ref="E72" authorId="0">
      <x:text>
        <x:r>
          <x:t>Reverse Growth. Formula: =IF(G71&lt;$E$9,E71,F71)
Review selected-case observations and Model Guide for definitions and held assumptions.</x:t>
        </x:r>
      </x:text>
    </x:comment>
    <x:comment ref="F72" authorId="0">
      <x:text>
        <x:r>
          <x:t>Reverse Growth. Formula: =(D72+E72)/2
Review selected-case observations and Model Guide for definitions and held assumptions.</x:t>
        </x:r>
      </x:text>
    </x:comment>
    <x:comment ref="G72" authorId="0">
      <x:text>
        <x:r>
          <x:t>Reverse Growth. Formula: =(SUM((('Historical Inputs'!$N$9*(1+(F72))^1)*(('Assumptions'!E37+(0))*(1-'Assumptions'!E42-(0))+'Assumptions'!E47-'Assumptions'!E52*(1)+'Assumptions'!E57-'Assumptions'!E62*(1)-'Assumptions'!E67-(0))+('Working Capital'!$E$6))*'DCF'!E12/(1+('DCF'!$E$6))^'DCF'!E13,(('Historical Inputs'!$N$9*(1+(F72))^2)*(('Assumptions'!F37+(0))*(1-'Assumptions'!F42-(0))+'Assumptions'!F47-'Assumptions'!F52*(1)+'Assumptions'!F57-'Assumptions'!F62*(1)-'Assumptions'!F67-(0))+(('Historical Inputs'!$N$9*(1+(F72))^1)*('Assumptions'!E67+(0))))*'DCF'!F12/(1+('DCF'!$E$6))^'DCF'!F13,(('Historical Inputs'!$N$9*(1+(F72))^3)*(('Assumptions'!G37+(0))*(1-'Assumptions'!G42-(0))+'Assumptions'!G47-'Assumptions'!G52*(1)+'Assumptions'!G57-'Assumptions'!G62*(1)-'Assumptions'!G67-(0))+(('Historical Inputs'!$N$9*(1+(F72))^2)*('Assumptions'!F67+(0))))*'DCF'!G12/(1+('DCF'!$E$6))^'DCF'!G13,(('Historical Inputs'!$N$9*(1+(F72))^4)*(('Assumptions'!H37+(0))*(1-'Assumptions'!H42-(0))+'Assumptions'!H47-'Assumptions'!H52*(1)+'Assumptions'!H57-'Assumptions'!H62*(1)-'Assumptions'!H67-(0))+(('Historical Inputs'!$N$9*(1+(F72))^3)*('Assumptions'!G67+(0))))*'DCF'!H12/(1+('DCF'!$E$6))^'DCF'!H13,(('Historical Inputs'!$N$9*(1+(F72))^5)*(('Assumptions'!I37+(0))*(1-'Assumptions'!I42-(0))+'Assumptions'!I47-'Assumptions'!I52*(1)+'Assumptions'!I57-'Assumptions'!I62*(1)-'Assumptions'!I67-(0))+(('Historical Inputs'!$N$9*(1+(F72))^4)*('Assumptions'!H67+(0))))*'DCF'!I12/(1+('DCF'!$E$6))^'DCF'!I13)+('Historical Inputs'!$N$9*(1+(F72))^5)*(1+('DCF'!$E$7))*('Terminal Value'!$E$10+(0))*(1-'Assumptions'!$E$15-(0))*(1-('DCF'!$E$7)/('Terminal Value'!$E$12))/(('DCF'!$E$6)-('DCF'!$E$7))/(1+('DCF'!$E$6))^'DCF'!$E$19)
Review selected-case observations and Model Guide for definitions and held assumptions.</x:t>
        </x:r>
      </x:text>
    </x:comment>
    <x:comment ref="H72" authorId="0">
      <x:text>
        <x:r>
          <x:t>Reverse Growth. Formula: =G72-$E$9
Review selected-case observations and Model Guide for definitions and held assumptions.</x:t>
        </x:r>
      </x:text>
    </x:comment>
    <x:comment ref="C73" authorId="0">
      <x:text>
        <x:r>
          <x:t>Reverse Growth. Editable source or analyst input.
Review selected-case observations and Model Guide for definitions and held assumptions.</x:t>
        </x:r>
      </x:text>
    </x:comment>
    <x:comment ref="D73" authorId="0">
      <x:text>
        <x:r>
          <x:t>Reverse Growth. Formula: =IF(G72&lt;$E$9,F72,D72)
Review selected-case observations and Model Guide for definitions and held assumptions.</x:t>
        </x:r>
      </x:text>
    </x:comment>
    <x:comment ref="E73" authorId="0">
      <x:text>
        <x:r>
          <x:t>Reverse Growth. Formula: =IF(G72&lt;$E$9,E72,F72)
Review selected-case observations and Model Guide for definitions and held assumptions.</x:t>
        </x:r>
      </x:text>
    </x:comment>
    <x:comment ref="F73" authorId="0">
      <x:text>
        <x:r>
          <x:t>Reverse Growth. Formula: =(D73+E73)/2
Review selected-case observations and Model Guide for definitions and held assumptions.</x:t>
        </x:r>
      </x:text>
    </x:comment>
    <x:comment ref="G73" authorId="0">
      <x:text>
        <x:r>
          <x:t>Reverse Growth. Formula: =(SUM((('Historical Inputs'!$N$9*(1+(F73))^1)*(('Assumptions'!E37+(0))*(1-'Assumptions'!E42-(0))+'Assumptions'!E47-'Assumptions'!E52*(1)+'Assumptions'!E57-'Assumptions'!E62*(1)-'Assumptions'!E67-(0))+('Working Capital'!$E$6))*'DCF'!E12/(1+('DCF'!$E$6))^'DCF'!E13,(('Historical Inputs'!$N$9*(1+(F73))^2)*(('Assumptions'!F37+(0))*(1-'Assumptions'!F42-(0))+'Assumptions'!F47-'Assumptions'!F52*(1)+'Assumptions'!F57-'Assumptions'!F62*(1)-'Assumptions'!F67-(0))+(('Historical Inputs'!$N$9*(1+(F73))^1)*('Assumptions'!E67+(0))))*'DCF'!F12/(1+('DCF'!$E$6))^'DCF'!F13,(('Historical Inputs'!$N$9*(1+(F73))^3)*(('Assumptions'!G37+(0))*(1-'Assumptions'!G42-(0))+'Assumptions'!G47-'Assumptions'!G52*(1)+'Assumptions'!G57-'Assumptions'!G62*(1)-'Assumptions'!G67-(0))+(('Historical Inputs'!$N$9*(1+(F73))^2)*('Assumptions'!F67+(0))))*'DCF'!G12/(1+('DCF'!$E$6))^'DCF'!G13,(('Historical Inputs'!$N$9*(1+(F73))^4)*(('Assumptions'!H37+(0))*(1-'Assumptions'!H42-(0))+'Assumptions'!H47-'Assumptions'!H52*(1)+'Assumptions'!H57-'Assumptions'!H62*(1)-'Assumptions'!H67-(0))+(('Historical Inputs'!$N$9*(1+(F73))^3)*('Assumptions'!G67+(0))))*'DCF'!H12/(1+('DCF'!$E$6))^'DCF'!H13,(('Historical Inputs'!$N$9*(1+(F73))^5)*(('Assumptions'!I37+(0))*(1-'Assumptions'!I42-(0))+'Assumptions'!I47-'Assumptions'!I52*(1)+'Assumptions'!I57-'Assumptions'!I62*(1)-'Assumptions'!I67-(0))+(('Historical Inputs'!$N$9*(1+(F73))^4)*('Assumptions'!H67+(0))))*'DCF'!I12/(1+('DCF'!$E$6))^'DCF'!I13)+('Historical Inputs'!$N$9*(1+(F73))^5)*(1+('DCF'!$E$7))*('Terminal Value'!$E$10+(0))*(1-'Assumptions'!$E$15-(0))*(1-('DCF'!$E$7)/('Terminal Value'!$E$12))/(('DCF'!$E$6)-('DCF'!$E$7))/(1+('DCF'!$E$6))^'DCF'!$E$19)
Review selected-case observations and Model Guide for definitions and held assumptions.</x:t>
        </x:r>
      </x:text>
    </x:comment>
    <x:comment ref="H73" authorId="0">
      <x:text>
        <x:r>
          <x:t>Reverse Growth. Formula: =G73-$E$9
Review selected-case observations and Model Guide for definitions and held assumptions.</x:t>
        </x:r>
      </x:text>
    </x:comment>
    <x:comment ref="C74" authorId="0">
      <x:text>
        <x:r>
          <x:t>Reverse Growth. Editable source or analyst input.
Review selected-case observations and Model Guide for definitions and held assumptions.</x:t>
        </x:r>
      </x:text>
    </x:comment>
    <x:comment ref="D74" authorId="0">
      <x:text>
        <x:r>
          <x:t>Reverse Growth. Formula: =IF(G73&lt;$E$9,F73,D73)
Review selected-case observations and Model Guide for definitions and held assumptions.</x:t>
        </x:r>
      </x:text>
    </x:comment>
    <x:comment ref="E74" authorId="0">
      <x:text>
        <x:r>
          <x:t>Reverse Growth. Formula: =IF(G73&lt;$E$9,E73,F73)
Review selected-case observations and Model Guide for definitions and held assumptions.</x:t>
        </x:r>
      </x:text>
    </x:comment>
    <x:comment ref="F74" authorId="0">
      <x:text>
        <x:r>
          <x:t>Reverse Growth. Formula: =(D74+E74)/2
Review selected-case observations and Model Guide for definitions and held assumptions.</x:t>
        </x:r>
      </x:text>
    </x:comment>
    <x:comment ref="G74" authorId="0">
      <x:text>
        <x:r>
          <x:t>Reverse Growth. Formula: =(SUM((('Historical Inputs'!$N$9*(1+(F74))^1)*(('Assumptions'!E37+(0))*(1-'Assumptions'!E42-(0))+'Assumptions'!E47-'Assumptions'!E52*(1)+'Assumptions'!E57-'Assumptions'!E62*(1)-'Assumptions'!E67-(0))+('Working Capital'!$E$6))*'DCF'!E12/(1+('DCF'!$E$6))^'DCF'!E13,(('Historical Inputs'!$N$9*(1+(F74))^2)*(('Assumptions'!F37+(0))*(1-'Assumptions'!F42-(0))+'Assumptions'!F47-'Assumptions'!F52*(1)+'Assumptions'!F57-'Assumptions'!F62*(1)-'Assumptions'!F67-(0))+(('Historical Inputs'!$N$9*(1+(F74))^1)*('Assumptions'!E67+(0))))*'DCF'!F12/(1+('DCF'!$E$6))^'DCF'!F13,(('Historical Inputs'!$N$9*(1+(F74))^3)*(('Assumptions'!G37+(0))*(1-'Assumptions'!G42-(0))+'Assumptions'!G47-'Assumptions'!G52*(1)+'Assumptions'!G57-'Assumptions'!G62*(1)-'Assumptions'!G67-(0))+(('Historical Inputs'!$N$9*(1+(F74))^2)*('Assumptions'!F67+(0))))*'DCF'!G12/(1+('DCF'!$E$6))^'DCF'!G13,(('Historical Inputs'!$N$9*(1+(F74))^4)*(('Assumptions'!H37+(0))*(1-'Assumptions'!H42-(0))+'Assumptions'!H47-'Assumptions'!H52*(1)+'Assumptions'!H57-'Assumptions'!H62*(1)-'Assumptions'!H67-(0))+(('Historical Inputs'!$N$9*(1+(F74))^3)*('Assumptions'!G67+(0))))*'DCF'!H12/(1+('DCF'!$E$6))^'DCF'!H13,(('Historical Inputs'!$N$9*(1+(F74))^5)*(('Assumptions'!I37+(0))*(1-'Assumptions'!I42-(0))+'Assumptions'!I47-'Assumptions'!I52*(1)+'Assumptions'!I57-'Assumptions'!I62*(1)-'Assumptions'!I67-(0))+(('Historical Inputs'!$N$9*(1+(F74))^4)*('Assumptions'!H67+(0))))*'DCF'!I12/(1+('DCF'!$E$6))^'DCF'!I13)+('Historical Inputs'!$N$9*(1+(F74))^5)*(1+('DCF'!$E$7))*('Terminal Value'!$E$10+(0))*(1-'Assumptions'!$E$15-(0))*(1-('DCF'!$E$7)/('Terminal Value'!$E$12))/(('DCF'!$E$6)-('DCF'!$E$7))/(1+('DCF'!$E$6))^'DCF'!$E$19)
Review selected-case observations and Model Guide for definitions and held assumptions.</x:t>
        </x:r>
      </x:text>
    </x:comment>
    <x:comment ref="H74" authorId="0">
      <x:text>
        <x:r>
          <x:t>Reverse Growth. Formula: =G74-$E$9
Review selected-case observations and Model Guide for definitions and held assumptions.</x:t>
        </x:r>
      </x:text>
    </x:comment>
    <x:comment ref="C75" authorId="0">
      <x:text>
        <x:r>
          <x:t>Reverse Growth. Editable source or analyst input.
Review selected-case observations and Model Guide for definitions and held assumptions.</x:t>
        </x:r>
      </x:text>
    </x:comment>
    <x:comment ref="D75" authorId="0">
      <x:text>
        <x:r>
          <x:t>Reverse Growth. Formula: =IF(G74&lt;$E$9,F74,D74)
Review selected-case observations and Model Guide for definitions and held assumptions.</x:t>
        </x:r>
      </x:text>
    </x:comment>
    <x:comment ref="E75" authorId="0">
      <x:text>
        <x:r>
          <x:t>Reverse Growth. Formula: =IF(G74&lt;$E$9,E74,F74)
Review selected-case observations and Model Guide for definitions and held assumptions.</x:t>
        </x:r>
      </x:text>
    </x:comment>
    <x:comment ref="F75" authorId="0">
      <x:text>
        <x:r>
          <x:t>Reverse Growth. Formula: =(D75+E75)/2
Review selected-case observations and Model Guide for definitions and held assumptions.</x:t>
        </x:r>
      </x:text>
    </x:comment>
    <x:comment ref="G75" authorId="0">
      <x:text>
        <x:r>
          <x:t>Reverse Growth. Formula: =(SUM((('Historical Inputs'!$N$9*(1+(F75))^1)*(('Assumptions'!E37+(0))*(1-'Assumptions'!E42-(0))+'Assumptions'!E47-'Assumptions'!E52*(1)+'Assumptions'!E57-'Assumptions'!E62*(1)-'Assumptions'!E67-(0))+('Working Capital'!$E$6))*'DCF'!E12/(1+('DCF'!$E$6))^'DCF'!E13,(('Historical Inputs'!$N$9*(1+(F75))^2)*(('Assumptions'!F37+(0))*(1-'Assumptions'!F42-(0))+'Assumptions'!F47-'Assumptions'!F52*(1)+'Assumptions'!F57-'Assumptions'!F62*(1)-'Assumptions'!F67-(0))+(('Historical Inputs'!$N$9*(1+(F75))^1)*('Assumptions'!E67+(0))))*'DCF'!F12/(1+('DCF'!$E$6))^'DCF'!F13,(('Historical Inputs'!$N$9*(1+(F75))^3)*(('Assumptions'!G37+(0))*(1-'Assumptions'!G42-(0))+'Assumptions'!G47-'Assumptions'!G52*(1)+'Assumptions'!G57-'Assumptions'!G62*(1)-'Assumptions'!G67-(0))+(('Historical Inputs'!$N$9*(1+(F75))^2)*('Assumptions'!F67+(0))))*'DCF'!G12/(1+('DCF'!$E$6))^'DCF'!G13,(('Historical Inputs'!$N$9*(1+(F75))^4)*(('Assumptions'!H37+(0))*(1-'Assumptions'!H42-(0))+'Assumptions'!H47-'Assumptions'!H52*(1)+'Assumptions'!H57-'Assumptions'!H62*(1)-'Assumptions'!H67-(0))+(('Historical Inputs'!$N$9*(1+(F75))^3)*('Assumptions'!G67+(0))))*'DCF'!H12/(1+('DCF'!$E$6))^'DCF'!H13,(('Historical Inputs'!$N$9*(1+(F75))^5)*(('Assumptions'!I37+(0))*(1-'Assumptions'!I42-(0))+'Assumptions'!I47-'Assumptions'!I52*(1)+'Assumptions'!I57-'Assumptions'!I62*(1)-'Assumptions'!I67-(0))+(('Historical Inputs'!$N$9*(1+(F75))^4)*('Assumptions'!H67+(0))))*'DCF'!I12/(1+('DCF'!$E$6))^'DCF'!I13)+('Historical Inputs'!$N$9*(1+(F75))^5)*(1+('DCF'!$E$7))*('Terminal Value'!$E$10+(0))*(1-'Assumptions'!$E$15-(0))*(1-('DCF'!$E$7)/('Terminal Value'!$E$12))/(('DCF'!$E$6)-('DCF'!$E$7))/(1+('DCF'!$E$6))^'DCF'!$E$19)
Review selected-case observations and Model Guide for definitions and held assumptions.</x:t>
        </x:r>
      </x:text>
    </x:comment>
    <x:comment ref="H75" authorId="0">
      <x:text>
        <x:r>
          <x:t>Reverse Growth. Formula: =G75-$E$9
Review selected-case observations and Model Guide for definitions and held assumptions.</x:t>
        </x:r>
      </x:text>
    </x:comment>
    <x:comment ref="C76" authorId="0">
      <x:text>
        <x:r>
          <x:t>Reverse Growth. Editable source or analyst input.
Review selected-case observations and Model Guide for definitions and held assumptions.</x:t>
        </x:r>
      </x:text>
    </x:comment>
    <x:comment ref="D76" authorId="0">
      <x:text>
        <x:r>
          <x:t>Reverse Growth. Formula: =IF(G75&lt;$E$9,F75,D75)
Review selected-case observations and Model Guide for definitions and held assumptions.</x:t>
        </x:r>
      </x:text>
    </x:comment>
    <x:comment ref="E76" authorId="0">
      <x:text>
        <x:r>
          <x:t>Reverse Growth. Formula: =IF(G75&lt;$E$9,E75,F75)
Review selected-case observations and Model Guide for definitions and held assumptions.</x:t>
        </x:r>
      </x:text>
    </x:comment>
    <x:comment ref="F76" authorId="0">
      <x:text>
        <x:r>
          <x:t>Reverse Growth. Formula: =(D76+E76)/2
Review selected-case observations and Model Guide for definitions and held assumptions.</x:t>
        </x:r>
      </x:text>
    </x:comment>
    <x:comment ref="G76" authorId="0">
      <x:text>
        <x:r>
          <x:t>Reverse Growth. Formula: =(SUM((('Historical Inputs'!$N$9*(1+(F76))^1)*(('Assumptions'!E37+(0))*(1-'Assumptions'!E42-(0))+'Assumptions'!E47-'Assumptions'!E52*(1)+'Assumptions'!E57-'Assumptions'!E62*(1)-'Assumptions'!E67-(0))+('Working Capital'!$E$6))*'DCF'!E12/(1+('DCF'!$E$6))^'DCF'!E13,(('Historical Inputs'!$N$9*(1+(F76))^2)*(('Assumptions'!F37+(0))*(1-'Assumptions'!F42-(0))+'Assumptions'!F47-'Assumptions'!F52*(1)+'Assumptions'!F57-'Assumptions'!F62*(1)-'Assumptions'!F67-(0))+(('Historical Inputs'!$N$9*(1+(F76))^1)*('Assumptions'!E67+(0))))*'DCF'!F12/(1+('DCF'!$E$6))^'DCF'!F13,(('Historical Inputs'!$N$9*(1+(F76))^3)*(('Assumptions'!G37+(0))*(1-'Assumptions'!G42-(0))+'Assumptions'!G47-'Assumptions'!G52*(1)+'Assumptions'!G57-'Assumptions'!G62*(1)-'Assumptions'!G67-(0))+(('Historical Inputs'!$N$9*(1+(F76))^2)*('Assumptions'!F67+(0))))*'DCF'!G12/(1+('DCF'!$E$6))^'DCF'!G13,(('Historical Inputs'!$N$9*(1+(F76))^4)*(('Assumptions'!H37+(0))*(1-'Assumptions'!H42-(0))+'Assumptions'!H47-'Assumptions'!H52*(1)+'Assumptions'!H57-'Assumptions'!H62*(1)-'Assumptions'!H67-(0))+(('Historical Inputs'!$N$9*(1+(F76))^3)*('Assumptions'!G67+(0))))*'DCF'!H12/(1+('DCF'!$E$6))^'DCF'!H13,(('Historical Inputs'!$N$9*(1+(F76))^5)*(('Assumptions'!I37+(0))*(1-'Assumptions'!I42-(0))+'Assumptions'!I47-'Assumptions'!I52*(1)+'Assumptions'!I57-'Assumptions'!I62*(1)-'Assumptions'!I67-(0))+(('Historical Inputs'!$N$9*(1+(F76))^4)*('Assumptions'!H67+(0))))*'DCF'!I12/(1+('DCF'!$E$6))^'DCF'!I13)+('Historical Inputs'!$N$9*(1+(F76))^5)*(1+('DCF'!$E$7))*('Terminal Value'!$E$10+(0))*(1-'Assumptions'!$E$15-(0))*(1-('DCF'!$E$7)/('Terminal Value'!$E$12))/(('DCF'!$E$6)-('DCF'!$E$7))/(1+('DCF'!$E$6))^'DCF'!$E$19)
Review selected-case observations and Model Guide for definitions and held assumptions.</x:t>
        </x:r>
      </x:text>
    </x:comment>
    <x:comment ref="H76" authorId="0">
      <x:text>
        <x:r>
          <x:t>Reverse Growth. Formula: =G76-$E$9
Review selected-case observations and Model Guide for definitions and held assumptions.</x:t>
        </x:r>
      </x:text>
    </x:comment>
    <x:comment ref="C77" authorId="0">
      <x:text>
        <x:r>
          <x:t>Reverse Growth. Editable source or analyst input.
Review selected-case observations and Model Guide for definitions and held assumptions.</x:t>
        </x:r>
      </x:text>
    </x:comment>
    <x:comment ref="D77" authorId="0">
      <x:text>
        <x:r>
          <x:t>Reverse Growth. Formula: =IF(G76&lt;$E$9,F76,D76)
Review selected-case observations and Model Guide for definitions and held assumptions.</x:t>
        </x:r>
      </x:text>
    </x:comment>
    <x:comment ref="E77" authorId="0">
      <x:text>
        <x:r>
          <x:t>Reverse Growth. Formula: =IF(G76&lt;$E$9,E76,F76)
Review selected-case observations and Model Guide for definitions and held assumptions.</x:t>
        </x:r>
      </x:text>
    </x:comment>
    <x:comment ref="F77" authorId="0">
      <x:text>
        <x:r>
          <x:t>Reverse Growth. Formula: =(D77+E77)/2
Review selected-case observations and Model Guide for definitions and held assumptions.</x:t>
        </x:r>
      </x:text>
    </x:comment>
    <x:comment ref="G77" authorId="0">
      <x:text>
        <x:r>
          <x:t>Reverse Growth. Formula: =(SUM((('Historical Inputs'!$N$9*(1+(F77))^1)*(('Assumptions'!E37+(0))*(1-'Assumptions'!E42-(0))+'Assumptions'!E47-'Assumptions'!E52*(1)+'Assumptions'!E57-'Assumptions'!E62*(1)-'Assumptions'!E67-(0))+('Working Capital'!$E$6))*'DCF'!E12/(1+('DCF'!$E$6))^'DCF'!E13,(('Historical Inputs'!$N$9*(1+(F77))^2)*(('Assumptions'!F37+(0))*(1-'Assumptions'!F42-(0))+'Assumptions'!F47-'Assumptions'!F52*(1)+'Assumptions'!F57-'Assumptions'!F62*(1)-'Assumptions'!F67-(0))+(('Historical Inputs'!$N$9*(1+(F77))^1)*('Assumptions'!E67+(0))))*'DCF'!F12/(1+('DCF'!$E$6))^'DCF'!F13,(('Historical Inputs'!$N$9*(1+(F77))^3)*(('Assumptions'!G37+(0))*(1-'Assumptions'!G42-(0))+'Assumptions'!G47-'Assumptions'!G52*(1)+'Assumptions'!G57-'Assumptions'!G62*(1)-'Assumptions'!G67-(0))+(('Historical Inputs'!$N$9*(1+(F77))^2)*('Assumptions'!F67+(0))))*'DCF'!G12/(1+('DCF'!$E$6))^'DCF'!G13,(('Historical Inputs'!$N$9*(1+(F77))^4)*(('Assumptions'!H37+(0))*(1-'Assumptions'!H42-(0))+'Assumptions'!H47-'Assumptions'!H52*(1)+'Assumptions'!H57-'Assumptions'!H62*(1)-'Assumptions'!H67-(0))+(('Historical Inputs'!$N$9*(1+(F77))^3)*('Assumptions'!G67+(0))))*'DCF'!H12/(1+('DCF'!$E$6))^'DCF'!H13,(('Historical Inputs'!$N$9*(1+(F77))^5)*(('Assumptions'!I37+(0))*(1-'Assumptions'!I42-(0))+'Assumptions'!I47-'Assumptions'!I52*(1)+'Assumptions'!I57-'Assumptions'!I62*(1)-'Assumptions'!I67-(0))+(('Historical Inputs'!$N$9*(1+(F77))^4)*('Assumptions'!H67+(0))))*'DCF'!I12/(1+('DCF'!$E$6))^'DCF'!I13)+('Historical Inputs'!$N$9*(1+(F77))^5)*(1+('DCF'!$E$7))*('Terminal Value'!$E$10+(0))*(1-'Assumptions'!$E$15-(0))*(1-('DCF'!$E$7)/('Terminal Value'!$E$12))/(('DCF'!$E$6)-('DCF'!$E$7))/(1+('DCF'!$E$6))^'DCF'!$E$19)
Review selected-case observations and Model Guide for definitions and held assumptions.</x:t>
        </x:r>
      </x:text>
    </x:comment>
    <x:comment ref="H77" authorId="0">
      <x:text>
        <x:r>
          <x:t>Reverse Growth. Formula: =G77-$E$9
Review selected-case observations and Model Guide for definitions and held assumptions.</x:t>
        </x:r>
      </x:text>
    </x:comment>
    <x:comment ref="C78" authorId="0">
      <x:text>
        <x:r>
          <x:t>Reverse Growth. Editable source or analyst input.
Review selected-case observations and Model Guide for definitions and held assumptions.</x:t>
        </x:r>
      </x:text>
    </x:comment>
    <x:comment ref="D78" authorId="0">
      <x:text>
        <x:r>
          <x:t>Reverse Growth. Formula: =IF(G77&lt;$E$9,F77,D77)
Review selected-case observations and Model Guide for definitions and held assumptions.</x:t>
        </x:r>
      </x:text>
    </x:comment>
    <x:comment ref="E78" authorId="0">
      <x:text>
        <x:r>
          <x:t>Reverse Growth. Formula: =IF(G77&lt;$E$9,E77,F77)
Review selected-case observations and Model Guide for definitions and held assumptions.</x:t>
        </x:r>
      </x:text>
    </x:comment>
    <x:comment ref="F78" authorId="0">
      <x:text>
        <x:r>
          <x:t>Reverse Growth. Formula: =(D78+E78)/2
Review selected-case observations and Model Guide for definitions and held assumptions.</x:t>
        </x:r>
      </x:text>
    </x:comment>
    <x:comment ref="G78" authorId="0">
      <x:text>
        <x:r>
          <x:t>Reverse Growth. Formula: =(SUM((('Historical Inputs'!$N$9*(1+(F78))^1)*(('Assumptions'!E37+(0))*(1-'Assumptions'!E42-(0))+'Assumptions'!E47-'Assumptions'!E52*(1)+'Assumptions'!E57-'Assumptions'!E62*(1)-'Assumptions'!E67-(0))+('Working Capital'!$E$6))*'DCF'!E12/(1+('DCF'!$E$6))^'DCF'!E13,(('Historical Inputs'!$N$9*(1+(F78))^2)*(('Assumptions'!F37+(0))*(1-'Assumptions'!F42-(0))+'Assumptions'!F47-'Assumptions'!F52*(1)+'Assumptions'!F57-'Assumptions'!F62*(1)-'Assumptions'!F67-(0))+(('Historical Inputs'!$N$9*(1+(F78))^1)*('Assumptions'!E67+(0))))*'DCF'!F12/(1+('DCF'!$E$6))^'DCF'!F13,(('Historical Inputs'!$N$9*(1+(F78))^3)*(('Assumptions'!G37+(0))*(1-'Assumptions'!G42-(0))+'Assumptions'!G47-'Assumptions'!G52*(1)+'Assumptions'!G57-'Assumptions'!G62*(1)-'Assumptions'!G67-(0))+(('Historical Inputs'!$N$9*(1+(F78))^2)*('Assumptions'!F67+(0))))*'DCF'!G12/(1+('DCF'!$E$6))^'DCF'!G13,(('Historical Inputs'!$N$9*(1+(F78))^4)*(('Assumptions'!H37+(0))*(1-'Assumptions'!H42-(0))+'Assumptions'!H47-'Assumptions'!H52*(1)+'Assumptions'!H57-'Assumptions'!H62*(1)-'Assumptions'!H67-(0))+(('Historical Inputs'!$N$9*(1+(F78))^3)*('Assumptions'!G67+(0))))*'DCF'!H12/(1+('DCF'!$E$6))^'DCF'!H13,(('Historical Inputs'!$N$9*(1+(F78))^5)*(('Assumptions'!I37+(0))*(1-'Assumptions'!I42-(0))+'Assumptions'!I47-'Assumptions'!I52*(1)+'Assumptions'!I57-'Assumptions'!I62*(1)-'Assumptions'!I67-(0))+(('Historical Inputs'!$N$9*(1+(F78))^4)*('Assumptions'!H67+(0))))*'DCF'!I12/(1+('DCF'!$E$6))^'DCF'!I13)+('Historical Inputs'!$N$9*(1+(F78))^5)*(1+('DCF'!$E$7))*('Terminal Value'!$E$10+(0))*(1-'Assumptions'!$E$15-(0))*(1-('DCF'!$E$7)/('Terminal Value'!$E$12))/(('DCF'!$E$6)-('DCF'!$E$7))/(1+('DCF'!$E$6))^'DCF'!$E$19)
Review selected-case observations and Model Guide for definitions and held assumptions.</x:t>
        </x:r>
      </x:text>
    </x:comment>
    <x:comment ref="H78" authorId="0">
      <x:text>
        <x:r>
          <x:t>Reverse Growth. Formula: =G78-$E$9
Review selected-case observations and Model Guide for definitions and held assumptions.</x:t>
        </x:r>
      </x:text>
    </x:comment>
    <x:comment ref="C79" authorId="0">
      <x:text>
        <x:r>
          <x:t>Reverse Growth. Editable source or analyst input.
Review selected-case observations and Model Guide for definitions and held assumptions.</x:t>
        </x:r>
      </x:text>
    </x:comment>
    <x:comment ref="D79" authorId="0">
      <x:text>
        <x:r>
          <x:t>Reverse Growth. Formula: =IF(G78&lt;$E$9,F78,D78)
Review selected-case observations and Model Guide for definitions and held assumptions.</x:t>
        </x:r>
      </x:text>
    </x:comment>
    <x:comment ref="E79" authorId="0">
      <x:text>
        <x:r>
          <x:t>Reverse Growth. Formula: =IF(G78&lt;$E$9,E78,F78)
Review selected-case observations and Model Guide for definitions and held assumptions.</x:t>
        </x:r>
      </x:text>
    </x:comment>
    <x:comment ref="F79" authorId="0">
      <x:text>
        <x:r>
          <x:t>Reverse Growth. Formula: =(D79+E79)/2
Review selected-case observations and Model Guide for definitions and held assumptions.</x:t>
        </x:r>
      </x:text>
    </x:comment>
    <x:comment ref="G79" authorId="0">
      <x:text>
        <x:r>
          <x:t>Reverse Growth. Formula: =(SUM((('Historical Inputs'!$N$9*(1+(F79))^1)*(('Assumptions'!E37+(0))*(1-'Assumptions'!E42-(0))+'Assumptions'!E47-'Assumptions'!E52*(1)+'Assumptions'!E57-'Assumptions'!E62*(1)-'Assumptions'!E67-(0))+('Working Capital'!$E$6))*'DCF'!E12/(1+('DCF'!$E$6))^'DCF'!E13,(('Historical Inputs'!$N$9*(1+(F79))^2)*(('Assumptions'!F37+(0))*(1-'Assumptions'!F42-(0))+'Assumptions'!F47-'Assumptions'!F52*(1)+'Assumptions'!F57-'Assumptions'!F62*(1)-'Assumptions'!F67-(0))+(('Historical Inputs'!$N$9*(1+(F79))^1)*('Assumptions'!E67+(0))))*'DCF'!F12/(1+('DCF'!$E$6))^'DCF'!F13,(('Historical Inputs'!$N$9*(1+(F79))^3)*(('Assumptions'!G37+(0))*(1-'Assumptions'!G42-(0))+'Assumptions'!G47-'Assumptions'!G52*(1)+'Assumptions'!G57-'Assumptions'!G62*(1)-'Assumptions'!G67-(0))+(('Historical Inputs'!$N$9*(1+(F79))^2)*('Assumptions'!F67+(0))))*'DCF'!G12/(1+('DCF'!$E$6))^'DCF'!G13,(('Historical Inputs'!$N$9*(1+(F79))^4)*(('Assumptions'!H37+(0))*(1-'Assumptions'!H42-(0))+'Assumptions'!H47-'Assumptions'!H52*(1)+'Assumptions'!H57-'Assumptions'!H62*(1)-'Assumptions'!H67-(0))+(('Historical Inputs'!$N$9*(1+(F79))^3)*('Assumptions'!G67+(0))))*'DCF'!H12/(1+('DCF'!$E$6))^'DCF'!H13,(('Historical Inputs'!$N$9*(1+(F79))^5)*(('Assumptions'!I37+(0))*(1-'Assumptions'!I42-(0))+'Assumptions'!I47-'Assumptions'!I52*(1)+'Assumptions'!I57-'Assumptions'!I62*(1)-'Assumptions'!I67-(0))+(('Historical Inputs'!$N$9*(1+(F79))^4)*('Assumptions'!H67+(0))))*'DCF'!I12/(1+('DCF'!$E$6))^'DCF'!I13)+('Historical Inputs'!$N$9*(1+(F79))^5)*(1+('DCF'!$E$7))*('Terminal Value'!$E$10+(0))*(1-'Assumptions'!$E$15-(0))*(1-('DCF'!$E$7)/('Terminal Value'!$E$12))/(('DCF'!$E$6)-('DCF'!$E$7))/(1+('DCF'!$E$6))^'DCF'!$E$19)
Review selected-case observations and Model Guide for definitions and held assumptions.</x:t>
        </x:r>
      </x:text>
    </x:comment>
    <x:comment ref="H79" authorId="0">
      <x:text>
        <x:r>
          <x:t>Reverse Growth. Formula: =G79-$E$9
Review selected-case observations and Model Guide for definitions and held assumptions.</x:t>
        </x:r>
      </x:text>
    </x:comment>
    <x:comment ref="C80" authorId="0">
      <x:text>
        <x:r>
          <x:t>Reverse Growth. Editable source or analyst input.
Review selected-case observations and Model Guide for definitions and held assumptions.</x:t>
        </x:r>
      </x:text>
    </x:comment>
    <x:comment ref="D80" authorId="0">
      <x:text>
        <x:r>
          <x:t>Reverse Growth. Formula: =IF(G79&lt;$E$9,F79,D79)
Review selected-case observations and Model Guide for definitions and held assumptions.</x:t>
        </x:r>
      </x:text>
    </x:comment>
    <x:comment ref="E80" authorId="0">
      <x:text>
        <x:r>
          <x:t>Reverse Growth. Formula: =IF(G79&lt;$E$9,E79,F79)
Review selected-case observations and Model Guide for definitions and held assumptions.</x:t>
        </x:r>
      </x:text>
    </x:comment>
    <x:comment ref="F80" authorId="0">
      <x:text>
        <x:r>
          <x:t>Reverse Growth. Formula: =(D80+E80)/2
Review selected-case observations and Model Guide for definitions and held assumptions.</x:t>
        </x:r>
      </x:text>
    </x:comment>
    <x:comment ref="G80" authorId="0">
      <x:text>
        <x:r>
          <x:t>Reverse Growth. Formula: =(SUM((('Historical Inputs'!$N$9*(1+(F80))^1)*(('Assumptions'!E37+(0))*(1-'Assumptions'!E42-(0))+'Assumptions'!E47-'Assumptions'!E52*(1)+'Assumptions'!E57-'Assumptions'!E62*(1)-'Assumptions'!E67-(0))+('Working Capital'!$E$6))*'DCF'!E12/(1+('DCF'!$E$6))^'DCF'!E13,(('Historical Inputs'!$N$9*(1+(F80))^2)*(('Assumptions'!F37+(0))*(1-'Assumptions'!F42-(0))+'Assumptions'!F47-'Assumptions'!F52*(1)+'Assumptions'!F57-'Assumptions'!F62*(1)-'Assumptions'!F67-(0))+(('Historical Inputs'!$N$9*(1+(F80))^1)*('Assumptions'!E67+(0))))*'DCF'!F12/(1+('DCF'!$E$6))^'DCF'!F13,(('Historical Inputs'!$N$9*(1+(F80))^3)*(('Assumptions'!G37+(0))*(1-'Assumptions'!G42-(0))+'Assumptions'!G47-'Assumptions'!G52*(1)+'Assumptions'!G57-'Assumptions'!G62*(1)-'Assumptions'!G67-(0))+(('Historical Inputs'!$N$9*(1+(F80))^2)*('Assumptions'!F67+(0))))*'DCF'!G12/(1+('DCF'!$E$6))^'DCF'!G13,(('Historical Inputs'!$N$9*(1+(F80))^4)*(('Assumptions'!H37+(0))*(1-'Assumptions'!H42-(0))+'Assumptions'!H47-'Assumptions'!H52*(1)+'Assumptions'!H57-'Assumptions'!H62*(1)-'Assumptions'!H67-(0))+(('Historical Inputs'!$N$9*(1+(F80))^3)*('Assumptions'!G67+(0))))*'DCF'!H12/(1+('DCF'!$E$6))^'DCF'!H13,(('Historical Inputs'!$N$9*(1+(F80))^5)*(('Assumptions'!I37+(0))*(1-'Assumptions'!I42-(0))+'Assumptions'!I47-'Assumptions'!I52*(1)+'Assumptions'!I57-'Assumptions'!I62*(1)-'Assumptions'!I67-(0))+(('Historical Inputs'!$N$9*(1+(F80))^4)*('Assumptions'!H67+(0))))*'DCF'!I12/(1+('DCF'!$E$6))^'DCF'!I13)+('Historical Inputs'!$N$9*(1+(F80))^5)*(1+('DCF'!$E$7))*('Terminal Value'!$E$10+(0))*(1-'Assumptions'!$E$15-(0))*(1-('DCF'!$E$7)/('Terminal Value'!$E$12))/(('DCF'!$E$6)-('DCF'!$E$7))/(1+('DCF'!$E$6))^'DCF'!$E$19)
Review selected-case observations and Model Guide for definitions and held assumptions.</x:t>
        </x:r>
      </x:text>
    </x:comment>
    <x:comment ref="H80" authorId="0">
      <x:text>
        <x:r>
          <x:t>Reverse Growth. Formula: =G80-$E$9
Review selected-case observations and Model Guide for definitions and held assumptions.</x:t>
        </x:r>
      </x:text>
    </x:comment>
    <x:comment ref="C81" authorId="0">
      <x:text>
        <x:r>
          <x:t>Reverse Growth. Editable source or analyst input.
Review selected-case observations and Model Guide for definitions and held assumptions.</x:t>
        </x:r>
      </x:text>
    </x:comment>
    <x:comment ref="D81" authorId="0">
      <x:text>
        <x:r>
          <x:t>Reverse Growth. Formula: =IF(G80&lt;$E$9,F80,D80)
Review selected-case observations and Model Guide for definitions and held assumptions.</x:t>
        </x:r>
      </x:text>
    </x:comment>
    <x:comment ref="E81" authorId="0">
      <x:text>
        <x:r>
          <x:t>Reverse Growth. Formula: =IF(G80&lt;$E$9,E80,F80)
Review selected-case observations and Model Guide for definitions and held assumptions.</x:t>
        </x:r>
      </x:text>
    </x:comment>
    <x:comment ref="F81" authorId="0">
      <x:text>
        <x:r>
          <x:t>Reverse Growth. Formula: =(D81+E81)/2
Review selected-case observations and Model Guide for definitions and held assumptions.</x:t>
        </x:r>
      </x:text>
    </x:comment>
    <x:comment ref="G81" authorId="0">
      <x:text>
        <x:r>
          <x:t>Reverse Growth. Formula: =(SUM((('Historical Inputs'!$N$9*(1+(F81))^1)*(('Assumptions'!E37+(0))*(1-'Assumptions'!E42-(0))+'Assumptions'!E47-'Assumptions'!E52*(1)+'Assumptions'!E57-'Assumptions'!E62*(1)-'Assumptions'!E67-(0))+('Working Capital'!$E$6))*'DCF'!E12/(1+('DCF'!$E$6))^'DCF'!E13,(('Historical Inputs'!$N$9*(1+(F81))^2)*(('Assumptions'!F37+(0))*(1-'Assumptions'!F42-(0))+'Assumptions'!F47-'Assumptions'!F52*(1)+'Assumptions'!F57-'Assumptions'!F62*(1)-'Assumptions'!F67-(0))+(('Historical Inputs'!$N$9*(1+(F81))^1)*('Assumptions'!E67+(0))))*'DCF'!F12/(1+('DCF'!$E$6))^'DCF'!F13,(('Historical Inputs'!$N$9*(1+(F81))^3)*(('Assumptions'!G37+(0))*(1-'Assumptions'!G42-(0))+'Assumptions'!G47-'Assumptions'!G52*(1)+'Assumptions'!G57-'Assumptions'!G62*(1)-'Assumptions'!G67-(0))+(('Historical Inputs'!$N$9*(1+(F81))^2)*('Assumptions'!F67+(0))))*'DCF'!G12/(1+('DCF'!$E$6))^'DCF'!G13,(('Historical Inputs'!$N$9*(1+(F81))^4)*(('Assumptions'!H37+(0))*(1-'Assumptions'!H42-(0))+'Assumptions'!H47-'Assumptions'!H52*(1)+'Assumptions'!H57-'Assumptions'!H62*(1)-'Assumptions'!H67-(0))+(('Historical Inputs'!$N$9*(1+(F81))^3)*('Assumptions'!G67+(0))))*'DCF'!H12/(1+('DCF'!$E$6))^'DCF'!H13,(('Historical Inputs'!$N$9*(1+(F81))^5)*(('Assumptions'!I37+(0))*(1-'Assumptions'!I42-(0))+'Assumptions'!I47-'Assumptions'!I52*(1)+'Assumptions'!I57-'Assumptions'!I62*(1)-'Assumptions'!I67-(0))+(('Historical Inputs'!$N$9*(1+(F81))^4)*('Assumptions'!H67+(0))))*'DCF'!I12/(1+('DCF'!$E$6))^'DCF'!I13)+('Historical Inputs'!$N$9*(1+(F81))^5)*(1+('DCF'!$E$7))*('Terminal Value'!$E$10+(0))*(1-'Assumptions'!$E$15-(0))*(1-('DCF'!$E$7)/('Terminal Value'!$E$12))/(('DCF'!$E$6)-('DCF'!$E$7))/(1+('DCF'!$E$6))^'DCF'!$E$19)
Review selected-case observations and Model Guide for definitions and held assumptions.</x:t>
        </x:r>
      </x:text>
    </x:comment>
    <x:comment ref="H81" authorId="0">
      <x:text>
        <x:r>
          <x:t>Reverse Growth. Formula: =G81-$E$9
Review selected-case observations and Model Guide for definitions and held assumptions.</x:t>
        </x:r>
      </x:text>
    </x:comment>
    <x:comment ref="E18" authorId="0">
      <x:text>
        <x:r>
          <x:t>Reverse Growth. Formula: =G81-E9
Review selected-case observations and Model Guide for definitions and held assumptions.</x:t>
        </x:r>
      </x:text>
    </x:comment>
    <x:comment ref="C87" authorId="0">
      <x:text>
        <x:r>
          <x:t>Reverse Growth. Formula: =$E$16+($E$17-$E$16)*0/8
Review selected-case observations and Model Guide for definitions and held assumptions.</x:t>
        </x:r>
      </x:text>
    </x:comment>
    <x:comment ref="D87" authorId="0">
      <x:text>
        <x:r>
          <x:t>Reverse Growth. Formula: =((SUM((('Historical Inputs'!$N$9*(1+(C87))^1)*(('Assumptions'!E37+(0))*(1-'Assumptions'!E42-(0))+'Assumptions'!E47-'Assumptions'!E52*(1)+'Assumptions'!E57-'Assumptions'!E62*(1)-'Assumptions'!E67-(0))+('Working Capital'!$E$6))*'DCF'!E12/(1+('DCF'!$E$6))^'DCF'!E13,(('Historical Inputs'!$N$9*(1+(C87))^2)*(('Assumptions'!F37+(0))*(1-'Assumptions'!F42-(0))+'Assumptions'!F47-'Assumptions'!F52*(1)+'Assumptions'!F57-'Assumptions'!F62*(1)-'Assumptions'!F67-(0))+(('Historical Inputs'!$N$9*(1+(C87))^1)*('Assumptions'!E67+(0))))*'DCF'!F12/(1+('DCF'!$E$6))^'DCF'!F13,(('Historical Inputs'!$N$9*(1+(C87))^3)*(('Assumptions'!G37+(0))*(1-'Assumptions'!G42-(0))+'Assumptions'!G47-'Assumptions'!G52*(1)+'Assumptions'!G57-'Assumptions'!G62*(1)-'Assumptions'!G67-(0))+(('Historical Inputs'!$N$9*(1+(C87))^2)*('Assumptions'!F67+(0))))*'DCF'!G12/(1+('DCF'!$E$6))^'DCF'!G13,(('Historical Inputs'!$N$9*(1+(C87))^4)*(('Assumptions'!H37+(0))*(1-'Assumptions'!H42-(0))+'Assumptions'!H47-'Assumptions'!H52*(1)+'Assumptions'!H57-'Assumptions'!H62*(1)-'Assumptions'!H67-(0))+(('Historical Inputs'!$N$9*(1+(C87))^3)*('Assumptions'!G67+(0))))*'DCF'!H12/(1+('DCF'!$E$6))^'DCF'!H13,(('Historical Inputs'!$N$9*(1+(C87))^5)*(('Assumptions'!I37+(0))*(1-'Assumptions'!I42-(0))+'Assumptions'!I47-'Assumptions'!I52*(1)+'Assumptions'!I57-'Assumptions'!I62*(1)-'Assumptions'!I67-(0))+(('Historical Inputs'!$N$9*(1+(C87))^4)*('Assumptions'!H67+(0))))*'DCF'!I12/(1+('DCF'!$E$6))^'DCF'!I13)+('Historical Inputs'!$N$9*(1+(C87))^5)*(1+('DCF'!$E$7))*('Terminal Value'!$E$10+(0))*(1-'Assumptions'!$E$15-(0))*(1-('DCF'!$E$7)/('Terminal Value'!$E$12))/(('DCF'!$E$6)-('DCF'!$E$7))/(1+('DCF'!$E$6))^'DCF'!$E$19)+'Equity Bridge'!$E$17)/'Equity Bridge'!$E$20
Review selected-case observations and Model Guide for definitions and held assumptions.</x:t>
        </x:r>
      </x:text>
    </x:comment>
    <x:comment ref="C88" authorId="0">
      <x:text>
        <x:r>
          <x:t>Reverse Growth. Formula: =$E$16+($E$17-$E$16)*1/8
Review selected-case observations and Model Guide for definitions and held assumptions.</x:t>
        </x:r>
      </x:text>
    </x:comment>
    <x:comment ref="D88" authorId="0">
      <x:text>
        <x:r>
          <x:t>Reverse Growth. Formula: =((SUM((('Historical Inputs'!$N$9*(1+(C88))^1)*(('Assumptions'!E37+(0))*(1-'Assumptions'!E42-(0))+'Assumptions'!E47-'Assumptions'!E52*(1)+'Assumptions'!E57-'Assumptions'!E62*(1)-'Assumptions'!E67-(0))+('Working Capital'!$E$6))*'DCF'!E12/(1+('DCF'!$E$6))^'DCF'!E13,(('Historical Inputs'!$N$9*(1+(C88))^2)*(('Assumptions'!F37+(0))*(1-'Assumptions'!F42-(0))+'Assumptions'!F47-'Assumptions'!F52*(1)+'Assumptions'!F57-'Assumptions'!F62*(1)-'Assumptions'!F67-(0))+(('Historical Inputs'!$N$9*(1+(C88))^1)*('Assumptions'!E67+(0))))*'DCF'!F12/(1+('DCF'!$E$6))^'DCF'!F13,(('Historical Inputs'!$N$9*(1+(C88))^3)*(('Assumptions'!G37+(0))*(1-'Assumptions'!G42-(0))+'Assumptions'!G47-'Assumptions'!G52*(1)+'Assumptions'!G57-'Assumptions'!G62*(1)-'Assumptions'!G67-(0))+(('Historical Inputs'!$N$9*(1+(C88))^2)*('Assumptions'!F67+(0))))*'DCF'!G12/(1+('DCF'!$E$6))^'DCF'!G13,(('Historical Inputs'!$N$9*(1+(C88))^4)*(('Assumptions'!H37+(0))*(1-'Assumptions'!H42-(0))+'Assumptions'!H47-'Assumptions'!H52*(1)+'Assumptions'!H57-'Assumptions'!H62*(1)-'Assumptions'!H67-(0))+(('Historical Inputs'!$N$9*(1+(C88))^3)*('Assumptions'!G67+(0))))*'DCF'!H12/(1+('DCF'!$E$6))^'DCF'!H13,(('Historical Inputs'!$N$9*(1+(C88))^5)*(('Assumptions'!I37+(0))*(1-'Assumptions'!I42-(0))+'Assumptions'!I47-'Assumptions'!I52*(1)+'Assumptions'!I57-'Assumptions'!I62*(1)-'Assumptions'!I67-(0))+(('Historical Inputs'!$N$9*(1+(C88))^4)*('Assumptions'!H67+(0))))*'DCF'!I12/(1+('DCF'!$E$6))^'DCF'!I13)+('Historical Inputs'!$N$9*(1+(C88))^5)*(1+('DCF'!$E$7))*('Terminal Value'!$E$10+(0))*(1-'Assumptions'!$E$15-(0))*(1-('DCF'!$E$7)/('Terminal Value'!$E$12))/(('DCF'!$E$6)-('DCF'!$E$7))/(1+('DCF'!$E$6))^'DCF'!$E$19)+'Equity Bridge'!$E$17)/'Equity Bridge'!$E$20
Review selected-case observations and Model Guide for definitions and held assumptions.</x:t>
        </x:r>
      </x:text>
    </x:comment>
    <x:comment ref="C89" authorId="0">
      <x:text>
        <x:r>
          <x:t>Reverse Growth. Formula: =$E$16+($E$17-$E$16)*2/8
Review selected-case observations and Model Guide for definitions and held assumptions.</x:t>
        </x:r>
      </x:text>
    </x:comment>
    <x:comment ref="D89" authorId="0">
      <x:text>
        <x:r>
          <x:t>Reverse Growth. Formula: =((SUM((('Historical Inputs'!$N$9*(1+(C89))^1)*(('Assumptions'!E37+(0))*(1-'Assumptions'!E42-(0))+'Assumptions'!E47-'Assumptions'!E52*(1)+'Assumptions'!E57-'Assumptions'!E62*(1)-'Assumptions'!E67-(0))+('Working Capital'!$E$6))*'DCF'!E12/(1+('DCF'!$E$6))^'DCF'!E13,(('Historical Inputs'!$N$9*(1+(C89))^2)*(('Assumptions'!F37+(0))*(1-'Assumptions'!F42-(0))+'Assumptions'!F47-'Assumptions'!F52*(1)+'Assumptions'!F57-'Assumptions'!F62*(1)-'Assumptions'!F67-(0))+(('Historical Inputs'!$N$9*(1+(C89))^1)*('Assumptions'!E67+(0))))*'DCF'!F12/(1+('DCF'!$E$6))^'DCF'!F13,(('Historical Inputs'!$N$9*(1+(C89))^3)*(('Assumptions'!G37+(0))*(1-'Assumptions'!G42-(0))+'Assumptions'!G47-'Assumptions'!G52*(1)+'Assumptions'!G57-'Assumptions'!G62*(1)-'Assumptions'!G67-(0))+(('Historical Inputs'!$N$9*(1+(C89))^2)*('Assumptions'!F67+(0))))*'DCF'!G12/(1+('DCF'!$E$6))^'DCF'!G13,(('Historical Inputs'!$N$9*(1+(C89))^4)*(('Assumptions'!H37+(0))*(1-'Assumptions'!H42-(0))+'Assumptions'!H47-'Assumptions'!H52*(1)+'Assumptions'!H57-'Assumptions'!H62*(1)-'Assumptions'!H67-(0))+(('Historical Inputs'!$N$9*(1+(C89))^3)*('Assumptions'!G67+(0))))*'DCF'!H12/(1+('DCF'!$E$6))^'DCF'!H13,(('Historical Inputs'!$N$9*(1+(C89))^5)*(('Assumptions'!I37+(0))*(1-'Assumptions'!I42-(0))+'Assumptions'!I47-'Assumptions'!I52*(1)+'Assumptions'!I57-'Assumptions'!I62*(1)-'Assumptions'!I67-(0))+(('Historical Inputs'!$N$9*(1+(C89))^4)*('Assumptions'!H67+(0))))*'DCF'!I12/(1+('DCF'!$E$6))^'DCF'!I13)+('Historical Inputs'!$N$9*(1+(C89))^5)*(1+('DCF'!$E$7))*('Terminal Value'!$E$10+(0))*(1-'Assumptions'!$E$15-(0))*(1-('DCF'!$E$7)/('Terminal Value'!$E$12))/(('DCF'!$E$6)-('DCF'!$E$7))/(1+('DCF'!$E$6))^'DCF'!$E$19)+'Equity Bridge'!$E$17)/'Equity Bridge'!$E$20
Review selected-case observations and Model Guide for definitions and held assumptions.</x:t>
        </x:r>
      </x:text>
    </x:comment>
    <x:comment ref="C90" authorId="0">
      <x:text>
        <x:r>
          <x:t>Reverse Growth. Formula: =$E$16+($E$17-$E$16)*3/8
Review selected-case observations and Model Guide for definitions and held assumptions.</x:t>
        </x:r>
      </x:text>
    </x:comment>
    <x:comment ref="D90" authorId="0">
      <x:text>
        <x:r>
          <x:t>Reverse Growth. Formula: =((SUM((('Historical Inputs'!$N$9*(1+(C90))^1)*(('Assumptions'!E37+(0))*(1-'Assumptions'!E42-(0))+'Assumptions'!E47-'Assumptions'!E52*(1)+'Assumptions'!E57-'Assumptions'!E62*(1)-'Assumptions'!E67-(0))+('Working Capital'!$E$6))*'DCF'!E12/(1+('DCF'!$E$6))^'DCF'!E13,(('Historical Inputs'!$N$9*(1+(C90))^2)*(('Assumptions'!F37+(0))*(1-'Assumptions'!F42-(0))+'Assumptions'!F47-'Assumptions'!F52*(1)+'Assumptions'!F57-'Assumptions'!F62*(1)-'Assumptions'!F67-(0))+(('Historical Inputs'!$N$9*(1+(C90))^1)*('Assumptions'!E67+(0))))*'DCF'!F12/(1+('DCF'!$E$6))^'DCF'!F13,(('Historical Inputs'!$N$9*(1+(C90))^3)*(('Assumptions'!G37+(0))*(1-'Assumptions'!G42-(0))+'Assumptions'!G47-'Assumptions'!G52*(1)+'Assumptions'!G57-'Assumptions'!G62*(1)-'Assumptions'!G67-(0))+(('Historical Inputs'!$N$9*(1+(C90))^2)*('Assumptions'!F67+(0))))*'DCF'!G12/(1+('DCF'!$E$6))^'DCF'!G13,(('Historical Inputs'!$N$9*(1+(C90))^4)*(('Assumptions'!H37+(0))*(1-'Assumptions'!H42-(0))+'Assumptions'!H47-'Assumptions'!H52*(1)+'Assumptions'!H57-'Assumptions'!H62*(1)-'Assumptions'!H67-(0))+(('Historical Inputs'!$N$9*(1+(C90))^3)*('Assumptions'!G67+(0))))*'DCF'!H12/(1+('DCF'!$E$6))^'DCF'!H13,(('Historical Inputs'!$N$9*(1+(C90))^5)*(('Assumptions'!I37+(0))*(1-'Assumptions'!I42-(0))+'Assumptions'!I47-'Assumptions'!I52*(1)+'Assumptions'!I57-'Assumptions'!I62*(1)-'Assumptions'!I67-(0))+(('Historical Inputs'!$N$9*(1+(C90))^4)*('Assumptions'!H67+(0))))*'DCF'!I12/(1+('DCF'!$E$6))^'DCF'!I13)+('Historical Inputs'!$N$9*(1+(C90))^5)*(1+('DCF'!$E$7))*('Terminal Value'!$E$10+(0))*(1-'Assumptions'!$E$15-(0))*(1-('DCF'!$E$7)/('Terminal Value'!$E$12))/(('DCF'!$E$6)-('DCF'!$E$7))/(1+('DCF'!$E$6))^'DCF'!$E$19)+'Equity Bridge'!$E$17)/'Equity Bridge'!$E$20
Review selected-case observations and Model Guide for definitions and held assumptions.</x:t>
        </x:r>
      </x:text>
    </x:comment>
    <x:comment ref="C91" authorId="0">
      <x:text>
        <x:r>
          <x:t>Reverse Growth. Formula: =$E$16+($E$17-$E$16)*4/8
Review selected-case observations and Model Guide for definitions and held assumptions.</x:t>
        </x:r>
      </x:text>
    </x:comment>
    <x:comment ref="D91" authorId="0">
      <x:text>
        <x:r>
          <x:t>Reverse Growth. Formula: =((SUM((('Historical Inputs'!$N$9*(1+(C91))^1)*(('Assumptions'!E37+(0))*(1-'Assumptions'!E42-(0))+'Assumptions'!E47-'Assumptions'!E52*(1)+'Assumptions'!E57-'Assumptions'!E62*(1)-'Assumptions'!E67-(0))+('Working Capital'!$E$6))*'DCF'!E12/(1+('DCF'!$E$6))^'DCF'!E13,(('Historical Inputs'!$N$9*(1+(C91))^2)*(('Assumptions'!F37+(0))*(1-'Assumptions'!F42-(0))+'Assumptions'!F47-'Assumptions'!F52*(1)+'Assumptions'!F57-'Assumptions'!F62*(1)-'Assumptions'!F67-(0))+(('Historical Inputs'!$N$9*(1+(C91))^1)*('Assumptions'!E67+(0))))*'DCF'!F12/(1+('DCF'!$E$6))^'DCF'!F13,(('Historical Inputs'!$N$9*(1+(C91))^3)*(('Assumptions'!G37+(0))*(1-'Assumptions'!G42-(0))+'Assumptions'!G47-'Assumptions'!G52*(1)+'Assumptions'!G57-'Assumptions'!G62*(1)-'Assumptions'!G67-(0))+(('Historical Inputs'!$N$9*(1+(C91))^2)*('Assumptions'!F67+(0))))*'DCF'!G12/(1+('DCF'!$E$6))^'DCF'!G13,(('Historical Inputs'!$N$9*(1+(C91))^4)*(('Assumptions'!H37+(0))*(1-'Assumptions'!H42-(0))+'Assumptions'!H47-'Assumptions'!H52*(1)+'Assumptions'!H57-'Assumptions'!H62*(1)-'Assumptions'!H67-(0))+(('Historical Inputs'!$N$9*(1+(C91))^3)*('Assumptions'!G67+(0))))*'DCF'!H12/(1+('DCF'!$E$6))^'DCF'!H13,(('Historical Inputs'!$N$9*(1+(C91))^5)*(('Assumptions'!I37+(0))*(1-'Assumptions'!I42-(0))+'Assumptions'!I47-'Assumptions'!I52*(1)+'Assumptions'!I57-'Assumptions'!I62*(1)-'Assumptions'!I67-(0))+(('Historical Inputs'!$N$9*(1+(C91))^4)*('Assumptions'!H67+(0))))*'DCF'!I12/(1+('DCF'!$E$6))^'DCF'!I13)+('Historical Inputs'!$N$9*(1+(C91))^5)*(1+('DCF'!$E$7))*('Terminal Value'!$E$10+(0))*(1-'Assumptions'!$E$15-(0))*(1-('DCF'!$E$7)/('Terminal Value'!$E$12))/(('DCF'!$E$6)-('DCF'!$E$7))/(1+('DCF'!$E$6))^'DCF'!$E$19)+'Equity Bridge'!$E$17)/'Equity Bridge'!$E$20
Review selected-case observations and Model Guide for definitions and held assumptions.</x:t>
        </x:r>
      </x:text>
    </x:comment>
    <x:comment ref="C92" authorId="0">
      <x:text>
        <x:r>
          <x:t>Reverse Growth. Formula: =$E$16+($E$17-$E$16)*5/8
Review selected-case observations and Model Guide for definitions and held assumptions.</x:t>
        </x:r>
      </x:text>
    </x:comment>
    <x:comment ref="D92" authorId="0">
      <x:text>
        <x:r>
          <x:t>Reverse Growth. Formula: =((SUM((('Historical Inputs'!$N$9*(1+(C92))^1)*(('Assumptions'!E37+(0))*(1-'Assumptions'!E42-(0))+'Assumptions'!E47-'Assumptions'!E52*(1)+'Assumptions'!E57-'Assumptions'!E62*(1)-'Assumptions'!E67-(0))+('Working Capital'!$E$6))*'DCF'!E12/(1+('DCF'!$E$6))^'DCF'!E13,(('Historical Inputs'!$N$9*(1+(C92))^2)*(('Assumptions'!F37+(0))*(1-'Assumptions'!F42-(0))+'Assumptions'!F47-'Assumptions'!F52*(1)+'Assumptions'!F57-'Assumptions'!F62*(1)-'Assumptions'!F67-(0))+(('Historical Inputs'!$N$9*(1+(C92))^1)*('Assumptions'!E67+(0))))*'DCF'!F12/(1+('DCF'!$E$6))^'DCF'!F13,(('Historical Inputs'!$N$9*(1+(C92))^3)*(('Assumptions'!G37+(0))*(1-'Assumptions'!G42-(0))+'Assumptions'!G47-'Assumptions'!G52*(1)+'Assumptions'!G57-'Assumptions'!G62*(1)-'Assumptions'!G67-(0))+(('Historical Inputs'!$N$9*(1+(C92))^2)*('Assumptions'!F67+(0))))*'DCF'!G12/(1+('DCF'!$E$6))^'DCF'!G13,(('Historical Inputs'!$N$9*(1+(C92))^4)*(('Assumptions'!H37+(0))*(1-'Assumptions'!H42-(0))+'Assumptions'!H47-'Assumptions'!H52*(1)+'Assumptions'!H57-'Assumptions'!H62*(1)-'Assumptions'!H67-(0))+(('Historical Inputs'!$N$9*(1+(C92))^3)*('Assumptions'!G67+(0))))*'DCF'!H12/(1+('DCF'!$E$6))^'DCF'!H13,(('Historical Inputs'!$N$9*(1+(C92))^5)*(('Assumptions'!I37+(0))*(1-'Assumptions'!I42-(0))+'Assumptions'!I47-'Assumptions'!I52*(1)+'Assumptions'!I57-'Assumptions'!I62*(1)-'Assumptions'!I67-(0))+(('Historical Inputs'!$N$9*(1+(C92))^4)*('Assumptions'!H67+(0))))*'DCF'!I12/(1+('DCF'!$E$6))^'DCF'!I13)+('Historical Inputs'!$N$9*(1+(C92))^5)*(1+('DCF'!$E$7))*('Terminal Value'!$E$10+(0))*(1-'Assumptions'!$E$15-(0))*(1-('DCF'!$E$7)/('Terminal Value'!$E$12))/(('DCF'!$E$6)-('DCF'!$E$7))/(1+('DCF'!$E$6))^'DCF'!$E$19)+'Equity Bridge'!$E$17)/'Equity Bridge'!$E$20
Review selected-case observations and Model Guide for definitions and held assumptions.</x:t>
        </x:r>
      </x:text>
    </x:comment>
    <x:comment ref="C93" authorId="0">
      <x:text>
        <x:r>
          <x:t>Reverse Growth. Formula: =$E$16+($E$17-$E$16)*6/8
Review selected-case observations and Model Guide for definitions and held assumptions.</x:t>
        </x:r>
      </x:text>
    </x:comment>
    <x:comment ref="D93" authorId="0">
      <x:text>
        <x:r>
          <x:t>Reverse Growth. Formula: =((SUM((('Historical Inputs'!$N$9*(1+(C93))^1)*(('Assumptions'!E37+(0))*(1-'Assumptions'!E42-(0))+'Assumptions'!E47-'Assumptions'!E52*(1)+'Assumptions'!E57-'Assumptions'!E62*(1)-'Assumptions'!E67-(0))+('Working Capital'!$E$6))*'DCF'!E12/(1+('DCF'!$E$6))^'DCF'!E13,(('Historical Inputs'!$N$9*(1+(C93))^2)*(('Assumptions'!F37+(0))*(1-'Assumptions'!F42-(0))+'Assumptions'!F47-'Assumptions'!F52*(1)+'Assumptions'!F57-'Assumptions'!F62*(1)-'Assumptions'!F67-(0))+(('Historical Inputs'!$N$9*(1+(C93))^1)*('Assumptions'!E67+(0))))*'DCF'!F12/(1+('DCF'!$E$6))^'DCF'!F13,(('Historical Inputs'!$N$9*(1+(C93))^3)*(('Assumptions'!G37+(0))*(1-'Assumptions'!G42-(0))+'Assumptions'!G47-'Assumptions'!G52*(1)+'Assumptions'!G57-'Assumptions'!G62*(1)-'Assumptions'!G67-(0))+(('Historical Inputs'!$N$9*(1+(C93))^2)*('Assumptions'!F67+(0))))*'DCF'!G12/(1+('DCF'!$E$6))^'DCF'!G13,(('Historical Inputs'!$N$9*(1+(C93))^4)*(('Assumptions'!H37+(0))*(1-'Assumptions'!H42-(0))+'Assumptions'!H47-'Assumptions'!H52*(1)+'Assumptions'!H57-'Assumptions'!H62*(1)-'Assumptions'!H67-(0))+(('Historical Inputs'!$N$9*(1+(C93))^3)*('Assumptions'!G67+(0))))*'DCF'!H12/(1+('DCF'!$E$6))^'DCF'!H13,(('Historical Inputs'!$N$9*(1+(C93))^5)*(('Assumptions'!I37+(0))*(1-'Assumptions'!I42-(0))+'Assumptions'!I47-'Assumptions'!I52*(1)+'Assumptions'!I57-'Assumptions'!I62*(1)-'Assumptions'!I67-(0))+(('Historical Inputs'!$N$9*(1+(C93))^4)*('Assumptions'!H67+(0))))*'DCF'!I12/(1+('DCF'!$E$6))^'DCF'!I13)+('Historical Inputs'!$N$9*(1+(C93))^5)*(1+('DCF'!$E$7))*('Terminal Value'!$E$10+(0))*(1-'Assumptions'!$E$15-(0))*(1-('DCF'!$E$7)/('Terminal Value'!$E$12))/(('DCF'!$E$6)-('DCF'!$E$7))/(1+('DCF'!$E$6))^'DCF'!$E$19)+'Equity Bridge'!$E$17)/'Equity Bridge'!$E$20
Review selected-case observations and Model Guide for definitions and held assumptions.</x:t>
        </x:r>
      </x:text>
    </x:comment>
    <x:comment ref="C94" authorId="0">
      <x:text>
        <x:r>
          <x:t>Reverse Growth. Formula: =$E$16+($E$17-$E$16)*7/8
Review selected-case observations and Model Guide for definitions and held assumptions.</x:t>
        </x:r>
      </x:text>
    </x:comment>
    <x:comment ref="D94" authorId="0">
      <x:text>
        <x:r>
          <x:t>Reverse Growth. Formula: =((SUM((('Historical Inputs'!$N$9*(1+(C94))^1)*(('Assumptions'!E37+(0))*(1-'Assumptions'!E42-(0))+'Assumptions'!E47-'Assumptions'!E52*(1)+'Assumptions'!E57-'Assumptions'!E62*(1)-'Assumptions'!E67-(0))+('Working Capital'!$E$6))*'DCF'!E12/(1+('DCF'!$E$6))^'DCF'!E13,(('Historical Inputs'!$N$9*(1+(C94))^2)*(('Assumptions'!F37+(0))*(1-'Assumptions'!F42-(0))+'Assumptions'!F47-'Assumptions'!F52*(1)+'Assumptions'!F57-'Assumptions'!F62*(1)-'Assumptions'!F67-(0))+(('Historical Inputs'!$N$9*(1+(C94))^1)*('Assumptions'!E67+(0))))*'DCF'!F12/(1+('DCF'!$E$6))^'DCF'!F13,(('Historical Inputs'!$N$9*(1+(C94))^3)*(('Assumptions'!G37+(0))*(1-'Assumptions'!G42-(0))+'Assumptions'!G47-'Assumptions'!G52*(1)+'Assumptions'!G57-'Assumptions'!G62*(1)-'Assumptions'!G67-(0))+(('Historical Inputs'!$N$9*(1+(C94))^2)*('Assumptions'!F67+(0))))*'DCF'!G12/(1+('DCF'!$E$6))^'DCF'!G13,(('Historical Inputs'!$N$9*(1+(C94))^4)*(('Assumptions'!H37+(0))*(1-'Assumptions'!H42-(0))+'Assumptions'!H47-'Assumptions'!H52*(1)+'Assumptions'!H57-'Assumptions'!H62*(1)-'Assumptions'!H67-(0))+(('Historical Inputs'!$N$9*(1+(C94))^3)*('Assumptions'!G67+(0))))*'DCF'!H12/(1+('DCF'!$E$6))^'DCF'!H13,(('Historical Inputs'!$N$9*(1+(C94))^5)*(('Assumptions'!I37+(0))*(1-'Assumptions'!I42-(0))+'Assumptions'!I47-'Assumptions'!I52*(1)+'Assumptions'!I57-'Assumptions'!I62*(1)-'Assumptions'!I67-(0))+(('Historical Inputs'!$N$9*(1+(C94))^4)*('Assumptions'!H67+(0))))*'DCF'!I12/(1+('DCF'!$E$6))^'DCF'!I13)+('Historical Inputs'!$N$9*(1+(C94))^5)*(1+('DCF'!$E$7))*('Terminal Value'!$E$10+(0))*(1-'Assumptions'!$E$15-(0))*(1-('DCF'!$E$7)/('Terminal Value'!$E$12))/(('DCF'!$E$6)-('DCF'!$E$7))/(1+('DCF'!$E$6))^'DCF'!$E$19)+'Equity Bridge'!$E$17)/'Equity Bridge'!$E$20
Review selected-case observations and Model Guide for definitions and held assumptions.</x:t>
        </x:r>
      </x:text>
    </x:comment>
    <x:comment ref="C95" authorId="0">
      <x:text>
        <x:r>
          <x:t>Reverse Growth. Formula: =$E$16+($E$17-$E$16)*8/8
Review selected-case observations and Model Guide for definitions and held assumptions.</x:t>
        </x:r>
      </x:text>
    </x:comment>
    <x:comment ref="D95" authorId="0">
      <x:text>
        <x:r>
          <x:t>Reverse Growth. Formula: =((SUM((('Historical Inputs'!$N$9*(1+(C95))^1)*(('Assumptions'!E37+(0))*(1-'Assumptions'!E42-(0))+'Assumptions'!E47-'Assumptions'!E52*(1)+'Assumptions'!E57-'Assumptions'!E62*(1)-'Assumptions'!E67-(0))+('Working Capital'!$E$6))*'DCF'!E12/(1+('DCF'!$E$6))^'DCF'!E13,(('Historical Inputs'!$N$9*(1+(C95))^2)*(('Assumptions'!F37+(0))*(1-'Assumptions'!F42-(0))+'Assumptions'!F47-'Assumptions'!F52*(1)+'Assumptions'!F57-'Assumptions'!F62*(1)-'Assumptions'!F67-(0))+(('Historical Inputs'!$N$9*(1+(C95))^1)*('Assumptions'!E67+(0))))*'DCF'!F12/(1+('DCF'!$E$6))^'DCF'!F13,(('Historical Inputs'!$N$9*(1+(C95))^3)*(('Assumptions'!G37+(0))*(1-'Assumptions'!G42-(0))+'Assumptions'!G47-'Assumptions'!G52*(1)+'Assumptions'!G57-'Assumptions'!G62*(1)-'Assumptions'!G67-(0))+(('Historical Inputs'!$N$9*(1+(C95))^2)*('Assumptions'!F67+(0))))*'DCF'!G12/(1+('DCF'!$E$6))^'DCF'!G13,(('Historical Inputs'!$N$9*(1+(C95))^4)*(('Assumptions'!H37+(0))*(1-'Assumptions'!H42-(0))+'Assumptions'!H47-'Assumptions'!H52*(1)+'Assumptions'!H57-'Assumptions'!H62*(1)-'Assumptions'!H67-(0))+(('Historical Inputs'!$N$9*(1+(C95))^3)*('Assumptions'!G67+(0))))*'DCF'!H12/(1+('DCF'!$E$6))^'DCF'!H13,(('Historical Inputs'!$N$9*(1+(C95))^5)*(('Assumptions'!I37+(0))*(1-'Assumptions'!I42-(0))+'Assumptions'!I47-'Assumptions'!I52*(1)+'Assumptions'!I57-'Assumptions'!I62*(1)-'Assumptions'!I67-(0))+(('Historical Inputs'!$N$9*(1+(C95))^4)*('Assumptions'!H67+(0))))*'DCF'!I12/(1+('DCF'!$E$6))^'DCF'!I13)+('Historical Inputs'!$N$9*(1+(C95))^5)*(1+('DCF'!$E$7))*('Terminal Value'!$E$10+(0))*(1-'Assumptions'!$E$15-(0))*(1-('DCF'!$E$7)/('Terminal Value'!$E$12))/(('DCF'!$E$6)-('DCF'!$E$7))/(1+('DCF'!$E$6))^'DCF'!$E$19)+'Equity Bridge'!$E$17)/'Equity Bridge'!$E$20
Review selected-case observations and Model Guide for definitions and held assumptions.</x:t>
        </x:r>
      </x:text>
    </x:comment>
  </x:commentList>
</x:comments>
</file>

<file path=xl/comments15.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C11" authorId="0">
      <x:text>
        <x:r>
          <x:t>Value slope per unit margin</x:t>
        </x:r>
      </x:text>
    </x:comment>
    <x:comment ref="C12" authorId="0">
      <x:text>
        <x:r>
          <x:t>Required parallel margin shift</x:t>
        </x:r>
      </x:text>
    </x:comment>
    <x:comment ref="C13" authorId="0">
      <x:text>
        <x:r>
          <x:t>Required stable operating margin</x:t>
        </x:r>
      </x:text>
    </x:comment>
    <x:comment ref="C14" authorId="0">
      <x:text>
        <x:r>
          <x:t>All implied margins within 0 to 100?</x:t>
        </x:r>
      </x:text>
    </x:comment>
    <x:comment ref="C16" authorId="0">
      <x:text>
        <x:r>
          <x:t>Value slope from terminal margin</x:t>
        </x:r>
      </x:text>
    </x:comment>
    <x:comment ref="C17" authorId="0">
      <x:text>
        <x:r>
          <x:t>Terminal-only required margin</x:t>
        </x:r>
      </x:text>
    </x:comment>
    <x:comment ref="C18" authorId="0">
      <x:text>
        <x:r>
          <x:t>Forecast-only required margin shift</x:t>
        </x:r>
      </x:text>
    </x:comment>
    <x:comment ref="C22" authorId="0">
      <x:text>
        <x:r>
          <x:t>Baseline operating margin</x:t>
        </x:r>
      </x:text>
    </x:comment>
    <x:comment ref="C23" authorId="0">
      <x:text>
        <x:r>
          <x:t>Required parallel operating margin</x:t>
        </x:r>
      </x:text>
    </x:comment>
    <x:comment ref="E4" authorId="0">
      <x:text>
        <x:r>
          <x:t>Reverse Margin. Formula: =CHOOSE('DCF'!$E$5,"Base","Upside","Downside")
Review selected-case observations and Model Guide for definitions and held assumptions.</x:t>
        </x:r>
      </x:text>
    </x:comment>
    <x:comment ref="E8" authorId="0">
      <x:text>
        <x:r>
          <x:t>Reverse Margin. Formula: ='DCF'!E24
Review selected-case observations and Model Guide for definitions and held assumptions.</x:t>
        </x:r>
      </x:text>
    </x:comment>
    <x:comment ref="E9" authorId="0">
      <x:text>
        <x:r>
          <x:t>Reverse Margin. Formula: ='DCF'!E32
Review selected-case observations and Model Guide for definitions and held assumptions.</x:t>
        </x:r>
      </x:text>
    </x:comment>
    <x:comment ref="E11" authorId="0">
      <x:text>
        <x:r>
          <x:t>Reverse Margin. Formula: =SUM('Forecast'!E12*(1-'Forecast'!E16)*'DCF'!E12/'DCF'!E14,'Forecast'!F12*(1-'Forecast'!F16)*'DCF'!F12/'DCF'!F14,'Forecast'!G12*(1-'Forecast'!G16)*'DCF'!G12/'DCF'!G14,'Forecast'!H12*(1-'Forecast'!H16)*'DCF'!H12/'DCF'!H14,'Forecast'!I12*(1-'Forecast'!I16)*'DCF'!I12/'DCF'!I14)+('Terminal Value'!E8*(1+'DCF'!E7)*(1-'Assumptions'!E15)*(1-'DCF'!E7/'Terminal Value'!E12)/('DCF'!E6-'DCF'!E7)/'DCF'!E20)
Review selected-case observations and Model Guide for definitions and held assumptions.</x:t>
        </x:r>
      </x:text>
    </x:comment>
    <x:comment ref="E12" authorId="0">
      <x:text>
        <x:r>
          <x:t>Reverse Margin. Formula: =E10/E11
Review selected-case observations and Model Guide for definitions and held assumptions.</x:t>
        </x:r>
      </x:text>
    </x:comment>
    <x:comment ref="E13" authorId="0">
      <x:text>
        <x:r>
          <x:t>Reverse Margin. Formula: ='Terminal Value'!E10+E12
Review selected-case observations and Model Guide for definitions and held assumptions.</x:t>
        </x:r>
      </x:text>
    </x:comment>
    <x:comment ref="E14" authorId="0">
      <x:text>
        <x:r>
          <x:t>Reverse Margin. Formula: =IF(AND(MIN('Forecast'!E14:I14)+E12&gt;=0,MAX('Forecast'!E14:I14)+E12&lt;=1,E13&gt;=0,E13&lt;=1),"Within absolute bounds","Outside absolute bounds")
Review selected-case observations and Model Guide for definitions and held assumptions.</x:t>
        </x:r>
      </x:text>
    </x:comment>
    <x:comment ref="E16" authorId="0">
      <x:text>
        <x:r>
          <x:t>Reverse Margin. Formula: ='Terminal Value'!E8*(1+'DCF'!E7)*(1-'Assumptions'!E15)*(1-'DCF'!E7/'Terminal Value'!E12)/('DCF'!E6-'DCF'!E7)/'DCF'!E20
Review selected-case observations and Model Guide for definitions and held assumptions.</x:t>
        </x:r>
      </x:text>
    </x:comment>
    <x:comment ref="E17" authorId="0">
      <x:text>
        <x:r>
          <x:t>Reverse Margin. Formula: ='Terminal Value'!E10+E10/E16
Review selected-case observations and Model Guide for definitions and held assumptions.</x:t>
        </x:r>
      </x:text>
    </x:comment>
    <x:comment ref="E18" authorId="0">
      <x:text>
        <x:r>
          <x:t>Reverse Margin. Formula: =E10/(E11-E16)
Review selected-case observations and Model Guide for definitions and held assumptions.</x:t>
        </x:r>
      </x:text>
    </x:comment>
    <x:comment ref="E22" authorId="0">
      <x:text>
        <x:r>
          <x:t>Reverse Margin. Formula: ='Forecast'!E14
Review selected-case observations and Model Guide for definitions and held assumptions.</x:t>
        </x:r>
      </x:text>
    </x:comment>
    <x:comment ref="F22" authorId="0">
      <x:text>
        <x:r>
          <x:t>Reverse Margin. Formula: ='Forecast'!F14
Review selected-case observations and Model Guide for definitions and held assumptions.</x:t>
        </x:r>
      </x:text>
    </x:comment>
    <x:comment ref="G22" authorId="0">
      <x:text>
        <x:r>
          <x:t>Reverse Margin. Formula: ='Forecast'!G14
Review selected-case observations and Model Guide for definitions and held assumptions.</x:t>
        </x:r>
      </x:text>
    </x:comment>
    <x:comment ref="H22" authorId="0">
      <x:text>
        <x:r>
          <x:t>Reverse Margin. Formula: ='Forecast'!H14
Review selected-case observations and Model Guide for definitions and held assumptions.</x:t>
        </x:r>
      </x:text>
    </x:comment>
    <x:comment ref="I22" authorId="0">
      <x:text>
        <x:r>
          <x:t>Reverse Margin. Formula: ='Forecast'!I14
Review selected-case observations and Model Guide for definitions and held assumptions.</x:t>
        </x:r>
      </x:text>
    </x:comment>
    <x:comment ref="E23" authorId="0">
      <x:text>
        <x:r>
          <x:t>Reverse Margin. Formula: =E22+$E$12
Review selected-case observations and Model Guide for definitions and held assumptions.</x:t>
        </x:r>
      </x:text>
    </x:comment>
    <x:comment ref="F23" authorId="0">
      <x:text>
        <x:r>
          <x:t>Reverse Margin. Formula: =F22+$E$12
Review selected-case observations and Model Guide for definitions and held assumptions.</x:t>
        </x:r>
      </x:text>
    </x:comment>
    <x:comment ref="G23" authorId="0">
      <x:text>
        <x:r>
          <x:t>Reverse Margin. Formula: =G22+$E$12
Review selected-case observations and Model Guide for definitions and held assumptions.</x:t>
        </x:r>
      </x:text>
    </x:comment>
    <x:comment ref="H23" authorId="0">
      <x:text>
        <x:r>
          <x:t>Reverse Margin. Formula: =H22+$E$12
Review selected-case observations and Model Guide for definitions and held assumptions.</x:t>
        </x:r>
      </x:text>
    </x:comment>
    <x:comment ref="I23" authorId="0">
      <x:text>
        <x:r>
          <x:t>Reverse Margin. Formula: =I22+$E$12
Review selected-case observations and Model Guide for definitions and held assumptions.</x:t>
        </x:r>
      </x:text>
    </x:comment>
    <x:comment ref="C28" authorId="0">
      <x:text>
        <x:r>
          <x:t>Reverse Margin. Editable source or analyst input.
Review selected-case observations and Model Guide for definitions and held assumptions.</x:t>
        </x:r>
      </x:text>
    </x:comment>
    <x:comment ref="D28" authorId="0">
      <x:text>
        <x:r>
          <x:t>Reverse Margin. Formula: =((SUM((('Forecast'!E12)*(('Assumptions'!E37+(C28))*(1-'Assumptions'!E42-(0))+'Assumptions'!E47-'Assumptions'!E52*(1)+'Assumptions'!E57-'Assumptions'!E62*(1)-'Assumptions'!E67-(0))+('Working Capital'!$E$6))*'DCF'!E12/(1+('DCF'!$E$6))^'DCF'!E13,(('Forecast'!F12)*(('Assumptions'!F37+(C28))*(1-'Assumptions'!F42-(0))+'Assumptions'!F47-'Assumptions'!F52*(1)+'Assumptions'!F57-'Assumptions'!F62*(1)-'Assumptions'!F67-(0))+(('Forecast'!E12)*('Assumptions'!E67+(0))))*'DCF'!F12/(1+('DCF'!$E$6))^'DCF'!F13,(('Forecast'!G12)*(('Assumptions'!G37+(C28))*(1-'Assumptions'!G42-(0))+'Assumptions'!G47-'Assumptions'!G52*(1)+'Assumptions'!G57-'Assumptions'!G62*(1)-'Assumptions'!G67-(0))+(('Forecast'!F12)*('Assumptions'!F67+(0))))*'DCF'!G12/(1+('DCF'!$E$6))^'DCF'!G13,(('Forecast'!H12)*(('Assumptions'!H37+(C28))*(1-'Assumptions'!H42-(0))+'Assumptions'!H47-'Assumptions'!H52*(1)+'Assumptions'!H57-'Assumptions'!H62*(1)-'Assumptions'!H67-(0))+(('Forecast'!G12)*('Assumptions'!G67+(0))))*'DCF'!H12/(1+('DCF'!$E$6))^'DCF'!H13,(('Forecast'!I12)*(('Assumptions'!I37+(C28))*(1-'Assumptions'!I42-(0))+'Assumptions'!I47-'Assumptions'!I52*(1)+'Assumptions'!I57-'Assumptions'!I62*(1)-'Assumptions'!I67-(0))+(('Forecast'!H12)*('Assumptions'!H67+(0))))*'DCF'!I12/(1+('DCF'!$E$6))^'DCF'!I13)+('Forecast'!I12)*(1+('DCF'!$E$7))*('Terminal Value'!$E$10+(C28))*(1-'Assumptions'!$E$15-(0))*(1-('DCF'!$E$7)/('Terminal Value'!$E$12))/(('DCF'!$E$6)-('DCF'!$E$7))/(1+('DCF'!$E$6))^'DCF'!$E$19)+'Equity Bridge'!$E$17)/'Equity Bridge'!$E$20
Review selected-case observations and Model Guide for definitions and held assumptions.</x:t>
        </x:r>
      </x:text>
    </x:comment>
    <x:comment ref="C29" authorId="0">
      <x:text>
        <x:r>
          <x:t>Reverse Margin. Editable source or analyst input.
Review selected-case observations and Model Guide for definitions and held assumptions.</x:t>
        </x:r>
      </x:text>
    </x:comment>
    <x:comment ref="D29" authorId="0">
      <x:text>
        <x:r>
          <x:t>Reverse Margin. Formula: =((SUM((('Forecast'!E12)*(('Assumptions'!E37+(C29))*(1-'Assumptions'!E42-(0))+'Assumptions'!E47-'Assumptions'!E52*(1)+'Assumptions'!E57-'Assumptions'!E62*(1)-'Assumptions'!E67-(0))+('Working Capital'!$E$6))*'DCF'!E12/(1+('DCF'!$E$6))^'DCF'!E13,(('Forecast'!F12)*(('Assumptions'!F37+(C29))*(1-'Assumptions'!F42-(0))+'Assumptions'!F47-'Assumptions'!F52*(1)+'Assumptions'!F57-'Assumptions'!F62*(1)-'Assumptions'!F67-(0))+(('Forecast'!E12)*('Assumptions'!E67+(0))))*'DCF'!F12/(1+('DCF'!$E$6))^'DCF'!F13,(('Forecast'!G12)*(('Assumptions'!G37+(C29))*(1-'Assumptions'!G42-(0))+'Assumptions'!G47-'Assumptions'!G52*(1)+'Assumptions'!G57-'Assumptions'!G62*(1)-'Assumptions'!G67-(0))+(('Forecast'!F12)*('Assumptions'!F67+(0))))*'DCF'!G12/(1+('DCF'!$E$6))^'DCF'!G13,(('Forecast'!H12)*(('Assumptions'!H37+(C29))*(1-'Assumptions'!H42-(0))+'Assumptions'!H47-'Assumptions'!H52*(1)+'Assumptions'!H57-'Assumptions'!H62*(1)-'Assumptions'!H67-(0))+(('Forecast'!G12)*('Assumptions'!G67+(0))))*'DCF'!H12/(1+('DCF'!$E$6))^'DCF'!H13,(('Forecast'!I12)*(('Assumptions'!I37+(C29))*(1-'Assumptions'!I42-(0))+'Assumptions'!I47-'Assumptions'!I52*(1)+'Assumptions'!I57-'Assumptions'!I62*(1)-'Assumptions'!I67-(0))+(('Forecast'!H12)*('Assumptions'!H67+(0))))*'DCF'!I12/(1+('DCF'!$E$6))^'DCF'!I13)+('Forecast'!I12)*(1+('DCF'!$E$7))*('Terminal Value'!$E$10+(C29))*(1-'Assumptions'!$E$15-(0))*(1-('DCF'!$E$7)/('Terminal Value'!$E$12))/(('DCF'!$E$6)-('DCF'!$E$7))/(1+('DCF'!$E$6))^'DCF'!$E$19)+'Equity Bridge'!$E$17)/'Equity Bridge'!$E$20
Review selected-case observations and Model Guide for definitions and held assumptions.</x:t>
        </x:r>
      </x:text>
    </x:comment>
    <x:comment ref="C30" authorId="0">
      <x:text>
        <x:r>
          <x:t>Reverse Margin. Editable source or analyst input.
Review selected-case observations and Model Guide for definitions and held assumptions.</x:t>
        </x:r>
      </x:text>
    </x:comment>
    <x:comment ref="D30" authorId="0">
      <x:text>
        <x:r>
          <x:t>Reverse Margin. Formula: =((SUM((('Forecast'!E12)*(('Assumptions'!E37+(C30))*(1-'Assumptions'!E42-(0))+'Assumptions'!E47-'Assumptions'!E52*(1)+'Assumptions'!E57-'Assumptions'!E62*(1)-'Assumptions'!E67-(0))+('Working Capital'!$E$6))*'DCF'!E12/(1+('DCF'!$E$6))^'DCF'!E13,(('Forecast'!F12)*(('Assumptions'!F37+(C30))*(1-'Assumptions'!F42-(0))+'Assumptions'!F47-'Assumptions'!F52*(1)+'Assumptions'!F57-'Assumptions'!F62*(1)-'Assumptions'!F67-(0))+(('Forecast'!E12)*('Assumptions'!E67+(0))))*'DCF'!F12/(1+('DCF'!$E$6))^'DCF'!F13,(('Forecast'!G12)*(('Assumptions'!G37+(C30))*(1-'Assumptions'!G42-(0))+'Assumptions'!G47-'Assumptions'!G52*(1)+'Assumptions'!G57-'Assumptions'!G62*(1)-'Assumptions'!G67-(0))+(('Forecast'!F12)*('Assumptions'!F67+(0))))*'DCF'!G12/(1+('DCF'!$E$6))^'DCF'!G13,(('Forecast'!H12)*(('Assumptions'!H37+(C30))*(1-'Assumptions'!H42-(0))+'Assumptions'!H47-'Assumptions'!H52*(1)+'Assumptions'!H57-'Assumptions'!H62*(1)-'Assumptions'!H67-(0))+(('Forecast'!G12)*('Assumptions'!G67+(0))))*'DCF'!H12/(1+('DCF'!$E$6))^'DCF'!H13,(('Forecast'!I12)*(('Assumptions'!I37+(C30))*(1-'Assumptions'!I42-(0))+'Assumptions'!I47-'Assumptions'!I52*(1)+'Assumptions'!I57-'Assumptions'!I62*(1)-'Assumptions'!I67-(0))+(('Forecast'!H12)*('Assumptions'!H67+(0))))*'DCF'!I12/(1+('DCF'!$E$6))^'DCF'!I13)+('Forecast'!I12)*(1+('DCF'!$E$7))*('Terminal Value'!$E$10+(C30))*(1-'Assumptions'!$E$15-(0))*(1-('DCF'!$E$7)/('Terminal Value'!$E$12))/(('DCF'!$E$6)-('DCF'!$E$7))/(1+('DCF'!$E$6))^'DCF'!$E$19)+'Equity Bridge'!$E$17)/'Equity Bridge'!$E$20
Review selected-case observations and Model Guide for definitions and held assumptions.</x:t>
        </x:r>
      </x:text>
    </x:comment>
    <x:comment ref="C31" authorId="0">
      <x:text>
        <x:r>
          <x:t>Reverse Margin. Editable source or analyst input.
Review selected-case observations and Model Guide for definitions and held assumptions.</x:t>
        </x:r>
      </x:text>
    </x:comment>
    <x:comment ref="D31" authorId="0">
      <x:text>
        <x:r>
          <x:t>Reverse Margin. Formula: =((SUM((('Forecast'!E12)*(('Assumptions'!E37+(C31))*(1-'Assumptions'!E42-(0))+'Assumptions'!E47-'Assumptions'!E52*(1)+'Assumptions'!E57-'Assumptions'!E62*(1)-'Assumptions'!E67-(0))+('Working Capital'!$E$6))*'DCF'!E12/(1+('DCF'!$E$6))^'DCF'!E13,(('Forecast'!F12)*(('Assumptions'!F37+(C31))*(1-'Assumptions'!F42-(0))+'Assumptions'!F47-'Assumptions'!F52*(1)+'Assumptions'!F57-'Assumptions'!F62*(1)-'Assumptions'!F67-(0))+(('Forecast'!E12)*('Assumptions'!E67+(0))))*'DCF'!F12/(1+('DCF'!$E$6))^'DCF'!F13,(('Forecast'!G12)*(('Assumptions'!G37+(C31))*(1-'Assumptions'!G42-(0))+'Assumptions'!G47-'Assumptions'!G52*(1)+'Assumptions'!G57-'Assumptions'!G62*(1)-'Assumptions'!G67-(0))+(('Forecast'!F12)*('Assumptions'!F67+(0))))*'DCF'!G12/(1+('DCF'!$E$6))^'DCF'!G13,(('Forecast'!H12)*(('Assumptions'!H37+(C31))*(1-'Assumptions'!H42-(0))+'Assumptions'!H47-'Assumptions'!H52*(1)+'Assumptions'!H57-'Assumptions'!H62*(1)-'Assumptions'!H67-(0))+(('Forecast'!G12)*('Assumptions'!G67+(0))))*'DCF'!H12/(1+('DCF'!$E$6))^'DCF'!H13,(('Forecast'!I12)*(('Assumptions'!I37+(C31))*(1-'Assumptions'!I42-(0))+'Assumptions'!I47-'Assumptions'!I52*(1)+'Assumptions'!I57-'Assumptions'!I62*(1)-'Assumptions'!I67-(0))+(('Forecast'!H12)*('Assumptions'!H67+(0))))*'DCF'!I12/(1+('DCF'!$E$6))^'DCF'!I13)+('Forecast'!I12)*(1+('DCF'!$E$7))*('Terminal Value'!$E$10+(C31))*(1-'Assumptions'!$E$15-(0))*(1-('DCF'!$E$7)/('Terminal Value'!$E$12))/(('DCF'!$E$6)-('DCF'!$E$7))/(1+('DCF'!$E$6))^'DCF'!$E$19)+'Equity Bridge'!$E$17)/'Equity Bridge'!$E$20
Review selected-case observations and Model Guide for definitions and held assumptions.</x:t>
        </x:r>
      </x:text>
    </x:comment>
    <x:comment ref="C32" authorId="0">
      <x:text>
        <x:r>
          <x:t>Reverse Margin. Editable source or analyst input.
Review selected-case observations and Model Guide for definitions and held assumptions.</x:t>
        </x:r>
      </x:text>
    </x:comment>
    <x:comment ref="D32" authorId="0">
      <x:text>
        <x:r>
          <x:t>Reverse Margin. Formula: =((SUM((('Forecast'!E12)*(('Assumptions'!E37+(C32))*(1-'Assumptions'!E42-(0))+'Assumptions'!E47-'Assumptions'!E52*(1)+'Assumptions'!E57-'Assumptions'!E62*(1)-'Assumptions'!E67-(0))+('Working Capital'!$E$6))*'DCF'!E12/(1+('DCF'!$E$6))^'DCF'!E13,(('Forecast'!F12)*(('Assumptions'!F37+(C32))*(1-'Assumptions'!F42-(0))+'Assumptions'!F47-'Assumptions'!F52*(1)+'Assumptions'!F57-'Assumptions'!F62*(1)-'Assumptions'!F67-(0))+(('Forecast'!E12)*('Assumptions'!E67+(0))))*'DCF'!F12/(1+('DCF'!$E$6))^'DCF'!F13,(('Forecast'!G12)*(('Assumptions'!G37+(C32))*(1-'Assumptions'!G42-(0))+'Assumptions'!G47-'Assumptions'!G52*(1)+'Assumptions'!G57-'Assumptions'!G62*(1)-'Assumptions'!G67-(0))+(('Forecast'!F12)*('Assumptions'!F67+(0))))*'DCF'!G12/(1+('DCF'!$E$6))^'DCF'!G13,(('Forecast'!H12)*(('Assumptions'!H37+(C32))*(1-'Assumptions'!H42-(0))+'Assumptions'!H47-'Assumptions'!H52*(1)+'Assumptions'!H57-'Assumptions'!H62*(1)-'Assumptions'!H67-(0))+(('Forecast'!G12)*('Assumptions'!G67+(0))))*'DCF'!H12/(1+('DCF'!$E$6))^'DCF'!H13,(('Forecast'!I12)*(('Assumptions'!I37+(C32))*(1-'Assumptions'!I42-(0))+'Assumptions'!I47-'Assumptions'!I52*(1)+'Assumptions'!I57-'Assumptions'!I62*(1)-'Assumptions'!I67-(0))+(('Forecast'!H12)*('Assumptions'!H67+(0))))*'DCF'!I12/(1+('DCF'!$E$6))^'DCF'!I13)+('Forecast'!I12)*(1+('DCF'!$E$7))*('Terminal Value'!$E$10+(C32))*(1-'Assumptions'!$E$15-(0))*(1-('DCF'!$E$7)/('Terminal Value'!$E$12))/(('DCF'!$E$6)-('DCF'!$E$7))/(1+('DCF'!$E$6))^'DCF'!$E$19)+'Equity Bridge'!$E$17)/'Equity Bridge'!$E$20
Review selected-case observations and Model Guide for definitions and held assumptions.</x:t>
        </x:r>
      </x:text>
    </x:comment>
    <x:comment ref="C33" authorId="0">
      <x:text>
        <x:r>
          <x:t>Reverse Margin. Editable source or analyst input.
Review selected-case observations and Model Guide for definitions and held assumptions.</x:t>
        </x:r>
      </x:text>
    </x:comment>
    <x:comment ref="D33" authorId="0">
      <x:text>
        <x:r>
          <x:t>Reverse Margin. Formula: =((SUM((('Forecast'!E12)*(('Assumptions'!E37+(C33))*(1-'Assumptions'!E42-(0))+'Assumptions'!E47-'Assumptions'!E52*(1)+'Assumptions'!E57-'Assumptions'!E62*(1)-'Assumptions'!E67-(0))+('Working Capital'!$E$6))*'DCF'!E12/(1+('DCF'!$E$6))^'DCF'!E13,(('Forecast'!F12)*(('Assumptions'!F37+(C33))*(1-'Assumptions'!F42-(0))+'Assumptions'!F47-'Assumptions'!F52*(1)+'Assumptions'!F57-'Assumptions'!F62*(1)-'Assumptions'!F67-(0))+(('Forecast'!E12)*('Assumptions'!E67+(0))))*'DCF'!F12/(1+('DCF'!$E$6))^'DCF'!F13,(('Forecast'!G12)*(('Assumptions'!G37+(C33))*(1-'Assumptions'!G42-(0))+'Assumptions'!G47-'Assumptions'!G52*(1)+'Assumptions'!G57-'Assumptions'!G62*(1)-'Assumptions'!G67-(0))+(('Forecast'!F12)*('Assumptions'!F67+(0))))*'DCF'!G12/(1+('DCF'!$E$6))^'DCF'!G13,(('Forecast'!H12)*(('Assumptions'!H37+(C33))*(1-'Assumptions'!H42-(0))+'Assumptions'!H47-'Assumptions'!H52*(1)+'Assumptions'!H57-'Assumptions'!H62*(1)-'Assumptions'!H67-(0))+(('Forecast'!G12)*('Assumptions'!G67+(0))))*'DCF'!H12/(1+('DCF'!$E$6))^'DCF'!H13,(('Forecast'!I12)*(('Assumptions'!I37+(C33))*(1-'Assumptions'!I42-(0))+'Assumptions'!I47-'Assumptions'!I52*(1)+'Assumptions'!I57-'Assumptions'!I62*(1)-'Assumptions'!I67-(0))+(('Forecast'!H12)*('Assumptions'!H67+(0))))*'DCF'!I12/(1+('DCF'!$E$6))^'DCF'!I13)+('Forecast'!I12)*(1+('DCF'!$E$7))*('Terminal Value'!$E$10+(C33))*(1-'Assumptions'!$E$15-(0))*(1-('DCF'!$E$7)/('Terminal Value'!$E$12))/(('DCF'!$E$6)-('DCF'!$E$7))/(1+('DCF'!$E$6))^'DCF'!$E$19)+'Equity Bridge'!$E$17)/'Equity Bridge'!$E$20
Review selected-case observations and Model Guide for definitions and held assumptions.</x:t>
        </x:r>
      </x:text>
    </x:comment>
    <x:comment ref="C34" authorId="0">
      <x:text>
        <x:r>
          <x:t>Reverse Margin. Editable source or analyst input.
Review selected-case observations and Model Guide for definitions and held assumptions.</x:t>
        </x:r>
      </x:text>
    </x:comment>
    <x:comment ref="D34" authorId="0">
      <x:text>
        <x:r>
          <x:t>Reverse Margin. Formula: =((SUM((('Forecast'!E12)*(('Assumptions'!E37+(C34))*(1-'Assumptions'!E42-(0))+'Assumptions'!E47-'Assumptions'!E52*(1)+'Assumptions'!E57-'Assumptions'!E62*(1)-'Assumptions'!E67-(0))+('Working Capital'!$E$6))*'DCF'!E12/(1+('DCF'!$E$6))^'DCF'!E13,(('Forecast'!F12)*(('Assumptions'!F37+(C34))*(1-'Assumptions'!F42-(0))+'Assumptions'!F47-'Assumptions'!F52*(1)+'Assumptions'!F57-'Assumptions'!F62*(1)-'Assumptions'!F67-(0))+(('Forecast'!E12)*('Assumptions'!E67+(0))))*'DCF'!F12/(1+('DCF'!$E$6))^'DCF'!F13,(('Forecast'!G12)*(('Assumptions'!G37+(C34))*(1-'Assumptions'!G42-(0))+'Assumptions'!G47-'Assumptions'!G52*(1)+'Assumptions'!G57-'Assumptions'!G62*(1)-'Assumptions'!G67-(0))+(('Forecast'!F12)*('Assumptions'!F67+(0))))*'DCF'!G12/(1+('DCF'!$E$6))^'DCF'!G13,(('Forecast'!H12)*(('Assumptions'!H37+(C34))*(1-'Assumptions'!H42-(0))+'Assumptions'!H47-'Assumptions'!H52*(1)+'Assumptions'!H57-'Assumptions'!H62*(1)-'Assumptions'!H67-(0))+(('Forecast'!G12)*('Assumptions'!G67+(0))))*'DCF'!H12/(1+('DCF'!$E$6))^'DCF'!H13,(('Forecast'!I12)*(('Assumptions'!I37+(C34))*(1-'Assumptions'!I42-(0))+'Assumptions'!I47-'Assumptions'!I52*(1)+'Assumptions'!I57-'Assumptions'!I62*(1)-'Assumptions'!I67-(0))+(('Forecast'!H12)*('Assumptions'!H67+(0))))*'DCF'!I12/(1+('DCF'!$E$6))^'DCF'!I13)+('Forecast'!I12)*(1+('DCF'!$E$7))*('Terminal Value'!$E$10+(C34))*(1-'Assumptions'!$E$15-(0))*(1-('DCF'!$E$7)/('Terminal Value'!$E$12))/(('DCF'!$E$6)-('DCF'!$E$7))/(1+('DCF'!$E$6))^'DCF'!$E$19)+'Equity Bridge'!$E$17)/'Equity Bridge'!$E$20
Review selected-case observations and Model Guide for definitions and held assumptions.</x:t>
        </x:r>
      </x:text>
    </x:comment>
    <x:comment ref="C35" authorId="0">
      <x:text>
        <x:r>
          <x:t>Reverse Margin. Editable source or analyst input.
Review selected-case observations and Model Guide for definitions and held assumptions.</x:t>
        </x:r>
      </x:text>
    </x:comment>
    <x:comment ref="D35" authorId="0">
      <x:text>
        <x:r>
          <x:t>Reverse Margin. Formula: =((SUM((('Forecast'!E12)*(('Assumptions'!E37+(C35))*(1-'Assumptions'!E42-(0))+'Assumptions'!E47-'Assumptions'!E52*(1)+'Assumptions'!E57-'Assumptions'!E62*(1)-'Assumptions'!E67-(0))+('Working Capital'!$E$6))*'DCF'!E12/(1+('DCF'!$E$6))^'DCF'!E13,(('Forecast'!F12)*(('Assumptions'!F37+(C35))*(1-'Assumptions'!F42-(0))+'Assumptions'!F47-'Assumptions'!F52*(1)+'Assumptions'!F57-'Assumptions'!F62*(1)-'Assumptions'!F67-(0))+(('Forecast'!E12)*('Assumptions'!E67+(0))))*'DCF'!F12/(1+('DCF'!$E$6))^'DCF'!F13,(('Forecast'!G12)*(('Assumptions'!G37+(C35))*(1-'Assumptions'!G42-(0))+'Assumptions'!G47-'Assumptions'!G52*(1)+'Assumptions'!G57-'Assumptions'!G62*(1)-'Assumptions'!G67-(0))+(('Forecast'!F12)*('Assumptions'!F67+(0))))*'DCF'!G12/(1+('DCF'!$E$6))^'DCF'!G13,(('Forecast'!H12)*(('Assumptions'!H37+(C35))*(1-'Assumptions'!H42-(0))+'Assumptions'!H47-'Assumptions'!H52*(1)+'Assumptions'!H57-'Assumptions'!H62*(1)-'Assumptions'!H67-(0))+(('Forecast'!G12)*('Assumptions'!G67+(0))))*'DCF'!H12/(1+('DCF'!$E$6))^'DCF'!H13,(('Forecast'!I12)*(('Assumptions'!I37+(C35))*(1-'Assumptions'!I42-(0))+'Assumptions'!I47-'Assumptions'!I52*(1)+'Assumptions'!I57-'Assumptions'!I62*(1)-'Assumptions'!I67-(0))+(('Forecast'!H12)*('Assumptions'!H67+(0))))*'DCF'!I12/(1+('DCF'!$E$6))^'DCF'!I13)+('Forecast'!I12)*(1+('DCF'!$E$7))*('Terminal Value'!$E$10+(C35))*(1-'Assumptions'!$E$15-(0))*(1-('DCF'!$E$7)/('Terminal Value'!$E$12))/(('DCF'!$E$6)-('DCF'!$E$7))/(1+('DCF'!$E$6))^'DCF'!$E$19)+'Equity Bridge'!$E$17)/'Equity Bridge'!$E$20
Review selected-case observations and Model Guide for definitions and held assumptions.</x:t>
        </x:r>
      </x:text>
    </x:comment>
    <x:comment ref="C36" authorId="0">
      <x:text>
        <x:r>
          <x:t>Reverse Margin. Editable source or analyst input.
Review selected-case observations and Model Guide for definitions and held assumptions.</x:t>
        </x:r>
      </x:text>
    </x:comment>
    <x:comment ref="D36" authorId="0">
      <x:text>
        <x:r>
          <x:t>Reverse Margin. Formula: =((SUM((('Forecast'!E12)*(('Assumptions'!E37+(C36))*(1-'Assumptions'!E42-(0))+'Assumptions'!E47-'Assumptions'!E52*(1)+'Assumptions'!E57-'Assumptions'!E62*(1)-'Assumptions'!E67-(0))+('Working Capital'!$E$6))*'DCF'!E12/(1+('DCF'!$E$6))^'DCF'!E13,(('Forecast'!F12)*(('Assumptions'!F37+(C36))*(1-'Assumptions'!F42-(0))+'Assumptions'!F47-'Assumptions'!F52*(1)+'Assumptions'!F57-'Assumptions'!F62*(1)-'Assumptions'!F67-(0))+(('Forecast'!E12)*('Assumptions'!E67+(0))))*'DCF'!F12/(1+('DCF'!$E$6))^'DCF'!F13,(('Forecast'!G12)*(('Assumptions'!G37+(C36))*(1-'Assumptions'!G42-(0))+'Assumptions'!G47-'Assumptions'!G52*(1)+'Assumptions'!G57-'Assumptions'!G62*(1)-'Assumptions'!G67-(0))+(('Forecast'!F12)*('Assumptions'!F67+(0))))*'DCF'!G12/(1+('DCF'!$E$6))^'DCF'!G13,(('Forecast'!H12)*(('Assumptions'!H37+(C36))*(1-'Assumptions'!H42-(0))+'Assumptions'!H47-'Assumptions'!H52*(1)+'Assumptions'!H57-'Assumptions'!H62*(1)-'Assumptions'!H67-(0))+(('Forecast'!G12)*('Assumptions'!G67+(0))))*'DCF'!H12/(1+('DCF'!$E$6))^'DCF'!H13,(('Forecast'!I12)*(('Assumptions'!I37+(C36))*(1-'Assumptions'!I42-(0))+'Assumptions'!I47-'Assumptions'!I52*(1)+'Assumptions'!I57-'Assumptions'!I62*(1)-'Assumptions'!I67-(0))+(('Forecast'!H12)*('Assumptions'!H67+(0))))*'DCF'!I12/(1+('DCF'!$E$6))^'DCF'!I13)+('Forecast'!I12)*(1+('DCF'!$E$7))*('Terminal Value'!$E$10+(C36))*(1-'Assumptions'!$E$15-(0))*(1-('DCF'!$E$7)/('Terminal Value'!$E$12))/(('DCF'!$E$6)-('DCF'!$E$7))/(1+('DCF'!$E$6))^'DCF'!$E$19)+'Equity Bridge'!$E$17)/'Equity Bridge'!$E$20
Review selected-case observations and Model Guide for definitions and held assumptions.</x:t>
        </x:r>
      </x:text>
    </x:comment>
    <x:comment ref="C41" authorId="0">
      <x:text>
        <x:r>
          <x:t>Reverse Margin. Formula: ="The parallel margin shift is "&amp;ROUND(E12*100,2)&amp;" pp; required stable margin "&amp;ROUND(E13*100,2)&amp;"%. "&amp;"The parallel test changes every explicit operating margin and the stable operating margin by the same percentage-point amount. Tax, investment ratios and stable ROIC remain fixed."
Review selected-case observations and Model Guide for definitions and held assumptions.</x:t>
        </x:r>
      </x:text>
    </x:comment>
  </x:commentList>
</x:comments>
</file>

<file path=xl/comments16.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C11" authorId="0">
      <x:text>
        <x:r>
          <x:t>Value slope per unit driver</x:t>
        </x:r>
      </x:text>
    </x:comment>
    <x:comment ref="C12" authorId="0">
      <x:text>
        <x:r>
          <x:t>Required cash capex multiplier</x:t>
        </x:r>
      </x:text>
    </x:comment>
    <x:comment ref="E14" authorId="0">
      <x:text>
        <x:r>
          <x:t>Economic interpretation. Only reported cash capital spending is scaled. Capitalized financing interest, new finance lease assets and D&amp;A retain their selected values. A negative multiplier would require cash receipts from buying assets and is rejected.
Excel formula: =IF(E12&gt;=0,"Nonnegative cash spending","Impossible negative cash capex")</x:t>
        </x:r>
      </x:text>
    </x:comment>
    <x:comment ref="C14" authorId="0">
      <x:text>
        <x:r>
          <x:t>Only reported cash capital spending is scaled. Capitalized financing interest, new finance lease assets and D&amp;A retain their selected values. A negative multiplier would require cash receipts from buying assets and is rejected.</x:t>
        </x:r>
      </x:text>
    </x:comment>
    <x:comment ref="C16" authorId="0">
      <x:text>
        <x:r>
          <x:t>Solved enterprise value</x:t>
        </x:r>
      </x:text>
    </x:comment>
    <x:comment ref="C17" authorId="0">
      <x:text>
        <x:r>
          <x:t>Valuation residual</x:t>
        </x:r>
      </x:text>
    </x:comment>
    <x:comment ref="E4" authorId="0">
      <x:text>
        <x:r>
          <x:t>Reverse Capex. Formula: =CHOOSE('DCF'!$E$5,"Base","Upside","Downside")
Review selected-case observations and Model Guide for definitions and held assumptions.</x:t>
        </x:r>
      </x:text>
    </x:comment>
    <x:comment ref="E8" authorId="0">
      <x:text>
        <x:r>
          <x:t>Reverse Capex. Formula: ='DCF'!E24
Review selected-case observations and Model Guide for definitions and held assumptions.</x:t>
        </x:r>
      </x:text>
    </x:comment>
    <x:comment ref="E9" authorId="0">
      <x:text>
        <x:r>
          <x:t>Reverse Capex. Formula: ='DCF'!E32
Review selected-case observations and Model Guide for definitions and held assumptions.</x:t>
        </x:r>
      </x:text>
    </x:comment>
    <x:comment ref="E11" authorId="0">
      <x:text>
        <x:r>
          <x:t>Reverse Capex. Formula: =-SUM('Capital Spending'!E9*'DCF'!E12/'DCF'!E14,'Capital Spending'!F9*'DCF'!F12/'DCF'!F14,'Capital Spending'!G9*'DCF'!G12/'DCF'!G14,'Capital Spending'!H9*'DCF'!H12/'DCF'!H14,'Capital Spending'!I9*'DCF'!I12/'DCF'!I14)
Review selected-case observations and Model Guide for definitions and held assumptions.</x:t>
        </x:r>
      </x:text>
    </x:comment>
    <x:comment ref="E12" authorId="0">
      <x:text>
        <x:r>
          <x:t>Reverse Capex. Formula: =1+E10/E11
Review selected-case observations and Model Guide for definitions and held assumptions.</x:t>
        </x:r>
      </x:text>
    </x:comment>
    <x:comment ref="E16" authorId="0">
      <x:text>
        <x:r>
          <x:t>Reverse Capex. Formula: =E8+(E12-(1))*E11
Review selected-case observations and Model Guide for definitions and held assumptions.</x:t>
        </x:r>
      </x:text>
    </x:comment>
    <x:comment ref="E17" authorId="0">
      <x:text>
        <x:r>
          <x:t>Reverse Capex. Formula: =E16-E9
Review selected-case observations and Model Guide for definitions and held assumptions.</x:t>
        </x:r>
      </x:text>
    </x:comment>
    <x:comment ref="C22" authorId="0">
      <x:text>
        <x:r>
          <x:t>Reverse Capex. Editable source or analyst input.
Review selected-case observations and Model Guide for definitions and held assumptions.</x:t>
        </x:r>
      </x:text>
    </x:comment>
    <x:comment ref="D22" authorId="0">
      <x:text>
        <x:r>
          <x:t>Reverse Capex. Formula: =((SUM((('Forecast'!E12)*(('Assumptions'!E37+(0))*(1-'Assumptions'!E42-(0))+'Assumptions'!E47-'Assumptions'!E52*(C22)+'Assumptions'!E57-'Assumptions'!E62*(1)-'Assumptions'!E67-(0))+('Working Capital'!$E$6))*'DCF'!E12/(1+('DCF'!$E$6))^'DCF'!E13,(('Forecast'!F12)*(('Assumptions'!F37+(0))*(1-'Assumptions'!F42-(0))+'Assumptions'!F47-'Assumptions'!F52*(C22)+'Assumptions'!F57-'Assumptions'!F62*(1)-'Assumptions'!F67-(0))+(('Forecast'!E12)*('Assumptions'!E67+(0))))*'DCF'!F12/(1+('DCF'!$E$6))^'DCF'!F13,(('Forecast'!G12)*(('Assumptions'!G37+(0))*(1-'Assumptions'!G42-(0))+'Assumptions'!G47-'Assumptions'!G52*(C22)+'Assumptions'!G57-'Assumptions'!G62*(1)-'Assumptions'!G67-(0))+(('Forecast'!F12)*('Assumptions'!F67+(0))))*'DCF'!G12/(1+('DCF'!$E$6))^'DCF'!G13,(('Forecast'!H12)*(('Assumptions'!H37+(0))*(1-'Assumptions'!H42-(0))+'Assumptions'!H47-'Assumptions'!H52*(C22)+'Assumptions'!H57-'Assumptions'!H62*(1)-'Assumptions'!H67-(0))+(('Forecast'!G12)*('Assumptions'!G67+(0))))*'DCF'!H12/(1+('DCF'!$E$6))^'DCF'!H13,(('Forecast'!I12)*(('Assumptions'!I37+(0))*(1-'Assumptions'!I42-(0))+'Assumptions'!I47-'Assumptions'!I52*(C22)+'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3" authorId="0">
      <x:text>
        <x:r>
          <x:t>Reverse Capex. Editable source or analyst input.
Review selected-case observations and Model Guide for definitions and held assumptions.</x:t>
        </x:r>
      </x:text>
    </x:comment>
    <x:comment ref="D23" authorId="0">
      <x:text>
        <x:r>
          <x:t>Reverse Capex. Formula: =((SUM((('Forecast'!E12)*(('Assumptions'!E37+(0))*(1-'Assumptions'!E42-(0))+'Assumptions'!E47-'Assumptions'!E52*(C23)+'Assumptions'!E57-'Assumptions'!E62*(1)-'Assumptions'!E67-(0))+('Working Capital'!$E$6))*'DCF'!E12/(1+('DCF'!$E$6))^'DCF'!E13,(('Forecast'!F12)*(('Assumptions'!F37+(0))*(1-'Assumptions'!F42-(0))+'Assumptions'!F47-'Assumptions'!F52*(C23)+'Assumptions'!F57-'Assumptions'!F62*(1)-'Assumptions'!F67-(0))+(('Forecast'!E12)*('Assumptions'!E67+(0))))*'DCF'!F12/(1+('DCF'!$E$6))^'DCF'!F13,(('Forecast'!G12)*(('Assumptions'!G37+(0))*(1-'Assumptions'!G42-(0))+'Assumptions'!G47-'Assumptions'!G52*(C23)+'Assumptions'!G57-'Assumptions'!G62*(1)-'Assumptions'!G67-(0))+(('Forecast'!F12)*('Assumptions'!F67+(0))))*'DCF'!G12/(1+('DCF'!$E$6))^'DCF'!G13,(('Forecast'!H12)*(('Assumptions'!H37+(0))*(1-'Assumptions'!H42-(0))+'Assumptions'!H47-'Assumptions'!H52*(C23)+'Assumptions'!H57-'Assumptions'!H62*(1)-'Assumptions'!H67-(0))+(('Forecast'!G12)*('Assumptions'!G67+(0))))*'DCF'!H12/(1+('DCF'!$E$6))^'DCF'!H13,(('Forecast'!I12)*(('Assumptions'!I37+(0))*(1-'Assumptions'!I42-(0))+'Assumptions'!I47-'Assumptions'!I52*(C23)+'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4" authorId="0">
      <x:text>
        <x:r>
          <x:t>Reverse Capex. Editable source or analyst input.
Review selected-case observations and Model Guide for definitions and held assumptions.</x:t>
        </x:r>
      </x:text>
    </x:comment>
    <x:comment ref="D24" authorId="0">
      <x:text>
        <x:r>
          <x:t>Reverse Capex. Formula: =((SUM((('Forecast'!E12)*(('Assumptions'!E37+(0))*(1-'Assumptions'!E42-(0))+'Assumptions'!E47-'Assumptions'!E52*(C24)+'Assumptions'!E57-'Assumptions'!E62*(1)-'Assumptions'!E67-(0))+('Working Capital'!$E$6))*'DCF'!E12/(1+('DCF'!$E$6))^'DCF'!E13,(('Forecast'!F12)*(('Assumptions'!F37+(0))*(1-'Assumptions'!F42-(0))+'Assumptions'!F47-'Assumptions'!F52*(C24)+'Assumptions'!F57-'Assumptions'!F62*(1)-'Assumptions'!F67-(0))+(('Forecast'!E12)*('Assumptions'!E67+(0))))*'DCF'!F12/(1+('DCF'!$E$6))^'DCF'!F13,(('Forecast'!G12)*(('Assumptions'!G37+(0))*(1-'Assumptions'!G42-(0))+'Assumptions'!G47-'Assumptions'!G52*(C24)+'Assumptions'!G57-'Assumptions'!G62*(1)-'Assumptions'!G67-(0))+(('Forecast'!F12)*('Assumptions'!F67+(0))))*'DCF'!G12/(1+('DCF'!$E$6))^'DCF'!G13,(('Forecast'!H12)*(('Assumptions'!H37+(0))*(1-'Assumptions'!H42-(0))+'Assumptions'!H47-'Assumptions'!H52*(C24)+'Assumptions'!H57-'Assumptions'!H62*(1)-'Assumptions'!H67-(0))+(('Forecast'!G12)*('Assumptions'!G67+(0))))*'DCF'!H12/(1+('DCF'!$E$6))^'DCF'!H13,(('Forecast'!I12)*(('Assumptions'!I37+(0))*(1-'Assumptions'!I42-(0))+'Assumptions'!I47-'Assumptions'!I52*(C24)+'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5" authorId="0">
      <x:text>
        <x:r>
          <x:t>Reverse Capex. Editable source or analyst input.
Review selected-case observations and Model Guide for definitions and held assumptions.</x:t>
        </x:r>
      </x:text>
    </x:comment>
    <x:comment ref="D25" authorId="0">
      <x:text>
        <x:r>
          <x:t>Reverse Capex. Formula: =((SUM((('Forecast'!E12)*(('Assumptions'!E37+(0))*(1-'Assumptions'!E42-(0))+'Assumptions'!E47-'Assumptions'!E52*(C25)+'Assumptions'!E57-'Assumptions'!E62*(1)-'Assumptions'!E67-(0))+('Working Capital'!$E$6))*'DCF'!E12/(1+('DCF'!$E$6))^'DCF'!E13,(('Forecast'!F12)*(('Assumptions'!F37+(0))*(1-'Assumptions'!F42-(0))+'Assumptions'!F47-'Assumptions'!F52*(C25)+'Assumptions'!F57-'Assumptions'!F62*(1)-'Assumptions'!F67-(0))+(('Forecast'!E12)*('Assumptions'!E67+(0))))*'DCF'!F12/(1+('DCF'!$E$6))^'DCF'!F13,(('Forecast'!G12)*(('Assumptions'!G37+(0))*(1-'Assumptions'!G42-(0))+'Assumptions'!G47-'Assumptions'!G52*(C25)+'Assumptions'!G57-'Assumptions'!G62*(1)-'Assumptions'!G67-(0))+(('Forecast'!F12)*('Assumptions'!F67+(0))))*'DCF'!G12/(1+('DCF'!$E$6))^'DCF'!G13,(('Forecast'!H12)*(('Assumptions'!H37+(0))*(1-'Assumptions'!H42-(0))+'Assumptions'!H47-'Assumptions'!H52*(C25)+'Assumptions'!H57-'Assumptions'!H62*(1)-'Assumptions'!H67-(0))+(('Forecast'!G12)*('Assumptions'!G67+(0))))*'DCF'!H12/(1+('DCF'!$E$6))^'DCF'!H13,(('Forecast'!I12)*(('Assumptions'!I37+(0))*(1-'Assumptions'!I42-(0))+'Assumptions'!I47-'Assumptions'!I52*(C25)+'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6" authorId="0">
      <x:text>
        <x:r>
          <x:t>Reverse Capex. Editable source or analyst input.
Review selected-case observations and Model Guide for definitions and held assumptions.</x:t>
        </x:r>
      </x:text>
    </x:comment>
    <x:comment ref="D26" authorId="0">
      <x:text>
        <x:r>
          <x:t>Reverse Capex. Formula: =((SUM((('Forecast'!E12)*(('Assumptions'!E37+(0))*(1-'Assumptions'!E42-(0))+'Assumptions'!E47-'Assumptions'!E52*(C26)+'Assumptions'!E57-'Assumptions'!E62*(1)-'Assumptions'!E67-(0))+('Working Capital'!$E$6))*'DCF'!E12/(1+('DCF'!$E$6))^'DCF'!E13,(('Forecast'!F12)*(('Assumptions'!F37+(0))*(1-'Assumptions'!F42-(0))+'Assumptions'!F47-'Assumptions'!F52*(C26)+'Assumptions'!F57-'Assumptions'!F62*(1)-'Assumptions'!F67-(0))+(('Forecast'!E12)*('Assumptions'!E67+(0))))*'DCF'!F12/(1+('DCF'!$E$6))^'DCF'!F13,(('Forecast'!G12)*(('Assumptions'!G37+(0))*(1-'Assumptions'!G42-(0))+'Assumptions'!G47-'Assumptions'!G52*(C26)+'Assumptions'!G57-'Assumptions'!G62*(1)-'Assumptions'!G67-(0))+(('Forecast'!F12)*('Assumptions'!F67+(0))))*'DCF'!G12/(1+('DCF'!$E$6))^'DCF'!G13,(('Forecast'!H12)*(('Assumptions'!H37+(0))*(1-'Assumptions'!H42-(0))+'Assumptions'!H47-'Assumptions'!H52*(C26)+'Assumptions'!H57-'Assumptions'!H62*(1)-'Assumptions'!H67-(0))+(('Forecast'!G12)*('Assumptions'!G67+(0))))*'DCF'!H12/(1+('DCF'!$E$6))^'DCF'!H13,(('Forecast'!I12)*(('Assumptions'!I37+(0))*(1-'Assumptions'!I42-(0))+'Assumptions'!I47-'Assumptions'!I52*(C26)+'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7" authorId="0">
      <x:text>
        <x:r>
          <x:t>Reverse Capex. Editable source or analyst input.
Review selected-case observations and Model Guide for definitions and held assumptions.</x:t>
        </x:r>
      </x:text>
    </x:comment>
    <x:comment ref="D27" authorId="0">
      <x:text>
        <x:r>
          <x:t>Reverse Capex. Formula: =((SUM((('Forecast'!E12)*(('Assumptions'!E37+(0))*(1-'Assumptions'!E42-(0))+'Assumptions'!E47-'Assumptions'!E52*(C27)+'Assumptions'!E57-'Assumptions'!E62*(1)-'Assumptions'!E67-(0))+('Working Capital'!$E$6))*'DCF'!E12/(1+('DCF'!$E$6))^'DCF'!E13,(('Forecast'!F12)*(('Assumptions'!F37+(0))*(1-'Assumptions'!F42-(0))+'Assumptions'!F47-'Assumptions'!F52*(C27)+'Assumptions'!F57-'Assumptions'!F62*(1)-'Assumptions'!F67-(0))+(('Forecast'!E12)*('Assumptions'!E67+(0))))*'DCF'!F12/(1+('DCF'!$E$6))^'DCF'!F13,(('Forecast'!G12)*(('Assumptions'!G37+(0))*(1-'Assumptions'!G42-(0))+'Assumptions'!G47-'Assumptions'!G52*(C27)+'Assumptions'!G57-'Assumptions'!G62*(1)-'Assumptions'!G67-(0))+(('Forecast'!F12)*('Assumptions'!F67+(0))))*'DCF'!G12/(1+('DCF'!$E$6))^'DCF'!G13,(('Forecast'!H12)*(('Assumptions'!H37+(0))*(1-'Assumptions'!H42-(0))+'Assumptions'!H47-'Assumptions'!H52*(C27)+'Assumptions'!H57-'Assumptions'!H62*(1)-'Assumptions'!H67-(0))+(('Forecast'!G12)*('Assumptions'!G67+(0))))*'DCF'!H12/(1+('DCF'!$E$6))^'DCF'!H13,(('Forecast'!I12)*(('Assumptions'!I37+(0))*(1-'Assumptions'!I42-(0))+'Assumptions'!I47-'Assumptions'!I52*(C27)+'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8" authorId="0">
      <x:text>
        <x:r>
          <x:t>Reverse Capex. Editable source or analyst input.
Review selected-case observations and Model Guide for definitions and held assumptions.</x:t>
        </x:r>
      </x:text>
    </x:comment>
    <x:comment ref="D28" authorId="0">
      <x:text>
        <x:r>
          <x:t>Reverse Capex. Formula: =((SUM((('Forecast'!E12)*(('Assumptions'!E37+(0))*(1-'Assumptions'!E42-(0))+'Assumptions'!E47-'Assumptions'!E52*(C28)+'Assumptions'!E57-'Assumptions'!E62*(1)-'Assumptions'!E67-(0))+('Working Capital'!$E$6))*'DCF'!E12/(1+('DCF'!$E$6))^'DCF'!E13,(('Forecast'!F12)*(('Assumptions'!F37+(0))*(1-'Assumptions'!F42-(0))+'Assumptions'!F47-'Assumptions'!F52*(C28)+'Assumptions'!F57-'Assumptions'!F62*(1)-'Assumptions'!F67-(0))+(('Forecast'!E12)*('Assumptions'!E67+(0))))*'DCF'!F12/(1+('DCF'!$E$6))^'DCF'!F13,(('Forecast'!G12)*(('Assumptions'!G37+(0))*(1-'Assumptions'!G42-(0))+'Assumptions'!G47-'Assumptions'!G52*(C28)+'Assumptions'!G57-'Assumptions'!G62*(1)-'Assumptions'!G67-(0))+(('Forecast'!F12)*('Assumptions'!F67+(0))))*'DCF'!G12/(1+('DCF'!$E$6))^'DCF'!G13,(('Forecast'!H12)*(('Assumptions'!H37+(0))*(1-'Assumptions'!H42-(0))+'Assumptions'!H47-'Assumptions'!H52*(C28)+'Assumptions'!H57-'Assumptions'!H62*(1)-'Assumptions'!H67-(0))+(('Forecast'!G12)*('Assumptions'!G67+(0))))*'DCF'!H12/(1+('DCF'!$E$6))^'DCF'!H13,(('Forecast'!I12)*(('Assumptions'!I37+(0))*(1-'Assumptions'!I42-(0))+'Assumptions'!I47-'Assumptions'!I52*(C28)+'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9" authorId="0">
      <x:text>
        <x:r>
          <x:t>Reverse Capex. Editable source or analyst input.
Review selected-case observations and Model Guide for definitions and held assumptions.</x:t>
        </x:r>
      </x:text>
    </x:comment>
    <x:comment ref="D29" authorId="0">
      <x:text>
        <x:r>
          <x:t>Reverse Capex. Formula: =((SUM((('Forecast'!E12)*(('Assumptions'!E37+(0))*(1-'Assumptions'!E42-(0))+'Assumptions'!E47-'Assumptions'!E52*(C29)+'Assumptions'!E57-'Assumptions'!E62*(1)-'Assumptions'!E67-(0))+('Working Capital'!$E$6))*'DCF'!E12/(1+('DCF'!$E$6))^'DCF'!E13,(('Forecast'!F12)*(('Assumptions'!F37+(0))*(1-'Assumptions'!F42-(0))+'Assumptions'!F47-'Assumptions'!F52*(C29)+'Assumptions'!F57-'Assumptions'!F62*(1)-'Assumptions'!F67-(0))+(('Forecast'!E12)*('Assumptions'!E67+(0))))*'DCF'!F12/(1+('DCF'!$E$6))^'DCF'!F13,(('Forecast'!G12)*(('Assumptions'!G37+(0))*(1-'Assumptions'!G42-(0))+'Assumptions'!G47-'Assumptions'!G52*(C29)+'Assumptions'!G57-'Assumptions'!G62*(1)-'Assumptions'!G67-(0))+(('Forecast'!F12)*('Assumptions'!F67+(0))))*'DCF'!G12/(1+('DCF'!$E$6))^'DCF'!G13,(('Forecast'!H12)*(('Assumptions'!H37+(0))*(1-'Assumptions'!H42-(0))+'Assumptions'!H47-'Assumptions'!H52*(C29)+'Assumptions'!H57-'Assumptions'!H62*(1)-'Assumptions'!H67-(0))+(('Forecast'!G12)*('Assumptions'!G67+(0))))*'DCF'!H12/(1+('DCF'!$E$6))^'DCF'!H13,(('Forecast'!I12)*(('Assumptions'!I37+(0))*(1-'Assumptions'!I42-(0))+'Assumptions'!I47-'Assumptions'!I52*(C29)+'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30" authorId="0">
      <x:text>
        <x:r>
          <x:t>Reverse Capex. Editable source or analyst input.
Review selected-case observations and Model Guide for definitions and held assumptions.</x:t>
        </x:r>
      </x:text>
    </x:comment>
    <x:comment ref="D30" authorId="0">
      <x:text>
        <x:r>
          <x:t>Reverse Capex. Formula: =((SUM((('Forecast'!E12)*(('Assumptions'!E37+(0))*(1-'Assumptions'!E42-(0))+'Assumptions'!E47-'Assumptions'!E52*(C30)+'Assumptions'!E57-'Assumptions'!E62*(1)-'Assumptions'!E67-(0))+('Working Capital'!$E$6))*'DCF'!E12/(1+('DCF'!$E$6))^'DCF'!E13,(('Forecast'!F12)*(('Assumptions'!F37+(0))*(1-'Assumptions'!F42-(0))+'Assumptions'!F47-'Assumptions'!F52*(C30)+'Assumptions'!F57-'Assumptions'!F62*(1)-'Assumptions'!F67-(0))+(('Forecast'!E12)*('Assumptions'!E67+(0))))*'DCF'!F12/(1+('DCF'!$E$6))^'DCF'!F13,(('Forecast'!G12)*(('Assumptions'!G37+(0))*(1-'Assumptions'!G42-(0))+'Assumptions'!G47-'Assumptions'!G52*(C30)+'Assumptions'!G57-'Assumptions'!G62*(1)-'Assumptions'!G67-(0))+(('Forecast'!F12)*('Assumptions'!F67+(0))))*'DCF'!G12/(1+('DCF'!$E$6))^'DCF'!G13,(('Forecast'!H12)*(('Assumptions'!H37+(0))*(1-'Assumptions'!H42-(0))+'Assumptions'!H47-'Assumptions'!H52*(C30)+'Assumptions'!H57-'Assumptions'!H62*(1)-'Assumptions'!H67-(0))+(('Forecast'!G12)*('Assumptions'!G67+(0))))*'DCF'!H12/(1+('DCF'!$E$6))^'DCF'!H13,(('Forecast'!I12)*(('Assumptions'!I37+(0))*(1-'Assumptions'!I42-(0))+'Assumptions'!I47-'Assumptions'!I52*(C30)+'Assumptions'!I57-'Assumptions'!I62*(1)-'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35" authorId="0">
      <x:text>
        <x:r>
          <x:t>Reverse Capex. Formula: ="Required cash capex multiplier is "&amp;ROUND(E12,2)&amp;"x. "&amp;"Only reported cash capital spending is scaled. Capitalized financing interest, new finance lease assets and D&amp;A retain their selected values. A negative multiplier would require cash receipts from buying assets and is rejected."
Review selected-case observations and Model Guide for definitions and held assumptions.</x:t>
        </x:r>
      </x:text>
    </x:comment>
  </x:commentList>
</x:comments>
</file>

<file path=xl/comments17.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C11" authorId="0">
      <x:text>
        <x:r>
          <x:t>Value slope per unit driver</x:t>
        </x:r>
      </x:text>
    </x:comment>
    <x:comment ref="C12" authorId="0">
      <x:text>
        <x:r>
          <x:t>Required NWC / revenue shift</x:t>
        </x:r>
      </x:text>
    </x:comment>
    <x:comment ref="E14" authorId="0">
      <x:text>
        <x:r>
          <x:t>Economic interpretation. The same percentage-point shift applies to operating NWC / revenue in every forecast year. The opening actual NWC stays fixed. Very negative shifts can imply implausible customer or supplier financing.
Excel formula: =IF(AND(E12&gt;=-0.10,E12&lt;=0.10),"Inside +/-10 pp analyst band","Outside analyst NWC band")</x:t>
        </x:r>
      </x:text>
    </x:comment>
    <x:comment ref="C14" authorId="0">
      <x:text>
        <x:r>
          <x:t>The same percentage-point shift applies to operating NWC / revenue in every forecast year. The opening actual NWC stays fixed. Very negative shifts can imply implausible customer or supplier financing.</x:t>
        </x:r>
      </x:text>
    </x:comment>
    <x:comment ref="C16" authorId="0">
      <x:text>
        <x:r>
          <x:t>Solved enterprise value</x:t>
        </x:r>
      </x:text>
    </x:comment>
    <x:comment ref="C17" authorId="0">
      <x:text>
        <x:r>
          <x:t>Valuation residual</x:t>
        </x:r>
      </x:text>
    </x:comment>
    <x:comment ref="E19" authorId="0">
      <x:text>
        <x:r>
          <x:t>Receivables-only DSO equivalent. Algebraic equivalence if the entire NWC shift were receivables. This is not a forecast of collection days and does not alter actual FY2026 receivables.
Excel formula: =E12*365</x:t>
        </x:r>
      </x:text>
    </x:comment>
    <x:comment ref="C19" authorId="0">
      <x:text>
        <x:r>
          <x:t>Algebraic equivalence if the entire NWC shift were receivables. This is not a forecast of collection days and does not alter actual FY2026 receivables.</x:t>
        </x:r>
      </x:text>
    </x:comment>
    <x:comment ref="E4" authorId="0">
      <x:text>
        <x:r>
          <x:t>Reverse NWC. Formula: =CHOOSE('DCF'!$E$5,"Base","Upside","Downside")
Review selected-case observations and Model Guide for definitions and held assumptions.</x:t>
        </x:r>
      </x:text>
    </x:comment>
    <x:comment ref="E8" authorId="0">
      <x:text>
        <x:r>
          <x:t>Reverse NWC. Formula: ='DCF'!E24
Review selected-case observations and Model Guide for definitions and held assumptions.</x:t>
        </x:r>
      </x:text>
    </x:comment>
    <x:comment ref="E9" authorId="0">
      <x:text>
        <x:r>
          <x:t>Reverse NWC. Formula: ='DCF'!E32
Review selected-case observations and Model Guide for definitions and held assumptions.</x:t>
        </x:r>
      </x:text>
    </x:comment>
    <x:comment ref="E11" authorId="0">
      <x:text>
        <x:r>
          <x:t>Reverse NWC. Formula: =-SUM(('Forecast'!E12)*'DCF'!E12/'DCF'!E14,('Forecast'!F12-'Forecast'!E12)*'DCF'!F12/'DCF'!F14,('Forecast'!G12-'Forecast'!F12)*'DCF'!G12/'DCF'!G14,('Forecast'!H12-'Forecast'!G12)*'DCF'!H12/'DCF'!H14,('Forecast'!I12-'Forecast'!H12)*'DCF'!I12/'DCF'!I14)
Review selected-case observations and Model Guide for definitions and held assumptions.</x:t>
        </x:r>
      </x:text>
    </x:comment>
    <x:comment ref="E12" authorId="0">
      <x:text>
        <x:r>
          <x:t>Reverse NWC. Formula: =0+E10/E11
Review selected-case observations and Model Guide for definitions and held assumptions.</x:t>
        </x:r>
      </x:text>
    </x:comment>
    <x:comment ref="E16" authorId="0">
      <x:text>
        <x:r>
          <x:t>Reverse NWC. Formula: =E8+(E12-(0))*E11
Review selected-case observations and Model Guide for definitions and held assumptions.</x:t>
        </x:r>
      </x:text>
    </x:comment>
    <x:comment ref="E17" authorId="0">
      <x:text>
        <x:r>
          <x:t>Reverse NWC. Formula: =E16-E9
Review selected-case observations and Model Guide for definitions and held assumptions.</x:t>
        </x:r>
      </x:text>
    </x:comment>
    <x:comment ref="C22" authorId="0">
      <x:text>
        <x:r>
          <x:t>Reverse NWC. Editable source or analyst input.
Review selected-case observations and Model Guide for definitions and held assumptions.</x:t>
        </x:r>
      </x:text>
    </x:comment>
    <x:comment ref="D22" authorId="0">
      <x:text>
        <x:r>
          <x:t>Reverse NWC. Formula: =((SUM((('Forecast'!E12)*(('Assumptions'!E37+(0))*(1-'Assumptions'!E42-(0))+'Assumptions'!E47-'Assumptions'!E52*(1)+'Assumptions'!E57-'Assumptions'!E62*(1)-'Assumptions'!E67-(C22))+('Working Capital'!$E$6))*'DCF'!E12/(1+('DCF'!$E$6))^'DCF'!E13,(('Forecast'!F12)*(('Assumptions'!F37+(0))*(1-'Assumptions'!F42-(0))+'Assumptions'!F47-'Assumptions'!F52*(1)+'Assumptions'!F57-'Assumptions'!F62*(1)-'Assumptions'!F67-(C22))+(('Forecast'!E12)*('Assumptions'!E67+(C22))))*'DCF'!F12/(1+('DCF'!$E$6))^'DCF'!F13,(('Forecast'!G12)*(('Assumptions'!G37+(0))*(1-'Assumptions'!G42-(0))+'Assumptions'!G47-'Assumptions'!G52*(1)+'Assumptions'!G57-'Assumptions'!G62*(1)-'Assumptions'!G67-(C22))+(('Forecast'!F12)*('Assumptions'!F67+(C22))))*'DCF'!G12/(1+('DCF'!$E$6))^'DCF'!G13,(('Forecast'!H12)*(('Assumptions'!H37+(0))*(1-'Assumptions'!H42-(0))+'Assumptions'!H47-'Assumptions'!H52*(1)+'Assumptions'!H57-'Assumptions'!H62*(1)-'Assumptions'!H67-(C22))+(('Forecast'!G12)*('Assumptions'!G67+(C22))))*'DCF'!H12/(1+('DCF'!$E$6))^'DCF'!H13,(('Forecast'!I12)*(('Assumptions'!I37+(0))*(1-'Assumptions'!I42-(0))+'Assumptions'!I47-'Assumptions'!I52*(1)+'Assumptions'!I57-'Assumptions'!I62*(1)-'Assumptions'!I67-(C22))+(('Forecast'!H12)*('Assumptions'!H67+(C22))))*'DCF'!I12/(1+('DCF'!$E$6))^'DCF'!I13)+('Forecast'!I12)*(1+('DCF'!$E$7))*('Terminal Value'!$E$10+(0))*(1-'Assumptions'!$E$15-(0))*(1-('DCF'!$E$7)/('Terminal Value'!$E$12))/(('DCF'!$E$6)-('DCF'!$E$7))/(1+('DCF'!$E$6))^'DCF'!$E$19)+'Equity Bridge'!$E$17)/'Equity Bridge'!$E$20
Review selected-case observations and Model Guide for definitions and held assumptions.</x:t>
        </x:r>
      </x:text>
    </x:comment>
    <x:comment ref="C23" authorId="0">
      <x:text>
        <x:r>
          <x:t>Reverse NWC. Editable source or analyst input.
Review selected-case observations and Model Guide for definitions and held assumptions.</x:t>
        </x:r>
      </x:text>
    </x:comment>
    <x:comment ref="D23" authorId="0">
      <x:text>
        <x:r>
          <x:t>Reverse NWC. Formula: =((SUM((('Forecast'!E12)*(('Assumptions'!E37+(0))*(1-'Assumptions'!E42-(0))+'Assumptions'!E47-'Assumptions'!E52*(1)+'Assumptions'!E57-'Assumptions'!E62*(1)-'Assumptions'!E67-(C23))+('Working Capital'!$E$6))*'DCF'!E12/(1+('DCF'!$E$6))^'DCF'!E13,(('Forecast'!F12)*(('Assumptions'!F37+(0))*(1-'Assumptions'!F42-(0))+'Assumptions'!F47-'Assumptions'!F52*(1)+'Assumptions'!F57-'Assumptions'!F62*(1)-'Assumptions'!F67-(C23))+(('Forecast'!E12)*('Assumptions'!E67+(C23))))*'DCF'!F12/(1+('DCF'!$E$6))^'DCF'!F13,(('Forecast'!G12)*(('Assumptions'!G37+(0))*(1-'Assumptions'!G42-(0))+'Assumptions'!G47-'Assumptions'!G52*(1)+'Assumptions'!G57-'Assumptions'!G62*(1)-'Assumptions'!G67-(C23))+(('Forecast'!F12)*('Assumptions'!F67+(C23))))*'DCF'!G12/(1+('DCF'!$E$6))^'DCF'!G13,(('Forecast'!H12)*(('Assumptions'!H37+(0))*(1-'Assumptions'!H42-(0))+'Assumptions'!H47-'Assumptions'!H52*(1)+'Assumptions'!H57-'Assumptions'!H62*(1)-'Assumptions'!H67-(C23))+(('Forecast'!G12)*('Assumptions'!G67+(C23))))*'DCF'!H12/(1+('DCF'!$E$6))^'DCF'!H13,(('Forecast'!I12)*(('Assumptions'!I37+(0))*(1-'Assumptions'!I42-(0))+'Assumptions'!I47-'Assumptions'!I52*(1)+'Assumptions'!I57-'Assumptions'!I62*(1)-'Assumptions'!I67-(C23))+(('Forecast'!H12)*('Assumptions'!H67+(C23))))*'DCF'!I12/(1+('DCF'!$E$6))^'DCF'!I13)+('Forecast'!I12)*(1+('DCF'!$E$7))*('Terminal Value'!$E$10+(0))*(1-'Assumptions'!$E$15-(0))*(1-('DCF'!$E$7)/('Terminal Value'!$E$12))/(('DCF'!$E$6)-('DCF'!$E$7))/(1+('DCF'!$E$6))^'DCF'!$E$19)+'Equity Bridge'!$E$17)/'Equity Bridge'!$E$20
Review selected-case observations and Model Guide for definitions and held assumptions.</x:t>
        </x:r>
      </x:text>
    </x:comment>
    <x:comment ref="C24" authorId="0">
      <x:text>
        <x:r>
          <x:t>Reverse NWC. Editable source or analyst input.
Review selected-case observations and Model Guide for definitions and held assumptions.</x:t>
        </x:r>
      </x:text>
    </x:comment>
    <x:comment ref="D24" authorId="0">
      <x:text>
        <x:r>
          <x:t>Reverse NWC. Formula: =((SUM((('Forecast'!E12)*(('Assumptions'!E37+(0))*(1-'Assumptions'!E42-(0))+'Assumptions'!E47-'Assumptions'!E52*(1)+'Assumptions'!E57-'Assumptions'!E62*(1)-'Assumptions'!E67-(C24))+('Working Capital'!$E$6))*'DCF'!E12/(1+('DCF'!$E$6))^'DCF'!E13,(('Forecast'!F12)*(('Assumptions'!F37+(0))*(1-'Assumptions'!F42-(0))+'Assumptions'!F47-'Assumptions'!F52*(1)+'Assumptions'!F57-'Assumptions'!F62*(1)-'Assumptions'!F67-(C24))+(('Forecast'!E12)*('Assumptions'!E67+(C24))))*'DCF'!F12/(1+('DCF'!$E$6))^'DCF'!F13,(('Forecast'!G12)*(('Assumptions'!G37+(0))*(1-'Assumptions'!G42-(0))+'Assumptions'!G47-'Assumptions'!G52*(1)+'Assumptions'!G57-'Assumptions'!G62*(1)-'Assumptions'!G67-(C24))+(('Forecast'!F12)*('Assumptions'!F67+(C24))))*'DCF'!G12/(1+('DCF'!$E$6))^'DCF'!G13,(('Forecast'!H12)*(('Assumptions'!H37+(0))*(1-'Assumptions'!H42-(0))+'Assumptions'!H47-'Assumptions'!H52*(1)+'Assumptions'!H57-'Assumptions'!H62*(1)-'Assumptions'!H67-(C24))+(('Forecast'!G12)*('Assumptions'!G67+(C24))))*'DCF'!H12/(1+('DCF'!$E$6))^'DCF'!H13,(('Forecast'!I12)*(('Assumptions'!I37+(0))*(1-'Assumptions'!I42-(0))+'Assumptions'!I47-'Assumptions'!I52*(1)+'Assumptions'!I57-'Assumptions'!I62*(1)-'Assumptions'!I67-(C24))+(('Forecast'!H12)*('Assumptions'!H67+(C24))))*'DCF'!I12/(1+('DCF'!$E$6))^'DCF'!I13)+('Forecast'!I12)*(1+('DCF'!$E$7))*('Terminal Value'!$E$10+(0))*(1-'Assumptions'!$E$15-(0))*(1-('DCF'!$E$7)/('Terminal Value'!$E$12))/(('DCF'!$E$6)-('DCF'!$E$7))/(1+('DCF'!$E$6))^'DCF'!$E$19)+'Equity Bridge'!$E$17)/'Equity Bridge'!$E$20
Review selected-case observations and Model Guide for definitions and held assumptions.</x:t>
        </x:r>
      </x:text>
    </x:comment>
    <x:comment ref="C25" authorId="0">
      <x:text>
        <x:r>
          <x:t>Reverse NWC. Editable source or analyst input.
Review selected-case observations and Model Guide for definitions and held assumptions.</x:t>
        </x:r>
      </x:text>
    </x:comment>
    <x:comment ref="D25" authorId="0">
      <x:text>
        <x:r>
          <x:t>Reverse NWC. Formula: =((SUM((('Forecast'!E12)*(('Assumptions'!E37+(0))*(1-'Assumptions'!E42-(0))+'Assumptions'!E47-'Assumptions'!E52*(1)+'Assumptions'!E57-'Assumptions'!E62*(1)-'Assumptions'!E67-(C25))+('Working Capital'!$E$6))*'DCF'!E12/(1+('DCF'!$E$6))^'DCF'!E13,(('Forecast'!F12)*(('Assumptions'!F37+(0))*(1-'Assumptions'!F42-(0))+'Assumptions'!F47-'Assumptions'!F52*(1)+'Assumptions'!F57-'Assumptions'!F62*(1)-'Assumptions'!F67-(C25))+(('Forecast'!E12)*('Assumptions'!E67+(C25))))*'DCF'!F12/(1+('DCF'!$E$6))^'DCF'!F13,(('Forecast'!G12)*(('Assumptions'!G37+(0))*(1-'Assumptions'!G42-(0))+'Assumptions'!G47-'Assumptions'!G52*(1)+'Assumptions'!G57-'Assumptions'!G62*(1)-'Assumptions'!G67-(C25))+(('Forecast'!F12)*('Assumptions'!F67+(C25))))*'DCF'!G12/(1+('DCF'!$E$6))^'DCF'!G13,(('Forecast'!H12)*(('Assumptions'!H37+(0))*(1-'Assumptions'!H42-(0))+'Assumptions'!H47-'Assumptions'!H52*(1)+'Assumptions'!H57-'Assumptions'!H62*(1)-'Assumptions'!H67-(C25))+(('Forecast'!G12)*('Assumptions'!G67+(C25))))*'DCF'!H12/(1+('DCF'!$E$6))^'DCF'!H13,(('Forecast'!I12)*(('Assumptions'!I37+(0))*(1-'Assumptions'!I42-(0))+'Assumptions'!I47-'Assumptions'!I52*(1)+'Assumptions'!I57-'Assumptions'!I62*(1)-'Assumptions'!I67-(C25))+(('Forecast'!H12)*('Assumptions'!H67+(C25))))*'DCF'!I12/(1+('DCF'!$E$6))^'DCF'!I13)+('Forecast'!I12)*(1+('DCF'!$E$7))*('Terminal Value'!$E$10+(0))*(1-'Assumptions'!$E$15-(0))*(1-('DCF'!$E$7)/('Terminal Value'!$E$12))/(('DCF'!$E$6)-('DCF'!$E$7))/(1+('DCF'!$E$6))^'DCF'!$E$19)+'Equity Bridge'!$E$17)/'Equity Bridge'!$E$20
Review selected-case observations and Model Guide for definitions and held assumptions.</x:t>
        </x:r>
      </x:text>
    </x:comment>
    <x:comment ref="C26" authorId="0">
      <x:text>
        <x:r>
          <x:t>Reverse NWC. Editable source or analyst input.
Review selected-case observations and Model Guide for definitions and held assumptions.</x:t>
        </x:r>
      </x:text>
    </x:comment>
    <x:comment ref="D26" authorId="0">
      <x:text>
        <x:r>
          <x:t>Reverse NWC. Formula: =((SUM((('Forecast'!E12)*(('Assumptions'!E37+(0))*(1-'Assumptions'!E42-(0))+'Assumptions'!E47-'Assumptions'!E52*(1)+'Assumptions'!E57-'Assumptions'!E62*(1)-'Assumptions'!E67-(C26))+('Working Capital'!$E$6))*'DCF'!E12/(1+('DCF'!$E$6))^'DCF'!E13,(('Forecast'!F12)*(('Assumptions'!F37+(0))*(1-'Assumptions'!F42-(0))+'Assumptions'!F47-'Assumptions'!F52*(1)+'Assumptions'!F57-'Assumptions'!F62*(1)-'Assumptions'!F67-(C26))+(('Forecast'!E12)*('Assumptions'!E67+(C26))))*'DCF'!F12/(1+('DCF'!$E$6))^'DCF'!F13,(('Forecast'!G12)*(('Assumptions'!G37+(0))*(1-'Assumptions'!G42-(0))+'Assumptions'!G47-'Assumptions'!G52*(1)+'Assumptions'!G57-'Assumptions'!G62*(1)-'Assumptions'!G67-(C26))+(('Forecast'!F12)*('Assumptions'!F67+(C26))))*'DCF'!G12/(1+('DCF'!$E$6))^'DCF'!G13,(('Forecast'!H12)*(('Assumptions'!H37+(0))*(1-'Assumptions'!H42-(0))+'Assumptions'!H47-'Assumptions'!H52*(1)+'Assumptions'!H57-'Assumptions'!H62*(1)-'Assumptions'!H67-(C26))+(('Forecast'!G12)*('Assumptions'!G67+(C26))))*'DCF'!H12/(1+('DCF'!$E$6))^'DCF'!H13,(('Forecast'!I12)*(('Assumptions'!I37+(0))*(1-'Assumptions'!I42-(0))+'Assumptions'!I47-'Assumptions'!I52*(1)+'Assumptions'!I57-'Assumptions'!I62*(1)-'Assumptions'!I67-(C26))+(('Forecast'!H12)*('Assumptions'!H67+(C26))))*'DCF'!I12/(1+('DCF'!$E$6))^'DCF'!I13)+('Forecast'!I12)*(1+('DCF'!$E$7))*('Terminal Value'!$E$10+(0))*(1-'Assumptions'!$E$15-(0))*(1-('DCF'!$E$7)/('Terminal Value'!$E$12))/(('DCF'!$E$6)-('DCF'!$E$7))/(1+('DCF'!$E$6))^'DCF'!$E$19)+'Equity Bridge'!$E$17)/'Equity Bridge'!$E$20
Review selected-case observations and Model Guide for definitions and held assumptions.</x:t>
        </x:r>
      </x:text>
    </x:comment>
    <x:comment ref="C27" authorId="0">
      <x:text>
        <x:r>
          <x:t>Reverse NWC. Editable source or analyst input.
Review selected-case observations and Model Guide for definitions and held assumptions.</x:t>
        </x:r>
      </x:text>
    </x:comment>
    <x:comment ref="D27" authorId="0">
      <x:text>
        <x:r>
          <x:t>Reverse NWC. Formula: =((SUM((('Forecast'!E12)*(('Assumptions'!E37+(0))*(1-'Assumptions'!E42-(0))+'Assumptions'!E47-'Assumptions'!E52*(1)+'Assumptions'!E57-'Assumptions'!E62*(1)-'Assumptions'!E67-(C27))+('Working Capital'!$E$6))*'DCF'!E12/(1+('DCF'!$E$6))^'DCF'!E13,(('Forecast'!F12)*(('Assumptions'!F37+(0))*(1-'Assumptions'!F42-(0))+'Assumptions'!F47-'Assumptions'!F52*(1)+'Assumptions'!F57-'Assumptions'!F62*(1)-'Assumptions'!F67-(C27))+(('Forecast'!E12)*('Assumptions'!E67+(C27))))*'DCF'!F12/(1+('DCF'!$E$6))^'DCF'!F13,(('Forecast'!G12)*(('Assumptions'!G37+(0))*(1-'Assumptions'!G42-(0))+'Assumptions'!G47-'Assumptions'!G52*(1)+'Assumptions'!G57-'Assumptions'!G62*(1)-'Assumptions'!G67-(C27))+(('Forecast'!F12)*('Assumptions'!F67+(C27))))*'DCF'!G12/(1+('DCF'!$E$6))^'DCF'!G13,(('Forecast'!H12)*(('Assumptions'!H37+(0))*(1-'Assumptions'!H42-(0))+'Assumptions'!H47-'Assumptions'!H52*(1)+'Assumptions'!H57-'Assumptions'!H62*(1)-'Assumptions'!H67-(C27))+(('Forecast'!G12)*('Assumptions'!G67+(C27))))*'DCF'!H12/(1+('DCF'!$E$6))^'DCF'!H13,(('Forecast'!I12)*(('Assumptions'!I37+(0))*(1-'Assumptions'!I42-(0))+'Assumptions'!I47-'Assumptions'!I52*(1)+'Assumptions'!I57-'Assumptions'!I62*(1)-'Assumptions'!I67-(C27))+(('Forecast'!H12)*('Assumptions'!H67+(C27))))*'DCF'!I12/(1+('DCF'!$E$6))^'DCF'!I13)+('Forecast'!I12)*(1+('DCF'!$E$7))*('Terminal Value'!$E$10+(0))*(1-'Assumptions'!$E$15-(0))*(1-('DCF'!$E$7)/('Terminal Value'!$E$12))/(('DCF'!$E$6)-('DCF'!$E$7))/(1+('DCF'!$E$6))^'DCF'!$E$19)+'Equity Bridge'!$E$17)/'Equity Bridge'!$E$20
Review selected-case observations and Model Guide for definitions and held assumptions.</x:t>
        </x:r>
      </x:text>
    </x:comment>
    <x:comment ref="C28" authorId="0">
      <x:text>
        <x:r>
          <x:t>Reverse NWC. Editable source or analyst input.
Review selected-case observations and Model Guide for definitions and held assumptions.</x:t>
        </x:r>
      </x:text>
    </x:comment>
    <x:comment ref="D28" authorId="0">
      <x:text>
        <x:r>
          <x:t>Reverse NWC. Formula: =((SUM((('Forecast'!E12)*(('Assumptions'!E37+(0))*(1-'Assumptions'!E42-(0))+'Assumptions'!E47-'Assumptions'!E52*(1)+'Assumptions'!E57-'Assumptions'!E62*(1)-'Assumptions'!E67-(C28))+('Working Capital'!$E$6))*'DCF'!E12/(1+('DCF'!$E$6))^'DCF'!E13,(('Forecast'!F12)*(('Assumptions'!F37+(0))*(1-'Assumptions'!F42-(0))+'Assumptions'!F47-'Assumptions'!F52*(1)+'Assumptions'!F57-'Assumptions'!F62*(1)-'Assumptions'!F67-(C28))+(('Forecast'!E12)*('Assumptions'!E67+(C28))))*'DCF'!F12/(1+('DCF'!$E$6))^'DCF'!F13,(('Forecast'!G12)*(('Assumptions'!G37+(0))*(1-'Assumptions'!G42-(0))+'Assumptions'!G47-'Assumptions'!G52*(1)+'Assumptions'!G57-'Assumptions'!G62*(1)-'Assumptions'!G67-(C28))+(('Forecast'!F12)*('Assumptions'!F67+(C28))))*'DCF'!G12/(1+('DCF'!$E$6))^'DCF'!G13,(('Forecast'!H12)*(('Assumptions'!H37+(0))*(1-'Assumptions'!H42-(0))+'Assumptions'!H47-'Assumptions'!H52*(1)+'Assumptions'!H57-'Assumptions'!H62*(1)-'Assumptions'!H67-(C28))+(('Forecast'!G12)*('Assumptions'!G67+(C28))))*'DCF'!H12/(1+('DCF'!$E$6))^'DCF'!H13,(('Forecast'!I12)*(('Assumptions'!I37+(0))*(1-'Assumptions'!I42-(0))+'Assumptions'!I47-'Assumptions'!I52*(1)+'Assumptions'!I57-'Assumptions'!I62*(1)-'Assumptions'!I67-(C28))+(('Forecast'!H12)*('Assumptions'!H67+(C28))))*'DCF'!I12/(1+('DCF'!$E$6))^'DCF'!I13)+('Forecast'!I12)*(1+('DCF'!$E$7))*('Terminal Value'!$E$10+(0))*(1-'Assumptions'!$E$15-(0))*(1-('DCF'!$E$7)/('Terminal Value'!$E$12))/(('DCF'!$E$6)-('DCF'!$E$7))/(1+('DCF'!$E$6))^'DCF'!$E$19)+'Equity Bridge'!$E$17)/'Equity Bridge'!$E$20
Review selected-case observations and Model Guide for definitions and held assumptions.</x:t>
        </x:r>
      </x:text>
    </x:comment>
    <x:comment ref="C29" authorId="0">
      <x:text>
        <x:r>
          <x:t>Reverse NWC. Editable source or analyst input.
Review selected-case observations and Model Guide for definitions and held assumptions.</x:t>
        </x:r>
      </x:text>
    </x:comment>
    <x:comment ref="D29" authorId="0">
      <x:text>
        <x:r>
          <x:t>Reverse NWC. Formula: =((SUM((('Forecast'!E12)*(('Assumptions'!E37+(0))*(1-'Assumptions'!E42-(0))+'Assumptions'!E47-'Assumptions'!E52*(1)+'Assumptions'!E57-'Assumptions'!E62*(1)-'Assumptions'!E67-(C29))+('Working Capital'!$E$6))*'DCF'!E12/(1+('DCF'!$E$6))^'DCF'!E13,(('Forecast'!F12)*(('Assumptions'!F37+(0))*(1-'Assumptions'!F42-(0))+'Assumptions'!F47-'Assumptions'!F52*(1)+'Assumptions'!F57-'Assumptions'!F62*(1)-'Assumptions'!F67-(C29))+(('Forecast'!E12)*('Assumptions'!E67+(C29))))*'DCF'!F12/(1+('DCF'!$E$6))^'DCF'!F13,(('Forecast'!G12)*(('Assumptions'!G37+(0))*(1-'Assumptions'!G42-(0))+'Assumptions'!G47-'Assumptions'!G52*(1)+'Assumptions'!G57-'Assumptions'!G62*(1)-'Assumptions'!G67-(C29))+(('Forecast'!F12)*('Assumptions'!F67+(C29))))*'DCF'!G12/(1+('DCF'!$E$6))^'DCF'!G13,(('Forecast'!H12)*(('Assumptions'!H37+(0))*(1-'Assumptions'!H42-(0))+'Assumptions'!H47-'Assumptions'!H52*(1)+'Assumptions'!H57-'Assumptions'!H62*(1)-'Assumptions'!H67-(C29))+(('Forecast'!G12)*('Assumptions'!G67+(C29))))*'DCF'!H12/(1+('DCF'!$E$6))^'DCF'!H13,(('Forecast'!I12)*(('Assumptions'!I37+(0))*(1-'Assumptions'!I42-(0))+'Assumptions'!I47-'Assumptions'!I52*(1)+'Assumptions'!I57-'Assumptions'!I62*(1)-'Assumptions'!I67-(C29))+(('Forecast'!H12)*('Assumptions'!H67+(C29))))*'DCF'!I12/(1+('DCF'!$E$6))^'DCF'!I13)+('Forecast'!I12)*(1+('DCF'!$E$7))*('Terminal Value'!$E$10+(0))*(1-'Assumptions'!$E$15-(0))*(1-('DCF'!$E$7)/('Terminal Value'!$E$12))/(('DCF'!$E$6)-('DCF'!$E$7))/(1+('DCF'!$E$6))^'DCF'!$E$19)+'Equity Bridge'!$E$17)/'Equity Bridge'!$E$20
Review selected-case observations and Model Guide for definitions and held assumptions.</x:t>
        </x:r>
      </x:text>
    </x:comment>
    <x:comment ref="C30" authorId="0">
      <x:text>
        <x:r>
          <x:t>Reverse NWC. Editable source or analyst input.
Review selected-case observations and Model Guide for definitions and held assumptions.</x:t>
        </x:r>
      </x:text>
    </x:comment>
    <x:comment ref="D30" authorId="0">
      <x:text>
        <x:r>
          <x:t>Reverse NWC. Formula: =((SUM((('Forecast'!E12)*(('Assumptions'!E37+(0))*(1-'Assumptions'!E42-(0))+'Assumptions'!E47-'Assumptions'!E52*(1)+'Assumptions'!E57-'Assumptions'!E62*(1)-'Assumptions'!E67-(C30))+('Working Capital'!$E$6))*'DCF'!E12/(1+('DCF'!$E$6))^'DCF'!E13,(('Forecast'!F12)*(('Assumptions'!F37+(0))*(1-'Assumptions'!F42-(0))+'Assumptions'!F47-'Assumptions'!F52*(1)+'Assumptions'!F57-'Assumptions'!F62*(1)-'Assumptions'!F67-(C30))+(('Forecast'!E12)*('Assumptions'!E67+(C30))))*'DCF'!F12/(1+('DCF'!$E$6))^'DCF'!F13,(('Forecast'!G12)*(('Assumptions'!G37+(0))*(1-'Assumptions'!G42-(0))+'Assumptions'!G47-'Assumptions'!G52*(1)+'Assumptions'!G57-'Assumptions'!G62*(1)-'Assumptions'!G67-(C30))+(('Forecast'!F12)*('Assumptions'!F67+(C30))))*'DCF'!G12/(1+('DCF'!$E$6))^'DCF'!G13,(('Forecast'!H12)*(('Assumptions'!H37+(0))*(1-'Assumptions'!H42-(0))+'Assumptions'!H47-'Assumptions'!H52*(1)+'Assumptions'!H57-'Assumptions'!H62*(1)-'Assumptions'!H67-(C30))+(('Forecast'!G12)*('Assumptions'!G67+(C30))))*'DCF'!H12/(1+('DCF'!$E$6))^'DCF'!H13,(('Forecast'!I12)*(('Assumptions'!I37+(0))*(1-'Assumptions'!I42-(0))+'Assumptions'!I47-'Assumptions'!I52*(1)+'Assumptions'!I57-'Assumptions'!I62*(1)-'Assumptions'!I67-(C30))+(('Forecast'!H12)*('Assumptions'!H67+(C30))))*'DCF'!I12/(1+('DCF'!$E$6))^'DCF'!I13)+('Forecast'!I12)*(1+('DCF'!$E$7))*('Terminal Value'!$E$10+(0))*(1-'Assumptions'!$E$15-(0))*(1-('DCF'!$E$7)/('Terminal Value'!$E$12))/(('DCF'!$E$6)-('DCF'!$E$7))/(1+('DCF'!$E$6))^'DCF'!$E$19)+'Equity Bridge'!$E$17)/'Equity Bridge'!$E$20
Review selected-case observations and Model Guide for definitions and held assumptions.</x:t>
        </x:r>
      </x:text>
    </x:comment>
    <x:comment ref="C35" authorId="0">
      <x:text>
        <x:r>
          <x:t>Reverse NWC. Formula: ="Required NWC ratio shift is "&amp;ROUND(E12*100,2)&amp;" pp. "&amp;"The same percentage-point shift applies to operating NWC / revenue in every forecast year. The opening actual NWC stays fixed. Very negative shifts can imply implausible customer or supplier financing."
Review selected-case observations and Model Guide for definitions and held assumptions.</x:t>
        </x:r>
      </x:text>
    </x:comment>
  </x:commentList>
</x:comments>
</file>

<file path=xl/comments18.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E12" authorId="0">
      <x:text>
        <x:r>
          <x:t>Required WACC. 48 transparent bisection steps. Endpoint prices must bracket the market value. This solves one conditional criterion and does not estimate its likelihood.
Excel formula: =IF(($E$20-$E$9)*($E$21-$E$9)&lt;=0,F81,"No bracket")</x:t>
        </x:r>
      </x:text>
    </x:comment>
    <x:comment ref="C12" authorId="0">
      <x:text>
        <x:r>
          <x:t>48 transparent bisection steps. Endpoint prices must bracket the market value. This solves one conditional criterion and does not estimate its likelihood.</x:t>
        </x:r>
      </x:text>
    </x:comment>
    <x:comment ref="C16" authorId="0">
      <x:text>
        <x:r>
          <x:t>Lower solver bound</x:t>
        </x:r>
      </x:text>
    </x:comment>
    <x:comment ref="C17" authorId="0">
      <x:text>
        <x:r>
          <x:t>Upper solver bound</x:t>
        </x:r>
      </x:text>
    </x:comment>
    <x:comment ref="C20" authorId="0">
      <x:text>
        <x:r>
          <x:t>Value at lower solver bound</x:t>
        </x:r>
      </x:text>
    </x:comment>
    <x:comment ref="C21" authorId="0">
      <x:text>
        <x:r>
          <x:t>Value at upper solver bound</x:t>
        </x:r>
      </x:text>
    </x:comment>
    <x:comment ref="E14" authorId="0">
      <x:text>
        <x:r>
          <x:t>Economically permitted?. The required WACC changes discounting only. Compare it with the modeled cost of capital and the risk-free yield. A discount rate above growth is mathematically necessary; being above the risk-free rate alone does not establish economic credibility.
Excel formula: =IF(ISNUMBER(E12),IF(E12&gt;'Market Inputs'!E10,"Above risk-free rate","Below risk-free rate"),"No solution")</x:t>
        </x:r>
      </x:text>
    </x:comment>
    <x:comment ref="C14" authorId="0">
      <x:text>
        <x:r>
          <x:t>The required WACC changes discounting only. Compare it with the modeled cost of capital and the risk-free yield. A discount rate above growth is mathematically necessary; being above the risk-free rate alone does not establish economic credibility.</x:t>
        </x:r>
      </x:text>
    </x:comment>
    <x:comment ref="C18" authorId="0">
      <x:text>
        <x:r>
          <x:t>Final valuation residual</x:t>
        </x:r>
      </x:text>
    </x:comment>
    <x:comment ref="E4" authorId="0">
      <x:text>
        <x:r>
          <x:t>Reverse WACC. Formula: =CHOOSE('DCF'!$E$5,"Base","Upside","Downside")
Review selected-case observations and Model Guide for definitions and held assumptions.</x:t>
        </x:r>
      </x:text>
    </x:comment>
    <x:comment ref="E8" authorId="0">
      <x:text>
        <x:r>
          <x:t>Reverse WACC. Formula: ='DCF'!E24
Review selected-case observations and Model Guide for definitions and held assumptions.</x:t>
        </x:r>
      </x:text>
    </x:comment>
    <x:comment ref="E9" authorId="0">
      <x:text>
        <x:r>
          <x:t>Reverse WACC. Formula: ='DCF'!E32
Review selected-case observations and Model Guide for definitions and held assumptions.</x:t>
        </x:r>
      </x:text>
    </x:comment>
    <x:comment ref="E16" authorId="0">
      <x:text>
        <x:r>
          <x:t>Reverse WACC. Formula: ='DCF'!E7+0.001
Review selected-case observations and Model Guide for definitions and held assumptions.</x:t>
        </x:r>
      </x:text>
    </x:comment>
    <x:comment ref="E20" authorId="0">
      <x:text>
        <x:r>
          <x:t>Reverse WACC. Formula: =(SUM((('Forecast'!E12)*(('Assumptions'!E37+(0))*(1-'Assumptions'!E42-(0))+'Assumptions'!E47-'Assumptions'!E52*(1)+'Assumptions'!E57-'Assumptions'!E62*(1)-'Assumptions'!E67-(0))+('Working Capital'!$E$6))*'DCF'!E12/(1+($E$16))^'DCF'!E13,(('Forecast'!F12)*(('Assumptions'!F37+(0))*(1-'Assumptions'!F42-(0))+'Assumptions'!F47-'Assumptions'!F52*(1)+'Assumptions'!F57-'Assumptions'!F62*(1)-'Assumptions'!F67-(0))+(('Forecast'!E12)*('Assumptions'!E67+(0))))*'DCF'!F12/(1+($E$16))^'DCF'!F13,(('Forecast'!G12)*(('Assumptions'!G37+(0))*(1-'Assumptions'!G42-(0))+'Assumptions'!G47-'Assumptions'!G52*(1)+'Assumptions'!G57-'Assumptions'!G62*(1)-'Assumptions'!G67-(0))+(('Forecast'!F12)*('Assumptions'!F67+(0))))*'DCF'!G12/(1+($E$16))^'DCF'!G13,(('Forecast'!H12)*(('Assumptions'!H37+(0))*(1-'Assumptions'!H42-(0))+'Assumptions'!H47-'Assumptions'!H52*(1)+'Assumptions'!H57-'Assumptions'!H62*(1)-'Assumptions'!H67-(0))+(('Forecast'!G12)*('Assumptions'!G67+(0))))*'DCF'!H12/(1+($E$16))^'DCF'!H13,(('Forecast'!I12)*(('Assumptions'!I37+(0))*(1-'Assumptions'!I42-(0))+'Assumptions'!I47-'Assumptions'!I52*(1)+'Assumptions'!I57-'Assumptions'!I62*(1)-'Assumptions'!I67-(0))+(('Forecast'!H12)*('Assumptions'!H67+(0))))*'DCF'!I12/(1+($E$16))^'DCF'!I13)+('Forecast'!I12)*(1+('DCF'!$E$7))*('Terminal Value'!$E$10+(0))*(1-'Assumptions'!$E$15-(0))*(1-('DCF'!$E$7)/('Terminal Value'!$E$12))/(($E$16)-('DCF'!$E$7))/(1+($E$16))^'DCF'!$E$19)
Review selected-case observations and Model Guide for definitions and held assumptions.</x:t>
        </x:r>
      </x:text>
    </x:comment>
    <x:comment ref="E21" authorId="0">
      <x:text>
        <x:r>
          <x:t>Reverse WACC. Formula: =(SUM((('Forecast'!E12)*(('Assumptions'!E37+(0))*(1-'Assumptions'!E42-(0))+'Assumptions'!E47-'Assumptions'!E52*(1)+'Assumptions'!E57-'Assumptions'!E62*(1)-'Assumptions'!E67-(0))+('Working Capital'!$E$6))*'DCF'!E12/(1+($E$17))^'DCF'!E13,(('Forecast'!F12)*(('Assumptions'!F37+(0))*(1-'Assumptions'!F42-(0))+'Assumptions'!F47-'Assumptions'!F52*(1)+'Assumptions'!F57-'Assumptions'!F62*(1)-'Assumptions'!F67-(0))+(('Forecast'!E12)*('Assumptions'!E67+(0))))*'DCF'!F12/(1+($E$17))^'DCF'!F13,(('Forecast'!G12)*(('Assumptions'!G37+(0))*(1-'Assumptions'!G42-(0))+'Assumptions'!G47-'Assumptions'!G52*(1)+'Assumptions'!G57-'Assumptions'!G62*(1)-'Assumptions'!G67-(0))+(('Forecast'!F12)*('Assumptions'!F67+(0))))*'DCF'!G12/(1+($E$17))^'DCF'!G13,(('Forecast'!H12)*(('Assumptions'!H37+(0))*(1-'Assumptions'!H42-(0))+'Assumptions'!H47-'Assumptions'!H52*(1)+'Assumptions'!H57-'Assumptions'!H62*(1)-'Assumptions'!H67-(0))+(('Forecast'!G12)*('Assumptions'!G67+(0))))*'DCF'!H12/(1+($E$17))^'DCF'!H13,(('Forecast'!I12)*(('Assumptions'!I37+(0))*(1-'Assumptions'!I42-(0))+'Assumptions'!I47-'Assumptions'!I52*(1)+'Assumptions'!I57-'Assumptions'!I62*(1)-'Assumptions'!I67-(0))+(('Forecast'!H12)*('Assumptions'!H67+(0))))*'DCF'!I12/(1+($E$17))^'DCF'!I13)+('Forecast'!I12)*(1+('DCF'!$E$7))*('Terminal Value'!$E$10+(0))*(1-'Assumptions'!$E$15-(0))*(1-('DCF'!$E$7)/('Terminal Value'!$E$12))/(($E$17)-('DCF'!$E$7))/(1+($E$17))^'DCF'!$E$19)
Review selected-case observations and Model Guide for definitions and held assumptions.</x:t>
        </x:r>
      </x:text>
    </x:comment>
    <x:comment ref="C24" authorId="0">
      <x:text>
        <x:r>
          <x:t>Reverse WACC. Formula: =IF(ISNUMBER(E12),"Required discount rate is "&amp;ROUND(E12*100,3)&amp;"%. ","No numeric root within solver bounds. ")&amp;"The required WACC changes discounting only. Compare it with the modeled cost of capital and the risk-free yield. A discount rate above growth is mathematically necessary; being above the risk-free rate alone does not establish economic credibility."
Review selected-case observations and Model Guide for definitions and held assumptions.</x:t>
        </x:r>
      </x:text>
    </x:comment>
    <x:comment ref="C34" authorId="0">
      <x:text>
        <x:r>
          <x:t>Reverse WACC. Editable source or analyst input.
Review selected-case observations and Model Guide for definitions and held assumptions.</x:t>
        </x:r>
      </x:text>
    </x:comment>
    <x:comment ref="D34" authorId="0">
      <x:text>
        <x:r>
          <x:t>Reverse WACC. Formula: =$E$16
Review selected-case observations and Model Guide for definitions and held assumptions.</x:t>
        </x:r>
      </x:text>
    </x:comment>
    <x:comment ref="E34" authorId="0">
      <x:text>
        <x:r>
          <x:t>Reverse WACC. Formula: =$E$17
Review selected-case observations and Model Guide for definitions and held assumptions.</x:t>
        </x:r>
      </x:text>
    </x:comment>
    <x:comment ref="F34" authorId="0">
      <x:text>
        <x:r>
          <x:t>Reverse WACC. Formula: =(D34+E34)/2
Review selected-case observations and Model Guide for definitions and held assumptions.</x:t>
        </x:r>
      </x:text>
    </x:comment>
    <x:comment ref="G34" authorId="0">
      <x:text>
        <x:r>
          <x:t>Reverse WACC. Formula: =(SUM((('Forecast'!E12)*(('Assumptions'!E37+(0))*(1-'Assumptions'!E42-(0))+'Assumptions'!E47-'Assumptions'!E52*(1)+'Assumptions'!E57-'Assumptions'!E62*(1)-'Assumptions'!E67-(0))+('Working Capital'!$E$6))*'DCF'!E12/(1+(F34))^'DCF'!E13,(('Forecast'!F12)*(('Assumptions'!F37+(0))*(1-'Assumptions'!F42-(0))+'Assumptions'!F47-'Assumptions'!F52*(1)+'Assumptions'!F57-'Assumptions'!F62*(1)-'Assumptions'!F67-(0))+(('Forecast'!E12)*('Assumptions'!E67+(0))))*'DCF'!F12/(1+(F34))^'DCF'!F13,(('Forecast'!G12)*(('Assumptions'!G37+(0))*(1-'Assumptions'!G42-(0))+'Assumptions'!G47-'Assumptions'!G52*(1)+'Assumptions'!G57-'Assumptions'!G62*(1)-'Assumptions'!G67-(0))+(('Forecast'!F12)*('Assumptions'!F67+(0))))*'DCF'!G12/(1+(F34))^'DCF'!G13,(('Forecast'!H12)*(('Assumptions'!H37+(0))*(1-'Assumptions'!H42-(0))+'Assumptions'!H47-'Assumptions'!H52*(1)+'Assumptions'!H57-'Assumptions'!H62*(1)-'Assumptions'!H67-(0))+(('Forecast'!G12)*('Assumptions'!G67+(0))))*'DCF'!H12/(1+(F34))^'DCF'!H13,(('Forecast'!I12)*(('Assumptions'!I37+(0))*(1-'Assumptions'!I42-(0))+'Assumptions'!I47-'Assumptions'!I52*(1)+'Assumptions'!I57-'Assumptions'!I62*(1)-'Assumptions'!I67-(0))+(('Forecast'!H12)*('Assumptions'!H67+(0))))*'DCF'!I12/(1+(F34))^'DCF'!I13)+('Forecast'!I12)*(1+('DCF'!$E$7))*('Terminal Value'!$E$10+(0))*(1-'Assumptions'!$E$15-(0))*(1-('DCF'!$E$7)/('Terminal Value'!$E$12))/((F34)-('DCF'!$E$7))/(1+(F34))^'DCF'!$E$19)
Review selected-case observations and Model Guide for definitions and held assumptions.</x:t>
        </x:r>
      </x:text>
    </x:comment>
    <x:comment ref="H34" authorId="0">
      <x:text>
        <x:r>
          <x:t>Reverse WACC. Formula: =G34-$E$9
Review selected-case observations and Model Guide for definitions and held assumptions.</x:t>
        </x:r>
      </x:text>
    </x:comment>
    <x:comment ref="C35" authorId="0">
      <x:text>
        <x:r>
          <x:t>Reverse WACC. Editable source or analyst input.
Review selected-case observations and Model Guide for definitions and held assumptions.</x:t>
        </x:r>
      </x:text>
    </x:comment>
    <x:comment ref="D35" authorId="0">
      <x:text>
        <x:r>
          <x:t>Reverse WACC. Formula: =IF(G34&gt;$E$9,F34,D34)
Review selected-case observations and Model Guide for definitions and held assumptions.</x:t>
        </x:r>
      </x:text>
    </x:comment>
    <x:comment ref="E35" authorId="0">
      <x:text>
        <x:r>
          <x:t>Reverse WACC. Formula: =IF(G34&gt;$E$9,E34,F34)
Review selected-case observations and Model Guide for definitions and held assumptions.</x:t>
        </x:r>
      </x:text>
    </x:comment>
    <x:comment ref="F35" authorId="0">
      <x:text>
        <x:r>
          <x:t>Reverse WACC. Formula: =(D35+E35)/2
Review selected-case observations and Model Guide for definitions and held assumptions.</x:t>
        </x:r>
      </x:text>
    </x:comment>
    <x:comment ref="G35" authorId="0">
      <x:text>
        <x:r>
          <x:t>Reverse WACC. Formula: =(SUM((('Forecast'!E12)*(('Assumptions'!E37+(0))*(1-'Assumptions'!E42-(0))+'Assumptions'!E47-'Assumptions'!E52*(1)+'Assumptions'!E57-'Assumptions'!E62*(1)-'Assumptions'!E67-(0))+('Working Capital'!$E$6))*'DCF'!E12/(1+(F35))^'DCF'!E13,(('Forecast'!F12)*(('Assumptions'!F37+(0))*(1-'Assumptions'!F42-(0))+'Assumptions'!F47-'Assumptions'!F52*(1)+'Assumptions'!F57-'Assumptions'!F62*(1)-'Assumptions'!F67-(0))+(('Forecast'!E12)*('Assumptions'!E67+(0))))*'DCF'!F12/(1+(F35))^'DCF'!F13,(('Forecast'!G12)*(('Assumptions'!G37+(0))*(1-'Assumptions'!G42-(0))+'Assumptions'!G47-'Assumptions'!G52*(1)+'Assumptions'!G57-'Assumptions'!G62*(1)-'Assumptions'!G67-(0))+(('Forecast'!F12)*('Assumptions'!F67+(0))))*'DCF'!G12/(1+(F35))^'DCF'!G13,(('Forecast'!H12)*(('Assumptions'!H37+(0))*(1-'Assumptions'!H42-(0))+'Assumptions'!H47-'Assumptions'!H52*(1)+'Assumptions'!H57-'Assumptions'!H62*(1)-'Assumptions'!H67-(0))+(('Forecast'!G12)*('Assumptions'!G67+(0))))*'DCF'!H12/(1+(F35))^'DCF'!H13,(('Forecast'!I12)*(('Assumptions'!I37+(0))*(1-'Assumptions'!I42-(0))+'Assumptions'!I47-'Assumptions'!I52*(1)+'Assumptions'!I57-'Assumptions'!I62*(1)-'Assumptions'!I67-(0))+(('Forecast'!H12)*('Assumptions'!H67+(0))))*'DCF'!I12/(1+(F35))^'DCF'!I13)+('Forecast'!I12)*(1+('DCF'!$E$7))*('Terminal Value'!$E$10+(0))*(1-'Assumptions'!$E$15-(0))*(1-('DCF'!$E$7)/('Terminal Value'!$E$12))/((F35)-('DCF'!$E$7))/(1+(F35))^'DCF'!$E$19)
Review selected-case observations and Model Guide for definitions and held assumptions.</x:t>
        </x:r>
      </x:text>
    </x:comment>
    <x:comment ref="H35" authorId="0">
      <x:text>
        <x:r>
          <x:t>Reverse WACC. Formula: =G35-$E$9
Review selected-case observations and Model Guide for definitions and held assumptions.</x:t>
        </x:r>
      </x:text>
    </x:comment>
    <x:comment ref="C36" authorId="0">
      <x:text>
        <x:r>
          <x:t>Reverse WACC. Editable source or analyst input.
Review selected-case observations and Model Guide for definitions and held assumptions.</x:t>
        </x:r>
      </x:text>
    </x:comment>
    <x:comment ref="D36" authorId="0">
      <x:text>
        <x:r>
          <x:t>Reverse WACC. Formula: =IF(G35&gt;$E$9,F35,D35)
Review selected-case observations and Model Guide for definitions and held assumptions.</x:t>
        </x:r>
      </x:text>
    </x:comment>
    <x:comment ref="E36" authorId="0">
      <x:text>
        <x:r>
          <x:t>Reverse WACC. Formula: =IF(G35&gt;$E$9,E35,F35)
Review selected-case observations and Model Guide for definitions and held assumptions.</x:t>
        </x:r>
      </x:text>
    </x:comment>
    <x:comment ref="F36" authorId="0">
      <x:text>
        <x:r>
          <x:t>Reverse WACC. Formula: =(D36+E36)/2
Review selected-case observations and Model Guide for definitions and held assumptions.</x:t>
        </x:r>
      </x:text>
    </x:comment>
    <x:comment ref="G36" authorId="0">
      <x:text>
        <x:r>
          <x:t>Reverse WACC. Formula: =(SUM((('Forecast'!E12)*(('Assumptions'!E37+(0))*(1-'Assumptions'!E42-(0))+'Assumptions'!E47-'Assumptions'!E52*(1)+'Assumptions'!E57-'Assumptions'!E62*(1)-'Assumptions'!E67-(0))+('Working Capital'!$E$6))*'DCF'!E12/(1+(F36))^'DCF'!E13,(('Forecast'!F12)*(('Assumptions'!F37+(0))*(1-'Assumptions'!F42-(0))+'Assumptions'!F47-'Assumptions'!F52*(1)+'Assumptions'!F57-'Assumptions'!F62*(1)-'Assumptions'!F67-(0))+(('Forecast'!E12)*('Assumptions'!E67+(0))))*'DCF'!F12/(1+(F36))^'DCF'!F13,(('Forecast'!G12)*(('Assumptions'!G37+(0))*(1-'Assumptions'!G42-(0))+'Assumptions'!G47-'Assumptions'!G52*(1)+'Assumptions'!G57-'Assumptions'!G62*(1)-'Assumptions'!G67-(0))+(('Forecast'!F12)*('Assumptions'!F67+(0))))*'DCF'!G12/(1+(F36))^'DCF'!G13,(('Forecast'!H12)*(('Assumptions'!H37+(0))*(1-'Assumptions'!H42-(0))+'Assumptions'!H47-'Assumptions'!H52*(1)+'Assumptions'!H57-'Assumptions'!H62*(1)-'Assumptions'!H67-(0))+(('Forecast'!G12)*('Assumptions'!G67+(0))))*'DCF'!H12/(1+(F36))^'DCF'!H13,(('Forecast'!I12)*(('Assumptions'!I37+(0))*(1-'Assumptions'!I42-(0))+'Assumptions'!I47-'Assumptions'!I52*(1)+'Assumptions'!I57-'Assumptions'!I62*(1)-'Assumptions'!I67-(0))+(('Forecast'!H12)*('Assumptions'!H67+(0))))*'DCF'!I12/(1+(F36))^'DCF'!I13)+('Forecast'!I12)*(1+('DCF'!$E$7))*('Terminal Value'!$E$10+(0))*(1-'Assumptions'!$E$15-(0))*(1-('DCF'!$E$7)/('Terminal Value'!$E$12))/((F36)-('DCF'!$E$7))/(1+(F36))^'DCF'!$E$19)
Review selected-case observations and Model Guide for definitions and held assumptions.</x:t>
        </x:r>
      </x:text>
    </x:comment>
    <x:comment ref="H36" authorId="0">
      <x:text>
        <x:r>
          <x:t>Reverse WACC. Formula: =G36-$E$9
Review selected-case observations and Model Guide for definitions and held assumptions.</x:t>
        </x:r>
      </x:text>
    </x:comment>
    <x:comment ref="C37" authorId="0">
      <x:text>
        <x:r>
          <x:t>Reverse WACC. Editable source or analyst input.
Review selected-case observations and Model Guide for definitions and held assumptions.</x:t>
        </x:r>
      </x:text>
    </x:comment>
    <x:comment ref="D37" authorId="0">
      <x:text>
        <x:r>
          <x:t>Reverse WACC. Formula: =IF(G36&gt;$E$9,F36,D36)
Review selected-case observations and Model Guide for definitions and held assumptions.</x:t>
        </x:r>
      </x:text>
    </x:comment>
    <x:comment ref="E37" authorId="0">
      <x:text>
        <x:r>
          <x:t>Reverse WACC. Formula: =IF(G36&gt;$E$9,E36,F36)
Review selected-case observations and Model Guide for definitions and held assumptions.</x:t>
        </x:r>
      </x:text>
    </x:comment>
    <x:comment ref="F37" authorId="0">
      <x:text>
        <x:r>
          <x:t>Reverse WACC. Formula: =(D37+E37)/2
Review selected-case observations and Model Guide for definitions and held assumptions.</x:t>
        </x:r>
      </x:text>
    </x:comment>
    <x:comment ref="G37" authorId="0">
      <x:text>
        <x:r>
          <x:t>Reverse WACC. Formula: =(SUM((('Forecast'!E12)*(('Assumptions'!E37+(0))*(1-'Assumptions'!E42-(0))+'Assumptions'!E47-'Assumptions'!E52*(1)+'Assumptions'!E57-'Assumptions'!E62*(1)-'Assumptions'!E67-(0))+('Working Capital'!$E$6))*'DCF'!E12/(1+(F37))^'DCF'!E13,(('Forecast'!F12)*(('Assumptions'!F37+(0))*(1-'Assumptions'!F42-(0))+'Assumptions'!F47-'Assumptions'!F52*(1)+'Assumptions'!F57-'Assumptions'!F62*(1)-'Assumptions'!F67-(0))+(('Forecast'!E12)*('Assumptions'!E67+(0))))*'DCF'!F12/(1+(F37))^'DCF'!F13,(('Forecast'!G12)*(('Assumptions'!G37+(0))*(1-'Assumptions'!G42-(0))+'Assumptions'!G47-'Assumptions'!G52*(1)+'Assumptions'!G57-'Assumptions'!G62*(1)-'Assumptions'!G67-(0))+(('Forecast'!F12)*('Assumptions'!F67+(0))))*'DCF'!G12/(1+(F37))^'DCF'!G13,(('Forecast'!H12)*(('Assumptions'!H37+(0))*(1-'Assumptions'!H42-(0))+'Assumptions'!H47-'Assumptions'!H52*(1)+'Assumptions'!H57-'Assumptions'!H62*(1)-'Assumptions'!H67-(0))+(('Forecast'!G12)*('Assumptions'!G67+(0))))*'DCF'!H12/(1+(F37))^'DCF'!H13,(('Forecast'!I12)*(('Assumptions'!I37+(0))*(1-'Assumptions'!I42-(0))+'Assumptions'!I47-'Assumptions'!I52*(1)+'Assumptions'!I57-'Assumptions'!I62*(1)-'Assumptions'!I67-(0))+(('Forecast'!H12)*('Assumptions'!H67+(0))))*'DCF'!I12/(1+(F37))^'DCF'!I13)+('Forecast'!I12)*(1+('DCF'!$E$7))*('Terminal Value'!$E$10+(0))*(1-'Assumptions'!$E$15-(0))*(1-('DCF'!$E$7)/('Terminal Value'!$E$12))/((F37)-('DCF'!$E$7))/(1+(F37))^'DCF'!$E$19)
Review selected-case observations and Model Guide for definitions and held assumptions.</x:t>
        </x:r>
      </x:text>
    </x:comment>
    <x:comment ref="H37" authorId="0">
      <x:text>
        <x:r>
          <x:t>Reverse WACC. Formula: =G37-$E$9
Review selected-case observations and Model Guide for definitions and held assumptions.</x:t>
        </x:r>
      </x:text>
    </x:comment>
    <x:comment ref="C38" authorId="0">
      <x:text>
        <x:r>
          <x:t>Reverse WACC. Editable source or analyst input.
Review selected-case observations and Model Guide for definitions and held assumptions.</x:t>
        </x:r>
      </x:text>
    </x:comment>
    <x:comment ref="D38" authorId="0">
      <x:text>
        <x:r>
          <x:t>Reverse WACC. Formula: =IF(G37&gt;$E$9,F37,D37)
Review selected-case observations and Model Guide for definitions and held assumptions.</x:t>
        </x:r>
      </x:text>
    </x:comment>
    <x:comment ref="E38" authorId="0">
      <x:text>
        <x:r>
          <x:t>Reverse WACC. Formula: =IF(G37&gt;$E$9,E37,F37)
Review selected-case observations and Model Guide for definitions and held assumptions.</x:t>
        </x:r>
      </x:text>
    </x:comment>
    <x:comment ref="F38" authorId="0">
      <x:text>
        <x:r>
          <x:t>Reverse WACC. Formula: =(D38+E38)/2
Review selected-case observations and Model Guide for definitions and held assumptions.</x:t>
        </x:r>
      </x:text>
    </x:comment>
    <x:comment ref="G38" authorId="0">
      <x:text>
        <x:r>
          <x:t>Reverse WACC. Formula: =(SUM((('Forecast'!E12)*(('Assumptions'!E37+(0))*(1-'Assumptions'!E42-(0))+'Assumptions'!E47-'Assumptions'!E52*(1)+'Assumptions'!E57-'Assumptions'!E62*(1)-'Assumptions'!E67-(0))+('Working Capital'!$E$6))*'DCF'!E12/(1+(F38))^'DCF'!E13,(('Forecast'!F12)*(('Assumptions'!F37+(0))*(1-'Assumptions'!F42-(0))+'Assumptions'!F47-'Assumptions'!F52*(1)+'Assumptions'!F57-'Assumptions'!F62*(1)-'Assumptions'!F67-(0))+(('Forecast'!E12)*('Assumptions'!E67+(0))))*'DCF'!F12/(1+(F38))^'DCF'!F13,(('Forecast'!G12)*(('Assumptions'!G37+(0))*(1-'Assumptions'!G42-(0))+'Assumptions'!G47-'Assumptions'!G52*(1)+'Assumptions'!G57-'Assumptions'!G62*(1)-'Assumptions'!G67-(0))+(('Forecast'!F12)*('Assumptions'!F67+(0))))*'DCF'!G12/(1+(F38))^'DCF'!G13,(('Forecast'!H12)*(('Assumptions'!H37+(0))*(1-'Assumptions'!H42-(0))+'Assumptions'!H47-'Assumptions'!H52*(1)+'Assumptions'!H57-'Assumptions'!H62*(1)-'Assumptions'!H67-(0))+(('Forecast'!G12)*('Assumptions'!G67+(0))))*'DCF'!H12/(1+(F38))^'DCF'!H13,(('Forecast'!I12)*(('Assumptions'!I37+(0))*(1-'Assumptions'!I42-(0))+'Assumptions'!I47-'Assumptions'!I52*(1)+'Assumptions'!I57-'Assumptions'!I62*(1)-'Assumptions'!I67-(0))+(('Forecast'!H12)*('Assumptions'!H67+(0))))*'DCF'!I12/(1+(F38))^'DCF'!I13)+('Forecast'!I12)*(1+('DCF'!$E$7))*('Terminal Value'!$E$10+(0))*(1-'Assumptions'!$E$15-(0))*(1-('DCF'!$E$7)/('Terminal Value'!$E$12))/((F38)-('DCF'!$E$7))/(1+(F38))^'DCF'!$E$19)
Review selected-case observations and Model Guide for definitions and held assumptions.</x:t>
        </x:r>
      </x:text>
    </x:comment>
    <x:comment ref="H38" authorId="0">
      <x:text>
        <x:r>
          <x:t>Reverse WACC. Formula: =G38-$E$9
Review selected-case observations and Model Guide for definitions and held assumptions.</x:t>
        </x:r>
      </x:text>
    </x:comment>
    <x:comment ref="C39" authorId="0">
      <x:text>
        <x:r>
          <x:t>Reverse WACC. Editable source or analyst input.
Review selected-case observations and Model Guide for definitions and held assumptions.</x:t>
        </x:r>
      </x:text>
    </x:comment>
    <x:comment ref="D39" authorId="0">
      <x:text>
        <x:r>
          <x:t>Reverse WACC. Formula: =IF(G38&gt;$E$9,F38,D38)
Review selected-case observations and Model Guide for definitions and held assumptions.</x:t>
        </x:r>
      </x:text>
    </x:comment>
    <x:comment ref="E39" authorId="0">
      <x:text>
        <x:r>
          <x:t>Reverse WACC. Formula: =IF(G38&gt;$E$9,E38,F38)
Review selected-case observations and Model Guide for definitions and held assumptions.</x:t>
        </x:r>
      </x:text>
    </x:comment>
    <x:comment ref="F39" authorId="0">
      <x:text>
        <x:r>
          <x:t>Reverse WACC. Formula: =(D39+E39)/2
Review selected-case observations and Model Guide for definitions and held assumptions.</x:t>
        </x:r>
      </x:text>
    </x:comment>
    <x:comment ref="G39" authorId="0">
      <x:text>
        <x:r>
          <x:t>Reverse WACC. Formula: =(SUM((('Forecast'!E12)*(('Assumptions'!E37+(0))*(1-'Assumptions'!E42-(0))+'Assumptions'!E47-'Assumptions'!E52*(1)+'Assumptions'!E57-'Assumptions'!E62*(1)-'Assumptions'!E67-(0))+('Working Capital'!$E$6))*'DCF'!E12/(1+(F39))^'DCF'!E13,(('Forecast'!F12)*(('Assumptions'!F37+(0))*(1-'Assumptions'!F42-(0))+'Assumptions'!F47-'Assumptions'!F52*(1)+'Assumptions'!F57-'Assumptions'!F62*(1)-'Assumptions'!F67-(0))+(('Forecast'!E12)*('Assumptions'!E67+(0))))*'DCF'!F12/(1+(F39))^'DCF'!F13,(('Forecast'!G12)*(('Assumptions'!G37+(0))*(1-'Assumptions'!G42-(0))+'Assumptions'!G47-'Assumptions'!G52*(1)+'Assumptions'!G57-'Assumptions'!G62*(1)-'Assumptions'!G67-(0))+(('Forecast'!F12)*('Assumptions'!F67+(0))))*'DCF'!G12/(1+(F39))^'DCF'!G13,(('Forecast'!H12)*(('Assumptions'!H37+(0))*(1-'Assumptions'!H42-(0))+'Assumptions'!H47-'Assumptions'!H52*(1)+'Assumptions'!H57-'Assumptions'!H62*(1)-'Assumptions'!H67-(0))+(('Forecast'!G12)*('Assumptions'!G67+(0))))*'DCF'!H12/(1+(F39))^'DCF'!H13,(('Forecast'!I12)*(('Assumptions'!I37+(0))*(1-'Assumptions'!I42-(0))+'Assumptions'!I47-'Assumptions'!I52*(1)+'Assumptions'!I57-'Assumptions'!I62*(1)-'Assumptions'!I67-(0))+(('Forecast'!H12)*('Assumptions'!H67+(0))))*'DCF'!I12/(1+(F39))^'DCF'!I13)+('Forecast'!I12)*(1+('DCF'!$E$7))*('Terminal Value'!$E$10+(0))*(1-'Assumptions'!$E$15-(0))*(1-('DCF'!$E$7)/('Terminal Value'!$E$12))/((F39)-('DCF'!$E$7))/(1+(F39))^'DCF'!$E$19)
Review selected-case observations and Model Guide for definitions and held assumptions.</x:t>
        </x:r>
      </x:text>
    </x:comment>
    <x:comment ref="H39" authorId="0">
      <x:text>
        <x:r>
          <x:t>Reverse WACC. Formula: =G39-$E$9
Review selected-case observations and Model Guide for definitions and held assumptions.</x:t>
        </x:r>
      </x:text>
    </x:comment>
    <x:comment ref="C40" authorId="0">
      <x:text>
        <x:r>
          <x:t>Reverse WACC. Editable source or analyst input.
Review selected-case observations and Model Guide for definitions and held assumptions.</x:t>
        </x:r>
      </x:text>
    </x:comment>
    <x:comment ref="D40" authorId="0">
      <x:text>
        <x:r>
          <x:t>Reverse WACC. Formula: =IF(G39&gt;$E$9,F39,D39)
Review selected-case observations and Model Guide for definitions and held assumptions.</x:t>
        </x:r>
      </x:text>
    </x:comment>
    <x:comment ref="E40" authorId="0">
      <x:text>
        <x:r>
          <x:t>Reverse WACC. Formula: =IF(G39&gt;$E$9,E39,F39)
Review selected-case observations and Model Guide for definitions and held assumptions.</x:t>
        </x:r>
      </x:text>
    </x:comment>
    <x:comment ref="F40" authorId="0">
      <x:text>
        <x:r>
          <x:t>Reverse WACC. Formula: =(D40+E40)/2
Review selected-case observations and Model Guide for definitions and held assumptions.</x:t>
        </x:r>
      </x:text>
    </x:comment>
    <x:comment ref="G40" authorId="0">
      <x:text>
        <x:r>
          <x:t>Reverse WACC. Formula: =(SUM((('Forecast'!E12)*(('Assumptions'!E37+(0))*(1-'Assumptions'!E42-(0))+'Assumptions'!E47-'Assumptions'!E52*(1)+'Assumptions'!E57-'Assumptions'!E62*(1)-'Assumptions'!E67-(0))+('Working Capital'!$E$6))*'DCF'!E12/(1+(F40))^'DCF'!E13,(('Forecast'!F12)*(('Assumptions'!F37+(0))*(1-'Assumptions'!F42-(0))+'Assumptions'!F47-'Assumptions'!F52*(1)+'Assumptions'!F57-'Assumptions'!F62*(1)-'Assumptions'!F67-(0))+(('Forecast'!E12)*('Assumptions'!E67+(0))))*'DCF'!F12/(1+(F40))^'DCF'!F13,(('Forecast'!G12)*(('Assumptions'!G37+(0))*(1-'Assumptions'!G42-(0))+'Assumptions'!G47-'Assumptions'!G52*(1)+'Assumptions'!G57-'Assumptions'!G62*(1)-'Assumptions'!G67-(0))+(('Forecast'!F12)*('Assumptions'!F67+(0))))*'DCF'!G12/(1+(F40))^'DCF'!G13,(('Forecast'!H12)*(('Assumptions'!H37+(0))*(1-'Assumptions'!H42-(0))+'Assumptions'!H47-'Assumptions'!H52*(1)+'Assumptions'!H57-'Assumptions'!H62*(1)-'Assumptions'!H67-(0))+(('Forecast'!G12)*('Assumptions'!G67+(0))))*'DCF'!H12/(1+(F40))^'DCF'!H13,(('Forecast'!I12)*(('Assumptions'!I37+(0))*(1-'Assumptions'!I42-(0))+'Assumptions'!I47-'Assumptions'!I52*(1)+'Assumptions'!I57-'Assumptions'!I62*(1)-'Assumptions'!I67-(0))+(('Forecast'!H12)*('Assumptions'!H67+(0))))*'DCF'!I12/(1+(F40))^'DCF'!I13)+('Forecast'!I12)*(1+('DCF'!$E$7))*('Terminal Value'!$E$10+(0))*(1-'Assumptions'!$E$15-(0))*(1-('DCF'!$E$7)/('Terminal Value'!$E$12))/((F40)-('DCF'!$E$7))/(1+(F40))^'DCF'!$E$19)
Review selected-case observations and Model Guide for definitions and held assumptions.</x:t>
        </x:r>
      </x:text>
    </x:comment>
    <x:comment ref="H40" authorId="0">
      <x:text>
        <x:r>
          <x:t>Reverse WACC. Formula: =G40-$E$9
Review selected-case observations and Model Guide for definitions and held assumptions.</x:t>
        </x:r>
      </x:text>
    </x:comment>
    <x:comment ref="C41" authorId="0">
      <x:text>
        <x:r>
          <x:t>Reverse WACC. Editable source or analyst input.
Review selected-case observations and Model Guide for definitions and held assumptions.</x:t>
        </x:r>
      </x:text>
    </x:comment>
    <x:comment ref="D41" authorId="0">
      <x:text>
        <x:r>
          <x:t>Reverse WACC. Formula: =IF(G40&gt;$E$9,F40,D40)
Review selected-case observations and Model Guide for definitions and held assumptions.</x:t>
        </x:r>
      </x:text>
    </x:comment>
    <x:comment ref="E41" authorId="0">
      <x:text>
        <x:r>
          <x:t>Reverse WACC. Formula: =IF(G40&gt;$E$9,E40,F40)
Review selected-case observations and Model Guide for definitions and held assumptions.</x:t>
        </x:r>
      </x:text>
    </x:comment>
    <x:comment ref="F41" authorId="0">
      <x:text>
        <x:r>
          <x:t>Reverse WACC. Formula: =(D41+E41)/2
Review selected-case observations and Model Guide for definitions and held assumptions.</x:t>
        </x:r>
      </x:text>
    </x:comment>
    <x:comment ref="G41" authorId="0">
      <x:text>
        <x:r>
          <x:t>Reverse WACC. Formula: =(SUM((('Forecast'!E12)*(('Assumptions'!E37+(0))*(1-'Assumptions'!E42-(0))+'Assumptions'!E47-'Assumptions'!E52*(1)+'Assumptions'!E57-'Assumptions'!E62*(1)-'Assumptions'!E67-(0))+('Working Capital'!$E$6))*'DCF'!E12/(1+(F41))^'DCF'!E13,(('Forecast'!F12)*(('Assumptions'!F37+(0))*(1-'Assumptions'!F42-(0))+'Assumptions'!F47-'Assumptions'!F52*(1)+'Assumptions'!F57-'Assumptions'!F62*(1)-'Assumptions'!F67-(0))+(('Forecast'!E12)*('Assumptions'!E67+(0))))*'DCF'!F12/(1+(F41))^'DCF'!F13,(('Forecast'!G12)*(('Assumptions'!G37+(0))*(1-'Assumptions'!G42-(0))+'Assumptions'!G47-'Assumptions'!G52*(1)+'Assumptions'!G57-'Assumptions'!G62*(1)-'Assumptions'!G67-(0))+(('Forecast'!F12)*('Assumptions'!F67+(0))))*'DCF'!G12/(1+(F41))^'DCF'!G13,(('Forecast'!H12)*(('Assumptions'!H37+(0))*(1-'Assumptions'!H42-(0))+'Assumptions'!H47-'Assumptions'!H52*(1)+'Assumptions'!H57-'Assumptions'!H62*(1)-'Assumptions'!H67-(0))+(('Forecast'!G12)*('Assumptions'!G67+(0))))*'DCF'!H12/(1+(F41))^'DCF'!H13,(('Forecast'!I12)*(('Assumptions'!I37+(0))*(1-'Assumptions'!I42-(0))+'Assumptions'!I47-'Assumptions'!I52*(1)+'Assumptions'!I57-'Assumptions'!I62*(1)-'Assumptions'!I67-(0))+(('Forecast'!H12)*('Assumptions'!H67+(0))))*'DCF'!I12/(1+(F41))^'DCF'!I13)+('Forecast'!I12)*(1+('DCF'!$E$7))*('Terminal Value'!$E$10+(0))*(1-'Assumptions'!$E$15-(0))*(1-('DCF'!$E$7)/('Terminal Value'!$E$12))/((F41)-('DCF'!$E$7))/(1+(F41))^'DCF'!$E$19)
Review selected-case observations and Model Guide for definitions and held assumptions.</x:t>
        </x:r>
      </x:text>
    </x:comment>
    <x:comment ref="H41" authorId="0">
      <x:text>
        <x:r>
          <x:t>Reverse WACC. Formula: =G41-$E$9
Review selected-case observations and Model Guide for definitions and held assumptions.</x:t>
        </x:r>
      </x:text>
    </x:comment>
    <x:comment ref="C42" authorId="0">
      <x:text>
        <x:r>
          <x:t>Reverse WACC. Editable source or analyst input.
Review selected-case observations and Model Guide for definitions and held assumptions.</x:t>
        </x:r>
      </x:text>
    </x:comment>
    <x:comment ref="D42" authorId="0">
      <x:text>
        <x:r>
          <x:t>Reverse WACC. Formula: =IF(G41&gt;$E$9,F41,D41)
Review selected-case observations and Model Guide for definitions and held assumptions.</x:t>
        </x:r>
      </x:text>
    </x:comment>
    <x:comment ref="E42" authorId="0">
      <x:text>
        <x:r>
          <x:t>Reverse WACC. Formula: =IF(G41&gt;$E$9,E41,F41)
Review selected-case observations and Model Guide for definitions and held assumptions.</x:t>
        </x:r>
      </x:text>
    </x:comment>
    <x:comment ref="F42" authorId="0">
      <x:text>
        <x:r>
          <x:t>Reverse WACC. Formula: =(D42+E42)/2
Review selected-case observations and Model Guide for definitions and held assumptions.</x:t>
        </x:r>
      </x:text>
    </x:comment>
    <x:comment ref="G42" authorId="0">
      <x:text>
        <x:r>
          <x:t>Reverse WACC. Formula: =(SUM((('Forecast'!E12)*(('Assumptions'!E37+(0))*(1-'Assumptions'!E42-(0))+'Assumptions'!E47-'Assumptions'!E52*(1)+'Assumptions'!E57-'Assumptions'!E62*(1)-'Assumptions'!E67-(0))+('Working Capital'!$E$6))*'DCF'!E12/(1+(F42))^'DCF'!E13,(('Forecast'!F12)*(('Assumptions'!F37+(0))*(1-'Assumptions'!F42-(0))+'Assumptions'!F47-'Assumptions'!F52*(1)+'Assumptions'!F57-'Assumptions'!F62*(1)-'Assumptions'!F67-(0))+(('Forecast'!E12)*('Assumptions'!E67+(0))))*'DCF'!F12/(1+(F42))^'DCF'!F13,(('Forecast'!G12)*(('Assumptions'!G37+(0))*(1-'Assumptions'!G42-(0))+'Assumptions'!G47-'Assumptions'!G52*(1)+'Assumptions'!G57-'Assumptions'!G62*(1)-'Assumptions'!G67-(0))+(('Forecast'!F12)*('Assumptions'!F67+(0))))*'DCF'!G12/(1+(F42))^'DCF'!G13,(('Forecast'!H12)*(('Assumptions'!H37+(0))*(1-'Assumptions'!H42-(0))+'Assumptions'!H47-'Assumptions'!H52*(1)+'Assumptions'!H57-'Assumptions'!H62*(1)-'Assumptions'!H67-(0))+(('Forecast'!G12)*('Assumptions'!G67+(0))))*'DCF'!H12/(1+(F42))^'DCF'!H13,(('Forecast'!I12)*(('Assumptions'!I37+(0))*(1-'Assumptions'!I42-(0))+'Assumptions'!I47-'Assumptions'!I52*(1)+'Assumptions'!I57-'Assumptions'!I62*(1)-'Assumptions'!I67-(0))+(('Forecast'!H12)*('Assumptions'!H67+(0))))*'DCF'!I12/(1+(F42))^'DCF'!I13)+('Forecast'!I12)*(1+('DCF'!$E$7))*('Terminal Value'!$E$10+(0))*(1-'Assumptions'!$E$15-(0))*(1-('DCF'!$E$7)/('Terminal Value'!$E$12))/((F42)-('DCF'!$E$7))/(1+(F42))^'DCF'!$E$19)
Review selected-case observations and Model Guide for definitions and held assumptions.</x:t>
        </x:r>
      </x:text>
    </x:comment>
    <x:comment ref="H42" authorId="0">
      <x:text>
        <x:r>
          <x:t>Reverse WACC. Formula: =G42-$E$9
Review selected-case observations and Model Guide for definitions and held assumptions.</x:t>
        </x:r>
      </x:text>
    </x:comment>
    <x:comment ref="C43" authorId="0">
      <x:text>
        <x:r>
          <x:t>Reverse WACC. Editable source or analyst input.
Review selected-case observations and Model Guide for definitions and held assumptions.</x:t>
        </x:r>
      </x:text>
    </x:comment>
    <x:comment ref="D43" authorId="0">
      <x:text>
        <x:r>
          <x:t>Reverse WACC. Formula: =IF(G42&gt;$E$9,F42,D42)
Review selected-case observations and Model Guide for definitions and held assumptions.</x:t>
        </x:r>
      </x:text>
    </x:comment>
    <x:comment ref="E43" authorId="0">
      <x:text>
        <x:r>
          <x:t>Reverse WACC. Formula: =IF(G42&gt;$E$9,E42,F42)
Review selected-case observations and Model Guide for definitions and held assumptions.</x:t>
        </x:r>
      </x:text>
    </x:comment>
    <x:comment ref="F43" authorId="0">
      <x:text>
        <x:r>
          <x:t>Reverse WACC. Formula: =(D43+E43)/2
Review selected-case observations and Model Guide for definitions and held assumptions.</x:t>
        </x:r>
      </x:text>
    </x:comment>
    <x:comment ref="G43" authorId="0">
      <x:text>
        <x:r>
          <x:t>Reverse WACC. Formula: =(SUM((('Forecast'!E12)*(('Assumptions'!E37+(0))*(1-'Assumptions'!E42-(0))+'Assumptions'!E47-'Assumptions'!E52*(1)+'Assumptions'!E57-'Assumptions'!E62*(1)-'Assumptions'!E67-(0))+('Working Capital'!$E$6))*'DCF'!E12/(1+(F43))^'DCF'!E13,(('Forecast'!F12)*(('Assumptions'!F37+(0))*(1-'Assumptions'!F42-(0))+'Assumptions'!F47-'Assumptions'!F52*(1)+'Assumptions'!F57-'Assumptions'!F62*(1)-'Assumptions'!F67-(0))+(('Forecast'!E12)*('Assumptions'!E67+(0))))*'DCF'!F12/(1+(F43))^'DCF'!F13,(('Forecast'!G12)*(('Assumptions'!G37+(0))*(1-'Assumptions'!G42-(0))+'Assumptions'!G47-'Assumptions'!G52*(1)+'Assumptions'!G57-'Assumptions'!G62*(1)-'Assumptions'!G67-(0))+(('Forecast'!F12)*('Assumptions'!F67+(0))))*'DCF'!G12/(1+(F43))^'DCF'!G13,(('Forecast'!H12)*(('Assumptions'!H37+(0))*(1-'Assumptions'!H42-(0))+'Assumptions'!H47-'Assumptions'!H52*(1)+'Assumptions'!H57-'Assumptions'!H62*(1)-'Assumptions'!H67-(0))+(('Forecast'!G12)*('Assumptions'!G67+(0))))*'DCF'!H12/(1+(F43))^'DCF'!H13,(('Forecast'!I12)*(('Assumptions'!I37+(0))*(1-'Assumptions'!I42-(0))+'Assumptions'!I47-'Assumptions'!I52*(1)+'Assumptions'!I57-'Assumptions'!I62*(1)-'Assumptions'!I67-(0))+(('Forecast'!H12)*('Assumptions'!H67+(0))))*'DCF'!I12/(1+(F43))^'DCF'!I13)+('Forecast'!I12)*(1+('DCF'!$E$7))*('Terminal Value'!$E$10+(0))*(1-'Assumptions'!$E$15-(0))*(1-('DCF'!$E$7)/('Terminal Value'!$E$12))/((F43)-('DCF'!$E$7))/(1+(F43))^'DCF'!$E$19)
Review selected-case observations and Model Guide for definitions and held assumptions.</x:t>
        </x:r>
      </x:text>
    </x:comment>
    <x:comment ref="H43" authorId="0">
      <x:text>
        <x:r>
          <x:t>Reverse WACC. Formula: =G43-$E$9
Review selected-case observations and Model Guide for definitions and held assumptions.</x:t>
        </x:r>
      </x:text>
    </x:comment>
    <x:comment ref="C44" authorId="0">
      <x:text>
        <x:r>
          <x:t>Reverse WACC. Editable source or analyst input.
Review selected-case observations and Model Guide for definitions and held assumptions.</x:t>
        </x:r>
      </x:text>
    </x:comment>
    <x:comment ref="D44" authorId="0">
      <x:text>
        <x:r>
          <x:t>Reverse WACC. Formula: =IF(G43&gt;$E$9,F43,D43)
Review selected-case observations and Model Guide for definitions and held assumptions.</x:t>
        </x:r>
      </x:text>
    </x:comment>
    <x:comment ref="E44" authorId="0">
      <x:text>
        <x:r>
          <x:t>Reverse WACC. Formula: =IF(G43&gt;$E$9,E43,F43)
Review selected-case observations and Model Guide for definitions and held assumptions.</x:t>
        </x:r>
      </x:text>
    </x:comment>
    <x:comment ref="F44" authorId="0">
      <x:text>
        <x:r>
          <x:t>Reverse WACC. Formula: =(D44+E44)/2
Review selected-case observations and Model Guide for definitions and held assumptions.</x:t>
        </x:r>
      </x:text>
    </x:comment>
    <x:comment ref="G44" authorId="0">
      <x:text>
        <x:r>
          <x:t>Reverse WACC. Formula: =(SUM((('Forecast'!E12)*(('Assumptions'!E37+(0))*(1-'Assumptions'!E42-(0))+'Assumptions'!E47-'Assumptions'!E52*(1)+'Assumptions'!E57-'Assumptions'!E62*(1)-'Assumptions'!E67-(0))+('Working Capital'!$E$6))*'DCF'!E12/(1+(F44))^'DCF'!E13,(('Forecast'!F12)*(('Assumptions'!F37+(0))*(1-'Assumptions'!F42-(0))+'Assumptions'!F47-'Assumptions'!F52*(1)+'Assumptions'!F57-'Assumptions'!F62*(1)-'Assumptions'!F67-(0))+(('Forecast'!E12)*('Assumptions'!E67+(0))))*'DCF'!F12/(1+(F44))^'DCF'!F13,(('Forecast'!G12)*(('Assumptions'!G37+(0))*(1-'Assumptions'!G42-(0))+'Assumptions'!G47-'Assumptions'!G52*(1)+'Assumptions'!G57-'Assumptions'!G62*(1)-'Assumptions'!G67-(0))+(('Forecast'!F12)*('Assumptions'!F67+(0))))*'DCF'!G12/(1+(F44))^'DCF'!G13,(('Forecast'!H12)*(('Assumptions'!H37+(0))*(1-'Assumptions'!H42-(0))+'Assumptions'!H47-'Assumptions'!H52*(1)+'Assumptions'!H57-'Assumptions'!H62*(1)-'Assumptions'!H67-(0))+(('Forecast'!G12)*('Assumptions'!G67+(0))))*'DCF'!H12/(1+(F44))^'DCF'!H13,(('Forecast'!I12)*(('Assumptions'!I37+(0))*(1-'Assumptions'!I42-(0))+'Assumptions'!I47-'Assumptions'!I52*(1)+'Assumptions'!I57-'Assumptions'!I62*(1)-'Assumptions'!I67-(0))+(('Forecast'!H12)*('Assumptions'!H67+(0))))*'DCF'!I12/(1+(F44))^'DCF'!I13)+('Forecast'!I12)*(1+('DCF'!$E$7))*('Terminal Value'!$E$10+(0))*(1-'Assumptions'!$E$15-(0))*(1-('DCF'!$E$7)/('Terminal Value'!$E$12))/((F44)-('DCF'!$E$7))/(1+(F44))^'DCF'!$E$19)
Review selected-case observations and Model Guide for definitions and held assumptions.</x:t>
        </x:r>
      </x:text>
    </x:comment>
    <x:comment ref="H44" authorId="0">
      <x:text>
        <x:r>
          <x:t>Reverse WACC. Formula: =G44-$E$9
Review selected-case observations and Model Guide for definitions and held assumptions.</x:t>
        </x:r>
      </x:text>
    </x:comment>
    <x:comment ref="C45" authorId="0">
      <x:text>
        <x:r>
          <x:t>Reverse WACC. Editable source or analyst input.
Review selected-case observations and Model Guide for definitions and held assumptions.</x:t>
        </x:r>
      </x:text>
    </x:comment>
    <x:comment ref="D45" authorId="0">
      <x:text>
        <x:r>
          <x:t>Reverse WACC. Formula: =IF(G44&gt;$E$9,F44,D44)
Review selected-case observations and Model Guide for definitions and held assumptions.</x:t>
        </x:r>
      </x:text>
    </x:comment>
    <x:comment ref="E45" authorId="0">
      <x:text>
        <x:r>
          <x:t>Reverse WACC. Formula: =IF(G44&gt;$E$9,E44,F44)
Review selected-case observations and Model Guide for definitions and held assumptions.</x:t>
        </x:r>
      </x:text>
    </x:comment>
    <x:comment ref="F45" authorId="0">
      <x:text>
        <x:r>
          <x:t>Reverse WACC. Formula: =(D45+E45)/2
Review selected-case observations and Model Guide for definitions and held assumptions.</x:t>
        </x:r>
      </x:text>
    </x:comment>
    <x:comment ref="G45" authorId="0">
      <x:text>
        <x:r>
          <x:t>Reverse WACC. Formula: =(SUM((('Forecast'!E12)*(('Assumptions'!E37+(0))*(1-'Assumptions'!E42-(0))+'Assumptions'!E47-'Assumptions'!E52*(1)+'Assumptions'!E57-'Assumptions'!E62*(1)-'Assumptions'!E67-(0))+('Working Capital'!$E$6))*'DCF'!E12/(1+(F45))^'DCF'!E13,(('Forecast'!F12)*(('Assumptions'!F37+(0))*(1-'Assumptions'!F42-(0))+'Assumptions'!F47-'Assumptions'!F52*(1)+'Assumptions'!F57-'Assumptions'!F62*(1)-'Assumptions'!F67-(0))+(('Forecast'!E12)*('Assumptions'!E67+(0))))*'DCF'!F12/(1+(F45))^'DCF'!F13,(('Forecast'!G12)*(('Assumptions'!G37+(0))*(1-'Assumptions'!G42-(0))+'Assumptions'!G47-'Assumptions'!G52*(1)+'Assumptions'!G57-'Assumptions'!G62*(1)-'Assumptions'!G67-(0))+(('Forecast'!F12)*('Assumptions'!F67+(0))))*'DCF'!G12/(1+(F45))^'DCF'!G13,(('Forecast'!H12)*(('Assumptions'!H37+(0))*(1-'Assumptions'!H42-(0))+'Assumptions'!H47-'Assumptions'!H52*(1)+'Assumptions'!H57-'Assumptions'!H62*(1)-'Assumptions'!H67-(0))+(('Forecast'!G12)*('Assumptions'!G67+(0))))*'DCF'!H12/(1+(F45))^'DCF'!H13,(('Forecast'!I12)*(('Assumptions'!I37+(0))*(1-'Assumptions'!I42-(0))+'Assumptions'!I47-'Assumptions'!I52*(1)+'Assumptions'!I57-'Assumptions'!I62*(1)-'Assumptions'!I67-(0))+(('Forecast'!H12)*('Assumptions'!H67+(0))))*'DCF'!I12/(1+(F45))^'DCF'!I13)+('Forecast'!I12)*(1+('DCF'!$E$7))*('Terminal Value'!$E$10+(0))*(1-'Assumptions'!$E$15-(0))*(1-('DCF'!$E$7)/('Terminal Value'!$E$12))/((F45)-('DCF'!$E$7))/(1+(F45))^'DCF'!$E$19)
Review selected-case observations and Model Guide for definitions and held assumptions.</x:t>
        </x:r>
      </x:text>
    </x:comment>
    <x:comment ref="H45" authorId="0">
      <x:text>
        <x:r>
          <x:t>Reverse WACC. Formula: =G45-$E$9
Review selected-case observations and Model Guide for definitions and held assumptions.</x:t>
        </x:r>
      </x:text>
    </x:comment>
    <x:comment ref="C46" authorId="0">
      <x:text>
        <x:r>
          <x:t>Reverse WACC. Editable source or analyst input.
Review selected-case observations and Model Guide for definitions and held assumptions.</x:t>
        </x:r>
      </x:text>
    </x:comment>
    <x:comment ref="D46" authorId="0">
      <x:text>
        <x:r>
          <x:t>Reverse WACC. Formula: =IF(G45&gt;$E$9,F45,D45)
Review selected-case observations and Model Guide for definitions and held assumptions.</x:t>
        </x:r>
      </x:text>
    </x:comment>
    <x:comment ref="E46" authorId="0">
      <x:text>
        <x:r>
          <x:t>Reverse WACC. Formula: =IF(G45&gt;$E$9,E45,F45)
Review selected-case observations and Model Guide for definitions and held assumptions.</x:t>
        </x:r>
      </x:text>
    </x:comment>
    <x:comment ref="F46" authorId="0">
      <x:text>
        <x:r>
          <x:t>Reverse WACC. Formula: =(D46+E46)/2
Review selected-case observations and Model Guide for definitions and held assumptions.</x:t>
        </x:r>
      </x:text>
    </x:comment>
    <x:comment ref="G46" authorId="0">
      <x:text>
        <x:r>
          <x:t>Reverse WACC. Formula: =(SUM((('Forecast'!E12)*(('Assumptions'!E37+(0))*(1-'Assumptions'!E42-(0))+'Assumptions'!E47-'Assumptions'!E52*(1)+'Assumptions'!E57-'Assumptions'!E62*(1)-'Assumptions'!E67-(0))+('Working Capital'!$E$6))*'DCF'!E12/(1+(F46))^'DCF'!E13,(('Forecast'!F12)*(('Assumptions'!F37+(0))*(1-'Assumptions'!F42-(0))+'Assumptions'!F47-'Assumptions'!F52*(1)+'Assumptions'!F57-'Assumptions'!F62*(1)-'Assumptions'!F67-(0))+(('Forecast'!E12)*('Assumptions'!E67+(0))))*'DCF'!F12/(1+(F46))^'DCF'!F13,(('Forecast'!G12)*(('Assumptions'!G37+(0))*(1-'Assumptions'!G42-(0))+'Assumptions'!G47-'Assumptions'!G52*(1)+'Assumptions'!G57-'Assumptions'!G62*(1)-'Assumptions'!G67-(0))+(('Forecast'!F12)*('Assumptions'!F67+(0))))*'DCF'!G12/(1+(F46))^'DCF'!G13,(('Forecast'!H12)*(('Assumptions'!H37+(0))*(1-'Assumptions'!H42-(0))+'Assumptions'!H47-'Assumptions'!H52*(1)+'Assumptions'!H57-'Assumptions'!H62*(1)-'Assumptions'!H67-(0))+(('Forecast'!G12)*('Assumptions'!G67+(0))))*'DCF'!H12/(1+(F46))^'DCF'!H13,(('Forecast'!I12)*(('Assumptions'!I37+(0))*(1-'Assumptions'!I42-(0))+'Assumptions'!I47-'Assumptions'!I52*(1)+'Assumptions'!I57-'Assumptions'!I62*(1)-'Assumptions'!I67-(0))+(('Forecast'!H12)*('Assumptions'!H67+(0))))*'DCF'!I12/(1+(F46))^'DCF'!I13)+('Forecast'!I12)*(1+('DCF'!$E$7))*('Terminal Value'!$E$10+(0))*(1-'Assumptions'!$E$15-(0))*(1-('DCF'!$E$7)/('Terminal Value'!$E$12))/((F46)-('DCF'!$E$7))/(1+(F46))^'DCF'!$E$19)
Review selected-case observations and Model Guide for definitions and held assumptions.</x:t>
        </x:r>
      </x:text>
    </x:comment>
    <x:comment ref="H46" authorId="0">
      <x:text>
        <x:r>
          <x:t>Reverse WACC. Formula: =G46-$E$9
Review selected-case observations and Model Guide for definitions and held assumptions.</x:t>
        </x:r>
      </x:text>
    </x:comment>
    <x:comment ref="C47" authorId="0">
      <x:text>
        <x:r>
          <x:t>Reverse WACC. Editable source or analyst input.
Review selected-case observations and Model Guide for definitions and held assumptions.</x:t>
        </x:r>
      </x:text>
    </x:comment>
    <x:comment ref="D47" authorId="0">
      <x:text>
        <x:r>
          <x:t>Reverse WACC. Formula: =IF(G46&gt;$E$9,F46,D46)
Review selected-case observations and Model Guide for definitions and held assumptions.</x:t>
        </x:r>
      </x:text>
    </x:comment>
    <x:comment ref="E47" authorId="0">
      <x:text>
        <x:r>
          <x:t>Reverse WACC. Formula: =IF(G46&gt;$E$9,E46,F46)
Review selected-case observations and Model Guide for definitions and held assumptions.</x:t>
        </x:r>
      </x:text>
    </x:comment>
    <x:comment ref="F47" authorId="0">
      <x:text>
        <x:r>
          <x:t>Reverse WACC. Formula: =(D47+E47)/2
Review selected-case observations and Model Guide for definitions and held assumptions.</x:t>
        </x:r>
      </x:text>
    </x:comment>
    <x:comment ref="G47" authorId="0">
      <x:text>
        <x:r>
          <x:t>Reverse WACC. Formula: =(SUM((('Forecast'!E12)*(('Assumptions'!E37+(0))*(1-'Assumptions'!E42-(0))+'Assumptions'!E47-'Assumptions'!E52*(1)+'Assumptions'!E57-'Assumptions'!E62*(1)-'Assumptions'!E67-(0))+('Working Capital'!$E$6))*'DCF'!E12/(1+(F47))^'DCF'!E13,(('Forecast'!F12)*(('Assumptions'!F37+(0))*(1-'Assumptions'!F42-(0))+'Assumptions'!F47-'Assumptions'!F52*(1)+'Assumptions'!F57-'Assumptions'!F62*(1)-'Assumptions'!F67-(0))+(('Forecast'!E12)*('Assumptions'!E67+(0))))*'DCF'!F12/(1+(F47))^'DCF'!F13,(('Forecast'!G12)*(('Assumptions'!G37+(0))*(1-'Assumptions'!G42-(0))+'Assumptions'!G47-'Assumptions'!G52*(1)+'Assumptions'!G57-'Assumptions'!G62*(1)-'Assumptions'!G67-(0))+(('Forecast'!F12)*('Assumptions'!F67+(0))))*'DCF'!G12/(1+(F47))^'DCF'!G13,(('Forecast'!H12)*(('Assumptions'!H37+(0))*(1-'Assumptions'!H42-(0))+'Assumptions'!H47-'Assumptions'!H52*(1)+'Assumptions'!H57-'Assumptions'!H62*(1)-'Assumptions'!H67-(0))+(('Forecast'!G12)*('Assumptions'!G67+(0))))*'DCF'!H12/(1+(F47))^'DCF'!H13,(('Forecast'!I12)*(('Assumptions'!I37+(0))*(1-'Assumptions'!I42-(0))+'Assumptions'!I47-'Assumptions'!I52*(1)+'Assumptions'!I57-'Assumptions'!I62*(1)-'Assumptions'!I67-(0))+(('Forecast'!H12)*('Assumptions'!H67+(0))))*'DCF'!I12/(1+(F47))^'DCF'!I13)+('Forecast'!I12)*(1+('DCF'!$E$7))*('Terminal Value'!$E$10+(0))*(1-'Assumptions'!$E$15-(0))*(1-('DCF'!$E$7)/('Terminal Value'!$E$12))/((F47)-('DCF'!$E$7))/(1+(F47))^'DCF'!$E$19)
Review selected-case observations and Model Guide for definitions and held assumptions.</x:t>
        </x:r>
      </x:text>
    </x:comment>
    <x:comment ref="H47" authorId="0">
      <x:text>
        <x:r>
          <x:t>Reverse WACC. Formula: =G47-$E$9
Review selected-case observations and Model Guide for definitions and held assumptions.</x:t>
        </x:r>
      </x:text>
    </x:comment>
    <x:comment ref="C48" authorId="0">
      <x:text>
        <x:r>
          <x:t>Reverse WACC. Editable source or analyst input.
Review selected-case observations and Model Guide for definitions and held assumptions.</x:t>
        </x:r>
      </x:text>
    </x:comment>
    <x:comment ref="D48" authorId="0">
      <x:text>
        <x:r>
          <x:t>Reverse WACC. Formula: =IF(G47&gt;$E$9,F47,D47)
Review selected-case observations and Model Guide for definitions and held assumptions.</x:t>
        </x:r>
      </x:text>
    </x:comment>
    <x:comment ref="E48" authorId="0">
      <x:text>
        <x:r>
          <x:t>Reverse WACC. Formula: =IF(G47&gt;$E$9,E47,F47)
Review selected-case observations and Model Guide for definitions and held assumptions.</x:t>
        </x:r>
      </x:text>
    </x:comment>
    <x:comment ref="F48" authorId="0">
      <x:text>
        <x:r>
          <x:t>Reverse WACC. Formula: =(D48+E48)/2
Review selected-case observations and Model Guide for definitions and held assumptions.</x:t>
        </x:r>
      </x:text>
    </x:comment>
    <x:comment ref="G48" authorId="0">
      <x:text>
        <x:r>
          <x:t>Reverse WACC. Formula: =(SUM((('Forecast'!E12)*(('Assumptions'!E37+(0))*(1-'Assumptions'!E42-(0))+'Assumptions'!E47-'Assumptions'!E52*(1)+'Assumptions'!E57-'Assumptions'!E62*(1)-'Assumptions'!E67-(0))+('Working Capital'!$E$6))*'DCF'!E12/(1+(F48))^'DCF'!E13,(('Forecast'!F12)*(('Assumptions'!F37+(0))*(1-'Assumptions'!F42-(0))+'Assumptions'!F47-'Assumptions'!F52*(1)+'Assumptions'!F57-'Assumptions'!F62*(1)-'Assumptions'!F67-(0))+(('Forecast'!E12)*('Assumptions'!E67+(0))))*'DCF'!F12/(1+(F48))^'DCF'!F13,(('Forecast'!G12)*(('Assumptions'!G37+(0))*(1-'Assumptions'!G42-(0))+'Assumptions'!G47-'Assumptions'!G52*(1)+'Assumptions'!G57-'Assumptions'!G62*(1)-'Assumptions'!G67-(0))+(('Forecast'!F12)*('Assumptions'!F67+(0))))*'DCF'!G12/(1+(F48))^'DCF'!G13,(('Forecast'!H12)*(('Assumptions'!H37+(0))*(1-'Assumptions'!H42-(0))+'Assumptions'!H47-'Assumptions'!H52*(1)+'Assumptions'!H57-'Assumptions'!H62*(1)-'Assumptions'!H67-(0))+(('Forecast'!G12)*('Assumptions'!G67+(0))))*'DCF'!H12/(1+(F48))^'DCF'!H13,(('Forecast'!I12)*(('Assumptions'!I37+(0))*(1-'Assumptions'!I42-(0))+'Assumptions'!I47-'Assumptions'!I52*(1)+'Assumptions'!I57-'Assumptions'!I62*(1)-'Assumptions'!I67-(0))+(('Forecast'!H12)*('Assumptions'!H67+(0))))*'DCF'!I12/(1+(F48))^'DCF'!I13)+('Forecast'!I12)*(1+('DCF'!$E$7))*('Terminal Value'!$E$10+(0))*(1-'Assumptions'!$E$15-(0))*(1-('DCF'!$E$7)/('Terminal Value'!$E$12))/((F48)-('DCF'!$E$7))/(1+(F48))^'DCF'!$E$19)
Review selected-case observations and Model Guide for definitions and held assumptions.</x:t>
        </x:r>
      </x:text>
    </x:comment>
    <x:comment ref="H48" authorId="0">
      <x:text>
        <x:r>
          <x:t>Reverse WACC. Formula: =G48-$E$9
Review selected-case observations and Model Guide for definitions and held assumptions.</x:t>
        </x:r>
      </x:text>
    </x:comment>
    <x:comment ref="C49" authorId="0">
      <x:text>
        <x:r>
          <x:t>Reverse WACC. Editable source or analyst input.
Review selected-case observations and Model Guide for definitions and held assumptions.</x:t>
        </x:r>
      </x:text>
    </x:comment>
    <x:comment ref="D49" authorId="0">
      <x:text>
        <x:r>
          <x:t>Reverse WACC. Formula: =IF(G48&gt;$E$9,F48,D48)
Review selected-case observations and Model Guide for definitions and held assumptions.</x:t>
        </x:r>
      </x:text>
    </x:comment>
    <x:comment ref="E49" authorId="0">
      <x:text>
        <x:r>
          <x:t>Reverse WACC. Formula: =IF(G48&gt;$E$9,E48,F48)
Review selected-case observations and Model Guide for definitions and held assumptions.</x:t>
        </x:r>
      </x:text>
    </x:comment>
    <x:comment ref="F49" authorId="0">
      <x:text>
        <x:r>
          <x:t>Reverse WACC. Formula: =(D49+E49)/2
Review selected-case observations and Model Guide for definitions and held assumptions.</x:t>
        </x:r>
      </x:text>
    </x:comment>
    <x:comment ref="G49" authorId="0">
      <x:text>
        <x:r>
          <x:t>Reverse WACC. Formula: =(SUM((('Forecast'!E12)*(('Assumptions'!E37+(0))*(1-'Assumptions'!E42-(0))+'Assumptions'!E47-'Assumptions'!E52*(1)+'Assumptions'!E57-'Assumptions'!E62*(1)-'Assumptions'!E67-(0))+('Working Capital'!$E$6))*'DCF'!E12/(1+(F49))^'DCF'!E13,(('Forecast'!F12)*(('Assumptions'!F37+(0))*(1-'Assumptions'!F42-(0))+'Assumptions'!F47-'Assumptions'!F52*(1)+'Assumptions'!F57-'Assumptions'!F62*(1)-'Assumptions'!F67-(0))+(('Forecast'!E12)*('Assumptions'!E67+(0))))*'DCF'!F12/(1+(F49))^'DCF'!F13,(('Forecast'!G12)*(('Assumptions'!G37+(0))*(1-'Assumptions'!G42-(0))+'Assumptions'!G47-'Assumptions'!G52*(1)+'Assumptions'!G57-'Assumptions'!G62*(1)-'Assumptions'!G67-(0))+(('Forecast'!F12)*('Assumptions'!F67+(0))))*'DCF'!G12/(1+(F49))^'DCF'!G13,(('Forecast'!H12)*(('Assumptions'!H37+(0))*(1-'Assumptions'!H42-(0))+'Assumptions'!H47-'Assumptions'!H52*(1)+'Assumptions'!H57-'Assumptions'!H62*(1)-'Assumptions'!H67-(0))+(('Forecast'!G12)*('Assumptions'!G67+(0))))*'DCF'!H12/(1+(F49))^'DCF'!H13,(('Forecast'!I12)*(('Assumptions'!I37+(0))*(1-'Assumptions'!I42-(0))+'Assumptions'!I47-'Assumptions'!I52*(1)+'Assumptions'!I57-'Assumptions'!I62*(1)-'Assumptions'!I67-(0))+(('Forecast'!H12)*('Assumptions'!H67+(0))))*'DCF'!I12/(1+(F49))^'DCF'!I13)+('Forecast'!I12)*(1+('DCF'!$E$7))*('Terminal Value'!$E$10+(0))*(1-'Assumptions'!$E$15-(0))*(1-('DCF'!$E$7)/('Terminal Value'!$E$12))/((F49)-('DCF'!$E$7))/(1+(F49))^'DCF'!$E$19)
Review selected-case observations and Model Guide for definitions and held assumptions.</x:t>
        </x:r>
      </x:text>
    </x:comment>
    <x:comment ref="H49" authorId="0">
      <x:text>
        <x:r>
          <x:t>Reverse WACC. Formula: =G49-$E$9
Review selected-case observations and Model Guide for definitions and held assumptions.</x:t>
        </x:r>
      </x:text>
    </x:comment>
    <x:comment ref="C50" authorId="0">
      <x:text>
        <x:r>
          <x:t>Reverse WACC. Editable source or analyst input.
Review selected-case observations and Model Guide for definitions and held assumptions.</x:t>
        </x:r>
      </x:text>
    </x:comment>
    <x:comment ref="D50" authorId="0">
      <x:text>
        <x:r>
          <x:t>Reverse WACC. Formula: =IF(G49&gt;$E$9,F49,D49)
Review selected-case observations and Model Guide for definitions and held assumptions.</x:t>
        </x:r>
      </x:text>
    </x:comment>
    <x:comment ref="E50" authorId="0">
      <x:text>
        <x:r>
          <x:t>Reverse WACC. Formula: =IF(G49&gt;$E$9,E49,F49)
Review selected-case observations and Model Guide for definitions and held assumptions.</x:t>
        </x:r>
      </x:text>
    </x:comment>
    <x:comment ref="F50" authorId="0">
      <x:text>
        <x:r>
          <x:t>Reverse WACC. Formula: =(D50+E50)/2
Review selected-case observations and Model Guide for definitions and held assumptions.</x:t>
        </x:r>
      </x:text>
    </x:comment>
    <x:comment ref="G50" authorId="0">
      <x:text>
        <x:r>
          <x:t>Reverse WACC. Formula: =(SUM((('Forecast'!E12)*(('Assumptions'!E37+(0))*(1-'Assumptions'!E42-(0))+'Assumptions'!E47-'Assumptions'!E52*(1)+'Assumptions'!E57-'Assumptions'!E62*(1)-'Assumptions'!E67-(0))+('Working Capital'!$E$6))*'DCF'!E12/(1+(F50))^'DCF'!E13,(('Forecast'!F12)*(('Assumptions'!F37+(0))*(1-'Assumptions'!F42-(0))+'Assumptions'!F47-'Assumptions'!F52*(1)+'Assumptions'!F57-'Assumptions'!F62*(1)-'Assumptions'!F67-(0))+(('Forecast'!E12)*('Assumptions'!E67+(0))))*'DCF'!F12/(1+(F50))^'DCF'!F13,(('Forecast'!G12)*(('Assumptions'!G37+(0))*(1-'Assumptions'!G42-(0))+'Assumptions'!G47-'Assumptions'!G52*(1)+'Assumptions'!G57-'Assumptions'!G62*(1)-'Assumptions'!G67-(0))+(('Forecast'!F12)*('Assumptions'!F67+(0))))*'DCF'!G12/(1+(F50))^'DCF'!G13,(('Forecast'!H12)*(('Assumptions'!H37+(0))*(1-'Assumptions'!H42-(0))+'Assumptions'!H47-'Assumptions'!H52*(1)+'Assumptions'!H57-'Assumptions'!H62*(1)-'Assumptions'!H67-(0))+(('Forecast'!G12)*('Assumptions'!G67+(0))))*'DCF'!H12/(1+(F50))^'DCF'!H13,(('Forecast'!I12)*(('Assumptions'!I37+(0))*(1-'Assumptions'!I42-(0))+'Assumptions'!I47-'Assumptions'!I52*(1)+'Assumptions'!I57-'Assumptions'!I62*(1)-'Assumptions'!I67-(0))+(('Forecast'!H12)*('Assumptions'!H67+(0))))*'DCF'!I12/(1+(F50))^'DCF'!I13)+('Forecast'!I12)*(1+('DCF'!$E$7))*('Terminal Value'!$E$10+(0))*(1-'Assumptions'!$E$15-(0))*(1-('DCF'!$E$7)/('Terminal Value'!$E$12))/((F50)-('DCF'!$E$7))/(1+(F50))^'DCF'!$E$19)
Review selected-case observations and Model Guide for definitions and held assumptions.</x:t>
        </x:r>
      </x:text>
    </x:comment>
    <x:comment ref="H50" authorId="0">
      <x:text>
        <x:r>
          <x:t>Reverse WACC. Formula: =G50-$E$9
Review selected-case observations and Model Guide for definitions and held assumptions.</x:t>
        </x:r>
      </x:text>
    </x:comment>
    <x:comment ref="C51" authorId="0">
      <x:text>
        <x:r>
          <x:t>Reverse WACC. Editable source or analyst input.
Review selected-case observations and Model Guide for definitions and held assumptions.</x:t>
        </x:r>
      </x:text>
    </x:comment>
    <x:comment ref="D51" authorId="0">
      <x:text>
        <x:r>
          <x:t>Reverse WACC. Formula: =IF(G50&gt;$E$9,F50,D50)
Review selected-case observations and Model Guide for definitions and held assumptions.</x:t>
        </x:r>
      </x:text>
    </x:comment>
    <x:comment ref="E51" authorId="0">
      <x:text>
        <x:r>
          <x:t>Reverse WACC. Formula: =IF(G50&gt;$E$9,E50,F50)
Review selected-case observations and Model Guide for definitions and held assumptions.</x:t>
        </x:r>
      </x:text>
    </x:comment>
    <x:comment ref="F51" authorId="0">
      <x:text>
        <x:r>
          <x:t>Reverse WACC. Formula: =(D51+E51)/2
Review selected-case observations and Model Guide for definitions and held assumptions.</x:t>
        </x:r>
      </x:text>
    </x:comment>
    <x:comment ref="G51" authorId="0">
      <x:text>
        <x:r>
          <x:t>Reverse WACC. Formula: =(SUM((('Forecast'!E12)*(('Assumptions'!E37+(0))*(1-'Assumptions'!E42-(0))+'Assumptions'!E47-'Assumptions'!E52*(1)+'Assumptions'!E57-'Assumptions'!E62*(1)-'Assumptions'!E67-(0))+('Working Capital'!$E$6))*'DCF'!E12/(1+(F51))^'DCF'!E13,(('Forecast'!F12)*(('Assumptions'!F37+(0))*(1-'Assumptions'!F42-(0))+'Assumptions'!F47-'Assumptions'!F52*(1)+'Assumptions'!F57-'Assumptions'!F62*(1)-'Assumptions'!F67-(0))+(('Forecast'!E12)*('Assumptions'!E67+(0))))*'DCF'!F12/(1+(F51))^'DCF'!F13,(('Forecast'!G12)*(('Assumptions'!G37+(0))*(1-'Assumptions'!G42-(0))+'Assumptions'!G47-'Assumptions'!G52*(1)+'Assumptions'!G57-'Assumptions'!G62*(1)-'Assumptions'!G67-(0))+(('Forecast'!F12)*('Assumptions'!F67+(0))))*'DCF'!G12/(1+(F51))^'DCF'!G13,(('Forecast'!H12)*(('Assumptions'!H37+(0))*(1-'Assumptions'!H42-(0))+'Assumptions'!H47-'Assumptions'!H52*(1)+'Assumptions'!H57-'Assumptions'!H62*(1)-'Assumptions'!H67-(0))+(('Forecast'!G12)*('Assumptions'!G67+(0))))*'DCF'!H12/(1+(F51))^'DCF'!H13,(('Forecast'!I12)*(('Assumptions'!I37+(0))*(1-'Assumptions'!I42-(0))+'Assumptions'!I47-'Assumptions'!I52*(1)+'Assumptions'!I57-'Assumptions'!I62*(1)-'Assumptions'!I67-(0))+(('Forecast'!H12)*('Assumptions'!H67+(0))))*'DCF'!I12/(1+(F51))^'DCF'!I13)+('Forecast'!I12)*(1+('DCF'!$E$7))*('Terminal Value'!$E$10+(0))*(1-'Assumptions'!$E$15-(0))*(1-('DCF'!$E$7)/('Terminal Value'!$E$12))/((F51)-('DCF'!$E$7))/(1+(F51))^'DCF'!$E$19)
Review selected-case observations and Model Guide for definitions and held assumptions.</x:t>
        </x:r>
      </x:text>
    </x:comment>
    <x:comment ref="H51" authorId="0">
      <x:text>
        <x:r>
          <x:t>Reverse WACC. Formula: =G51-$E$9
Review selected-case observations and Model Guide for definitions and held assumptions.</x:t>
        </x:r>
      </x:text>
    </x:comment>
    <x:comment ref="C52" authorId="0">
      <x:text>
        <x:r>
          <x:t>Reverse WACC. Editable source or analyst input.
Review selected-case observations and Model Guide for definitions and held assumptions.</x:t>
        </x:r>
      </x:text>
    </x:comment>
    <x:comment ref="D52" authorId="0">
      <x:text>
        <x:r>
          <x:t>Reverse WACC. Formula: =IF(G51&gt;$E$9,F51,D51)
Review selected-case observations and Model Guide for definitions and held assumptions.</x:t>
        </x:r>
      </x:text>
    </x:comment>
    <x:comment ref="E52" authorId="0">
      <x:text>
        <x:r>
          <x:t>Reverse WACC. Formula: =IF(G51&gt;$E$9,E51,F51)
Review selected-case observations and Model Guide for definitions and held assumptions.</x:t>
        </x:r>
      </x:text>
    </x:comment>
    <x:comment ref="F52" authorId="0">
      <x:text>
        <x:r>
          <x:t>Reverse WACC. Formula: =(D52+E52)/2
Review selected-case observations and Model Guide for definitions and held assumptions.</x:t>
        </x:r>
      </x:text>
    </x:comment>
    <x:comment ref="G52" authorId="0">
      <x:text>
        <x:r>
          <x:t>Reverse WACC. Formula: =(SUM((('Forecast'!E12)*(('Assumptions'!E37+(0))*(1-'Assumptions'!E42-(0))+'Assumptions'!E47-'Assumptions'!E52*(1)+'Assumptions'!E57-'Assumptions'!E62*(1)-'Assumptions'!E67-(0))+('Working Capital'!$E$6))*'DCF'!E12/(1+(F52))^'DCF'!E13,(('Forecast'!F12)*(('Assumptions'!F37+(0))*(1-'Assumptions'!F42-(0))+'Assumptions'!F47-'Assumptions'!F52*(1)+'Assumptions'!F57-'Assumptions'!F62*(1)-'Assumptions'!F67-(0))+(('Forecast'!E12)*('Assumptions'!E67+(0))))*'DCF'!F12/(1+(F52))^'DCF'!F13,(('Forecast'!G12)*(('Assumptions'!G37+(0))*(1-'Assumptions'!G42-(0))+'Assumptions'!G47-'Assumptions'!G52*(1)+'Assumptions'!G57-'Assumptions'!G62*(1)-'Assumptions'!G67-(0))+(('Forecast'!F12)*('Assumptions'!F67+(0))))*'DCF'!G12/(1+(F52))^'DCF'!G13,(('Forecast'!H12)*(('Assumptions'!H37+(0))*(1-'Assumptions'!H42-(0))+'Assumptions'!H47-'Assumptions'!H52*(1)+'Assumptions'!H57-'Assumptions'!H62*(1)-'Assumptions'!H67-(0))+(('Forecast'!G12)*('Assumptions'!G67+(0))))*'DCF'!H12/(1+(F52))^'DCF'!H13,(('Forecast'!I12)*(('Assumptions'!I37+(0))*(1-'Assumptions'!I42-(0))+'Assumptions'!I47-'Assumptions'!I52*(1)+'Assumptions'!I57-'Assumptions'!I62*(1)-'Assumptions'!I67-(0))+(('Forecast'!H12)*('Assumptions'!H67+(0))))*'DCF'!I12/(1+(F52))^'DCF'!I13)+('Forecast'!I12)*(1+('DCF'!$E$7))*('Terminal Value'!$E$10+(0))*(1-'Assumptions'!$E$15-(0))*(1-('DCF'!$E$7)/('Terminal Value'!$E$12))/((F52)-('DCF'!$E$7))/(1+(F52))^'DCF'!$E$19)
Review selected-case observations and Model Guide for definitions and held assumptions.</x:t>
        </x:r>
      </x:text>
    </x:comment>
    <x:comment ref="H52" authorId="0">
      <x:text>
        <x:r>
          <x:t>Reverse WACC. Formula: =G52-$E$9
Review selected-case observations and Model Guide for definitions and held assumptions.</x:t>
        </x:r>
      </x:text>
    </x:comment>
    <x:comment ref="C53" authorId="0">
      <x:text>
        <x:r>
          <x:t>Reverse WACC. Editable source or analyst input.
Review selected-case observations and Model Guide for definitions and held assumptions.</x:t>
        </x:r>
      </x:text>
    </x:comment>
    <x:comment ref="D53" authorId="0">
      <x:text>
        <x:r>
          <x:t>Reverse WACC. Formula: =IF(G52&gt;$E$9,F52,D52)
Review selected-case observations and Model Guide for definitions and held assumptions.</x:t>
        </x:r>
      </x:text>
    </x:comment>
    <x:comment ref="E53" authorId="0">
      <x:text>
        <x:r>
          <x:t>Reverse WACC. Formula: =IF(G52&gt;$E$9,E52,F52)
Review selected-case observations and Model Guide for definitions and held assumptions.</x:t>
        </x:r>
      </x:text>
    </x:comment>
    <x:comment ref="F53" authorId="0">
      <x:text>
        <x:r>
          <x:t>Reverse WACC. Formula: =(D53+E53)/2
Review selected-case observations and Model Guide for definitions and held assumptions.</x:t>
        </x:r>
      </x:text>
    </x:comment>
    <x:comment ref="G53" authorId="0">
      <x:text>
        <x:r>
          <x:t>Reverse WACC. Formula: =(SUM((('Forecast'!E12)*(('Assumptions'!E37+(0))*(1-'Assumptions'!E42-(0))+'Assumptions'!E47-'Assumptions'!E52*(1)+'Assumptions'!E57-'Assumptions'!E62*(1)-'Assumptions'!E67-(0))+('Working Capital'!$E$6))*'DCF'!E12/(1+(F53))^'DCF'!E13,(('Forecast'!F12)*(('Assumptions'!F37+(0))*(1-'Assumptions'!F42-(0))+'Assumptions'!F47-'Assumptions'!F52*(1)+'Assumptions'!F57-'Assumptions'!F62*(1)-'Assumptions'!F67-(0))+(('Forecast'!E12)*('Assumptions'!E67+(0))))*'DCF'!F12/(1+(F53))^'DCF'!F13,(('Forecast'!G12)*(('Assumptions'!G37+(0))*(1-'Assumptions'!G42-(0))+'Assumptions'!G47-'Assumptions'!G52*(1)+'Assumptions'!G57-'Assumptions'!G62*(1)-'Assumptions'!G67-(0))+(('Forecast'!F12)*('Assumptions'!F67+(0))))*'DCF'!G12/(1+(F53))^'DCF'!G13,(('Forecast'!H12)*(('Assumptions'!H37+(0))*(1-'Assumptions'!H42-(0))+'Assumptions'!H47-'Assumptions'!H52*(1)+'Assumptions'!H57-'Assumptions'!H62*(1)-'Assumptions'!H67-(0))+(('Forecast'!G12)*('Assumptions'!G67+(0))))*'DCF'!H12/(1+(F53))^'DCF'!H13,(('Forecast'!I12)*(('Assumptions'!I37+(0))*(1-'Assumptions'!I42-(0))+'Assumptions'!I47-'Assumptions'!I52*(1)+'Assumptions'!I57-'Assumptions'!I62*(1)-'Assumptions'!I67-(0))+(('Forecast'!H12)*('Assumptions'!H67+(0))))*'DCF'!I12/(1+(F53))^'DCF'!I13)+('Forecast'!I12)*(1+('DCF'!$E$7))*('Terminal Value'!$E$10+(0))*(1-'Assumptions'!$E$15-(0))*(1-('DCF'!$E$7)/('Terminal Value'!$E$12))/((F53)-('DCF'!$E$7))/(1+(F53))^'DCF'!$E$19)
Review selected-case observations and Model Guide for definitions and held assumptions.</x:t>
        </x:r>
      </x:text>
    </x:comment>
    <x:comment ref="H53" authorId="0">
      <x:text>
        <x:r>
          <x:t>Reverse WACC. Formula: =G53-$E$9
Review selected-case observations and Model Guide for definitions and held assumptions.</x:t>
        </x:r>
      </x:text>
    </x:comment>
    <x:comment ref="C54" authorId="0">
      <x:text>
        <x:r>
          <x:t>Reverse WACC. Editable source or analyst input.
Review selected-case observations and Model Guide for definitions and held assumptions.</x:t>
        </x:r>
      </x:text>
    </x:comment>
    <x:comment ref="D54" authorId="0">
      <x:text>
        <x:r>
          <x:t>Reverse WACC. Formula: =IF(G53&gt;$E$9,F53,D53)
Review selected-case observations and Model Guide for definitions and held assumptions.</x:t>
        </x:r>
      </x:text>
    </x:comment>
    <x:comment ref="E54" authorId="0">
      <x:text>
        <x:r>
          <x:t>Reverse WACC. Formula: =IF(G53&gt;$E$9,E53,F53)
Review selected-case observations and Model Guide for definitions and held assumptions.</x:t>
        </x:r>
      </x:text>
    </x:comment>
    <x:comment ref="F54" authorId="0">
      <x:text>
        <x:r>
          <x:t>Reverse WACC. Formula: =(D54+E54)/2
Review selected-case observations and Model Guide for definitions and held assumptions.</x:t>
        </x:r>
      </x:text>
    </x:comment>
    <x:comment ref="G54" authorId="0">
      <x:text>
        <x:r>
          <x:t>Reverse WACC. Formula: =(SUM((('Forecast'!E12)*(('Assumptions'!E37+(0))*(1-'Assumptions'!E42-(0))+'Assumptions'!E47-'Assumptions'!E52*(1)+'Assumptions'!E57-'Assumptions'!E62*(1)-'Assumptions'!E67-(0))+('Working Capital'!$E$6))*'DCF'!E12/(1+(F54))^'DCF'!E13,(('Forecast'!F12)*(('Assumptions'!F37+(0))*(1-'Assumptions'!F42-(0))+'Assumptions'!F47-'Assumptions'!F52*(1)+'Assumptions'!F57-'Assumptions'!F62*(1)-'Assumptions'!F67-(0))+(('Forecast'!E12)*('Assumptions'!E67+(0))))*'DCF'!F12/(1+(F54))^'DCF'!F13,(('Forecast'!G12)*(('Assumptions'!G37+(0))*(1-'Assumptions'!G42-(0))+'Assumptions'!G47-'Assumptions'!G52*(1)+'Assumptions'!G57-'Assumptions'!G62*(1)-'Assumptions'!G67-(0))+(('Forecast'!F12)*('Assumptions'!F67+(0))))*'DCF'!G12/(1+(F54))^'DCF'!G13,(('Forecast'!H12)*(('Assumptions'!H37+(0))*(1-'Assumptions'!H42-(0))+'Assumptions'!H47-'Assumptions'!H52*(1)+'Assumptions'!H57-'Assumptions'!H62*(1)-'Assumptions'!H67-(0))+(('Forecast'!G12)*('Assumptions'!G67+(0))))*'DCF'!H12/(1+(F54))^'DCF'!H13,(('Forecast'!I12)*(('Assumptions'!I37+(0))*(1-'Assumptions'!I42-(0))+'Assumptions'!I47-'Assumptions'!I52*(1)+'Assumptions'!I57-'Assumptions'!I62*(1)-'Assumptions'!I67-(0))+(('Forecast'!H12)*('Assumptions'!H67+(0))))*'DCF'!I12/(1+(F54))^'DCF'!I13)+('Forecast'!I12)*(1+('DCF'!$E$7))*('Terminal Value'!$E$10+(0))*(1-'Assumptions'!$E$15-(0))*(1-('DCF'!$E$7)/('Terminal Value'!$E$12))/((F54)-('DCF'!$E$7))/(1+(F54))^'DCF'!$E$19)
Review selected-case observations and Model Guide for definitions and held assumptions.</x:t>
        </x:r>
      </x:text>
    </x:comment>
    <x:comment ref="H54" authorId="0">
      <x:text>
        <x:r>
          <x:t>Reverse WACC. Formula: =G54-$E$9
Review selected-case observations and Model Guide for definitions and held assumptions.</x:t>
        </x:r>
      </x:text>
    </x:comment>
    <x:comment ref="C55" authorId="0">
      <x:text>
        <x:r>
          <x:t>Reverse WACC. Editable source or analyst input.
Review selected-case observations and Model Guide for definitions and held assumptions.</x:t>
        </x:r>
      </x:text>
    </x:comment>
    <x:comment ref="D55" authorId="0">
      <x:text>
        <x:r>
          <x:t>Reverse WACC. Formula: =IF(G54&gt;$E$9,F54,D54)
Review selected-case observations and Model Guide for definitions and held assumptions.</x:t>
        </x:r>
      </x:text>
    </x:comment>
    <x:comment ref="E55" authorId="0">
      <x:text>
        <x:r>
          <x:t>Reverse WACC. Formula: =IF(G54&gt;$E$9,E54,F54)
Review selected-case observations and Model Guide for definitions and held assumptions.</x:t>
        </x:r>
      </x:text>
    </x:comment>
    <x:comment ref="F55" authorId="0">
      <x:text>
        <x:r>
          <x:t>Reverse WACC. Formula: =(D55+E55)/2
Review selected-case observations and Model Guide for definitions and held assumptions.</x:t>
        </x:r>
      </x:text>
    </x:comment>
    <x:comment ref="G55" authorId="0">
      <x:text>
        <x:r>
          <x:t>Reverse WACC. Formula: =(SUM((('Forecast'!E12)*(('Assumptions'!E37+(0))*(1-'Assumptions'!E42-(0))+'Assumptions'!E47-'Assumptions'!E52*(1)+'Assumptions'!E57-'Assumptions'!E62*(1)-'Assumptions'!E67-(0))+('Working Capital'!$E$6))*'DCF'!E12/(1+(F55))^'DCF'!E13,(('Forecast'!F12)*(('Assumptions'!F37+(0))*(1-'Assumptions'!F42-(0))+'Assumptions'!F47-'Assumptions'!F52*(1)+'Assumptions'!F57-'Assumptions'!F62*(1)-'Assumptions'!F67-(0))+(('Forecast'!E12)*('Assumptions'!E67+(0))))*'DCF'!F12/(1+(F55))^'DCF'!F13,(('Forecast'!G12)*(('Assumptions'!G37+(0))*(1-'Assumptions'!G42-(0))+'Assumptions'!G47-'Assumptions'!G52*(1)+'Assumptions'!G57-'Assumptions'!G62*(1)-'Assumptions'!G67-(0))+(('Forecast'!F12)*('Assumptions'!F67+(0))))*'DCF'!G12/(1+(F55))^'DCF'!G13,(('Forecast'!H12)*(('Assumptions'!H37+(0))*(1-'Assumptions'!H42-(0))+'Assumptions'!H47-'Assumptions'!H52*(1)+'Assumptions'!H57-'Assumptions'!H62*(1)-'Assumptions'!H67-(0))+(('Forecast'!G12)*('Assumptions'!G67+(0))))*'DCF'!H12/(1+(F55))^'DCF'!H13,(('Forecast'!I12)*(('Assumptions'!I37+(0))*(1-'Assumptions'!I42-(0))+'Assumptions'!I47-'Assumptions'!I52*(1)+'Assumptions'!I57-'Assumptions'!I62*(1)-'Assumptions'!I67-(0))+(('Forecast'!H12)*('Assumptions'!H67+(0))))*'DCF'!I12/(1+(F55))^'DCF'!I13)+('Forecast'!I12)*(1+('DCF'!$E$7))*('Terminal Value'!$E$10+(0))*(1-'Assumptions'!$E$15-(0))*(1-('DCF'!$E$7)/('Terminal Value'!$E$12))/((F55)-('DCF'!$E$7))/(1+(F55))^'DCF'!$E$19)
Review selected-case observations and Model Guide for definitions and held assumptions.</x:t>
        </x:r>
      </x:text>
    </x:comment>
    <x:comment ref="H55" authorId="0">
      <x:text>
        <x:r>
          <x:t>Reverse WACC. Formula: =G55-$E$9
Review selected-case observations and Model Guide for definitions and held assumptions.</x:t>
        </x:r>
      </x:text>
    </x:comment>
    <x:comment ref="C56" authorId="0">
      <x:text>
        <x:r>
          <x:t>Reverse WACC. Editable source or analyst input.
Review selected-case observations and Model Guide for definitions and held assumptions.</x:t>
        </x:r>
      </x:text>
    </x:comment>
    <x:comment ref="D56" authorId="0">
      <x:text>
        <x:r>
          <x:t>Reverse WACC. Formula: =IF(G55&gt;$E$9,F55,D55)
Review selected-case observations and Model Guide for definitions and held assumptions.</x:t>
        </x:r>
      </x:text>
    </x:comment>
    <x:comment ref="E56" authorId="0">
      <x:text>
        <x:r>
          <x:t>Reverse WACC. Formula: =IF(G55&gt;$E$9,E55,F55)
Review selected-case observations and Model Guide for definitions and held assumptions.</x:t>
        </x:r>
      </x:text>
    </x:comment>
    <x:comment ref="F56" authorId="0">
      <x:text>
        <x:r>
          <x:t>Reverse WACC. Formula: =(D56+E56)/2
Review selected-case observations and Model Guide for definitions and held assumptions.</x:t>
        </x:r>
      </x:text>
    </x:comment>
    <x:comment ref="G56" authorId="0">
      <x:text>
        <x:r>
          <x:t>Reverse WACC. Formula: =(SUM((('Forecast'!E12)*(('Assumptions'!E37+(0))*(1-'Assumptions'!E42-(0))+'Assumptions'!E47-'Assumptions'!E52*(1)+'Assumptions'!E57-'Assumptions'!E62*(1)-'Assumptions'!E67-(0))+('Working Capital'!$E$6))*'DCF'!E12/(1+(F56))^'DCF'!E13,(('Forecast'!F12)*(('Assumptions'!F37+(0))*(1-'Assumptions'!F42-(0))+'Assumptions'!F47-'Assumptions'!F52*(1)+'Assumptions'!F57-'Assumptions'!F62*(1)-'Assumptions'!F67-(0))+(('Forecast'!E12)*('Assumptions'!E67+(0))))*'DCF'!F12/(1+(F56))^'DCF'!F13,(('Forecast'!G12)*(('Assumptions'!G37+(0))*(1-'Assumptions'!G42-(0))+'Assumptions'!G47-'Assumptions'!G52*(1)+'Assumptions'!G57-'Assumptions'!G62*(1)-'Assumptions'!G67-(0))+(('Forecast'!F12)*('Assumptions'!F67+(0))))*'DCF'!G12/(1+(F56))^'DCF'!G13,(('Forecast'!H12)*(('Assumptions'!H37+(0))*(1-'Assumptions'!H42-(0))+'Assumptions'!H47-'Assumptions'!H52*(1)+'Assumptions'!H57-'Assumptions'!H62*(1)-'Assumptions'!H67-(0))+(('Forecast'!G12)*('Assumptions'!G67+(0))))*'DCF'!H12/(1+(F56))^'DCF'!H13,(('Forecast'!I12)*(('Assumptions'!I37+(0))*(1-'Assumptions'!I42-(0))+'Assumptions'!I47-'Assumptions'!I52*(1)+'Assumptions'!I57-'Assumptions'!I62*(1)-'Assumptions'!I67-(0))+(('Forecast'!H12)*('Assumptions'!H67+(0))))*'DCF'!I12/(1+(F56))^'DCF'!I13)+('Forecast'!I12)*(1+('DCF'!$E$7))*('Terminal Value'!$E$10+(0))*(1-'Assumptions'!$E$15-(0))*(1-('DCF'!$E$7)/('Terminal Value'!$E$12))/((F56)-('DCF'!$E$7))/(1+(F56))^'DCF'!$E$19)
Review selected-case observations and Model Guide for definitions and held assumptions.</x:t>
        </x:r>
      </x:text>
    </x:comment>
    <x:comment ref="H56" authorId="0">
      <x:text>
        <x:r>
          <x:t>Reverse WACC. Formula: =G56-$E$9
Review selected-case observations and Model Guide for definitions and held assumptions.</x:t>
        </x:r>
      </x:text>
    </x:comment>
    <x:comment ref="C57" authorId="0">
      <x:text>
        <x:r>
          <x:t>Reverse WACC. Editable source or analyst input.
Review selected-case observations and Model Guide for definitions and held assumptions.</x:t>
        </x:r>
      </x:text>
    </x:comment>
    <x:comment ref="D57" authorId="0">
      <x:text>
        <x:r>
          <x:t>Reverse WACC. Formula: =IF(G56&gt;$E$9,F56,D56)
Review selected-case observations and Model Guide for definitions and held assumptions.</x:t>
        </x:r>
      </x:text>
    </x:comment>
    <x:comment ref="E57" authorId="0">
      <x:text>
        <x:r>
          <x:t>Reverse WACC. Formula: =IF(G56&gt;$E$9,E56,F56)
Review selected-case observations and Model Guide for definitions and held assumptions.</x:t>
        </x:r>
      </x:text>
    </x:comment>
    <x:comment ref="F57" authorId="0">
      <x:text>
        <x:r>
          <x:t>Reverse WACC. Formula: =(D57+E57)/2
Review selected-case observations and Model Guide for definitions and held assumptions.</x:t>
        </x:r>
      </x:text>
    </x:comment>
    <x:comment ref="G57" authorId="0">
      <x:text>
        <x:r>
          <x:t>Reverse WACC. Formula: =(SUM((('Forecast'!E12)*(('Assumptions'!E37+(0))*(1-'Assumptions'!E42-(0))+'Assumptions'!E47-'Assumptions'!E52*(1)+'Assumptions'!E57-'Assumptions'!E62*(1)-'Assumptions'!E67-(0))+('Working Capital'!$E$6))*'DCF'!E12/(1+(F57))^'DCF'!E13,(('Forecast'!F12)*(('Assumptions'!F37+(0))*(1-'Assumptions'!F42-(0))+'Assumptions'!F47-'Assumptions'!F52*(1)+'Assumptions'!F57-'Assumptions'!F62*(1)-'Assumptions'!F67-(0))+(('Forecast'!E12)*('Assumptions'!E67+(0))))*'DCF'!F12/(1+(F57))^'DCF'!F13,(('Forecast'!G12)*(('Assumptions'!G37+(0))*(1-'Assumptions'!G42-(0))+'Assumptions'!G47-'Assumptions'!G52*(1)+'Assumptions'!G57-'Assumptions'!G62*(1)-'Assumptions'!G67-(0))+(('Forecast'!F12)*('Assumptions'!F67+(0))))*'DCF'!G12/(1+(F57))^'DCF'!G13,(('Forecast'!H12)*(('Assumptions'!H37+(0))*(1-'Assumptions'!H42-(0))+'Assumptions'!H47-'Assumptions'!H52*(1)+'Assumptions'!H57-'Assumptions'!H62*(1)-'Assumptions'!H67-(0))+(('Forecast'!G12)*('Assumptions'!G67+(0))))*'DCF'!H12/(1+(F57))^'DCF'!H13,(('Forecast'!I12)*(('Assumptions'!I37+(0))*(1-'Assumptions'!I42-(0))+'Assumptions'!I47-'Assumptions'!I52*(1)+'Assumptions'!I57-'Assumptions'!I62*(1)-'Assumptions'!I67-(0))+(('Forecast'!H12)*('Assumptions'!H67+(0))))*'DCF'!I12/(1+(F57))^'DCF'!I13)+('Forecast'!I12)*(1+('DCF'!$E$7))*('Terminal Value'!$E$10+(0))*(1-'Assumptions'!$E$15-(0))*(1-('DCF'!$E$7)/('Terminal Value'!$E$12))/((F57)-('DCF'!$E$7))/(1+(F57))^'DCF'!$E$19)
Review selected-case observations and Model Guide for definitions and held assumptions.</x:t>
        </x:r>
      </x:text>
    </x:comment>
    <x:comment ref="H57" authorId="0">
      <x:text>
        <x:r>
          <x:t>Reverse WACC. Formula: =G57-$E$9
Review selected-case observations and Model Guide for definitions and held assumptions.</x:t>
        </x:r>
      </x:text>
    </x:comment>
    <x:comment ref="C58" authorId="0">
      <x:text>
        <x:r>
          <x:t>Reverse WACC. Editable source or analyst input.
Review selected-case observations and Model Guide for definitions and held assumptions.</x:t>
        </x:r>
      </x:text>
    </x:comment>
    <x:comment ref="D58" authorId="0">
      <x:text>
        <x:r>
          <x:t>Reverse WACC. Formula: =IF(G57&gt;$E$9,F57,D57)
Review selected-case observations and Model Guide for definitions and held assumptions.</x:t>
        </x:r>
      </x:text>
    </x:comment>
    <x:comment ref="E58" authorId="0">
      <x:text>
        <x:r>
          <x:t>Reverse WACC. Formula: =IF(G57&gt;$E$9,E57,F57)
Review selected-case observations and Model Guide for definitions and held assumptions.</x:t>
        </x:r>
      </x:text>
    </x:comment>
    <x:comment ref="F58" authorId="0">
      <x:text>
        <x:r>
          <x:t>Reverse WACC. Formula: =(D58+E58)/2
Review selected-case observations and Model Guide for definitions and held assumptions.</x:t>
        </x:r>
      </x:text>
    </x:comment>
    <x:comment ref="G58" authorId="0">
      <x:text>
        <x:r>
          <x:t>Reverse WACC. Formula: =(SUM((('Forecast'!E12)*(('Assumptions'!E37+(0))*(1-'Assumptions'!E42-(0))+'Assumptions'!E47-'Assumptions'!E52*(1)+'Assumptions'!E57-'Assumptions'!E62*(1)-'Assumptions'!E67-(0))+('Working Capital'!$E$6))*'DCF'!E12/(1+(F58))^'DCF'!E13,(('Forecast'!F12)*(('Assumptions'!F37+(0))*(1-'Assumptions'!F42-(0))+'Assumptions'!F47-'Assumptions'!F52*(1)+'Assumptions'!F57-'Assumptions'!F62*(1)-'Assumptions'!F67-(0))+(('Forecast'!E12)*('Assumptions'!E67+(0))))*'DCF'!F12/(1+(F58))^'DCF'!F13,(('Forecast'!G12)*(('Assumptions'!G37+(0))*(1-'Assumptions'!G42-(0))+'Assumptions'!G47-'Assumptions'!G52*(1)+'Assumptions'!G57-'Assumptions'!G62*(1)-'Assumptions'!G67-(0))+(('Forecast'!F12)*('Assumptions'!F67+(0))))*'DCF'!G12/(1+(F58))^'DCF'!G13,(('Forecast'!H12)*(('Assumptions'!H37+(0))*(1-'Assumptions'!H42-(0))+'Assumptions'!H47-'Assumptions'!H52*(1)+'Assumptions'!H57-'Assumptions'!H62*(1)-'Assumptions'!H67-(0))+(('Forecast'!G12)*('Assumptions'!G67+(0))))*'DCF'!H12/(1+(F58))^'DCF'!H13,(('Forecast'!I12)*(('Assumptions'!I37+(0))*(1-'Assumptions'!I42-(0))+'Assumptions'!I47-'Assumptions'!I52*(1)+'Assumptions'!I57-'Assumptions'!I62*(1)-'Assumptions'!I67-(0))+(('Forecast'!H12)*('Assumptions'!H67+(0))))*'DCF'!I12/(1+(F58))^'DCF'!I13)+('Forecast'!I12)*(1+('DCF'!$E$7))*('Terminal Value'!$E$10+(0))*(1-'Assumptions'!$E$15-(0))*(1-('DCF'!$E$7)/('Terminal Value'!$E$12))/((F58)-('DCF'!$E$7))/(1+(F58))^'DCF'!$E$19)
Review selected-case observations and Model Guide for definitions and held assumptions.</x:t>
        </x:r>
      </x:text>
    </x:comment>
    <x:comment ref="H58" authorId="0">
      <x:text>
        <x:r>
          <x:t>Reverse WACC. Formula: =G58-$E$9
Review selected-case observations and Model Guide for definitions and held assumptions.</x:t>
        </x:r>
      </x:text>
    </x:comment>
    <x:comment ref="C59" authorId="0">
      <x:text>
        <x:r>
          <x:t>Reverse WACC. Editable source or analyst input.
Review selected-case observations and Model Guide for definitions and held assumptions.</x:t>
        </x:r>
      </x:text>
    </x:comment>
    <x:comment ref="D59" authorId="0">
      <x:text>
        <x:r>
          <x:t>Reverse WACC. Formula: =IF(G58&gt;$E$9,F58,D58)
Review selected-case observations and Model Guide for definitions and held assumptions.</x:t>
        </x:r>
      </x:text>
    </x:comment>
    <x:comment ref="E59" authorId="0">
      <x:text>
        <x:r>
          <x:t>Reverse WACC. Formula: =IF(G58&gt;$E$9,E58,F58)
Review selected-case observations and Model Guide for definitions and held assumptions.</x:t>
        </x:r>
      </x:text>
    </x:comment>
    <x:comment ref="F59" authorId="0">
      <x:text>
        <x:r>
          <x:t>Reverse WACC. Formula: =(D59+E59)/2
Review selected-case observations and Model Guide for definitions and held assumptions.</x:t>
        </x:r>
      </x:text>
    </x:comment>
    <x:comment ref="G59" authorId="0">
      <x:text>
        <x:r>
          <x:t>Reverse WACC. Formula: =(SUM((('Forecast'!E12)*(('Assumptions'!E37+(0))*(1-'Assumptions'!E42-(0))+'Assumptions'!E47-'Assumptions'!E52*(1)+'Assumptions'!E57-'Assumptions'!E62*(1)-'Assumptions'!E67-(0))+('Working Capital'!$E$6))*'DCF'!E12/(1+(F59))^'DCF'!E13,(('Forecast'!F12)*(('Assumptions'!F37+(0))*(1-'Assumptions'!F42-(0))+'Assumptions'!F47-'Assumptions'!F52*(1)+'Assumptions'!F57-'Assumptions'!F62*(1)-'Assumptions'!F67-(0))+(('Forecast'!E12)*('Assumptions'!E67+(0))))*'DCF'!F12/(1+(F59))^'DCF'!F13,(('Forecast'!G12)*(('Assumptions'!G37+(0))*(1-'Assumptions'!G42-(0))+'Assumptions'!G47-'Assumptions'!G52*(1)+'Assumptions'!G57-'Assumptions'!G62*(1)-'Assumptions'!G67-(0))+(('Forecast'!F12)*('Assumptions'!F67+(0))))*'DCF'!G12/(1+(F59))^'DCF'!G13,(('Forecast'!H12)*(('Assumptions'!H37+(0))*(1-'Assumptions'!H42-(0))+'Assumptions'!H47-'Assumptions'!H52*(1)+'Assumptions'!H57-'Assumptions'!H62*(1)-'Assumptions'!H67-(0))+(('Forecast'!G12)*('Assumptions'!G67+(0))))*'DCF'!H12/(1+(F59))^'DCF'!H13,(('Forecast'!I12)*(('Assumptions'!I37+(0))*(1-'Assumptions'!I42-(0))+'Assumptions'!I47-'Assumptions'!I52*(1)+'Assumptions'!I57-'Assumptions'!I62*(1)-'Assumptions'!I67-(0))+(('Forecast'!H12)*('Assumptions'!H67+(0))))*'DCF'!I12/(1+(F59))^'DCF'!I13)+('Forecast'!I12)*(1+('DCF'!$E$7))*('Terminal Value'!$E$10+(0))*(1-'Assumptions'!$E$15-(0))*(1-('DCF'!$E$7)/('Terminal Value'!$E$12))/((F59)-('DCF'!$E$7))/(1+(F59))^'DCF'!$E$19)
Review selected-case observations and Model Guide for definitions and held assumptions.</x:t>
        </x:r>
      </x:text>
    </x:comment>
    <x:comment ref="H59" authorId="0">
      <x:text>
        <x:r>
          <x:t>Reverse WACC. Formula: =G59-$E$9
Review selected-case observations and Model Guide for definitions and held assumptions.</x:t>
        </x:r>
      </x:text>
    </x:comment>
    <x:comment ref="C60" authorId="0">
      <x:text>
        <x:r>
          <x:t>Reverse WACC. Editable source or analyst input.
Review selected-case observations and Model Guide for definitions and held assumptions.</x:t>
        </x:r>
      </x:text>
    </x:comment>
    <x:comment ref="D60" authorId="0">
      <x:text>
        <x:r>
          <x:t>Reverse WACC. Formula: =IF(G59&gt;$E$9,F59,D59)
Review selected-case observations and Model Guide for definitions and held assumptions.</x:t>
        </x:r>
      </x:text>
    </x:comment>
    <x:comment ref="E60" authorId="0">
      <x:text>
        <x:r>
          <x:t>Reverse WACC. Formula: =IF(G59&gt;$E$9,E59,F59)
Review selected-case observations and Model Guide for definitions and held assumptions.</x:t>
        </x:r>
      </x:text>
    </x:comment>
    <x:comment ref="F60" authorId="0">
      <x:text>
        <x:r>
          <x:t>Reverse WACC. Formula: =(D60+E60)/2
Review selected-case observations and Model Guide for definitions and held assumptions.</x:t>
        </x:r>
      </x:text>
    </x:comment>
    <x:comment ref="G60" authorId="0">
      <x:text>
        <x:r>
          <x:t>Reverse WACC. Formula: =(SUM((('Forecast'!E12)*(('Assumptions'!E37+(0))*(1-'Assumptions'!E42-(0))+'Assumptions'!E47-'Assumptions'!E52*(1)+'Assumptions'!E57-'Assumptions'!E62*(1)-'Assumptions'!E67-(0))+('Working Capital'!$E$6))*'DCF'!E12/(1+(F60))^'DCF'!E13,(('Forecast'!F12)*(('Assumptions'!F37+(0))*(1-'Assumptions'!F42-(0))+'Assumptions'!F47-'Assumptions'!F52*(1)+'Assumptions'!F57-'Assumptions'!F62*(1)-'Assumptions'!F67-(0))+(('Forecast'!E12)*('Assumptions'!E67+(0))))*'DCF'!F12/(1+(F60))^'DCF'!F13,(('Forecast'!G12)*(('Assumptions'!G37+(0))*(1-'Assumptions'!G42-(0))+'Assumptions'!G47-'Assumptions'!G52*(1)+'Assumptions'!G57-'Assumptions'!G62*(1)-'Assumptions'!G67-(0))+(('Forecast'!F12)*('Assumptions'!F67+(0))))*'DCF'!G12/(1+(F60))^'DCF'!G13,(('Forecast'!H12)*(('Assumptions'!H37+(0))*(1-'Assumptions'!H42-(0))+'Assumptions'!H47-'Assumptions'!H52*(1)+'Assumptions'!H57-'Assumptions'!H62*(1)-'Assumptions'!H67-(0))+(('Forecast'!G12)*('Assumptions'!G67+(0))))*'DCF'!H12/(1+(F60))^'DCF'!H13,(('Forecast'!I12)*(('Assumptions'!I37+(0))*(1-'Assumptions'!I42-(0))+'Assumptions'!I47-'Assumptions'!I52*(1)+'Assumptions'!I57-'Assumptions'!I62*(1)-'Assumptions'!I67-(0))+(('Forecast'!H12)*('Assumptions'!H67+(0))))*'DCF'!I12/(1+(F60))^'DCF'!I13)+('Forecast'!I12)*(1+('DCF'!$E$7))*('Terminal Value'!$E$10+(0))*(1-'Assumptions'!$E$15-(0))*(1-('DCF'!$E$7)/('Terminal Value'!$E$12))/((F60)-('DCF'!$E$7))/(1+(F60))^'DCF'!$E$19)
Review selected-case observations and Model Guide for definitions and held assumptions.</x:t>
        </x:r>
      </x:text>
    </x:comment>
    <x:comment ref="H60" authorId="0">
      <x:text>
        <x:r>
          <x:t>Reverse WACC. Formula: =G60-$E$9
Review selected-case observations and Model Guide for definitions and held assumptions.</x:t>
        </x:r>
      </x:text>
    </x:comment>
    <x:comment ref="C61" authorId="0">
      <x:text>
        <x:r>
          <x:t>Reverse WACC. Editable source or analyst input.
Review selected-case observations and Model Guide for definitions and held assumptions.</x:t>
        </x:r>
      </x:text>
    </x:comment>
    <x:comment ref="D61" authorId="0">
      <x:text>
        <x:r>
          <x:t>Reverse WACC. Formula: =IF(G60&gt;$E$9,F60,D60)
Review selected-case observations and Model Guide for definitions and held assumptions.</x:t>
        </x:r>
      </x:text>
    </x:comment>
    <x:comment ref="E61" authorId="0">
      <x:text>
        <x:r>
          <x:t>Reverse WACC. Formula: =IF(G60&gt;$E$9,E60,F60)
Review selected-case observations and Model Guide for definitions and held assumptions.</x:t>
        </x:r>
      </x:text>
    </x:comment>
    <x:comment ref="F61" authorId="0">
      <x:text>
        <x:r>
          <x:t>Reverse WACC. Formula: =(D61+E61)/2
Review selected-case observations and Model Guide for definitions and held assumptions.</x:t>
        </x:r>
      </x:text>
    </x:comment>
    <x:comment ref="G61" authorId="0">
      <x:text>
        <x:r>
          <x:t>Reverse WACC. Formula: =(SUM((('Forecast'!E12)*(('Assumptions'!E37+(0))*(1-'Assumptions'!E42-(0))+'Assumptions'!E47-'Assumptions'!E52*(1)+'Assumptions'!E57-'Assumptions'!E62*(1)-'Assumptions'!E67-(0))+('Working Capital'!$E$6))*'DCF'!E12/(1+(F61))^'DCF'!E13,(('Forecast'!F12)*(('Assumptions'!F37+(0))*(1-'Assumptions'!F42-(0))+'Assumptions'!F47-'Assumptions'!F52*(1)+'Assumptions'!F57-'Assumptions'!F62*(1)-'Assumptions'!F67-(0))+(('Forecast'!E12)*('Assumptions'!E67+(0))))*'DCF'!F12/(1+(F61))^'DCF'!F13,(('Forecast'!G12)*(('Assumptions'!G37+(0))*(1-'Assumptions'!G42-(0))+'Assumptions'!G47-'Assumptions'!G52*(1)+'Assumptions'!G57-'Assumptions'!G62*(1)-'Assumptions'!G67-(0))+(('Forecast'!F12)*('Assumptions'!F67+(0))))*'DCF'!G12/(1+(F61))^'DCF'!G13,(('Forecast'!H12)*(('Assumptions'!H37+(0))*(1-'Assumptions'!H42-(0))+'Assumptions'!H47-'Assumptions'!H52*(1)+'Assumptions'!H57-'Assumptions'!H62*(1)-'Assumptions'!H67-(0))+(('Forecast'!G12)*('Assumptions'!G67+(0))))*'DCF'!H12/(1+(F61))^'DCF'!H13,(('Forecast'!I12)*(('Assumptions'!I37+(0))*(1-'Assumptions'!I42-(0))+'Assumptions'!I47-'Assumptions'!I52*(1)+'Assumptions'!I57-'Assumptions'!I62*(1)-'Assumptions'!I67-(0))+(('Forecast'!H12)*('Assumptions'!H67+(0))))*'DCF'!I12/(1+(F61))^'DCF'!I13)+('Forecast'!I12)*(1+('DCF'!$E$7))*('Terminal Value'!$E$10+(0))*(1-'Assumptions'!$E$15-(0))*(1-('DCF'!$E$7)/('Terminal Value'!$E$12))/((F61)-('DCF'!$E$7))/(1+(F61))^'DCF'!$E$19)
Review selected-case observations and Model Guide for definitions and held assumptions.</x:t>
        </x:r>
      </x:text>
    </x:comment>
    <x:comment ref="H61" authorId="0">
      <x:text>
        <x:r>
          <x:t>Reverse WACC. Formula: =G61-$E$9
Review selected-case observations and Model Guide for definitions and held assumptions.</x:t>
        </x:r>
      </x:text>
    </x:comment>
    <x:comment ref="C62" authorId="0">
      <x:text>
        <x:r>
          <x:t>Reverse WACC. Editable source or analyst input.
Review selected-case observations and Model Guide for definitions and held assumptions.</x:t>
        </x:r>
      </x:text>
    </x:comment>
    <x:comment ref="D62" authorId="0">
      <x:text>
        <x:r>
          <x:t>Reverse WACC. Formula: =IF(G61&gt;$E$9,F61,D61)
Review selected-case observations and Model Guide for definitions and held assumptions.</x:t>
        </x:r>
      </x:text>
    </x:comment>
    <x:comment ref="E62" authorId="0">
      <x:text>
        <x:r>
          <x:t>Reverse WACC. Formula: =IF(G61&gt;$E$9,E61,F61)
Review selected-case observations and Model Guide for definitions and held assumptions.</x:t>
        </x:r>
      </x:text>
    </x:comment>
    <x:comment ref="F62" authorId="0">
      <x:text>
        <x:r>
          <x:t>Reverse WACC. Formula: =(D62+E62)/2
Review selected-case observations and Model Guide for definitions and held assumptions.</x:t>
        </x:r>
      </x:text>
    </x:comment>
    <x:comment ref="G62" authorId="0">
      <x:text>
        <x:r>
          <x:t>Reverse WACC. Formula: =(SUM((('Forecast'!E12)*(('Assumptions'!E37+(0))*(1-'Assumptions'!E42-(0))+'Assumptions'!E47-'Assumptions'!E52*(1)+'Assumptions'!E57-'Assumptions'!E62*(1)-'Assumptions'!E67-(0))+('Working Capital'!$E$6))*'DCF'!E12/(1+(F62))^'DCF'!E13,(('Forecast'!F12)*(('Assumptions'!F37+(0))*(1-'Assumptions'!F42-(0))+'Assumptions'!F47-'Assumptions'!F52*(1)+'Assumptions'!F57-'Assumptions'!F62*(1)-'Assumptions'!F67-(0))+(('Forecast'!E12)*('Assumptions'!E67+(0))))*'DCF'!F12/(1+(F62))^'DCF'!F13,(('Forecast'!G12)*(('Assumptions'!G37+(0))*(1-'Assumptions'!G42-(0))+'Assumptions'!G47-'Assumptions'!G52*(1)+'Assumptions'!G57-'Assumptions'!G62*(1)-'Assumptions'!G67-(0))+(('Forecast'!F12)*('Assumptions'!F67+(0))))*'DCF'!G12/(1+(F62))^'DCF'!G13,(('Forecast'!H12)*(('Assumptions'!H37+(0))*(1-'Assumptions'!H42-(0))+'Assumptions'!H47-'Assumptions'!H52*(1)+'Assumptions'!H57-'Assumptions'!H62*(1)-'Assumptions'!H67-(0))+(('Forecast'!G12)*('Assumptions'!G67+(0))))*'DCF'!H12/(1+(F62))^'DCF'!H13,(('Forecast'!I12)*(('Assumptions'!I37+(0))*(1-'Assumptions'!I42-(0))+'Assumptions'!I47-'Assumptions'!I52*(1)+'Assumptions'!I57-'Assumptions'!I62*(1)-'Assumptions'!I67-(0))+(('Forecast'!H12)*('Assumptions'!H67+(0))))*'DCF'!I12/(1+(F62))^'DCF'!I13)+('Forecast'!I12)*(1+('DCF'!$E$7))*('Terminal Value'!$E$10+(0))*(1-'Assumptions'!$E$15-(0))*(1-('DCF'!$E$7)/('Terminal Value'!$E$12))/((F62)-('DCF'!$E$7))/(1+(F62))^'DCF'!$E$19)
Review selected-case observations and Model Guide for definitions and held assumptions.</x:t>
        </x:r>
      </x:text>
    </x:comment>
    <x:comment ref="H62" authorId="0">
      <x:text>
        <x:r>
          <x:t>Reverse WACC. Formula: =G62-$E$9
Review selected-case observations and Model Guide for definitions and held assumptions.</x:t>
        </x:r>
      </x:text>
    </x:comment>
    <x:comment ref="C63" authorId="0">
      <x:text>
        <x:r>
          <x:t>Reverse WACC. Editable source or analyst input.
Review selected-case observations and Model Guide for definitions and held assumptions.</x:t>
        </x:r>
      </x:text>
    </x:comment>
    <x:comment ref="D63" authorId="0">
      <x:text>
        <x:r>
          <x:t>Reverse WACC. Formula: =IF(G62&gt;$E$9,F62,D62)
Review selected-case observations and Model Guide for definitions and held assumptions.</x:t>
        </x:r>
      </x:text>
    </x:comment>
    <x:comment ref="E63" authorId="0">
      <x:text>
        <x:r>
          <x:t>Reverse WACC. Formula: =IF(G62&gt;$E$9,E62,F62)
Review selected-case observations and Model Guide for definitions and held assumptions.</x:t>
        </x:r>
      </x:text>
    </x:comment>
    <x:comment ref="F63" authorId="0">
      <x:text>
        <x:r>
          <x:t>Reverse WACC. Formula: =(D63+E63)/2
Review selected-case observations and Model Guide for definitions and held assumptions.</x:t>
        </x:r>
      </x:text>
    </x:comment>
    <x:comment ref="G63" authorId="0">
      <x:text>
        <x:r>
          <x:t>Reverse WACC. Formula: =(SUM((('Forecast'!E12)*(('Assumptions'!E37+(0))*(1-'Assumptions'!E42-(0))+'Assumptions'!E47-'Assumptions'!E52*(1)+'Assumptions'!E57-'Assumptions'!E62*(1)-'Assumptions'!E67-(0))+('Working Capital'!$E$6))*'DCF'!E12/(1+(F63))^'DCF'!E13,(('Forecast'!F12)*(('Assumptions'!F37+(0))*(1-'Assumptions'!F42-(0))+'Assumptions'!F47-'Assumptions'!F52*(1)+'Assumptions'!F57-'Assumptions'!F62*(1)-'Assumptions'!F67-(0))+(('Forecast'!E12)*('Assumptions'!E67+(0))))*'DCF'!F12/(1+(F63))^'DCF'!F13,(('Forecast'!G12)*(('Assumptions'!G37+(0))*(1-'Assumptions'!G42-(0))+'Assumptions'!G47-'Assumptions'!G52*(1)+'Assumptions'!G57-'Assumptions'!G62*(1)-'Assumptions'!G67-(0))+(('Forecast'!F12)*('Assumptions'!F67+(0))))*'DCF'!G12/(1+(F63))^'DCF'!G13,(('Forecast'!H12)*(('Assumptions'!H37+(0))*(1-'Assumptions'!H42-(0))+'Assumptions'!H47-'Assumptions'!H52*(1)+'Assumptions'!H57-'Assumptions'!H62*(1)-'Assumptions'!H67-(0))+(('Forecast'!G12)*('Assumptions'!G67+(0))))*'DCF'!H12/(1+(F63))^'DCF'!H13,(('Forecast'!I12)*(('Assumptions'!I37+(0))*(1-'Assumptions'!I42-(0))+'Assumptions'!I47-'Assumptions'!I52*(1)+'Assumptions'!I57-'Assumptions'!I62*(1)-'Assumptions'!I67-(0))+(('Forecast'!H12)*('Assumptions'!H67+(0))))*'DCF'!I12/(1+(F63))^'DCF'!I13)+('Forecast'!I12)*(1+('DCF'!$E$7))*('Terminal Value'!$E$10+(0))*(1-'Assumptions'!$E$15-(0))*(1-('DCF'!$E$7)/('Terminal Value'!$E$12))/((F63)-('DCF'!$E$7))/(1+(F63))^'DCF'!$E$19)
Review selected-case observations and Model Guide for definitions and held assumptions.</x:t>
        </x:r>
      </x:text>
    </x:comment>
    <x:comment ref="H63" authorId="0">
      <x:text>
        <x:r>
          <x:t>Reverse WACC. Formula: =G63-$E$9
Review selected-case observations and Model Guide for definitions and held assumptions.</x:t>
        </x:r>
      </x:text>
    </x:comment>
    <x:comment ref="C64" authorId="0">
      <x:text>
        <x:r>
          <x:t>Reverse WACC. Editable source or analyst input.
Review selected-case observations and Model Guide for definitions and held assumptions.</x:t>
        </x:r>
      </x:text>
    </x:comment>
    <x:comment ref="D64" authorId="0">
      <x:text>
        <x:r>
          <x:t>Reverse WACC. Formula: =IF(G63&gt;$E$9,F63,D63)
Review selected-case observations and Model Guide for definitions and held assumptions.</x:t>
        </x:r>
      </x:text>
    </x:comment>
    <x:comment ref="E64" authorId="0">
      <x:text>
        <x:r>
          <x:t>Reverse WACC. Formula: =IF(G63&gt;$E$9,E63,F63)
Review selected-case observations and Model Guide for definitions and held assumptions.</x:t>
        </x:r>
      </x:text>
    </x:comment>
    <x:comment ref="F64" authorId="0">
      <x:text>
        <x:r>
          <x:t>Reverse WACC. Formula: =(D64+E64)/2
Review selected-case observations and Model Guide for definitions and held assumptions.</x:t>
        </x:r>
      </x:text>
    </x:comment>
    <x:comment ref="G64" authorId="0">
      <x:text>
        <x:r>
          <x:t>Reverse WACC. Formula: =(SUM((('Forecast'!E12)*(('Assumptions'!E37+(0))*(1-'Assumptions'!E42-(0))+'Assumptions'!E47-'Assumptions'!E52*(1)+'Assumptions'!E57-'Assumptions'!E62*(1)-'Assumptions'!E67-(0))+('Working Capital'!$E$6))*'DCF'!E12/(1+(F64))^'DCF'!E13,(('Forecast'!F12)*(('Assumptions'!F37+(0))*(1-'Assumptions'!F42-(0))+'Assumptions'!F47-'Assumptions'!F52*(1)+'Assumptions'!F57-'Assumptions'!F62*(1)-'Assumptions'!F67-(0))+(('Forecast'!E12)*('Assumptions'!E67+(0))))*'DCF'!F12/(1+(F64))^'DCF'!F13,(('Forecast'!G12)*(('Assumptions'!G37+(0))*(1-'Assumptions'!G42-(0))+'Assumptions'!G47-'Assumptions'!G52*(1)+'Assumptions'!G57-'Assumptions'!G62*(1)-'Assumptions'!G67-(0))+(('Forecast'!F12)*('Assumptions'!F67+(0))))*'DCF'!G12/(1+(F64))^'DCF'!G13,(('Forecast'!H12)*(('Assumptions'!H37+(0))*(1-'Assumptions'!H42-(0))+'Assumptions'!H47-'Assumptions'!H52*(1)+'Assumptions'!H57-'Assumptions'!H62*(1)-'Assumptions'!H67-(0))+(('Forecast'!G12)*('Assumptions'!G67+(0))))*'DCF'!H12/(1+(F64))^'DCF'!H13,(('Forecast'!I12)*(('Assumptions'!I37+(0))*(1-'Assumptions'!I42-(0))+'Assumptions'!I47-'Assumptions'!I52*(1)+'Assumptions'!I57-'Assumptions'!I62*(1)-'Assumptions'!I67-(0))+(('Forecast'!H12)*('Assumptions'!H67+(0))))*'DCF'!I12/(1+(F64))^'DCF'!I13)+('Forecast'!I12)*(1+('DCF'!$E$7))*('Terminal Value'!$E$10+(0))*(1-'Assumptions'!$E$15-(0))*(1-('DCF'!$E$7)/('Terminal Value'!$E$12))/((F64)-('DCF'!$E$7))/(1+(F64))^'DCF'!$E$19)
Review selected-case observations and Model Guide for definitions and held assumptions.</x:t>
        </x:r>
      </x:text>
    </x:comment>
    <x:comment ref="H64" authorId="0">
      <x:text>
        <x:r>
          <x:t>Reverse WACC. Formula: =G64-$E$9
Review selected-case observations and Model Guide for definitions and held assumptions.</x:t>
        </x:r>
      </x:text>
    </x:comment>
    <x:comment ref="C65" authorId="0">
      <x:text>
        <x:r>
          <x:t>Reverse WACC. Editable source or analyst input.
Review selected-case observations and Model Guide for definitions and held assumptions.</x:t>
        </x:r>
      </x:text>
    </x:comment>
    <x:comment ref="D65" authorId="0">
      <x:text>
        <x:r>
          <x:t>Reverse WACC. Formula: =IF(G64&gt;$E$9,F64,D64)
Review selected-case observations and Model Guide for definitions and held assumptions.</x:t>
        </x:r>
      </x:text>
    </x:comment>
    <x:comment ref="E65" authorId="0">
      <x:text>
        <x:r>
          <x:t>Reverse WACC. Formula: =IF(G64&gt;$E$9,E64,F64)
Review selected-case observations and Model Guide for definitions and held assumptions.</x:t>
        </x:r>
      </x:text>
    </x:comment>
    <x:comment ref="F65" authorId="0">
      <x:text>
        <x:r>
          <x:t>Reverse WACC. Formula: =(D65+E65)/2
Review selected-case observations and Model Guide for definitions and held assumptions.</x:t>
        </x:r>
      </x:text>
    </x:comment>
    <x:comment ref="G65" authorId="0">
      <x:text>
        <x:r>
          <x:t>Reverse WACC. Formula: =(SUM((('Forecast'!E12)*(('Assumptions'!E37+(0))*(1-'Assumptions'!E42-(0))+'Assumptions'!E47-'Assumptions'!E52*(1)+'Assumptions'!E57-'Assumptions'!E62*(1)-'Assumptions'!E67-(0))+('Working Capital'!$E$6))*'DCF'!E12/(1+(F65))^'DCF'!E13,(('Forecast'!F12)*(('Assumptions'!F37+(0))*(1-'Assumptions'!F42-(0))+'Assumptions'!F47-'Assumptions'!F52*(1)+'Assumptions'!F57-'Assumptions'!F62*(1)-'Assumptions'!F67-(0))+(('Forecast'!E12)*('Assumptions'!E67+(0))))*'DCF'!F12/(1+(F65))^'DCF'!F13,(('Forecast'!G12)*(('Assumptions'!G37+(0))*(1-'Assumptions'!G42-(0))+'Assumptions'!G47-'Assumptions'!G52*(1)+'Assumptions'!G57-'Assumptions'!G62*(1)-'Assumptions'!G67-(0))+(('Forecast'!F12)*('Assumptions'!F67+(0))))*'DCF'!G12/(1+(F65))^'DCF'!G13,(('Forecast'!H12)*(('Assumptions'!H37+(0))*(1-'Assumptions'!H42-(0))+'Assumptions'!H47-'Assumptions'!H52*(1)+'Assumptions'!H57-'Assumptions'!H62*(1)-'Assumptions'!H67-(0))+(('Forecast'!G12)*('Assumptions'!G67+(0))))*'DCF'!H12/(1+(F65))^'DCF'!H13,(('Forecast'!I12)*(('Assumptions'!I37+(0))*(1-'Assumptions'!I42-(0))+'Assumptions'!I47-'Assumptions'!I52*(1)+'Assumptions'!I57-'Assumptions'!I62*(1)-'Assumptions'!I67-(0))+(('Forecast'!H12)*('Assumptions'!H67+(0))))*'DCF'!I12/(1+(F65))^'DCF'!I13)+('Forecast'!I12)*(1+('DCF'!$E$7))*('Terminal Value'!$E$10+(0))*(1-'Assumptions'!$E$15-(0))*(1-('DCF'!$E$7)/('Terminal Value'!$E$12))/((F65)-('DCF'!$E$7))/(1+(F65))^'DCF'!$E$19)
Review selected-case observations and Model Guide for definitions and held assumptions.</x:t>
        </x:r>
      </x:text>
    </x:comment>
    <x:comment ref="H65" authorId="0">
      <x:text>
        <x:r>
          <x:t>Reverse WACC. Formula: =G65-$E$9
Review selected-case observations and Model Guide for definitions and held assumptions.</x:t>
        </x:r>
      </x:text>
    </x:comment>
    <x:comment ref="C66" authorId="0">
      <x:text>
        <x:r>
          <x:t>Reverse WACC. Editable source or analyst input.
Review selected-case observations and Model Guide for definitions and held assumptions.</x:t>
        </x:r>
      </x:text>
    </x:comment>
    <x:comment ref="D66" authorId="0">
      <x:text>
        <x:r>
          <x:t>Reverse WACC. Formula: =IF(G65&gt;$E$9,F65,D65)
Review selected-case observations and Model Guide for definitions and held assumptions.</x:t>
        </x:r>
      </x:text>
    </x:comment>
    <x:comment ref="E66" authorId="0">
      <x:text>
        <x:r>
          <x:t>Reverse WACC. Formula: =IF(G65&gt;$E$9,E65,F65)
Review selected-case observations and Model Guide for definitions and held assumptions.</x:t>
        </x:r>
      </x:text>
    </x:comment>
    <x:comment ref="F66" authorId="0">
      <x:text>
        <x:r>
          <x:t>Reverse WACC. Formula: =(D66+E66)/2
Review selected-case observations and Model Guide for definitions and held assumptions.</x:t>
        </x:r>
      </x:text>
    </x:comment>
    <x:comment ref="G66" authorId="0">
      <x:text>
        <x:r>
          <x:t>Reverse WACC. Formula: =(SUM((('Forecast'!E12)*(('Assumptions'!E37+(0))*(1-'Assumptions'!E42-(0))+'Assumptions'!E47-'Assumptions'!E52*(1)+'Assumptions'!E57-'Assumptions'!E62*(1)-'Assumptions'!E67-(0))+('Working Capital'!$E$6))*'DCF'!E12/(1+(F66))^'DCF'!E13,(('Forecast'!F12)*(('Assumptions'!F37+(0))*(1-'Assumptions'!F42-(0))+'Assumptions'!F47-'Assumptions'!F52*(1)+'Assumptions'!F57-'Assumptions'!F62*(1)-'Assumptions'!F67-(0))+(('Forecast'!E12)*('Assumptions'!E67+(0))))*'DCF'!F12/(1+(F66))^'DCF'!F13,(('Forecast'!G12)*(('Assumptions'!G37+(0))*(1-'Assumptions'!G42-(0))+'Assumptions'!G47-'Assumptions'!G52*(1)+'Assumptions'!G57-'Assumptions'!G62*(1)-'Assumptions'!G67-(0))+(('Forecast'!F12)*('Assumptions'!F67+(0))))*'DCF'!G12/(1+(F66))^'DCF'!G13,(('Forecast'!H12)*(('Assumptions'!H37+(0))*(1-'Assumptions'!H42-(0))+'Assumptions'!H47-'Assumptions'!H52*(1)+'Assumptions'!H57-'Assumptions'!H62*(1)-'Assumptions'!H67-(0))+(('Forecast'!G12)*('Assumptions'!G67+(0))))*'DCF'!H12/(1+(F66))^'DCF'!H13,(('Forecast'!I12)*(('Assumptions'!I37+(0))*(1-'Assumptions'!I42-(0))+'Assumptions'!I47-'Assumptions'!I52*(1)+'Assumptions'!I57-'Assumptions'!I62*(1)-'Assumptions'!I67-(0))+(('Forecast'!H12)*('Assumptions'!H67+(0))))*'DCF'!I12/(1+(F66))^'DCF'!I13)+('Forecast'!I12)*(1+('DCF'!$E$7))*('Terminal Value'!$E$10+(0))*(1-'Assumptions'!$E$15-(0))*(1-('DCF'!$E$7)/('Terminal Value'!$E$12))/((F66)-('DCF'!$E$7))/(1+(F66))^'DCF'!$E$19)
Review selected-case observations and Model Guide for definitions and held assumptions.</x:t>
        </x:r>
      </x:text>
    </x:comment>
    <x:comment ref="H66" authorId="0">
      <x:text>
        <x:r>
          <x:t>Reverse WACC. Formula: =G66-$E$9
Review selected-case observations and Model Guide for definitions and held assumptions.</x:t>
        </x:r>
      </x:text>
    </x:comment>
    <x:comment ref="C67" authorId="0">
      <x:text>
        <x:r>
          <x:t>Reverse WACC. Editable source or analyst input.
Review selected-case observations and Model Guide for definitions and held assumptions.</x:t>
        </x:r>
      </x:text>
    </x:comment>
    <x:comment ref="D67" authorId="0">
      <x:text>
        <x:r>
          <x:t>Reverse WACC. Formula: =IF(G66&gt;$E$9,F66,D66)
Review selected-case observations and Model Guide for definitions and held assumptions.</x:t>
        </x:r>
      </x:text>
    </x:comment>
    <x:comment ref="E67" authorId="0">
      <x:text>
        <x:r>
          <x:t>Reverse WACC. Formula: =IF(G66&gt;$E$9,E66,F66)
Review selected-case observations and Model Guide for definitions and held assumptions.</x:t>
        </x:r>
      </x:text>
    </x:comment>
    <x:comment ref="F67" authorId="0">
      <x:text>
        <x:r>
          <x:t>Reverse WACC. Formula: =(D67+E67)/2
Review selected-case observations and Model Guide for definitions and held assumptions.</x:t>
        </x:r>
      </x:text>
    </x:comment>
    <x:comment ref="G67" authorId="0">
      <x:text>
        <x:r>
          <x:t>Reverse WACC. Formula: =(SUM((('Forecast'!E12)*(('Assumptions'!E37+(0))*(1-'Assumptions'!E42-(0))+'Assumptions'!E47-'Assumptions'!E52*(1)+'Assumptions'!E57-'Assumptions'!E62*(1)-'Assumptions'!E67-(0))+('Working Capital'!$E$6))*'DCF'!E12/(1+(F67))^'DCF'!E13,(('Forecast'!F12)*(('Assumptions'!F37+(0))*(1-'Assumptions'!F42-(0))+'Assumptions'!F47-'Assumptions'!F52*(1)+'Assumptions'!F57-'Assumptions'!F62*(1)-'Assumptions'!F67-(0))+(('Forecast'!E12)*('Assumptions'!E67+(0))))*'DCF'!F12/(1+(F67))^'DCF'!F13,(('Forecast'!G12)*(('Assumptions'!G37+(0))*(1-'Assumptions'!G42-(0))+'Assumptions'!G47-'Assumptions'!G52*(1)+'Assumptions'!G57-'Assumptions'!G62*(1)-'Assumptions'!G67-(0))+(('Forecast'!F12)*('Assumptions'!F67+(0))))*'DCF'!G12/(1+(F67))^'DCF'!G13,(('Forecast'!H12)*(('Assumptions'!H37+(0))*(1-'Assumptions'!H42-(0))+'Assumptions'!H47-'Assumptions'!H52*(1)+'Assumptions'!H57-'Assumptions'!H62*(1)-'Assumptions'!H67-(0))+(('Forecast'!G12)*('Assumptions'!G67+(0))))*'DCF'!H12/(1+(F67))^'DCF'!H13,(('Forecast'!I12)*(('Assumptions'!I37+(0))*(1-'Assumptions'!I42-(0))+'Assumptions'!I47-'Assumptions'!I52*(1)+'Assumptions'!I57-'Assumptions'!I62*(1)-'Assumptions'!I67-(0))+(('Forecast'!H12)*('Assumptions'!H67+(0))))*'DCF'!I12/(1+(F67))^'DCF'!I13)+('Forecast'!I12)*(1+('DCF'!$E$7))*('Terminal Value'!$E$10+(0))*(1-'Assumptions'!$E$15-(0))*(1-('DCF'!$E$7)/('Terminal Value'!$E$12))/((F67)-('DCF'!$E$7))/(1+(F67))^'DCF'!$E$19)
Review selected-case observations and Model Guide for definitions and held assumptions.</x:t>
        </x:r>
      </x:text>
    </x:comment>
    <x:comment ref="H67" authorId="0">
      <x:text>
        <x:r>
          <x:t>Reverse WACC. Formula: =G67-$E$9
Review selected-case observations and Model Guide for definitions and held assumptions.</x:t>
        </x:r>
      </x:text>
    </x:comment>
    <x:comment ref="C68" authorId="0">
      <x:text>
        <x:r>
          <x:t>Reverse WACC. Editable source or analyst input.
Review selected-case observations and Model Guide for definitions and held assumptions.</x:t>
        </x:r>
      </x:text>
    </x:comment>
    <x:comment ref="D68" authorId="0">
      <x:text>
        <x:r>
          <x:t>Reverse WACC. Formula: =IF(G67&gt;$E$9,F67,D67)
Review selected-case observations and Model Guide for definitions and held assumptions.</x:t>
        </x:r>
      </x:text>
    </x:comment>
    <x:comment ref="E68" authorId="0">
      <x:text>
        <x:r>
          <x:t>Reverse WACC. Formula: =IF(G67&gt;$E$9,E67,F67)
Review selected-case observations and Model Guide for definitions and held assumptions.</x:t>
        </x:r>
      </x:text>
    </x:comment>
    <x:comment ref="F68" authorId="0">
      <x:text>
        <x:r>
          <x:t>Reverse WACC. Formula: =(D68+E68)/2
Review selected-case observations and Model Guide for definitions and held assumptions.</x:t>
        </x:r>
      </x:text>
    </x:comment>
    <x:comment ref="G68" authorId="0">
      <x:text>
        <x:r>
          <x:t>Reverse WACC. Formula: =(SUM((('Forecast'!E12)*(('Assumptions'!E37+(0))*(1-'Assumptions'!E42-(0))+'Assumptions'!E47-'Assumptions'!E52*(1)+'Assumptions'!E57-'Assumptions'!E62*(1)-'Assumptions'!E67-(0))+('Working Capital'!$E$6))*'DCF'!E12/(1+(F68))^'DCF'!E13,(('Forecast'!F12)*(('Assumptions'!F37+(0))*(1-'Assumptions'!F42-(0))+'Assumptions'!F47-'Assumptions'!F52*(1)+'Assumptions'!F57-'Assumptions'!F62*(1)-'Assumptions'!F67-(0))+(('Forecast'!E12)*('Assumptions'!E67+(0))))*'DCF'!F12/(1+(F68))^'DCF'!F13,(('Forecast'!G12)*(('Assumptions'!G37+(0))*(1-'Assumptions'!G42-(0))+'Assumptions'!G47-'Assumptions'!G52*(1)+'Assumptions'!G57-'Assumptions'!G62*(1)-'Assumptions'!G67-(0))+(('Forecast'!F12)*('Assumptions'!F67+(0))))*'DCF'!G12/(1+(F68))^'DCF'!G13,(('Forecast'!H12)*(('Assumptions'!H37+(0))*(1-'Assumptions'!H42-(0))+'Assumptions'!H47-'Assumptions'!H52*(1)+'Assumptions'!H57-'Assumptions'!H62*(1)-'Assumptions'!H67-(0))+(('Forecast'!G12)*('Assumptions'!G67+(0))))*'DCF'!H12/(1+(F68))^'DCF'!H13,(('Forecast'!I12)*(('Assumptions'!I37+(0))*(1-'Assumptions'!I42-(0))+'Assumptions'!I47-'Assumptions'!I52*(1)+'Assumptions'!I57-'Assumptions'!I62*(1)-'Assumptions'!I67-(0))+(('Forecast'!H12)*('Assumptions'!H67+(0))))*'DCF'!I12/(1+(F68))^'DCF'!I13)+('Forecast'!I12)*(1+('DCF'!$E$7))*('Terminal Value'!$E$10+(0))*(1-'Assumptions'!$E$15-(0))*(1-('DCF'!$E$7)/('Terminal Value'!$E$12))/((F68)-('DCF'!$E$7))/(1+(F68))^'DCF'!$E$19)
Review selected-case observations and Model Guide for definitions and held assumptions.</x:t>
        </x:r>
      </x:text>
    </x:comment>
    <x:comment ref="H68" authorId="0">
      <x:text>
        <x:r>
          <x:t>Reverse WACC. Formula: =G68-$E$9
Review selected-case observations and Model Guide for definitions and held assumptions.</x:t>
        </x:r>
      </x:text>
    </x:comment>
    <x:comment ref="C69" authorId="0">
      <x:text>
        <x:r>
          <x:t>Reverse WACC. Editable source or analyst input.
Review selected-case observations and Model Guide for definitions and held assumptions.</x:t>
        </x:r>
      </x:text>
    </x:comment>
    <x:comment ref="D69" authorId="0">
      <x:text>
        <x:r>
          <x:t>Reverse WACC. Formula: =IF(G68&gt;$E$9,F68,D68)
Review selected-case observations and Model Guide for definitions and held assumptions.</x:t>
        </x:r>
      </x:text>
    </x:comment>
    <x:comment ref="E69" authorId="0">
      <x:text>
        <x:r>
          <x:t>Reverse WACC. Formula: =IF(G68&gt;$E$9,E68,F68)
Review selected-case observations and Model Guide for definitions and held assumptions.</x:t>
        </x:r>
      </x:text>
    </x:comment>
    <x:comment ref="F69" authorId="0">
      <x:text>
        <x:r>
          <x:t>Reverse WACC. Formula: =(D69+E69)/2
Review selected-case observations and Model Guide for definitions and held assumptions.</x:t>
        </x:r>
      </x:text>
    </x:comment>
    <x:comment ref="G69" authorId="0">
      <x:text>
        <x:r>
          <x:t>Reverse WACC. Formula: =(SUM((('Forecast'!E12)*(('Assumptions'!E37+(0))*(1-'Assumptions'!E42-(0))+'Assumptions'!E47-'Assumptions'!E52*(1)+'Assumptions'!E57-'Assumptions'!E62*(1)-'Assumptions'!E67-(0))+('Working Capital'!$E$6))*'DCF'!E12/(1+(F69))^'DCF'!E13,(('Forecast'!F12)*(('Assumptions'!F37+(0))*(1-'Assumptions'!F42-(0))+'Assumptions'!F47-'Assumptions'!F52*(1)+'Assumptions'!F57-'Assumptions'!F62*(1)-'Assumptions'!F67-(0))+(('Forecast'!E12)*('Assumptions'!E67+(0))))*'DCF'!F12/(1+(F69))^'DCF'!F13,(('Forecast'!G12)*(('Assumptions'!G37+(0))*(1-'Assumptions'!G42-(0))+'Assumptions'!G47-'Assumptions'!G52*(1)+'Assumptions'!G57-'Assumptions'!G62*(1)-'Assumptions'!G67-(0))+(('Forecast'!F12)*('Assumptions'!F67+(0))))*'DCF'!G12/(1+(F69))^'DCF'!G13,(('Forecast'!H12)*(('Assumptions'!H37+(0))*(1-'Assumptions'!H42-(0))+'Assumptions'!H47-'Assumptions'!H52*(1)+'Assumptions'!H57-'Assumptions'!H62*(1)-'Assumptions'!H67-(0))+(('Forecast'!G12)*('Assumptions'!G67+(0))))*'DCF'!H12/(1+(F69))^'DCF'!H13,(('Forecast'!I12)*(('Assumptions'!I37+(0))*(1-'Assumptions'!I42-(0))+'Assumptions'!I47-'Assumptions'!I52*(1)+'Assumptions'!I57-'Assumptions'!I62*(1)-'Assumptions'!I67-(0))+(('Forecast'!H12)*('Assumptions'!H67+(0))))*'DCF'!I12/(1+(F69))^'DCF'!I13)+('Forecast'!I12)*(1+('DCF'!$E$7))*('Terminal Value'!$E$10+(0))*(1-'Assumptions'!$E$15-(0))*(1-('DCF'!$E$7)/('Terminal Value'!$E$12))/((F69)-('DCF'!$E$7))/(1+(F69))^'DCF'!$E$19)
Review selected-case observations and Model Guide for definitions and held assumptions.</x:t>
        </x:r>
      </x:text>
    </x:comment>
    <x:comment ref="H69" authorId="0">
      <x:text>
        <x:r>
          <x:t>Reverse WACC. Formula: =G69-$E$9
Review selected-case observations and Model Guide for definitions and held assumptions.</x:t>
        </x:r>
      </x:text>
    </x:comment>
    <x:comment ref="C70" authorId="0">
      <x:text>
        <x:r>
          <x:t>Reverse WACC. Editable source or analyst input.
Review selected-case observations and Model Guide for definitions and held assumptions.</x:t>
        </x:r>
      </x:text>
    </x:comment>
    <x:comment ref="D70" authorId="0">
      <x:text>
        <x:r>
          <x:t>Reverse WACC. Formula: =IF(G69&gt;$E$9,F69,D69)
Review selected-case observations and Model Guide for definitions and held assumptions.</x:t>
        </x:r>
      </x:text>
    </x:comment>
    <x:comment ref="E70" authorId="0">
      <x:text>
        <x:r>
          <x:t>Reverse WACC. Formula: =IF(G69&gt;$E$9,E69,F69)
Review selected-case observations and Model Guide for definitions and held assumptions.</x:t>
        </x:r>
      </x:text>
    </x:comment>
    <x:comment ref="F70" authorId="0">
      <x:text>
        <x:r>
          <x:t>Reverse WACC. Formula: =(D70+E70)/2
Review selected-case observations and Model Guide for definitions and held assumptions.</x:t>
        </x:r>
      </x:text>
    </x:comment>
    <x:comment ref="G70" authorId="0">
      <x:text>
        <x:r>
          <x:t>Reverse WACC. Formula: =(SUM((('Forecast'!E12)*(('Assumptions'!E37+(0))*(1-'Assumptions'!E42-(0))+'Assumptions'!E47-'Assumptions'!E52*(1)+'Assumptions'!E57-'Assumptions'!E62*(1)-'Assumptions'!E67-(0))+('Working Capital'!$E$6))*'DCF'!E12/(1+(F70))^'DCF'!E13,(('Forecast'!F12)*(('Assumptions'!F37+(0))*(1-'Assumptions'!F42-(0))+'Assumptions'!F47-'Assumptions'!F52*(1)+'Assumptions'!F57-'Assumptions'!F62*(1)-'Assumptions'!F67-(0))+(('Forecast'!E12)*('Assumptions'!E67+(0))))*'DCF'!F12/(1+(F70))^'DCF'!F13,(('Forecast'!G12)*(('Assumptions'!G37+(0))*(1-'Assumptions'!G42-(0))+'Assumptions'!G47-'Assumptions'!G52*(1)+'Assumptions'!G57-'Assumptions'!G62*(1)-'Assumptions'!G67-(0))+(('Forecast'!F12)*('Assumptions'!F67+(0))))*'DCF'!G12/(1+(F70))^'DCF'!G13,(('Forecast'!H12)*(('Assumptions'!H37+(0))*(1-'Assumptions'!H42-(0))+'Assumptions'!H47-'Assumptions'!H52*(1)+'Assumptions'!H57-'Assumptions'!H62*(1)-'Assumptions'!H67-(0))+(('Forecast'!G12)*('Assumptions'!G67+(0))))*'DCF'!H12/(1+(F70))^'DCF'!H13,(('Forecast'!I12)*(('Assumptions'!I37+(0))*(1-'Assumptions'!I42-(0))+'Assumptions'!I47-'Assumptions'!I52*(1)+'Assumptions'!I57-'Assumptions'!I62*(1)-'Assumptions'!I67-(0))+(('Forecast'!H12)*('Assumptions'!H67+(0))))*'DCF'!I12/(1+(F70))^'DCF'!I13)+('Forecast'!I12)*(1+('DCF'!$E$7))*('Terminal Value'!$E$10+(0))*(1-'Assumptions'!$E$15-(0))*(1-('DCF'!$E$7)/('Terminal Value'!$E$12))/((F70)-('DCF'!$E$7))/(1+(F70))^'DCF'!$E$19)
Review selected-case observations and Model Guide for definitions and held assumptions.</x:t>
        </x:r>
      </x:text>
    </x:comment>
    <x:comment ref="H70" authorId="0">
      <x:text>
        <x:r>
          <x:t>Reverse WACC. Formula: =G70-$E$9
Review selected-case observations and Model Guide for definitions and held assumptions.</x:t>
        </x:r>
      </x:text>
    </x:comment>
    <x:comment ref="C71" authorId="0">
      <x:text>
        <x:r>
          <x:t>Reverse WACC. Editable source or analyst input.
Review selected-case observations and Model Guide for definitions and held assumptions.</x:t>
        </x:r>
      </x:text>
    </x:comment>
    <x:comment ref="D71" authorId="0">
      <x:text>
        <x:r>
          <x:t>Reverse WACC. Formula: =IF(G70&gt;$E$9,F70,D70)
Review selected-case observations and Model Guide for definitions and held assumptions.</x:t>
        </x:r>
      </x:text>
    </x:comment>
    <x:comment ref="E71" authorId="0">
      <x:text>
        <x:r>
          <x:t>Reverse WACC. Formula: =IF(G70&gt;$E$9,E70,F70)
Review selected-case observations and Model Guide for definitions and held assumptions.</x:t>
        </x:r>
      </x:text>
    </x:comment>
    <x:comment ref="F71" authorId="0">
      <x:text>
        <x:r>
          <x:t>Reverse WACC. Formula: =(D71+E71)/2
Review selected-case observations and Model Guide for definitions and held assumptions.</x:t>
        </x:r>
      </x:text>
    </x:comment>
    <x:comment ref="G71" authorId="0">
      <x:text>
        <x:r>
          <x:t>Reverse WACC. Formula: =(SUM((('Forecast'!E12)*(('Assumptions'!E37+(0))*(1-'Assumptions'!E42-(0))+'Assumptions'!E47-'Assumptions'!E52*(1)+'Assumptions'!E57-'Assumptions'!E62*(1)-'Assumptions'!E67-(0))+('Working Capital'!$E$6))*'DCF'!E12/(1+(F71))^'DCF'!E13,(('Forecast'!F12)*(('Assumptions'!F37+(0))*(1-'Assumptions'!F42-(0))+'Assumptions'!F47-'Assumptions'!F52*(1)+'Assumptions'!F57-'Assumptions'!F62*(1)-'Assumptions'!F67-(0))+(('Forecast'!E12)*('Assumptions'!E67+(0))))*'DCF'!F12/(1+(F71))^'DCF'!F13,(('Forecast'!G12)*(('Assumptions'!G37+(0))*(1-'Assumptions'!G42-(0))+'Assumptions'!G47-'Assumptions'!G52*(1)+'Assumptions'!G57-'Assumptions'!G62*(1)-'Assumptions'!G67-(0))+(('Forecast'!F12)*('Assumptions'!F67+(0))))*'DCF'!G12/(1+(F71))^'DCF'!G13,(('Forecast'!H12)*(('Assumptions'!H37+(0))*(1-'Assumptions'!H42-(0))+'Assumptions'!H47-'Assumptions'!H52*(1)+'Assumptions'!H57-'Assumptions'!H62*(1)-'Assumptions'!H67-(0))+(('Forecast'!G12)*('Assumptions'!G67+(0))))*'DCF'!H12/(1+(F71))^'DCF'!H13,(('Forecast'!I12)*(('Assumptions'!I37+(0))*(1-'Assumptions'!I42-(0))+'Assumptions'!I47-'Assumptions'!I52*(1)+'Assumptions'!I57-'Assumptions'!I62*(1)-'Assumptions'!I67-(0))+(('Forecast'!H12)*('Assumptions'!H67+(0))))*'DCF'!I12/(1+(F71))^'DCF'!I13)+('Forecast'!I12)*(1+('DCF'!$E$7))*('Terminal Value'!$E$10+(0))*(1-'Assumptions'!$E$15-(0))*(1-('DCF'!$E$7)/('Terminal Value'!$E$12))/((F71)-('DCF'!$E$7))/(1+(F71))^'DCF'!$E$19)
Review selected-case observations and Model Guide for definitions and held assumptions.</x:t>
        </x:r>
      </x:text>
    </x:comment>
    <x:comment ref="H71" authorId="0">
      <x:text>
        <x:r>
          <x:t>Reverse WACC. Formula: =G71-$E$9
Review selected-case observations and Model Guide for definitions and held assumptions.</x:t>
        </x:r>
      </x:text>
    </x:comment>
    <x:comment ref="C72" authorId="0">
      <x:text>
        <x:r>
          <x:t>Reverse WACC. Editable source or analyst input.
Review selected-case observations and Model Guide for definitions and held assumptions.</x:t>
        </x:r>
      </x:text>
    </x:comment>
    <x:comment ref="D72" authorId="0">
      <x:text>
        <x:r>
          <x:t>Reverse WACC. Formula: =IF(G71&gt;$E$9,F71,D71)
Review selected-case observations and Model Guide for definitions and held assumptions.</x:t>
        </x:r>
      </x:text>
    </x:comment>
    <x:comment ref="E72" authorId="0">
      <x:text>
        <x:r>
          <x:t>Reverse WACC. Formula: =IF(G71&gt;$E$9,E71,F71)
Review selected-case observations and Model Guide for definitions and held assumptions.</x:t>
        </x:r>
      </x:text>
    </x:comment>
    <x:comment ref="F72" authorId="0">
      <x:text>
        <x:r>
          <x:t>Reverse WACC. Formula: =(D72+E72)/2
Review selected-case observations and Model Guide for definitions and held assumptions.</x:t>
        </x:r>
      </x:text>
    </x:comment>
    <x:comment ref="G72" authorId="0">
      <x:text>
        <x:r>
          <x:t>Reverse WACC. Formula: =(SUM((('Forecast'!E12)*(('Assumptions'!E37+(0))*(1-'Assumptions'!E42-(0))+'Assumptions'!E47-'Assumptions'!E52*(1)+'Assumptions'!E57-'Assumptions'!E62*(1)-'Assumptions'!E67-(0))+('Working Capital'!$E$6))*'DCF'!E12/(1+(F72))^'DCF'!E13,(('Forecast'!F12)*(('Assumptions'!F37+(0))*(1-'Assumptions'!F42-(0))+'Assumptions'!F47-'Assumptions'!F52*(1)+'Assumptions'!F57-'Assumptions'!F62*(1)-'Assumptions'!F67-(0))+(('Forecast'!E12)*('Assumptions'!E67+(0))))*'DCF'!F12/(1+(F72))^'DCF'!F13,(('Forecast'!G12)*(('Assumptions'!G37+(0))*(1-'Assumptions'!G42-(0))+'Assumptions'!G47-'Assumptions'!G52*(1)+'Assumptions'!G57-'Assumptions'!G62*(1)-'Assumptions'!G67-(0))+(('Forecast'!F12)*('Assumptions'!F67+(0))))*'DCF'!G12/(1+(F72))^'DCF'!G13,(('Forecast'!H12)*(('Assumptions'!H37+(0))*(1-'Assumptions'!H42-(0))+'Assumptions'!H47-'Assumptions'!H52*(1)+'Assumptions'!H57-'Assumptions'!H62*(1)-'Assumptions'!H67-(0))+(('Forecast'!G12)*('Assumptions'!G67+(0))))*'DCF'!H12/(1+(F72))^'DCF'!H13,(('Forecast'!I12)*(('Assumptions'!I37+(0))*(1-'Assumptions'!I42-(0))+'Assumptions'!I47-'Assumptions'!I52*(1)+'Assumptions'!I57-'Assumptions'!I62*(1)-'Assumptions'!I67-(0))+(('Forecast'!H12)*('Assumptions'!H67+(0))))*'DCF'!I12/(1+(F72))^'DCF'!I13)+('Forecast'!I12)*(1+('DCF'!$E$7))*('Terminal Value'!$E$10+(0))*(1-'Assumptions'!$E$15-(0))*(1-('DCF'!$E$7)/('Terminal Value'!$E$12))/((F72)-('DCF'!$E$7))/(1+(F72))^'DCF'!$E$19)
Review selected-case observations and Model Guide for definitions and held assumptions.</x:t>
        </x:r>
      </x:text>
    </x:comment>
    <x:comment ref="H72" authorId="0">
      <x:text>
        <x:r>
          <x:t>Reverse WACC. Formula: =G72-$E$9
Review selected-case observations and Model Guide for definitions and held assumptions.</x:t>
        </x:r>
      </x:text>
    </x:comment>
    <x:comment ref="C73" authorId="0">
      <x:text>
        <x:r>
          <x:t>Reverse WACC. Editable source or analyst input.
Review selected-case observations and Model Guide for definitions and held assumptions.</x:t>
        </x:r>
      </x:text>
    </x:comment>
    <x:comment ref="D73" authorId="0">
      <x:text>
        <x:r>
          <x:t>Reverse WACC. Formula: =IF(G72&gt;$E$9,F72,D72)
Review selected-case observations and Model Guide for definitions and held assumptions.</x:t>
        </x:r>
      </x:text>
    </x:comment>
    <x:comment ref="E73" authorId="0">
      <x:text>
        <x:r>
          <x:t>Reverse WACC. Formula: =IF(G72&gt;$E$9,E72,F72)
Review selected-case observations and Model Guide for definitions and held assumptions.</x:t>
        </x:r>
      </x:text>
    </x:comment>
    <x:comment ref="F73" authorId="0">
      <x:text>
        <x:r>
          <x:t>Reverse WACC. Formula: =(D73+E73)/2
Review selected-case observations and Model Guide for definitions and held assumptions.</x:t>
        </x:r>
      </x:text>
    </x:comment>
    <x:comment ref="G73" authorId="0">
      <x:text>
        <x:r>
          <x:t>Reverse WACC. Formula: =(SUM((('Forecast'!E12)*(('Assumptions'!E37+(0))*(1-'Assumptions'!E42-(0))+'Assumptions'!E47-'Assumptions'!E52*(1)+'Assumptions'!E57-'Assumptions'!E62*(1)-'Assumptions'!E67-(0))+('Working Capital'!$E$6))*'DCF'!E12/(1+(F73))^'DCF'!E13,(('Forecast'!F12)*(('Assumptions'!F37+(0))*(1-'Assumptions'!F42-(0))+'Assumptions'!F47-'Assumptions'!F52*(1)+'Assumptions'!F57-'Assumptions'!F62*(1)-'Assumptions'!F67-(0))+(('Forecast'!E12)*('Assumptions'!E67+(0))))*'DCF'!F12/(1+(F73))^'DCF'!F13,(('Forecast'!G12)*(('Assumptions'!G37+(0))*(1-'Assumptions'!G42-(0))+'Assumptions'!G47-'Assumptions'!G52*(1)+'Assumptions'!G57-'Assumptions'!G62*(1)-'Assumptions'!G67-(0))+(('Forecast'!F12)*('Assumptions'!F67+(0))))*'DCF'!G12/(1+(F73))^'DCF'!G13,(('Forecast'!H12)*(('Assumptions'!H37+(0))*(1-'Assumptions'!H42-(0))+'Assumptions'!H47-'Assumptions'!H52*(1)+'Assumptions'!H57-'Assumptions'!H62*(1)-'Assumptions'!H67-(0))+(('Forecast'!G12)*('Assumptions'!G67+(0))))*'DCF'!H12/(1+(F73))^'DCF'!H13,(('Forecast'!I12)*(('Assumptions'!I37+(0))*(1-'Assumptions'!I42-(0))+'Assumptions'!I47-'Assumptions'!I52*(1)+'Assumptions'!I57-'Assumptions'!I62*(1)-'Assumptions'!I67-(0))+(('Forecast'!H12)*('Assumptions'!H67+(0))))*'DCF'!I12/(1+(F73))^'DCF'!I13)+('Forecast'!I12)*(1+('DCF'!$E$7))*('Terminal Value'!$E$10+(0))*(1-'Assumptions'!$E$15-(0))*(1-('DCF'!$E$7)/('Terminal Value'!$E$12))/((F73)-('DCF'!$E$7))/(1+(F73))^'DCF'!$E$19)
Review selected-case observations and Model Guide for definitions and held assumptions.</x:t>
        </x:r>
      </x:text>
    </x:comment>
    <x:comment ref="H73" authorId="0">
      <x:text>
        <x:r>
          <x:t>Reverse WACC. Formula: =G73-$E$9
Review selected-case observations and Model Guide for definitions and held assumptions.</x:t>
        </x:r>
      </x:text>
    </x:comment>
    <x:comment ref="C74" authorId="0">
      <x:text>
        <x:r>
          <x:t>Reverse WACC. Editable source or analyst input.
Review selected-case observations and Model Guide for definitions and held assumptions.</x:t>
        </x:r>
      </x:text>
    </x:comment>
    <x:comment ref="D74" authorId="0">
      <x:text>
        <x:r>
          <x:t>Reverse WACC. Formula: =IF(G73&gt;$E$9,F73,D73)
Review selected-case observations and Model Guide for definitions and held assumptions.</x:t>
        </x:r>
      </x:text>
    </x:comment>
    <x:comment ref="E74" authorId="0">
      <x:text>
        <x:r>
          <x:t>Reverse WACC. Formula: =IF(G73&gt;$E$9,E73,F73)
Review selected-case observations and Model Guide for definitions and held assumptions.</x:t>
        </x:r>
      </x:text>
    </x:comment>
    <x:comment ref="F74" authorId="0">
      <x:text>
        <x:r>
          <x:t>Reverse WACC. Formula: =(D74+E74)/2
Review selected-case observations and Model Guide for definitions and held assumptions.</x:t>
        </x:r>
      </x:text>
    </x:comment>
    <x:comment ref="G74" authorId="0">
      <x:text>
        <x:r>
          <x:t>Reverse WACC. Formula: =(SUM((('Forecast'!E12)*(('Assumptions'!E37+(0))*(1-'Assumptions'!E42-(0))+'Assumptions'!E47-'Assumptions'!E52*(1)+'Assumptions'!E57-'Assumptions'!E62*(1)-'Assumptions'!E67-(0))+('Working Capital'!$E$6))*'DCF'!E12/(1+(F74))^'DCF'!E13,(('Forecast'!F12)*(('Assumptions'!F37+(0))*(1-'Assumptions'!F42-(0))+'Assumptions'!F47-'Assumptions'!F52*(1)+'Assumptions'!F57-'Assumptions'!F62*(1)-'Assumptions'!F67-(0))+(('Forecast'!E12)*('Assumptions'!E67+(0))))*'DCF'!F12/(1+(F74))^'DCF'!F13,(('Forecast'!G12)*(('Assumptions'!G37+(0))*(1-'Assumptions'!G42-(0))+'Assumptions'!G47-'Assumptions'!G52*(1)+'Assumptions'!G57-'Assumptions'!G62*(1)-'Assumptions'!G67-(0))+(('Forecast'!F12)*('Assumptions'!F67+(0))))*'DCF'!G12/(1+(F74))^'DCF'!G13,(('Forecast'!H12)*(('Assumptions'!H37+(0))*(1-'Assumptions'!H42-(0))+'Assumptions'!H47-'Assumptions'!H52*(1)+'Assumptions'!H57-'Assumptions'!H62*(1)-'Assumptions'!H67-(0))+(('Forecast'!G12)*('Assumptions'!G67+(0))))*'DCF'!H12/(1+(F74))^'DCF'!H13,(('Forecast'!I12)*(('Assumptions'!I37+(0))*(1-'Assumptions'!I42-(0))+'Assumptions'!I47-'Assumptions'!I52*(1)+'Assumptions'!I57-'Assumptions'!I62*(1)-'Assumptions'!I67-(0))+(('Forecast'!H12)*('Assumptions'!H67+(0))))*'DCF'!I12/(1+(F74))^'DCF'!I13)+('Forecast'!I12)*(1+('DCF'!$E$7))*('Terminal Value'!$E$10+(0))*(1-'Assumptions'!$E$15-(0))*(1-('DCF'!$E$7)/('Terminal Value'!$E$12))/((F74)-('DCF'!$E$7))/(1+(F74))^'DCF'!$E$19)
Review selected-case observations and Model Guide for definitions and held assumptions.</x:t>
        </x:r>
      </x:text>
    </x:comment>
    <x:comment ref="H74" authorId="0">
      <x:text>
        <x:r>
          <x:t>Reverse WACC. Formula: =G74-$E$9
Review selected-case observations and Model Guide for definitions and held assumptions.</x:t>
        </x:r>
      </x:text>
    </x:comment>
    <x:comment ref="C75" authorId="0">
      <x:text>
        <x:r>
          <x:t>Reverse WACC. Editable source or analyst input.
Review selected-case observations and Model Guide for definitions and held assumptions.</x:t>
        </x:r>
      </x:text>
    </x:comment>
    <x:comment ref="D75" authorId="0">
      <x:text>
        <x:r>
          <x:t>Reverse WACC. Formula: =IF(G74&gt;$E$9,F74,D74)
Review selected-case observations and Model Guide for definitions and held assumptions.</x:t>
        </x:r>
      </x:text>
    </x:comment>
    <x:comment ref="E75" authorId="0">
      <x:text>
        <x:r>
          <x:t>Reverse WACC. Formula: =IF(G74&gt;$E$9,E74,F74)
Review selected-case observations and Model Guide for definitions and held assumptions.</x:t>
        </x:r>
      </x:text>
    </x:comment>
    <x:comment ref="F75" authorId="0">
      <x:text>
        <x:r>
          <x:t>Reverse WACC. Formula: =(D75+E75)/2
Review selected-case observations and Model Guide for definitions and held assumptions.</x:t>
        </x:r>
      </x:text>
    </x:comment>
    <x:comment ref="G75" authorId="0">
      <x:text>
        <x:r>
          <x:t>Reverse WACC. Formula: =(SUM((('Forecast'!E12)*(('Assumptions'!E37+(0))*(1-'Assumptions'!E42-(0))+'Assumptions'!E47-'Assumptions'!E52*(1)+'Assumptions'!E57-'Assumptions'!E62*(1)-'Assumptions'!E67-(0))+('Working Capital'!$E$6))*'DCF'!E12/(1+(F75))^'DCF'!E13,(('Forecast'!F12)*(('Assumptions'!F37+(0))*(1-'Assumptions'!F42-(0))+'Assumptions'!F47-'Assumptions'!F52*(1)+'Assumptions'!F57-'Assumptions'!F62*(1)-'Assumptions'!F67-(0))+(('Forecast'!E12)*('Assumptions'!E67+(0))))*'DCF'!F12/(1+(F75))^'DCF'!F13,(('Forecast'!G12)*(('Assumptions'!G37+(0))*(1-'Assumptions'!G42-(0))+'Assumptions'!G47-'Assumptions'!G52*(1)+'Assumptions'!G57-'Assumptions'!G62*(1)-'Assumptions'!G67-(0))+(('Forecast'!F12)*('Assumptions'!F67+(0))))*'DCF'!G12/(1+(F75))^'DCF'!G13,(('Forecast'!H12)*(('Assumptions'!H37+(0))*(1-'Assumptions'!H42-(0))+'Assumptions'!H47-'Assumptions'!H52*(1)+'Assumptions'!H57-'Assumptions'!H62*(1)-'Assumptions'!H67-(0))+(('Forecast'!G12)*('Assumptions'!G67+(0))))*'DCF'!H12/(1+(F75))^'DCF'!H13,(('Forecast'!I12)*(('Assumptions'!I37+(0))*(1-'Assumptions'!I42-(0))+'Assumptions'!I47-'Assumptions'!I52*(1)+'Assumptions'!I57-'Assumptions'!I62*(1)-'Assumptions'!I67-(0))+(('Forecast'!H12)*('Assumptions'!H67+(0))))*'DCF'!I12/(1+(F75))^'DCF'!I13)+('Forecast'!I12)*(1+('DCF'!$E$7))*('Terminal Value'!$E$10+(0))*(1-'Assumptions'!$E$15-(0))*(1-('DCF'!$E$7)/('Terminal Value'!$E$12))/((F75)-('DCF'!$E$7))/(1+(F75))^'DCF'!$E$19)
Review selected-case observations and Model Guide for definitions and held assumptions.</x:t>
        </x:r>
      </x:text>
    </x:comment>
    <x:comment ref="H75" authorId="0">
      <x:text>
        <x:r>
          <x:t>Reverse WACC. Formula: =G75-$E$9
Review selected-case observations and Model Guide for definitions and held assumptions.</x:t>
        </x:r>
      </x:text>
    </x:comment>
    <x:comment ref="C76" authorId="0">
      <x:text>
        <x:r>
          <x:t>Reverse WACC. Editable source or analyst input.
Review selected-case observations and Model Guide for definitions and held assumptions.</x:t>
        </x:r>
      </x:text>
    </x:comment>
    <x:comment ref="D76" authorId="0">
      <x:text>
        <x:r>
          <x:t>Reverse WACC. Formula: =IF(G75&gt;$E$9,F75,D75)
Review selected-case observations and Model Guide for definitions and held assumptions.</x:t>
        </x:r>
      </x:text>
    </x:comment>
    <x:comment ref="E76" authorId="0">
      <x:text>
        <x:r>
          <x:t>Reverse WACC. Formula: =IF(G75&gt;$E$9,E75,F75)
Review selected-case observations and Model Guide for definitions and held assumptions.</x:t>
        </x:r>
      </x:text>
    </x:comment>
    <x:comment ref="F76" authorId="0">
      <x:text>
        <x:r>
          <x:t>Reverse WACC. Formula: =(D76+E76)/2
Review selected-case observations and Model Guide for definitions and held assumptions.</x:t>
        </x:r>
      </x:text>
    </x:comment>
    <x:comment ref="G76" authorId="0">
      <x:text>
        <x:r>
          <x:t>Reverse WACC. Formula: =(SUM((('Forecast'!E12)*(('Assumptions'!E37+(0))*(1-'Assumptions'!E42-(0))+'Assumptions'!E47-'Assumptions'!E52*(1)+'Assumptions'!E57-'Assumptions'!E62*(1)-'Assumptions'!E67-(0))+('Working Capital'!$E$6))*'DCF'!E12/(1+(F76))^'DCF'!E13,(('Forecast'!F12)*(('Assumptions'!F37+(0))*(1-'Assumptions'!F42-(0))+'Assumptions'!F47-'Assumptions'!F52*(1)+'Assumptions'!F57-'Assumptions'!F62*(1)-'Assumptions'!F67-(0))+(('Forecast'!E12)*('Assumptions'!E67+(0))))*'DCF'!F12/(1+(F76))^'DCF'!F13,(('Forecast'!G12)*(('Assumptions'!G37+(0))*(1-'Assumptions'!G42-(0))+'Assumptions'!G47-'Assumptions'!G52*(1)+'Assumptions'!G57-'Assumptions'!G62*(1)-'Assumptions'!G67-(0))+(('Forecast'!F12)*('Assumptions'!F67+(0))))*'DCF'!G12/(1+(F76))^'DCF'!G13,(('Forecast'!H12)*(('Assumptions'!H37+(0))*(1-'Assumptions'!H42-(0))+'Assumptions'!H47-'Assumptions'!H52*(1)+'Assumptions'!H57-'Assumptions'!H62*(1)-'Assumptions'!H67-(0))+(('Forecast'!G12)*('Assumptions'!G67+(0))))*'DCF'!H12/(1+(F76))^'DCF'!H13,(('Forecast'!I12)*(('Assumptions'!I37+(0))*(1-'Assumptions'!I42-(0))+'Assumptions'!I47-'Assumptions'!I52*(1)+'Assumptions'!I57-'Assumptions'!I62*(1)-'Assumptions'!I67-(0))+(('Forecast'!H12)*('Assumptions'!H67+(0))))*'DCF'!I12/(1+(F76))^'DCF'!I13)+('Forecast'!I12)*(1+('DCF'!$E$7))*('Terminal Value'!$E$10+(0))*(1-'Assumptions'!$E$15-(0))*(1-('DCF'!$E$7)/('Terminal Value'!$E$12))/((F76)-('DCF'!$E$7))/(1+(F76))^'DCF'!$E$19)
Review selected-case observations and Model Guide for definitions and held assumptions.</x:t>
        </x:r>
      </x:text>
    </x:comment>
    <x:comment ref="H76" authorId="0">
      <x:text>
        <x:r>
          <x:t>Reverse WACC. Formula: =G76-$E$9
Review selected-case observations and Model Guide for definitions and held assumptions.</x:t>
        </x:r>
      </x:text>
    </x:comment>
    <x:comment ref="C77" authorId="0">
      <x:text>
        <x:r>
          <x:t>Reverse WACC. Editable source or analyst input.
Review selected-case observations and Model Guide for definitions and held assumptions.</x:t>
        </x:r>
      </x:text>
    </x:comment>
    <x:comment ref="D77" authorId="0">
      <x:text>
        <x:r>
          <x:t>Reverse WACC. Formula: =IF(G76&gt;$E$9,F76,D76)
Review selected-case observations and Model Guide for definitions and held assumptions.</x:t>
        </x:r>
      </x:text>
    </x:comment>
    <x:comment ref="E77" authorId="0">
      <x:text>
        <x:r>
          <x:t>Reverse WACC. Formula: =IF(G76&gt;$E$9,E76,F76)
Review selected-case observations and Model Guide for definitions and held assumptions.</x:t>
        </x:r>
      </x:text>
    </x:comment>
    <x:comment ref="F77" authorId="0">
      <x:text>
        <x:r>
          <x:t>Reverse WACC. Formula: =(D77+E77)/2
Review selected-case observations and Model Guide for definitions and held assumptions.</x:t>
        </x:r>
      </x:text>
    </x:comment>
    <x:comment ref="G77" authorId="0">
      <x:text>
        <x:r>
          <x:t>Reverse WACC. Formula: =(SUM((('Forecast'!E12)*(('Assumptions'!E37+(0))*(1-'Assumptions'!E42-(0))+'Assumptions'!E47-'Assumptions'!E52*(1)+'Assumptions'!E57-'Assumptions'!E62*(1)-'Assumptions'!E67-(0))+('Working Capital'!$E$6))*'DCF'!E12/(1+(F77))^'DCF'!E13,(('Forecast'!F12)*(('Assumptions'!F37+(0))*(1-'Assumptions'!F42-(0))+'Assumptions'!F47-'Assumptions'!F52*(1)+'Assumptions'!F57-'Assumptions'!F62*(1)-'Assumptions'!F67-(0))+(('Forecast'!E12)*('Assumptions'!E67+(0))))*'DCF'!F12/(1+(F77))^'DCF'!F13,(('Forecast'!G12)*(('Assumptions'!G37+(0))*(1-'Assumptions'!G42-(0))+'Assumptions'!G47-'Assumptions'!G52*(1)+'Assumptions'!G57-'Assumptions'!G62*(1)-'Assumptions'!G67-(0))+(('Forecast'!F12)*('Assumptions'!F67+(0))))*'DCF'!G12/(1+(F77))^'DCF'!G13,(('Forecast'!H12)*(('Assumptions'!H37+(0))*(1-'Assumptions'!H42-(0))+'Assumptions'!H47-'Assumptions'!H52*(1)+'Assumptions'!H57-'Assumptions'!H62*(1)-'Assumptions'!H67-(0))+(('Forecast'!G12)*('Assumptions'!G67+(0))))*'DCF'!H12/(1+(F77))^'DCF'!H13,(('Forecast'!I12)*(('Assumptions'!I37+(0))*(1-'Assumptions'!I42-(0))+'Assumptions'!I47-'Assumptions'!I52*(1)+'Assumptions'!I57-'Assumptions'!I62*(1)-'Assumptions'!I67-(0))+(('Forecast'!H12)*('Assumptions'!H67+(0))))*'DCF'!I12/(1+(F77))^'DCF'!I13)+('Forecast'!I12)*(1+('DCF'!$E$7))*('Terminal Value'!$E$10+(0))*(1-'Assumptions'!$E$15-(0))*(1-('DCF'!$E$7)/('Terminal Value'!$E$12))/((F77)-('DCF'!$E$7))/(1+(F77))^'DCF'!$E$19)
Review selected-case observations and Model Guide for definitions and held assumptions.</x:t>
        </x:r>
      </x:text>
    </x:comment>
    <x:comment ref="H77" authorId="0">
      <x:text>
        <x:r>
          <x:t>Reverse WACC. Formula: =G77-$E$9
Review selected-case observations and Model Guide for definitions and held assumptions.</x:t>
        </x:r>
      </x:text>
    </x:comment>
    <x:comment ref="C78" authorId="0">
      <x:text>
        <x:r>
          <x:t>Reverse WACC. Editable source or analyst input.
Review selected-case observations and Model Guide for definitions and held assumptions.</x:t>
        </x:r>
      </x:text>
    </x:comment>
    <x:comment ref="D78" authorId="0">
      <x:text>
        <x:r>
          <x:t>Reverse WACC. Formula: =IF(G77&gt;$E$9,F77,D77)
Review selected-case observations and Model Guide for definitions and held assumptions.</x:t>
        </x:r>
      </x:text>
    </x:comment>
    <x:comment ref="E78" authorId="0">
      <x:text>
        <x:r>
          <x:t>Reverse WACC. Formula: =IF(G77&gt;$E$9,E77,F77)
Review selected-case observations and Model Guide for definitions and held assumptions.</x:t>
        </x:r>
      </x:text>
    </x:comment>
    <x:comment ref="F78" authorId="0">
      <x:text>
        <x:r>
          <x:t>Reverse WACC. Formula: =(D78+E78)/2
Review selected-case observations and Model Guide for definitions and held assumptions.</x:t>
        </x:r>
      </x:text>
    </x:comment>
    <x:comment ref="G78" authorId="0">
      <x:text>
        <x:r>
          <x:t>Reverse WACC. Formula: =(SUM((('Forecast'!E12)*(('Assumptions'!E37+(0))*(1-'Assumptions'!E42-(0))+'Assumptions'!E47-'Assumptions'!E52*(1)+'Assumptions'!E57-'Assumptions'!E62*(1)-'Assumptions'!E67-(0))+('Working Capital'!$E$6))*'DCF'!E12/(1+(F78))^'DCF'!E13,(('Forecast'!F12)*(('Assumptions'!F37+(0))*(1-'Assumptions'!F42-(0))+'Assumptions'!F47-'Assumptions'!F52*(1)+'Assumptions'!F57-'Assumptions'!F62*(1)-'Assumptions'!F67-(0))+(('Forecast'!E12)*('Assumptions'!E67+(0))))*'DCF'!F12/(1+(F78))^'DCF'!F13,(('Forecast'!G12)*(('Assumptions'!G37+(0))*(1-'Assumptions'!G42-(0))+'Assumptions'!G47-'Assumptions'!G52*(1)+'Assumptions'!G57-'Assumptions'!G62*(1)-'Assumptions'!G67-(0))+(('Forecast'!F12)*('Assumptions'!F67+(0))))*'DCF'!G12/(1+(F78))^'DCF'!G13,(('Forecast'!H12)*(('Assumptions'!H37+(0))*(1-'Assumptions'!H42-(0))+'Assumptions'!H47-'Assumptions'!H52*(1)+'Assumptions'!H57-'Assumptions'!H62*(1)-'Assumptions'!H67-(0))+(('Forecast'!G12)*('Assumptions'!G67+(0))))*'DCF'!H12/(1+(F78))^'DCF'!H13,(('Forecast'!I12)*(('Assumptions'!I37+(0))*(1-'Assumptions'!I42-(0))+'Assumptions'!I47-'Assumptions'!I52*(1)+'Assumptions'!I57-'Assumptions'!I62*(1)-'Assumptions'!I67-(0))+(('Forecast'!H12)*('Assumptions'!H67+(0))))*'DCF'!I12/(1+(F78))^'DCF'!I13)+('Forecast'!I12)*(1+('DCF'!$E$7))*('Terminal Value'!$E$10+(0))*(1-'Assumptions'!$E$15-(0))*(1-('DCF'!$E$7)/('Terminal Value'!$E$12))/((F78)-('DCF'!$E$7))/(1+(F78))^'DCF'!$E$19)
Review selected-case observations and Model Guide for definitions and held assumptions.</x:t>
        </x:r>
      </x:text>
    </x:comment>
    <x:comment ref="H78" authorId="0">
      <x:text>
        <x:r>
          <x:t>Reverse WACC. Formula: =G78-$E$9
Review selected-case observations and Model Guide for definitions and held assumptions.</x:t>
        </x:r>
      </x:text>
    </x:comment>
    <x:comment ref="C79" authorId="0">
      <x:text>
        <x:r>
          <x:t>Reverse WACC. Editable source or analyst input.
Review selected-case observations and Model Guide for definitions and held assumptions.</x:t>
        </x:r>
      </x:text>
    </x:comment>
    <x:comment ref="D79" authorId="0">
      <x:text>
        <x:r>
          <x:t>Reverse WACC. Formula: =IF(G78&gt;$E$9,F78,D78)
Review selected-case observations and Model Guide for definitions and held assumptions.</x:t>
        </x:r>
      </x:text>
    </x:comment>
    <x:comment ref="E79" authorId="0">
      <x:text>
        <x:r>
          <x:t>Reverse WACC. Formula: =IF(G78&gt;$E$9,E78,F78)
Review selected-case observations and Model Guide for definitions and held assumptions.</x:t>
        </x:r>
      </x:text>
    </x:comment>
    <x:comment ref="F79" authorId="0">
      <x:text>
        <x:r>
          <x:t>Reverse WACC. Formula: =(D79+E79)/2
Review selected-case observations and Model Guide for definitions and held assumptions.</x:t>
        </x:r>
      </x:text>
    </x:comment>
    <x:comment ref="G79" authorId="0">
      <x:text>
        <x:r>
          <x:t>Reverse WACC. Formula: =(SUM((('Forecast'!E12)*(('Assumptions'!E37+(0))*(1-'Assumptions'!E42-(0))+'Assumptions'!E47-'Assumptions'!E52*(1)+'Assumptions'!E57-'Assumptions'!E62*(1)-'Assumptions'!E67-(0))+('Working Capital'!$E$6))*'DCF'!E12/(1+(F79))^'DCF'!E13,(('Forecast'!F12)*(('Assumptions'!F37+(0))*(1-'Assumptions'!F42-(0))+'Assumptions'!F47-'Assumptions'!F52*(1)+'Assumptions'!F57-'Assumptions'!F62*(1)-'Assumptions'!F67-(0))+(('Forecast'!E12)*('Assumptions'!E67+(0))))*'DCF'!F12/(1+(F79))^'DCF'!F13,(('Forecast'!G12)*(('Assumptions'!G37+(0))*(1-'Assumptions'!G42-(0))+'Assumptions'!G47-'Assumptions'!G52*(1)+'Assumptions'!G57-'Assumptions'!G62*(1)-'Assumptions'!G67-(0))+(('Forecast'!F12)*('Assumptions'!F67+(0))))*'DCF'!G12/(1+(F79))^'DCF'!G13,(('Forecast'!H12)*(('Assumptions'!H37+(0))*(1-'Assumptions'!H42-(0))+'Assumptions'!H47-'Assumptions'!H52*(1)+'Assumptions'!H57-'Assumptions'!H62*(1)-'Assumptions'!H67-(0))+(('Forecast'!G12)*('Assumptions'!G67+(0))))*'DCF'!H12/(1+(F79))^'DCF'!H13,(('Forecast'!I12)*(('Assumptions'!I37+(0))*(1-'Assumptions'!I42-(0))+'Assumptions'!I47-'Assumptions'!I52*(1)+'Assumptions'!I57-'Assumptions'!I62*(1)-'Assumptions'!I67-(0))+(('Forecast'!H12)*('Assumptions'!H67+(0))))*'DCF'!I12/(1+(F79))^'DCF'!I13)+('Forecast'!I12)*(1+('DCF'!$E$7))*('Terminal Value'!$E$10+(0))*(1-'Assumptions'!$E$15-(0))*(1-('DCF'!$E$7)/('Terminal Value'!$E$12))/((F79)-('DCF'!$E$7))/(1+(F79))^'DCF'!$E$19)
Review selected-case observations and Model Guide for definitions and held assumptions.</x:t>
        </x:r>
      </x:text>
    </x:comment>
    <x:comment ref="H79" authorId="0">
      <x:text>
        <x:r>
          <x:t>Reverse WACC. Formula: =G79-$E$9
Review selected-case observations and Model Guide for definitions and held assumptions.</x:t>
        </x:r>
      </x:text>
    </x:comment>
    <x:comment ref="C80" authorId="0">
      <x:text>
        <x:r>
          <x:t>Reverse WACC. Editable source or analyst input.
Review selected-case observations and Model Guide for definitions and held assumptions.</x:t>
        </x:r>
      </x:text>
    </x:comment>
    <x:comment ref="D80" authorId="0">
      <x:text>
        <x:r>
          <x:t>Reverse WACC. Formula: =IF(G79&gt;$E$9,F79,D79)
Review selected-case observations and Model Guide for definitions and held assumptions.</x:t>
        </x:r>
      </x:text>
    </x:comment>
    <x:comment ref="E80" authorId="0">
      <x:text>
        <x:r>
          <x:t>Reverse WACC. Formula: =IF(G79&gt;$E$9,E79,F79)
Review selected-case observations and Model Guide for definitions and held assumptions.</x:t>
        </x:r>
      </x:text>
    </x:comment>
    <x:comment ref="F80" authorId="0">
      <x:text>
        <x:r>
          <x:t>Reverse WACC. Formula: =(D80+E80)/2
Review selected-case observations and Model Guide for definitions and held assumptions.</x:t>
        </x:r>
      </x:text>
    </x:comment>
    <x:comment ref="G80" authorId="0">
      <x:text>
        <x:r>
          <x:t>Reverse WACC. Formula: =(SUM((('Forecast'!E12)*(('Assumptions'!E37+(0))*(1-'Assumptions'!E42-(0))+'Assumptions'!E47-'Assumptions'!E52*(1)+'Assumptions'!E57-'Assumptions'!E62*(1)-'Assumptions'!E67-(0))+('Working Capital'!$E$6))*'DCF'!E12/(1+(F80))^'DCF'!E13,(('Forecast'!F12)*(('Assumptions'!F37+(0))*(1-'Assumptions'!F42-(0))+'Assumptions'!F47-'Assumptions'!F52*(1)+'Assumptions'!F57-'Assumptions'!F62*(1)-'Assumptions'!F67-(0))+(('Forecast'!E12)*('Assumptions'!E67+(0))))*'DCF'!F12/(1+(F80))^'DCF'!F13,(('Forecast'!G12)*(('Assumptions'!G37+(0))*(1-'Assumptions'!G42-(0))+'Assumptions'!G47-'Assumptions'!G52*(1)+'Assumptions'!G57-'Assumptions'!G62*(1)-'Assumptions'!G67-(0))+(('Forecast'!F12)*('Assumptions'!F67+(0))))*'DCF'!G12/(1+(F80))^'DCF'!G13,(('Forecast'!H12)*(('Assumptions'!H37+(0))*(1-'Assumptions'!H42-(0))+'Assumptions'!H47-'Assumptions'!H52*(1)+'Assumptions'!H57-'Assumptions'!H62*(1)-'Assumptions'!H67-(0))+(('Forecast'!G12)*('Assumptions'!G67+(0))))*'DCF'!H12/(1+(F80))^'DCF'!H13,(('Forecast'!I12)*(('Assumptions'!I37+(0))*(1-'Assumptions'!I42-(0))+'Assumptions'!I47-'Assumptions'!I52*(1)+'Assumptions'!I57-'Assumptions'!I62*(1)-'Assumptions'!I67-(0))+(('Forecast'!H12)*('Assumptions'!H67+(0))))*'DCF'!I12/(1+(F80))^'DCF'!I13)+('Forecast'!I12)*(1+('DCF'!$E$7))*('Terminal Value'!$E$10+(0))*(1-'Assumptions'!$E$15-(0))*(1-('DCF'!$E$7)/('Terminal Value'!$E$12))/((F80)-('DCF'!$E$7))/(1+(F80))^'DCF'!$E$19)
Review selected-case observations and Model Guide for definitions and held assumptions.</x:t>
        </x:r>
      </x:text>
    </x:comment>
    <x:comment ref="H80" authorId="0">
      <x:text>
        <x:r>
          <x:t>Reverse WACC. Formula: =G80-$E$9
Review selected-case observations and Model Guide for definitions and held assumptions.</x:t>
        </x:r>
      </x:text>
    </x:comment>
    <x:comment ref="C81" authorId="0">
      <x:text>
        <x:r>
          <x:t>Reverse WACC. Editable source or analyst input.
Review selected-case observations and Model Guide for definitions and held assumptions.</x:t>
        </x:r>
      </x:text>
    </x:comment>
    <x:comment ref="D81" authorId="0">
      <x:text>
        <x:r>
          <x:t>Reverse WACC. Formula: =IF(G80&gt;$E$9,F80,D80)
Review selected-case observations and Model Guide for definitions and held assumptions.</x:t>
        </x:r>
      </x:text>
    </x:comment>
    <x:comment ref="E81" authorId="0">
      <x:text>
        <x:r>
          <x:t>Reverse WACC. Formula: =IF(G80&gt;$E$9,E80,F80)
Review selected-case observations and Model Guide for definitions and held assumptions.</x:t>
        </x:r>
      </x:text>
    </x:comment>
    <x:comment ref="F81" authorId="0">
      <x:text>
        <x:r>
          <x:t>Reverse WACC. Formula: =(D81+E81)/2
Review selected-case observations and Model Guide for definitions and held assumptions.</x:t>
        </x:r>
      </x:text>
    </x:comment>
    <x:comment ref="G81" authorId="0">
      <x:text>
        <x:r>
          <x:t>Reverse WACC. Formula: =(SUM((('Forecast'!E12)*(('Assumptions'!E37+(0))*(1-'Assumptions'!E42-(0))+'Assumptions'!E47-'Assumptions'!E52*(1)+'Assumptions'!E57-'Assumptions'!E62*(1)-'Assumptions'!E67-(0))+('Working Capital'!$E$6))*'DCF'!E12/(1+(F81))^'DCF'!E13,(('Forecast'!F12)*(('Assumptions'!F37+(0))*(1-'Assumptions'!F42-(0))+'Assumptions'!F47-'Assumptions'!F52*(1)+'Assumptions'!F57-'Assumptions'!F62*(1)-'Assumptions'!F67-(0))+(('Forecast'!E12)*('Assumptions'!E67+(0))))*'DCF'!F12/(1+(F81))^'DCF'!F13,(('Forecast'!G12)*(('Assumptions'!G37+(0))*(1-'Assumptions'!G42-(0))+'Assumptions'!G47-'Assumptions'!G52*(1)+'Assumptions'!G57-'Assumptions'!G62*(1)-'Assumptions'!G67-(0))+(('Forecast'!F12)*('Assumptions'!F67+(0))))*'DCF'!G12/(1+(F81))^'DCF'!G13,(('Forecast'!H12)*(('Assumptions'!H37+(0))*(1-'Assumptions'!H42-(0))+'Assumptions'!H47-'Assumptions'!H52*(1)+'Assumptions'!H57-'Assumptions'!H62*(1)-'Assumptions'!H67-(0))+(('Forecast'!G12)*('Assumptions'!G67+(0))))*'DCF'!H12/(1+(F81))^'DCF'!H13,(('Forecast'!I12)*(('Assumptions'!I37+(0))*(1-'Assumptions'!I42-(0))+'Assumptions'!I47-'Assumptions'!I52*(1)+'Assumptions'!I57-'Assumptions'!I62*(1)-'Assumptions'!I67-(0))+(('Forecast'!H12)*('Assumptions'!H67+(0))))*'DCF'!I12/(1+(F81))^'DCF'!I13)+('Forecast'!I12)*(1+('DCF'!$E$7))*('Terminal Value'!$E$10+(0))*(1-'Assumptions'!$E$15-(0))*(1-('DCF'!$E$7)/('Terminal Value'!$E$12))/((F81)-('DCF'!$E$7))/(1+(F81))^'DCF'!$E$19)
Review selected-case observations and Model Guide for definitions and held assumptions.</x:t>
        </x:r>
      </x:text>
    </x:comment>
    <x:comment ref="H81" authorId="0">
      <x:text>
        <x:r>
          <x:t>Reverse WACC. Formula: =G81-$E$9
Review selected-case observations and Model Guide for definitions and held assumptions.</x:t>
        </x:r>
      </x:text>
    </x:comment>
    <x:comment ref="E18" authorId="0">
      <x:text>
        <x:r>
          <x:t>Reverse WACC. Formula: =G81-E9
Review selected-case observations and Model Guide for definitions and held assumptions.</x:t>
        </x:r>
      </x:text>
    </x:comment>
    <x:comment ref="C87" authorId="0">
      <x:text>
        <x:r>
          <x:t>Reverse WACC. Formula: =$E$16+($E$17-$E$16)*0/8
Review selected-case observations and Model Guide for definitions and held assumptions.</x:t>
        </x:r>
      </x:text>
    </x:comment>
    <x:comment ref="D87" authorId="0">
      <x:text>
        <x:r>
          <x:t>Reverse WACC. Formula: =((SUM((('Forecast'!E12)*(('Assumptions'!E37+(0))*(1-'Assumptions'!E42-(0))+'Assumptions'!E47-'Assumptions'!E52*(1)+'Assumptions'!E57-'Assumptions'!E62*(1)-'Assumptions'!E67-(0))+('Working Capital'!$E$6))*'DCF'!E12/(1+(C87))^'DCF'!E13,(('Forecast'!F12)*(('Assumptions'!F37+(0))*(1-'Assumptions'!F42-(0))+'Assumptions'!F47-'Assumptions'!F52*(1)+'Assumptions'!F57-'Assumptions'!F62*(1)-'Assumptions'!F67-(0))+(('Forecast'!E12)*('Assumptions'!E67+(0))))*'DCF'!F12/(1+(C87))^'DCF'!F13,(('Forecast'!G12)*(('Assumptions'!G37+(0))*(1-'Assumptions'!G42-(0))+'Assumptions'!G47-'Assumptions'!G52*(1)+'Assumptions'!G57-'Assumptions'!G62*(1)-'Assumptions'!G67-(0))+(('Forecast'!F12)*('Assumptions'!F67+(0))))*'DCF'!G12/(1+(C87))^'DCF'!G13,(('Forecast'!H12)*(('Assumptions'!H37+(0))*(1-'Assumptions'!H42-(0))+'Assumptions'!H47-'Assumptions'!H52*(1)+'Assumptions'!H57-'Assumptions'!H62*(1)-'Assumptions'!H67-(0))+(('Forecast'!G12)*('Assumptions'!G67+(0))))*'DCF'!H12/(1+(C87))^'DCF'!H13,(('Forecast'!I12)*(('Assumptions'!I37+(0))*(1-'Assumptions'!I42-(0))+'Assumptions'!I47-'Assumptions'!I52*(1)+'Assumptions'!I57-'Assumptions'!I62*(1)-'Assumptions'!I67-(0))+(('Forecast'!H12)*('Assumptions'!H67+(0))))*'DCF'!I12/(1+(C87))^'DCF'!I13)+('Forecast'!I12)*(1+('DCF'!$E$7))*('Terminal Value'!$E$10+(0))*(1-'Assumptions'!$E$15-(0))*(1-('DCF'!$E$7)/('Terminal Value'!$E$12))/((C87)-('DCF'!$E$7))/(1+(C87))^'DCF'!$E$19)+'Equity Bridge'!$E$17)/'Equity Bridge'!$E$20
Review selected-case observations and Model Guide for definitions and held assumptions.</x:t>
        </x:r>
      </x:text>
    </x:comment>
    <x:comment ref="C88" authorId="0">
      <x:text>
        <x:r>
          <x:t>Reverse WACC. Formula: =$E$16+($E$17-$E$16)*1/8
Review selected-case observations and Model Guide for definitions and held assumptions.</x:t>
        </x:r>
      </x:text>
    </x:comment>
    <x:comment ref="D88" authorId="0">
      <x:text>
        <x:r>
          <x:t>Reverse WACC. Formula: =((SUM((('Forecast'!E12)*(('Assumptions'!E37+(0))*(1-'Assumptions'!E42-(0))+'Assumptions'!E47-'Assumptions'!E52*(1)+'Assumptions'!E57-'Assumptions'!E62*(1)-'Assumptions'!E67-(0))+('Working Capital'!$E$6))*'DCF'!E12/(1+(C88))^'DCF'!E13,(('Forecast'!F12)*(('Assumptions'!F37+(0))*(1-'Assumptions'!F42-(0))+'Assumptions'!F47-'Assumptions'!F52*(1)+'Assumptions'!F57-'Assumptions'!F62*(1)-'Assumptions'!F67-(0))+(('Forecast'!E12)*('Assumptions'!E67+(0))))*'DCF'!F12/(1+(C88))^'DCF'!F13,(('Forecast'!G12)*(('Assumptions'!G37+(0))*(1-'Assumptions'!G42-(0))+'Assumptions'!G47-'Assumptions'!G52*(1)+'Assumptions'!G57-'Assumptions'!G62*(1)-'Assumptions'!G67-(0))+(('Forecast'!F12)*('Assumptions'!F67+(0))))*'DCF'!G12/(1+(C88))^'DCF'!G13,(('Forecast'!H12)*(('Assumptions'!H37+(0))*(1-'Assumptions'!H42-(0))+'Assumptions'!H47-'Assumptions'!H52*(1)+'Assumptions'!H57-'Assumptions'!H62*(1)-'Assumptions'!H67-(0))+(('Forecast'!G12)*('Assumptions'!G67+(0))))*'DCF'!H12/(1+(C88))^'DCF'!H13,(('Forecast'!I12)*(('Assumptions'!I37+(0))*(1-'Assumptions'!I42-(0))+'Assumptions'!I47-'Assumptions'!I52*(1)+'Assumptions'!I57-'Assumptions'!I62*(1)-'Assumptions'!I67-(0))+(('Forecast'!H12)*('Assumptions'!H67+(0))))*'DCF'!I12/(1+(C88))^'DCF'!I13)+('Forecast'!I12)*(1+('DCF'!$E$7))*('Terminal Value'!$E$10+(0))*(1-'Assumptions'!$E$15-(0))*(1-('DCF'!$E$7)/('Terminal Value'!$E$12))/((C88)-('DCF'!$E$7))/(1+(C88))^'DCF'!$E$19)+'Equity Bridge'!$E$17)/'Equity Bridge'!$E$20
Review selected-case observations and Model Guide for definitions and held assumptions.</x:t>
        </x:r>
      </x:text>
    </x:comment>
    <x:comment ref="C89" authorId="0">
      <x:text>
        <x:r>
          <x:t>Reverse WACC. Formula: =$E$16+($E$17-$E$16)*2/8
Review selected-case observations and Model Guide for definitions and held assumptions.</x:t>
        </x:r>
      </x:text>
    </x:comment>
    <x:comment ref="D89" authorId="0">
      <x:text>
        <x:r>
          <x:t>Reverse WACC. Formula: =((SUM((('Forecast'!E12)*(('Assumptions'!E37+(0))*(1-'Assumptions'!E42-(0))+'Assumptions'!E47-'Assumptions'!E52*(1)+'Assumptions'!E57-'Assumptions'!E62*(1)-'Assumptions'!E67-(0))+('Working Capital'!$E$6))*'DCF'!E12/(1+(C89))^'DCF'!E13,(('Forecast'!F12)*(('Assumptions'!F37+(0))*(1-'Assumptions'!F42-(0))+'Assumptions'!F47-'Assumptions'!F52*(1)+'Assumptions'!F57-'Assumptions'!F62*(1)-'Assumptions'!F67-(0))+(('Forecast'!E12)*('Assumptions'!E67+(0))))*'DCF'!F12/(1+(C89))^'DCF'!F13,(('Forecast'!G12)*(('Assumptions'!G37+(0))*(1-'Assumptions'!G42-(0))+'Assumptions'!G47-'Assumptions'!G52*(1)+'Assumptions'!G57-'Assumptions'!G62*(1)-'Assumptions'!G67-(0))+(('Forecast'!F12)*('Assumptions'!F67+(0))))*'DCF'!G12/(1+(C89))^'DCF'!G13,(('Forecast'!H12)*(('Assumptions'!H37+(0))*(1-'Assumptions'!H42-(0))+'Assumptions'!H47-'Assumptions'!H52*(1)+'Assumptions'!H57-'Assumptions'!H62*(1)-'Assumptions'!H67-(0))+(('Forecast'!G12)*('Assumptions'!G67+(0))))*'DCF'!H12/(1+(C89))^'DCF'!H13,(('Forecast'!I12)*(('Assumptions'!I37+(0))*(1-'Assumptions'!I42-(0))+'Assumptions'!I47-'Assumptions'!I52*(1)+'Assumptions'!I57-'Assumptions'!I62*(1)-'Assumptions'!I67-(0))+(('Forecast'!H12)*('Assumptions'!H67+(0))))*'DCF'!I12/(1+(C89))^'DCF'!I13)+('Forecast'!I12)*(1+('DCF'!$E$7))*('Terminal Value'!$E$10+(0))*(1-'Assumptions'!$E$15-(0))*(1-('DCF'!$E$7)/('Terminal Value'!$E$12))/((C89)-('DCF'!$E$7))/(1+(C89))^'DCF'!$E$19)+'Equity Bridge'!$E$17)/'Equity Bridge'!$E$20
Review selected-case observations and Model Guide for definitions and held assumptions.</x:t>
        </x:r>
      </x:text>
    </x:comment>
    <x:comment ref="C90" authorId="0">
      <x:text>
        <x:r>
          <x:t>Reverse WACC. Formula: =$E$16+($E$17-$E$16)*3/8
Review selected-case observations and Model Guide for definitions and held assumptions.</x:t>
        </x:r>
      </x:text>
    </x:comment>
    <x:comment ref="D90" authorId="0">
      <x:text>
        <x:r>
          <x:t>Reverse WACC. Formula: =((SUM((('Forecast'!E12)*(('Assumptions'!E37+(0))*(1-'Assumptions'!E42-(0))+'Assumptions'!E47-'Assumptions'!E52*(1)+'Assumptions'!E57-'Assumptions'!E62*(1)-'Assumptions'!E67-(0))+('Working Capital'!$E$6))*'DCF'!E12/(1+(C90))^'DCF'!E13,(('Forecast'!F12)*(('Assumptions'!F37+(0))*(1-'Assumptions'!F42-(0))+'Assumptions'!F47-'Assumptions'!F52*(1)+'Assumptions'!F57-'Assumptions'!F62*(1)-'Assumptions'!F67-(0))+(('Forecast'!E12)*('Assumptions'!E67+(0))))*'DCF'!F12/(1+(C90))^'DCF'!F13,(('Forecast'!G12)*(('Assumptions'!G37+(0))*(1-'Assumptions'!G42-(0))+'Assumptions'!G47-'Assumptions'!G52*(1)+'Assumptions'!G57-'Assumptions'!G62*(1)-'Assumptions'!G67-(0))+(('Forecast'!F12)*('Assumptions'!F67+(0))))*'DCF'!G12/(1+(C90))^'DCF'!G13,(('Forecast'!H12)*(('Assumptions'!H37+(0))*(1-'Assumptions'!H42-(0))+'Assumptions'!H47-'Assumptions'!H52*(1)+'Assumptions'!H57-'Assumptions'!H62*(1)-'Assumptions'!H67-(0))+(('Forecast'!G12)*('Assumptions'!G67+(0))))*'DCF'!H12/(1+(C90))^'DCF'!H13,(('Forecast'!I12)*(('Assumptions'!I37+(0))*(1-'Assumptions'!I42-(0))+'Assumptions'!I47-'Assumptions'!I52*(1)+'Assumptions'!I57-'Assumptions'!I62*(1)-'Assumptions'!I67-(0))+(('Forecast'!H12)*('Assumptions'!H67+(0))))*'DCF'!I12/(1+(C90))^'DCF'!I13)+('Forecast'!I12)*(1+('DCF'!$E$7))*('Terminal Value'!$E$10+(0))*(1-'Assumptions'!$E$15-(0))*(1-('DCF'!$E$7)/('Terminal Value'!$E$12))/((C90)-('DCF'!$E$7))/(1+(C90))^'DCF'!$E$19)+'Equity Bridge'!$E$17)/'Equity Bridge'!$E$20
Review selected-case observations and Model Guide for definitions and held assumptions.</x:t>
        </x:r>
      </x:text>
    </x:comment>
    <x:comment ref="C91" authorId="0">
      <x:text>
        <x:r>
          <x:t>Reverse WACC. Formula: =$E$16+($E$17-$E$16)*4/8
Review selected-case observations and Model Guide for definitions and held assumptions.</x:t>
        </x:r>
      </x:text>
    </x:comment>
    <x:comment ref="D91" authorId="0">
      <x:text>
        <x:r>
          <x:t>Reverse WACC. Formula: =((SUM((('Forecast'!E12)*(('Assumptions'!E37+(0))*(1-'Assumptions'!E42-(0))+'Assumptions'!E47-'Assumptions'!E52*(1)+'Assumptions'!E57-'Assumptions'!E62*(1)-'Assumptions'!E67-(0))+('Working Capital'!$E$6))*'DCF'!E12/(1+(C91))^'DCF'!E13,(('Forecast'!F12)*(('Assumptions'!F37+(0))*(1-'Assumptions'!F42-(0))+'Assumptions'!F47-'Assumptions'!F52*(1)+'Assumptions'!F57-'Assumptions'!F62*(1)-'Assumptions'!F67-(0))+(('Forecast'!E12)*('Assumptions'!E67+(0))))*'DCF'!F12/(1+(C91))^'DCF'!F13,(('Forecast'!G12)*(('Assumptions'!G37+(0))*(1-'Assumptions'!G42-(0))+'Assumptions'!G47-'Assumptions'!G52*(1)+'Assumptions'!G57-'Assumptions'!G62*(1)-'Assumptions'!G67-(0))+(('Forecast'!F12)*('Assumptions'!F67+(0))))*'DCF'!G12/(1+(C91))^'DCF'!G13,(('Forecast'!H12)*(('Assumptions'!H37+(0))*(1-'Assumptions'!H42-(0))+'Assumptions'!H47-'Assumptions'!H52*(1)+'Assumptions'!H57-'Assumptions'!H62*(1)-'Assumptions'!H67-(0))+(('Forecast'!G12)*('Assumptions'!G67+(0))))*'DCF'!H12/(1+(C91))^'DCF'!H13,(('Forecast'!I12)*(('Assumptions'!I37+(0))*(1-'Assumptions'!I42-(0))+'Assumptions'!I47-'Assumptions'!I52*(1)+'Assumptions'!I57-'Assumptions'!I62*(1)-'Assumptions'!I67-(0))+(('Forecast'!H12)*('Assumptions'!H67+(0))))*'DCF'!I12/(1+(C91))^'DCF'!I13)+('Forecast'!I12)*(1+('DCF'!$E$7))*('Terminal Value'!$E$10+(0))*(1-'Assumptions'!$E$15-(0))*(1-('DCF'!$E$7)/('Terminal Value'!$E$12))/((C91)-('DCF'!$E$7))/(1+(C91))^'DCF'!$E$19)+'Equity Bridge'!$E$17)/'Equity Bridge'!$E$20
Review selected-case observations and Model Guide for definitions and held assumptions.</x:t>
        </x:r>
      </x:text>
    </x:comment>
    <x:comment ref="C92" authorId="0">
      <x:text>
        <x:r>
          <x:t>Reverse WACC. Formula: =$E$16+($E$17-$E$16)*5/8
Review selected-case observations and Model Guide for definitions and held assumptions.</x:t>
        </x:r>
      </x:text>
    </x:comment>
    <x:comment ref="D92" authorId="0">
      <x:text>
        <x:r>
          <x:t>Reverse WACC. Formula: =((SUM((('Forecast'!E12)*(('Assumptions'!E37+(0))*(1-'Assumptions'!E42-(0))+'Assumptions'!E47-'Assumptions'!E52*(1)+'Assumptions'!E57-'Assumptions'!E62*(1)-'Assumptions'!E67-(0))+('Working Capital'!$E$6))*'DCF'!E12/(1+(C92))^'DCF'!E13,(('Forecast'!F12)*(('Assumptions'!F37+(0))*(1-'Assumptions'!F42-(0))+'Assumptions'!F47-'Assumptions'!F52*(1)+'Assumptions'!F57-'Assumptions'!F62*(1)-'Assumptions'!F67-(0))+(('Forecast'!E12)*('Assumptions'!E67+(0))))*'DCF'!F12/(1+(C92))^'DCF'!F13,(('Forecast'!G12)*(('Assumptions'!G37+(0))*(1-'Assumptions'!G42-(0))+'Assumptions'!G47-'Assumptions'!G52*(1)+'Assumptions'!G57-'Assumptions'!G62*(1)-'Assumptions'!G67-(0))+(('Forecast'!F12)*('Assumptions'!F67+(0))))*'DCF'!G12/(1+(C92))^'DCF'!G13,(('Forecast'!H12)*(('Assumptions'!H37+(0))*(1-'Assumptions'!H42-(0))+'Assumptions'!H47-'Assumptions'!H52*(1)+'Assumptions'!H57-'Assumptions'!H62*(1)-'Assumptions'!H67-(0))+(('Forecast'!G12)*('Assumptions'!G67+(0))))*'DCF'!H12/(1+(C92))^'DCF'!H13,(('Forecast'!I12)*(('Assumptions'!I37+(0))*(1-'Assumptions'!I42-(0))+'Assumptions'!I47-'Assumptions'!I52*(1)+'Assumptions'!I57-'Assumptions'!I62*(1)-'Assumptions'!I67-(0))+(('Forecast'!H12)*('Assumptions'!H67+(0))))*'DCF'!I12/(1+(C92))^'DCF'!I13)+('Forecast'!I12)*(1+('DCF'!$E$7))*('Terminal Value'!$E$10+(0))*(1-'Assumptions'!$E$15-(0))*(1-('DCF'!$E$7)/('Terminal Value'!$E$12))/((C92)-('DCF'!$E$7))/(1+(C92))^'DCF'!$E$19)+'Equity Bridge'!$E$17)/'Equity Bridge'!$E$20
Review selected-case observations and Model Guide for definitions and held assumptions.</x:t>
        </x:r>
      </x:text>
    </x:comment>
    <x:comment ref="C93" authorId="0">
      <x:text>
        <x:r>
          <x:t>Reverse WACC. Formula: =$E$16+($E$17-$E$16)*6/8
Review selected-case observations and Model Guide for definitions and held assumptions.</x:t>
        </x:r>
      </x:text>
    </x:comment>
    <x:comment ref="D93" authorId="0">
      <x:text>
        <x:r>
          <x:t>Reverse WACC. Formula: =((SUM((('Forecast'!E12)*(('Assumptions'!E37+(0))*(1-'Assumptions'!E42-(0))+'Assumptions'!E47-'Assumptions'!E52*(1)+'Assumptions'!E57-'Assumptions'!E62*(1)-'Assumptions'!E67-(0))+('Working Capital'!$E$6))*'DCF'!E12/(1+(C93))^'DCF'!E13,(('Forecast'!F12)*(('Assumptions'!F37+(0))*(1-'Assumptions'!F42-(0))+'Assumptions'!F47-'Assumptions'!F52*(1)+'Assumptions'!F57-'Assumptions'!F62*(1)-'Assumptions'!F67-(0))+(('Forecast'!E12)*('Assumptions'!E67+(0))))*'DCF'!F12/(1+(C93))^'DCF'!F13,(('Forecast'!G12)*(('Assumptions'!G37+(0))*(1-'Assumptions'!G42-(0))+'Assumptions'!G47-'Assumptions'!G52*(1)+'Assumptions'!G57-'Assumptions'!G62*(1)-'Assumptions'!G67-(0))+(('Forecast'!F12)*('Assumptions'!F67+(0))))*'DCF'!G12/(1+(C93))^'DCF'!G13,(('Forecast'!H12)*(('Assumptions'!H37+(0))*(1-'Assumptions'!H42-(0))+'Assumptions'!H47-'Assumptions'!H52*(1)+'Assumptions'!H57-'Assumptions'!H62*(1)-'Assumptions'!H67-(0))+(('Forecast'!G12)*('Assumptions'!G67+(0))))*'DCF'!H12/(1+(C93))^'DCF'!H13,(('Forecast'!I12)*(('Assumptions'!I37+(0))*(1-'Assumptions'!I42-(0))+'Assumptions'!I47-'Assumptions'!I52*(1)+'Assumptions'!I57-'Assumptions'!I62*(1)-'Assumptions'!I67-(0))+(('Forecast'!H12)*('Assumptions'!H67+(0))))*'DCF'!I12/(1+(C93))^'DCF'!I13)+('Forecast'!I12)*(1+('DCF'!$E$7))*('Terminal Value'!$E$10+(0))*(1-'Assumptions'!$E$15-(0))*(1-('DCF'!$E$7)/('Terminal Value'!$E$12))/((C93)-('DCF'!$E$7))/(1+(C93))^'DCF'!$E$19)+'Equity Bridge'!$E$17)/'Equity Bridge'!$E$20
Review selected-case observations and Model Guide for definitions and held assumptions.</x:t>
        </x:r>
      </x:text>
    </x:comment>
    <x:comment ref="C94" authorId="0">
      <x:text>
        <x:r>
          <x:t>Reverse WACC. Formula: =$E$16+($E$17-$E$16)*7/8
Review selected-case observations and Model Guide for definitions and held assumptions.</x:t>
        </x:r>
      </x:text>
    </x:comment>
    <x:comment ref="D94" authorId="0">
      <x:text>
        <x:r>
          <x:t>Reverse WACC. Formula: =((SUM((('Forecast'!E12)*(('Assumptions'!E37+(0))*(1-'Assumptions'!E42-(0))+'Assumptions'!E47-'Assumptions'!E52*(1)+'Assumptions'!E57-'Assumptions'!E62*(1)-'Assumptions'!E67-(0))+('Working Capital'!$E$6))*'DCF'!E12/(1+(C94))^'DCF'!E13,(('Forecast'!F12)*(('Assumptions'!F37+(0))*(1-'Assumptions'!F42-(0))+'Assumptions'!F47-'Assumptions'!F52*(1)+'Assumptions'!F57-'Assumptions'!F62*(1)-'Assumptions'!F67-(0))+(('Forecast'!E12)*('Assumptions'!E67+(0))))*'DCF'!F12/(1+(C94))^'DCF'!F13,(('Forecast'!G12)*(('Assumptions'!G37+(0))*(1-'Assumptions'!G42-(0))+'Assumptions'!G47-'Assumptions'!G52*(1)+'Assumptions'!G57-'Assumptions'!G62*(1)-'Assumptions'!G67-(0))+(('Forecast'!F12)*('Assumptions'!F67+(0))))*'DCF'!G12/(1+(C94))^'DCF'!G13,(('Forecast'!H12)*(('Assumptions'!H37+(0))*(1-'Assumptions'!H42-(0))+'Assumptions'!H47-'Assumptions'!H52*(1)+'Assumptions'!H57-'Assumptions'!H62*(1)-'Assumptions'!H67-(0))+(('Forecast'!G12)*('Assumptions'!G67+(0))))*'DCF'!H12/(1+(C94))^'DCF'!H13,(('Forecast'!I12)*(('Assumptions'!I37+(0))*(1-'Assumptions'!I42-(0))+'Assumptions'!I47-'Assumptions'!I52*(1)+'Assumptions'!I57-'Assumptions'!I62*(1)-'Assumptions'!I67-(0))+(('Forecast'!H12)*('Assumptions'!H67+(0))))*'DCF'!I12/(1+(C94))^'DCF'!I13)+('Forecast'!I12)*(1+('DCF'!$E$7))*('Terminal Value'!$E$10+(0))*(1-'Assumptions'!$E$15-(0))*(1-('DCF'!$E$7)/('Terminal Value'!$E$12))/((C94)-('DCF'!$E$7))/(1+(C94))^'DCF'!$E$19)+'Equity Bridge'!$E$17)/'Equity Bridge'!$E$20
Review selected-case observations and Model Guide for definitions and held assumptions.</x:t>
        </x:r>
      </x:text>
    </x:comment>
    <x:comment ref="C95" authorId="0">
      <x:text>
        <x:r>
          <x:t>Reverse WACC. Formula: =$E$16+($E$17-$E$16)*8/8
Review selected-case observations and Model Guide for definitions and held assumptions.</x:t>
        </x:r>
      </x:text>
    </x:comment>
    <x:comment ref="D95" authorId="0">
      <x:text>
        <x:r>
          <x:t>Reverse WACC. Formula: =((SUM((('Forecast'!E12)*(('Assumptions'!E37+(0))*(1-'Assumptions'!E42-(0))+'Assumptions'!E47-'Assumptions'!E52*(1)+'Assumptions'!E57-'Assumptions'!E62*(1)-'Assumptions'!E67-(0))+('Working Capital'!$E$6))*'DCF'!E12/(1+(C95))^'DCF'!E13,(('Forecast'!F12)*(('Assumptions'!F37+(0))*(1-'Assumptions'!F42-(0))+'Assumptions'!F47-'Assumptions'!F52*(1)+'Assumptions'!F57-'Assumptions'!F62*(1)-'Assumptions'!F67-(0))+(('Forecast'!E12)*('Assumptions'!E67+(0))))*'DCF'!F12/(1+(C95))^'DCF'!F13,(('Forecast'!G12)*(('Assumptions'!G37+(0))*(1-'Assumptions'!G42-(0))+'Assumptions'!G47-'Assumptions'!G52*(1)+'Assumptions'!G57-'Assumptions'!G62*(1)-'Assumptions'!G67-(0))+(('Forecast'!F12)*('Assumptions'!F67+(0))))*'DCF'!G12/(1+(C95))^'DCF'!G13,(('Forecast'!H12)*(('Assumptions'!H37+(0))*(1-'Assumptions'!H42-(0))+'Assumptions'!H47-'Assumptions'!H52*(1)+'Assumptions'!H57-'Assumptions'!H62*(1)-'Assumptions'!H67-(0))+(('Forecast'!G12)*('Assumptions'!G67+(0))))*'DCF'!H12/(1+(C95))^'DCF'!H13,(('Forecast'!I12)*(('Assumptions'!I37+(0))*(1-'Assumptions'!I42-(0))+'Assumptions'!I47-'Assumptions'!I52*(1)+'Assumptions'!I57-'Assumptions'!I62*(1)-'Assumptions'!I67-(0))+(('Forecast'!H12)*('Assumptions'!H67+(0))))*'DCF'!I12/(1+(C95))^'DCF'!I13)+('Forecast'!I12)*(1+('DCF'!$E$7))*('Terminal Value'!$E$10+(0))*(1-'Assumptions'!$E$15-(0))*(1-('DCF'!$E$7)/('Terminal Value'!$E$12))/((C95)-('DCF'!$E$7))/(1+(C95))^'DCF'!$E$19)+'Equity Bridge'!$E$17)/'Equity Bridge'!$E$20
Review selected-case observations and Model Guide for definitions and held assumptions.</x:t>
        </x:r>
      </x:text>
    </x:comment>
  </x:commentList>
</x:comments>
</file>

<file path=xl/comments19.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E12" authorId="0">
      <x:text>
        <x:r>
          <x:t>Required stable growth. 48 transparent bisection steps. Endpoint prices must bracket the market value. This solves one conditional criterion and does not estimate its likelihood.
Excel formula: =IF(($E$20-$E$9)*($E$21-$E$9)&lt;=0,F81,"No bracket")</x:t>
        </x:r>
      </x:text>
    </x:comment>
    <x:comment ref="C12" authorId="0">
      <x:text>
        <x:r>
          <x:t>48 transparent bisection steps. Endpoint prices must bracket the market value. This solves one conditional criterion and does not estimate its likelihood.</x:t>
        </x:r>
      </x:text>
    </x:comment>
    <x:comment ref="C16" authorId="0">
      <x:text>
        <x:r>
          <x:t>Lower solver bound</x:t>
        </x:r>
      </x:text>
    </x:comment>
    <x:comment ref="C17" authorId="0">
      <x:text>
        <x:r>
          <x:t>Upper solver bound</x:t>
        </x:r>
      </x:text>
    </x:comment>
    <x:comment ref="C20" authorId="0">
      <x:text>
        <x:r>
          <x:t>Value at lower solver bound</x:t>
        </x:r>
      </x:text>
    </x:comment>
    <x:comment ref="C21" authorId="0">
      <x:text>
        <x:r>
          <x:t>Value at upper solver bound</x:t>
        </x:r>
      </x:text>
    </x:comment>
    <x:comment ref="E14" authorId="0">
      <x:text>
        <x:r>
          <x:t>Economically permitted?. Stable growth varies both normalized revenue and the reinvestment fraction g/ROIC. The displayed long-run analyst band is 0% to 5%. Growth above nominal risk-free rates deserves further scrutiny.
Excel formula: =IF(ISNUMBER(E12),IF(AND(E12&gt;=0,E12&lt;=0.05),"Inside 0% to 5% band","Outside long-run band"),"No solution")</x:t>
        </x:r>
      </x:text>
    </x:comment>
    <x:comment ref="C14" authorId="0">
      <x:text>
        <x:r>
          <x:t>Stable growth varies both normalized revenue and the reinvestment fraction g/ROIC. The displayed long-run analyst band is 0% to 5%. Growth above nominal risk-free rates deserves further scrutiny.</x:t>
        </x:r>
      </x:text>
    </x:comment>
    <x:comment ref="C18" authorId="0">
      <x:text>
        <x:r>
          <x:t>Final valuation residual</x:t>
        </x:r>
      </x:text>
    </x:comment>
    <x:comment ref="E4" authorId="0">
      <x:text>
        <x:r>
          <x:t>Reverse Terminal g. Formula: =CHOOSE('DCF'!$E$5,"Base","Upside","Downside")
Review selected-case observations and Model Guide for definitions and held assumptions.</x:t>
        </x:r>
      </x:text>
    </x:comment>
    <x:comment ref="E8" authorId="0">
      <x:text>
        <x:r>
          <x:t>Reverse Terminal g. Formula: ='DCF'!E24
Review selected-case observations and Model Guide for definitions and held assumptions.</x:t>
        </x:r>
      </x:text>
    </x:comment>
    <x:comment ref="E9" authorId="0">
      <x:text>
        <x:r>
          <x:t>Reverse Terminal g. Formula: ='DCF'!E32
Review selected-case observations and Model Guide for definitions and held assumptions.</x:t>
        </x:r>
      </x:text>
    </x:comment>
    <x:comment ref="E17" authorId="0">
      <x:text>
        <x:r>
          <x:t>Reverse Terminal g. Formula: =MIN('DCF'!E6,'Terminal Value'!E12)-0.001
Review selected-case observations and Model Guide for definitions and held assumptions.</x:t>
        </x:r>
      </x:text>
    </x:comment>
    <x:comment ref="E20"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E$16))*('Terminal Value'!$E$10+(0))*(1-'Assumptions'!$E$15-(0))*(1-($E$16)/('Terminal Value'!$E$12))/(('DCF'!$E$6)-($E$16))/(1+('DCF'!$E$6))^'DCF'!$E$19)
Review selected-case observations and Model Guide for definitions and held assumptions.</x:t>
        </x:r>
      </x:text>
    </x:comment>
    <x:comment ref="E21"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E$17))*('Terminal Value'!$E$10+(0))*(1-'Assumptions'!$E$15-(0))*(1-($E$17)/('Terminal Value'!$E$12))/(('DCF'!$E$6)-($E$17))/(1+('DCF'!$E$6))^'DCF'!$E$19)
Review selected-case observations and Model Guide for definitions and held assumptions.</x:t>
        </x:r>
      </x:text>
    </x:comment>
    <x:comment ref="C24" authorId="0">
      <x:text>
        <x:r>
          <x:t>Reverse Terminal g. Formula: =IF(ISNUMBER(E12),"Required stable growth is "&amp;ROUND(E12*100,3)&amp;"%. ","No numeric root within solver bounds. ")&amp;"Stable growth varies both normalized revenue and the reinvestment fraction g/ROIC. The displayed long-run analyst band is 0% to 5%. Growth above nominal risk-free rates deserves further scrutiny."
Review selected-case observations and Model Guide for definitions and held assumptions.</x:t>
        </x:r>
      </x:text>
    </x:comment>
    <x:comment ref="C34" authorId="0">
      <x:text>
        <x:r>
          <x:t>Reverse Terminal g. Editable source or analyst input.
Review selected-case observations and Model Guide for definitions and held assumptions.</x:t>
        </x:r>
      </x:text>
    </x:comment>
    <x:comment ref="D34" authorId="0">
      <x:text>
        <x:r>
          <x:t>Reverse Terminal g. Formula: =$E$16
Review selected-case observations and Model Guide for definitions and held assumptions.</x:t>
        </x:r>
      </x:text>
    </x:comment>
    <x:comment ref="E34" authorId="0">
      <x:text>
        <x:r>
          <x:t>Reverse Terminal g. Formula: =$E$17
Review selected-case observations and Model Guide for definitions and held assumptions.</x:t>
        </x:r>
      </x:text>
    </x:comment>
    <x:comment ref="F34" authorId="0">
      <x:text>
        <x:r>
          <x:t>Reverse Terminal g. Formula: =(D34+E34)/2
Review selected-case observations and Model Guide for definitions and held assumptions.</x:t>
        </x:r>
      </x:text>
    </x:comment>
    <x:comment ref="G34"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34))*('Terminal Value'!$E$10+(0))*(1-'Assumptions'!$E$15-(0))*(1-(F34)/('Terminal Value'!$E$12))/(('DCF'!$E$6)-(F34))/(1+('DCF'!$E$6))^'DCF'!$E$19)
Review selected-case observations and Model Guide for definitions and held assumptions.</x:t>
        </x:r>
      </x:text>
    </x:comment>
    <x:comment ref="H34" authorId="0">
      <x:text>
        <x:r>
          <x:t>Reverse Terminal g. Formula: =G34-$E$9
Review selected-case observations and Model Guide for definitions and held assumptions.</x:t>
        </x:r>
      </x:text>
    </x:comment>
    <x:comment ref="C35" authorId="0">
      <x:text>
        <x:r>
          <x:t>Reverse Terminal g. Editable source or analyst input.
Review selected-case observations and Model Guide for definitions and held assumptions.</x:t>
        </x:r>
      </x:text>
    </x:comment>
    <x:comment ref="D35" authorId="0">
      <x:text>
        <x:r>
          <x:t>Reverse Terminal g. Formula: =IF(G34&lt;$E$9,F34,D34)
Review selected-case observations and Model Guide for definitions and held assumptions.</x:t>
        </x:r>
      </x:text>
    </x:comment>
    <x:comment ref="E35" authorId="0">
      <x:text>
        <x:r>
          <x:t>Reverse Terminal g. Formula: =IF(G34&lt;$E$9,E34,F34)
Review selected-case observations and Model Guide for definitions and held assumptions.</x:t>
        </x:r>
      </x:text>
    </x:comment>
    <x:comment ref="F35" authorId="0">
      <x:text>
        <x:r>
          <x:t>Reverse Terminal g. Formula: =(D35+E35)/2
Review selected-case observations and Model Guide for definitions and held assumptions.</x:t>
        </x:r>
      </x:text>
    </x:comment>
    <x:comment ref="G35"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35))*('Terminal Value'!$E$10+(0))*(1-'Assumptions'!$E$15-(0))*(1-(F35)/('Terminal Value'!$E$12))/(('DCF'!$E$6)-(F35))/(1+('DCF'!$E$6))^'DCF'!$E$19)
Review selected-case observations and Model Guide for definitions and held assumptions.</x:t>
        </x:r>
      </x:text>
    </x:comment>
    <x:comment ref="H35" authorId="0">
      <x:text>
        <x:r>
          <x:t>Reverse Terminal g. Formula: =G35-$E$9
Review selected-case observations and Model Guide for definitions and held assumptions.</x:t>
        </x:r>
      </x:text>
    </x:comment>
    <x:comment ref="C36" authorId="0">
      <x:text>
        <x:r>
          <x:t>Reverse Terminal g. Editable source or analyst input.
Review selected-case observations and Model Guide for definitions and held assumptions.</x:t>
        </x:r>
      </x:text>
    </x:comment>
    <x:comment ref="D36" authorId="0">
      <x:text>
        <x:r>
          <x:t>Reverse Terminal g. Formula: =IF(G35&lt;$E$9,F35,D35)
Review selected-case observations and Model Guide for definitions and held assumptions.</x:t>
        </x:r>
      </x:text>
    </x:comment>
    <x:comment ref="E36" authorId="0">
      <x:text>
        <x:r>
          <x:t>Reverse Terminal g. Formula: =IF(G35&lt;$E$9,E35,F35)
Review selected-case observations and Model Guide for definitions and held assumptions.</x:t>
        </x:r>
      </x:text>
    </x:comment>
    <x:comment ref="F36" authorId="0">
      <x:text>
        <x:r>
          <x:t>Reverse Terminal g. Formula: =(D36+E36)/2
Review selected-case observations and Model Guide for definitions and held assumptions.</x:t>
        </x:r>
      </x:text>
    </x:comment>
    <x:comment ref="G36"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36))*('Terminal Value'!$E$10+(0))*(1-'Assumptions'!$E$15-(0))*(1-(F36)/('Terminal Value'!$E$12))/(('DCF'!$E$6)-(F36))/(1+('DCF'!$E$6))^'DCF'!$E$19)
Review selected-case observations and Model Guide for definitions and held assumptions.</x:t>
        </x:r>
      </x:text>
    </x:comment>
    <x:comment ref="H36" authorId="0">
      <x:text>
        <x:r>
          <x:t>Reverse Terminal g. Formula: =G36-$E$9
Review selected-case observations and Model Guide for definitions and held assumptions.</x:t>
        </x:r>
      </x:text>
    </x:comment>
    <x:comment ref="C37" authorId="0">
      <x:text>
        <x:r>
          <x:t>Reverse Terminal g. Editable source or analyst input.
Review selected-case observations and Model Guide for definitions and held assumptions.</x:t>
        </x:r>
      </x:text>
    </x:comment>
    <x:comment ref="D37" authorId="0">
      <x:text>
        <x:r>
          <x:t>Reverse Terminal g. Formula: =IF(G36&lt;$E$9,F36,D36)
Review selected-case observations and Model Guide for definitions and held assumptions.</x:t>
        </x:r>
      </x:text>
    </x:comment>
    <x:comment ref="E37" authorId="0">
      <x:text>
        <x:r>
          <x:t>Reverse Terminal g. Formula: =IF(G36&lt;$E$9,E36,F36)
Review selected-case observations and Model Guide for definitions and held assumptions.</x:t>
        </x:r>
      </x:text>
    </x:comment>
    <x:comment ref="F37" authorId="0">
      <x:text>
        <x:r>
          <x:t>Reverse Terminal g. Formula: =(D37+E37)/2
Review selected-case observations and Model Guide for definitions and held assumptions.</x:t>
        </x:r>
      </x:text>
    </x:comment>
    <x:comment ref="G37"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37))*('Terminal Value'!$E$10+(0))*(1-'Assumptions'!$E$15-(0))*(1-(F37)/('Terminal Value'!$E$12))/(('DCF'!$E$6)-(F37))/(1+('DCF'!$E$6))^'DCF'!$E$19)
Review selected-case observations and Model Guide for definitions and held assumptions.</x:t>
        </x:r>
      </x:text>
    </x:comment>
    <x:comment ref="H37" authorId="0">
      <x:text>
        <x:r>
          <x:t>Reverse Terminal g. Formula: =G37-$E$9
Review selected-case observations and Model Guide for definitions and held assumptions.</x:t>
        </x:r>
      </x:text>
    </x:comment>
    <x:comment ref="C38" authorId="0">
      <x:text>
        <x:r>
          <x:t>Reverse Terminal g. Editable source or analyst input.
Review selected-case observations and Model Guide for definitions and held assumptions.</x:t>
        </x:r>
      </x:text>
    </x:comment>
    <x:comment ref="D38" authorId="0">
      <x:text>
        <x:r>
          <x:t>Reverse Terminal g. Formula: =IF(G37&lt;$E$9,F37,D37)
Review selected-case observations and Model Guide for definitions and held assumptions.</x:t>
        </x:r>
      </x:text>
    </x:comment>
    <x:comment ref="E38" authorId="0">
      <x:text>
        <x:r>
          <x:t>Reverse Terminal g. Formula: =IF(G37&lt;$E$9,E37,F37)
Review selected-case observations and Model Guide for definitions and held assumptions.</x:t>
        </x:r>
      </x:text>
    </x:comment>
    <x:comment ref="F38" authorId="0">
      <x:text>
        <x:r>
          <x:t>Reverse Terminal g. Formula: =(D38+E38)/2
Review selected-case observations and Model Guide for definitions and held assumptions.</x:t>
        </x:r>
      </x:text>
    </x:comment>
    <x:comment ref="G38"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38))*('Terminal Value'!$E$10+(0))*(1-'Assumptions'!$E$15-(0))*(1-(F38)/('Terminal Value'!$E$12))/(('DCF'!$E$6)-(F38))/(1+('DCF'!$E$6))^'DCF'!$E$19)
Review selected-case observations and Model Guide for definitions and held assumptions.</x:t>
        </x:r>
      </x:text>
    </x:comment>
    <x:comment ref="H38" authorId="0">
      <x:text>
        <x:r>
          <x:t>Reverse Terminal g. Formula: =G38-$E$9
Review selected-case observations and Model Guide for definitions and held assumptions.</x:t>
        </x:r>
      </x:text>
    </x:comment>
    <x:comment ref="C39" authorId="0">
      <x:text>
        <x:r>
          <x:t>Reverse Terminal g. Editable source or analyst input.
Review selected-case observations and Model Guide for definitions and held assumptions.</x:t>
        </x:r>
      </x:text>
    </x:comment>
    <x:comment ref="D39" authorId="0">
      <x:text>
        <x:r>
          <x:t>Reverse Terminal g. Formula: =IF(G38&lt;$E$9,F38,D38)
Review selected-case observations and Model Guide for definitions and held assumptions.</x:t>
        </x:r>
      </x:text>
    </x:comment>
    <x:comment ref="E39" authorId="0">
      <x:text>
        <x:r>
          <x:t>Reverse Terminal g. Formula: =IF(G38&lt;$E$9,E38,F38)
Review selected-case observations and Model Guide for definitions and held assumptions.</x:t>
        </x:r>
      </x:text>
    </x:comment>
    <x:comment ref="F39" authorId="0">
      <x:text>
        <x:r>
          <x:t>Reverse Terminal g. Formula: =(D39+E39)/2
Review selected-case observations and Model Guide for definitions and held assumptions.</x:t>
        </x:r>
      </x:text>
    </x:comment>
    <x:comment ref="G39"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39))*('Terminal Value'!$E$10+(0))*(1-'Assumptions'!$E$15-(0))*(1-(F39)/('Terminal Value'!$E$12))/(('DCF'!$E$6)-(F39))/(1+('DCF'!$E$6))^'DCF'!$E$19)
Review selected-case observations and Model Guide for definitions and held assumptions.</x:t>
        </x:r>
      </x:text>
    </x:comment>
    <x:comment ref="H39" authorId="0">
      <x:text>
        <x:r>
          <x:t>Reverse Terminal g. Formula: =G39-$E$9
Review selected-case observations and Model Guide for definitions and held assumptions.</x:t>
        </x:r>
      </x:text>
    </x:comment>
    <x:comment ref="C40" authorId="0">
      <x:text>
        <x:r>
          <x:t>Reverse Terminal g. Editable source or analyst input.
Review selected-case observations and Model Guide for definitions and held assumptions.</x:t>
        </x:r>
      </x:text>
    </x:comment>
    <x:comment ref="D40" authorId="0">
      <x:text>
        <x:r>
          <x:t>Reverse Terminal g. Formula: =IF(G39&lt;$E$9,F39,D39)
Review selected-case observations and Model Guide for definitions and held assumptions.</x:t>
        </x:r>
      </x:text>
    </x:comment>
    <x:comment ref="E40" authorId="0">
      <x:text>
        <x:r>
          <x:t>Reverse Terminal g. Formula: =IF(G39&lt;$E$9,E39,F39)
Review selected-case observations and Model Guide for definitions and held assumptions.</x:t>
        </x:r>
      </x:text>
    </x:comment>
    <x:comment ref="F40" authorId="0">
      <x:text>
        <x:r>
          <x:t>Reverse Terminal g. Formula: =(D40+E40)/2
Review selected-case observations and Model Guide for definitions and held assumptions.</x:t>
        </x:r>
      </x:text>
    </x:comment>
    <x:comment ref="G40"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40))*('Terminal Value'!$E$10+(0))*(1-'Assumptions'!$E$15-(0))*(1-(F40)/('Terminal Value'!$E$12))/(('DCF'!$E$6)-(F40))/(1+('DCF'!$E$6))^'DCF'!$E$19)
Review selected-case observations and Model Guide for definitions and held assumptions.</x:t>
        </x:r>
      </x:text>
    </x:comment>
    <x:comment ref="H40" authorId="0">
      <x:text>
        <x:r>
          <x:t>Reverse Terminal g. Formula: =G40-$E$9
Review selected-case observations and Model Guide for definitions and held assumptions.</x:t>
        </x:r>
      </x:text>
    </x:comment>
    <x:comment ref="C41" authorId="0">
      <x:text>
        <x:r>
          <x:t>Reverse Terminal g. Editable source or analyst input.
Review selected-case observations and Model Guide for definitions and held assumptions.</x:t>
        </x:r>
      </x:text>
    </x:comment>
    <x:comment ref="D41" authorId="0">
      <x:text>
        <x:r>
          <x:t>Reverse Terminal g. Formula: =IF(G40&lt;$E$9,F40,D40)
Review selected-case observations and Model Guide for definitions and held assumptions.</x:t>
        </x:r>
      </x:text>
    </x:comment>
    <x:comment ref="E41" authorId="0">
      <x:text>
        <x:r>
          <x:t>Reverse Terminal g. Formula: =IF(G40&lt;$E$9,E40,F40)
Review selected-case observations and Model Guide for definitions and held assumptions.</x:t>
        </x:r>
      </x:text>
    </x:comment>
    <x:comment ref="F41" authorId="0">
      <x:text>
        <x:r>
          <x:t>Reverse Terminal g. Formula: =(D41+E41)/2
Review selected-case observations and Model Guide for definitions and held assumptions.</x:t>
        </x:r>
      </x:text>
    </x:comment>
    <x:comment ref="G41"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41))*('Terminal Value'!$E$10+(0))*(1-'Assumptions'!$E$15-(0))*(1-(F41)/('Terminal Value'!$E$12))/(('DCF'!$E$6)-(F41))/(1+('DCF'!$E$6))^'DCF'!$E$19)
Review selected-case observations and Model Guide for definitions and held assumptions.</x:t>
        </x:r>
      </x:text>
    </x:comment>
    <x:comment ref="H41" authorId="0">
      <x:text>
        <x:r>
          <x:t>Reverse Terminal g. Formula: =G41-$E$9
Review selected-case observations and Model Guide for definitions and held assumptions.</x:t>
        </x:r>
      </x:text>
    </x:comment>
    <x:comment ref="C42" authorId="0">
      <x:text>
        <x:r>
          <x:t>Reverse Terminal g. Editable source or analyst input.
Review selected-case observations and Model Guide for definitions and held assumptions.</x:t>
        </x:r>
      </x:text>
    </x:comment>
    <x:comment ref="D42" authorId="0">
      <x:text>
        <x:r>
          <x:t>Reverse Terminal g. Formula: =IF(G41&lt;$E$9,F41,D41)
Review selected-case observations and Model Guide for definitions and held assumptions.</x:t>
        </x:r>
      </x:text>
    </x:comment>
    <x:comment ref="E42" authorId="0">
      <x:text>
        <x:r>
          <x:t>Reverse Terminal g. Formula: =IF(G41&lt;$E$9,E41,F41)
Review selected-case observations and Model Guide for definitions and held assumptions.</x:t>
        </x:r>
      </x:text>
    </x:comment>
    <x:comment ref="F42" authorId="0">
      <x:text>
        <x:r>
          <x:t>Reverse Terminal g. Formula: =(D42+E42)/2
Review selected-case observations and Model Guide for definitions and held assumptions.</x:t>
        </x:r>
      </x:text>
    </x:comment>
    <x:comment ref="G42"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42))*('Terminal Value'!$E$10+(0))*(1-'Assumptions'!$E$15-(0))*(1-(F42)/('Terminal Value'!$E$12))/(('DCF'!$E$6)-(F42))/(1+('DCF'!$E$6))^'DCF'!$E$19)
Review selected-case observations and Model Guide for definitions and held assumptions.</x:t>
        </x:r>
      </x:text>
    </x:comment>
    <x:comment ref="H42" authorId="0">
      <x:text>
        <x:r>
          <x:t>Reverse Terminal g. Formula: =G42-$E$9
Review selected-case observations and Model Guide for definitions and held assumptions.</x:t>
        </x:r>
      </x:text>
    </x:comment>
    <x:comment ref="C43" authorId="0">
      <x:text>
        <x:r>
          <x:t>Reverse Terminal g. Editable source or analyst input.
Review selected-case observations and Model Guide for definitions and held assumptions.</x:t>
        </x:r>
      </x:text>
    </x:comment>
    <x:comment ref="D43" authorId="0">
      <x:text>
        <x:r>
          <x:t>Reverse Terminal g. Formula: =IF(G42&lt;$E$9,F42,D42)
Review selected-case observations and Model Guide for definitions and held assumptions.</x:t>
        </x:r>
      </x:text>
    </x:comment>
    <x:comment ref="E43" authorId="0">
      <x:text>
        <x:r>
          <x:t>Reverse Terminal g. Formula: =IF(G42&lt;$E$9,E42,F42)
Review selected-case observations and Model Guide for definitions and held assumptions.</x:t>
        </x:r>
      </x:text>
    </x:comment>
    <x:comment ref="F43" authorId="0">
      <x:text>
        <x:r>
          <x:t>Reverse Terminal g. Formula: =(D43+E43)/2
Review selected-case observations and Model Guide for definitions and held assumptions.</x:t>
        </x:r>
      </x:text>
    </x:comment>
    <x:comment ref="G43"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43))*('Terminal Value'!$E$10+(0))*(1-'Assumptions'!$E$15-(0))*(1-(F43)/('Terminal Value'!$E$12))/(('DCF'!$E$6)-(F43))/(1+('DCF'!$E$6))^'DCF'!$E$19)
Review selected-case observations and Model Guide for definitions and held assumptions.</x:t>
        </x:r>
      </x:text>
    </x:comment>
    <x:comment ref="H43" authorId="0">
      <x:text>
        <x:r>
          <x:t>Reverse Terminal g. Formula: =G43-$E$9
Review selected-case observations and Model Guide for definitions and held assumptions.</x:t>
        </x:r>
      </x:text>
    </x:comment>
    <x:comment ref="C44" authorId="0">
      <x:text>
        <x:r>
          <x:t>Reverse Terminal g. Editable source or analyst input.
Review selected-case observations and Model Guide for definitions and held assumptions.</x:t>
        </x:r>
      </x:text>
    </x:comment>
    <x:comment ref="D44" authorId="0">
      <x:text>
        <x:r>
          <x:t>Reverse Terminal g. Formula: =IF(G43&lt;$E$9,F43,D43)
Review selected-case observations and Model Guide for definitions and held assumptions.</x:t>
        </x:r>
      </x:text>
    </x:comment>
    <x:comment ref="E44" authorId="0">
      <x:text>
        <x:r>
          <x:t>Reverse Terminal g. Formula: =IF(G43&lt;$E$9,E43,F43)
Review selected-case observations and Model Guide for definitions and held assumptions.</x:t>
        </x:r>
      </x:text>
    </x:comment>
    <x:comment ref="F44" authorId="0">
      <x:text>
        <x:r>
          <x:t>Reverse Terminal g. Formula: =(D44+E44)/2
Review selected-case observations and Model Guide for definitions and held assumptions.</x:t>
        </x:r>
      </x:text>
    </x:comment>
    <x:comment ref="G44"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44))*('Terminal Value'!$E$10+(0))*(1-'Assumptions'!$E$15-(0))*(1-(F44)/('Terminal Value'!$E$12))/(('DCF'!$E$6)-(F44))/(1+('DCF'!$E$6))^'DCF'!$E$19)
Review selected-case observations and Model Guide for definitions and held assumptions.</x:t>
        </x:r>
      </x:text>
    </x:comment>
    <x:comment ref="H44" authorId="0">
      <x:text>
        <x:r>
          <x:t>Reverse Terminal g. Formula: =G44-$E$9
Review selected-case observations and Model Guide for definitions and held assumptions.</x:t>
        </x:r>
      </x:text>
    </x:comment>
    <x:comment ref="C45" authorId="0">
      <x:text>
        <x:r>
          <x:t>Reverse Terminal g. Editable source or analyst input.
Review selected-case observations and Model Guide for definitions and held assumptions.</x:t>
        </x:r>
      </x:text>
    </x:comment>
    <x:comment ref="D45" authorId="0">
      <x:text>
        <x:r>
          <x:t>Reverse Terminal g. Formula: =IF(G44&lt;$E$9,F44,D44)
Review selected-case observations and Model Guide for definitions and held assumptions.</x:t>
        </x:r>
      </x:text>
    </x:comment>
    <x:comment ref="E45" authorId="0">
      <x:text>
        <x:r>
          <x:t>Reverse Terminal g. Formula: =IF(G44&lt;$E$9,E44,F44)
Review selected-case observations and Model Guide for definitions and held assumptions.</x:t>
        </x:r>
      </x:text>
    </x:comment>
    <x:comment ref="F45" authorId="0">
      <x:text>
        <x:r>
          <x:t>Reverse Terminal g. Formula: =(D45+E45)/2
Review selected-case observations and Model Guide for definitions and held assumptions.</x:t>
        </x:r>
      </x:text>
    </x:comment>
    <x:comment ref="G45"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45))*('Terminal Value'!$E$10+(0))*(1-'Assumptions'!$E$15-(0))*(1-(F45)/('Terminal Value'!$E$12))/(('DCF'!$E$6)-(F45))/(1+('DCF'!$E$6))^'DCF'!$E$19)
Review selected-case observations and Model Guide for definitions and held assumptions.</x:t>
        </x:r>
      </x:text>
    </x:comment>
    <x:comment ref="H45" authorId="0">
      <x:text>
        <x:r>
          <x:t>Reverse Terminal g. Formula: =G45-$E$9
Review selected-case observations and Model Guide for definitions and held assumptions.</x:t>
        </x:r>
      </x:text>
    </x:comment>
    <x:comment ref="C46" authorId="0">
      <x:text>
        <x:r>
          <x:t>Reverse Terminal g. Editable source or analyst input.
Review selected-case observations and Model Guide for definitions and held assumptions.</x:t>
        </x:r>
      </x:text>
    </x:comment>
    <x:comment ref="D46" authorId="0">
      <x:text>
        <x:r>
          <x:t>Reverse Terminal g. Formula: =IF(G45&lt;$E$9,F45,D45)
Review selected-case observations and Model Guide for definitions and held assumptions.</x:t>
        </x:r>
      </x:text>
    </x:comment>
    <x:comment ref="E46" authorId="0">
      <x:text>
        <x:r>
          <x:t>Reverse Terminal g. Formula: =IF(G45&lt;$E$9,E45,F45)
Review selected-case observations and Model Guide for definitions and held assumptions.</x:t>
        </x:r>
      </x:text>
    </x:comment>
    <x:comment ref="F46" authorId="0">
      <x:text>
        <x:r>
          <x:t>Reverse Terminal g. Formula: =(D46+E46)/2
Review selected-case observations and Model Guide for definitions and held assumptions.</x:t>
        </x:r>
      </x:text>
    </x:comment>
    <x:comment ref="G46"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46))*('Terminal Value'!$E$10+(0))*(1-'Assumptions'!$E$15-(0))*(1-(F46)/('Terminal Value'!$E$12))/(('DCF'!$E$6)-(F46))/(1+('DCF'!$E$6))^'DCF'!$E$19)
Review selected-case observations and Model Guide for definitions and held assumptions.</x:t>
        </x:r>
      </x:text>
    </x:comment>
    <x:comment ref="H46" authorId="0">
      <x:text>
        <x:r>
          <x:t>Reverse Terminal g. Formula: =G46-$E$9
Review selected-case observations and Model Guide for definitions and held assumptions.</x:t>
        </x:r>
      </x:text>
    </x:comment>
    <x:comment ref="C47" authorId="0">
      <x:text>
        <x:r>
          <x:t>Reverse Terminal g. Editable source or analyst input.
Review selected-case observations and Model Guide for definitions and held assumptions.</x:t>
        </x:r>
      </x:text>
    </x:comment>
    <x:comment ref="D47" authorId="0">
      <x:text>
        <x:r>
          <x:t>Reverse Terminal g. Formula: =IF(G46&lt;$E$9,F46,D46)
Review selected-case observations and Model Guide for definitions and held assumptions.</x:t>
        </x:r>
      </x:text>
    </x:comment>
    <x:comment ref="E47" authorId="0">
      <x:text>
        <x:r>
          <x:t>Reverse Terminal g. Formula: =IF(G46&lt;$E$9,E46,F46)
Review selected-case observations and Model Guide for definitions and held assumptions.</x:t>
        </x:r>
      </x:text>
    </x:comment>
    <x:comment ref="F47" authorId="0">
      <x:text>
        <x:r>
          <x:t>Reverse Terminal g. Formula: =(D47+E47)/2
Review selected-case observations and Model Guide for definitions and held assumptions.</x:t>
        </x:r>
      </x:text>
    </x:comment>
    <x:comment ref="G47"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47))*('Terminal Value'!$E$10+(0))*(1-'Assumptions'!$E$15-(0))*(1-(F47)/('Terminal Value'!$E$12))/(('DCF'!$E$6)-(F47))/(1+('DCF'!$E$6))^'DCF'!$E$19)
Review selected-case observations and Model Guide for definitions and held assumptions.</x:t>
        </x:r>
      </x:text>
    </x:comment>
    <x:comment ref="H47" authorId="0">
      <x:text>
        <x:r>
          <x:t>Reverse Terminal g. Formula: =G47-$E$9
Review selected-case observations and Model Guide for definitions and held assumptions.</x:t>
        </x:r>
      </x:text>
    </x:comment>
    <x:comment ref="C48" authorId="0">
      <x:text>
        <x:r>
          <x:t>Reverse Terminal g. Editable source or analyst input.
Review selected-case observations and Model Guide for definitions and held assumptions.</x:t>
        </x:r>
      </x:text>
    </x:comment>
    <x:comment ref="D48" authorId="0">
      <x:text>
        <x:r>
          <x:t>Reverse Terminal g. Formula: =IF(G47&lt;$E$9,F47,D47)
Review selected-case observations and Model Guide for definitions and held assumptions.</x:t>
        </x:r>
      </x:text>
    </x:comment>
    <x:comment ref="E48" authorId="0">
      <x:text>
        <x:r>
          <x:t>Reverse Terminal g. Formula: =IF(G47&lt;$E$9,E47,F47)
Review selected-case observations and Model Guide for definitions and held assumptions.</x:t>
        </x:r>
      </x:text>
    </x:comment>
    <x:comment ref="F48" authorId="0">
      <x:text>
        <x:r>
          <x:t>Reverse Terminal g. Formula: =(D48+E48)/2
Review selected-case observations and Model Guide for definitions and held assumptions.</x:t>
        </x:r>
      </x:text>
    </x:comment>
    <x:comment ref="G48"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48))*('Terminal Value'!$E$10+(0))*(1-'Assumptions'!$E$15-(0))*(1-(F48)/('Terminal Value'!$E$12))/(('DCF'!$E$6)-(F48))/(1+('DCF'!$E$6))^'DCF'!$E$19)
Review selected-case observations and Model Guide for definitions and held assumptions.</x:t>
        </x:r>
      </x:text>
    </x:comment>
    <x:comment ref="H48" authorId="0">
      <x:text>
        <x:r>
          <x:t>Reverse Terminal g. Formula: =G48-$E$9
Review selected-case observations and Model Guide for definitions and held assumptions.</x:t>
        </x:r>
      </x:text>
    </x:comment>
    <x:comment ref="C49" authorId="0">
      <x:text>
        <x:r>
          <x:t>Reverse Terminal g. Editable source or analyst input.
Review selected-case observations and Model Guide for definitions and held assumptions.</x:t>
        </x:r>
      </x:text>
    </x:comment>
    <x:comment ref="D49" authorId="0">
      <x:text>
        <x:r>
          <x:t>Reverse Terminal g. Formula: =IF(G48&lt;$E$9,F48,D48)
Review selected-case observations and Model Guide for definitions and held assumptions.</x:t>
        </x:r>
      </x:text>
    </x:comment>
    <x:comment ref="E49" authorId="0">
      <x:text>
        <x:r>
          <x:t>Reverse Terminal g. Formula: =IF(G48&lt;$E$9,E48,F48)
Review selected-case observations and Model Guide for definitions and held assumptions.</x:t>
        </x:r>
      </x:text>
    </x:comment>
    <x:comment ref="F49" authorId="0">
      <x:text>
        <x:r>
          <x:t>Reverse Terminal g. Formula: =(D49+E49)/2
Review selected-case observations and Model Guide for definitions and held assumptions.</x:t>
        </x:r>
      </x:text>
    </x:comment>
    <x:comment ref="G49"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49))*('Terminal Value'!$E$10+(0))*(1-'Assumptions'!$E$15-(0))*(1-(F49)/('Terminal Value'!$E$12))/(('DCF'!$E$6)-(F49))/(1+('DCF'!$E$6))^'DCF'!$E$19)
Review selected-case observations and Model Guide for definitions and held assumptions.</x:t>
        </x:r>
      </x:text>
    </x:comment>
    <x:comment ref="H49" authorId="0">
      <x:text>
        <x:r>
          <x:t>Reverse Terminal g. Formula: =G49-$E$9
Review selected-case observations and Model Guide for definitions and held assumptions.</x:t>
        </x:r>
      </x:text>
    </x:comment>
    <x:comment ref="C50" authorId="0">
      <x:text>
        <x:r>
          <x:t>Reverse Terminal g. Editable source or analyst input.
Review selected-case observations and Model Guide for definitions and held assumptions.</x:t>
        </x:r>
      </x:text>
    </x:comment>
    <x:comment ref="D50" authorId="0">
      <x:text>
        <x:r>
          <x:t>Reverse Terminal g. Formula: =IF(G49&lt;$E$9,F49,D49)
Review selected-case observations and Model Guide for definitions and held assumptions.</x:t>
        </x:r>
      </x:text>
    </x:comment>
    <x:comment ref="E50" authorId="0">
      <x:text>
        <x:r>
          <x:t>Reverse Terminal g. Formula: =IF(G49&lt;$E$9,E49,F49)
Review selected-case observations and Model Guide for definitions and held assumptions.</x:t>
        </x:r>
      </x:text>
    </x:comment>
    <x:comment ref="F50" authorId="0">
      <x:text>
        <x:r>
          <x:t>Reverse Terminal g. Formula: =(D50+E50)/2
Review selected-case observations and Model Guide for definitions and held assumptions.</x:t>
        </x:r>
      </x:text>
    </x:comment>
    <x:comment ref="G50"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50))*('Terminal Value'!$E$10+(0))*(1-'Assumptions'!$E$15-(0))*(1-(F50)/('Terminal Value'!$E$12))/(('DCF'!$E$6)-(F50))/(1+('DCF'!$E$6))^'DCF'!$E$19)
Review selected-case observations and Model Guide for definitions and held assumptions.</x:t>
        </x:r>
      </x:text>
    </x:comment>
    <x:comment ref="H50" authorId="0">
      <x:text>
        <x:r>
          <x:t>Reverse Terminal g. Formula: =G50-$E$9
Review selected-case observations and Model Guide for definitions and held assumptions.</x:t>
        </x:r>
      </x:text>
    </x:comment>
    <x:comment ref="C51" authorId="0">
      <x:text>
        <x:r>
          <x:t>Reverse Terminal g. Editable source or analyst input.
Review selected-case observations and Model Guide for definitions and held assumptions.</x:t>
        </x:r>
      </x:text>
    </x:comment>
    <x:comment ref="D51" authorId="0">
      <x:text>
        <x:r>
          <x:t>Reverse Terminal g. Formula: =IF(G50&lt;$E$9,F50,D50)
Review selected-case observations and Model Guide for definitions and held assumptions.</x:t>
        </x:r>
      </x:text>
    </x:comment>
    <x:comment ref="E51" authorId="0">
      <x:text>
        <x:r>
          <x:t>Reverse Terminal g. Formula: =IF(G50&lt;$E$9,E50,F50)
Review selected-case observations and Model Guide for definitions and held assumptions.</x:t>
        </x:r>
      </x:text>
    </x:comment>
    <x:comment ref="F51" authorId="0">
      <x:text>
        <x:r>
          <x:t>Reverse Terminal g. Formula: =(D51+E51)/2
Review selected-case observations and Model Guide for definitions and held assumptions.</x:t>
        </x:r>
      </x:text>
    </x:comment>
    <x:comment ref="G51"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51))*('Terminal Value'!$E$10+(0))*(1-'Assumptions'!$E$15-(0))*(1-(F51)/('Terminal Value'!$E$12))/(('DCF'!$E$6)-(F51))/(1+('DCF'!$E$6))^'DCF'!$E$19)
Review selected-case observations and Model Guide for definitions and held assumptions.</x:t>
        </x:r>
      </x:text>
    </x:comment>
    <x:comment ref="H51" authorId="0">
      <x:text>
        <x:r>
          <x:t>Reverse Terminal g. Formula: =G51-$E$9
Review selected-case observations and Model Guide for definitions and held assumptions.</x:t>
        </x:r>
      </x:text>
    </x:comment>
    <x:comment ref="C52" authorId="0">
      <x:text>
        <x:r>
          <x:t>Reverse Terminal g. Editable source or analyst input.
Review selected-case observations and Model Guide for definitions and held assumptions.</x:t>
        </x:r>
      </x:text>
    </x:comment>
    <x:comment ref="D52" authorId="0">
      <x:text>
        <x:r>
          <x:t>Reverse Terminal g. Formula: =IF(G51&lt;$E$9,F51,D51)
Review selected-case observations and Model Guide for definitions and held assumptions.</x:t>
        </x:r>
      </x:text>
    </x:comment>
    <x:comment ref="E52" authorId="0">
      <x:text>
        <x:r>
          <x:t>Reverse Terminal g. Formula: =IF(G51&lt;$E$9,E51,F51)
Review selected-case observations and Model Guide for definitions and held assumptions.</x:t>
        </x:r>
      </x:text>
    </x:comment>
    <x:comment ref="F52" authorId="0">
      <x:text>
        <x:r>
          <x:t>Reverse Terminal g. Formula: =(D52+E52)/2
Review selected-case observations and Model Guide for definitions and held assumptions.</x:t>
        </x:r>
      </x:text>
    </x:comment>
    <x:comment ref="G52"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52))*('Terminal Value'!$E$10+(0))*(1-'Assumptions'!$E$15-(0))*(1-(F52)/('Terminal Value'!$E$12))/(('DCF'!$E$6)-(F52))/(1+('DCF'!$E$6))^'DCF'!$E$19)
Review selected-case observations and Model Guide for definitions and held assumptions.</x:t>
        </x:r>
      </x:text>
    </x:comment>
    <x:comment ref="H52" authorId="0">
      <x:text>
        <x:r>
          <x:t>Reverse Terminal g. Formula: =G52-$E$9
Review selected-case observations and Model Guide for definitions and held assumptions.</x:t>
        </x:r>
      </x:text>
    </x:comment>
    <x:comment ref="C53" authorId="0">
      <x:text>
        <x:r>
          <x:t>Reverse Terminal g. Editable source or analyst input.
Review selected-case observations and Model Guide for definitions and held assumptions.</x:t>
        </x:r>
      </x:text>
    </x:comment>
    <x:comment ref="D53" authorId="0">
      <x:text>
        <x:r>
          <x:t>Reverse Terminal g. Formula: =IF(G52&lt;$E$9,F52,D52)
Review selected-case observations and Model Guide for definitions and held assumptions.</x:t>
        </x:r>
      </x:text>
    </x:comment>
    <x:comment ref="E53" authorId="0">
      <x:text>
        <x:r>
          <x:t>Reverse Terminal g. Formula: =IF(G52&lt;$E$9,E52,F52)
Review selected-case observations and Model Guide for definitions and held assumptions.</x:t>
        </x:r>
      </x:text>
    </x:comment>
    <x:comment ref="F53" authorId="0">
      <x:text>
        <x:r>
          <x:t>Reverse Terminal g. Formula: =(D53+E53)/2
Review selected-case observations and Model Guide for definitions and held assumptions.</x:t>
        </x:r>
      </x:text>
    </x:comment>
    <x:comment ref="G53"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53))*('Terminal Value'!$E$10+(0))*(1-'Assumptions'!$E$15-(0))*(1-(F53)/('Terminal Value'!$E$12))/(('DCF'!$E$6)-(F53))/(1+('DCF'!$E$6))^'DCF'!$E$19)
Review selected-case observations and Model Guide for definitions and held assumptions.</x:t>
        </x:r>
      </x:text>
    </x:comment>
    <x:comment ref="H53" authorId="0">
      <x:text>
        <x:r>
          <x:t>Reverse Terminal g. Formula: =G53-$E$9
Review selected-case observations and Model Guide for definitions and held assumptions.</x:t>
        </x:r>
      </x:text>
    </x:comment>
    <x:comment ref="C54" authorId="0">
      <x:text>
        <x:r>
          <x:t>Reverse Terminal g. Editable source or analyst input.
Review selected-case observations and Model Guide for definitions and held assumptions.</x:t>
        </x:r>
      </x:text>
    </x:comment>
    <x:comment ref="D54" authorId="0">
      <x:text>
        <x:r>
          <x:t>Reverse Terminal g. Formula: =IF(G53&lt;$E$9,F53,D53)
Review selected-case observations and Model Guide for definitions and held assumptions.</x:t>
        </x:r>
      </x:text>
    </x:comment>
    <x:comment ref="E54" authorId="0">
      <x:text>
        <x:r>
          <x:t>Reverse Terminal g. Formula: =IF(G53&lt;$E$9,E53,F53)
Review selected-case observations and Model Guide for definitions and held assumptions.</x:t>
        </x:r>
      </x:text>
    </x:comment>
    <x:comment ref="F54" authorId="0">
      <x:text>
        <x:r>
          <x:t>Reverse Terminal g. Formula: =(D54+E54)/2
Review selected-case observations and Model Guide for definitions and held assumptions.</x:t>
        </x:r>
      </x:text>
    </x:comment>
    <x:comment ref="G54"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54))*('Terminal Value'!$E$10+(0))*(1-'Assumptions'!$E$15-(0))*(1-(F54)/('Terminal Value'!$E$12))/(('DCF'!$E$6)-(F54))/(1+('DCF'!$E$6))^'DCF'!$E$19)
Review selected-case observations and Model Guide for definitions and held assumptions.</x:t>
        </x:r>
      </x:text>
    </x:comment>
    <x:comment ref="H54" authorId="0">
      <x:text>
        <x:r>
          <x:t>Reverse Terminal g. Formula: =G54-$E$9
Review selected-case observations and Model Guide for definitions and held assumptions.</x:t>
        </x:r>
      </x:text>
    </x:comment>
    <x:comment ref="C55" authorId="0">
      <x:text>
        <x:r>
          <x:t>Reverse Terminal g. Editable source or analyst input.
Review selected-case observations and Model Guide for definitions and held assumptions.</x:t>
        </x:r>
      </x:text>
    </x:comment>
    <x:comment ref="D55" authorId="0">
      <x:text>
        <x:r>
          <x:t>Reverse Terminal g. Formula: =IF(G54&lt;$E$9,F54,D54)
Review selected-case observations and Model Guide for definitions and held assumptions.</x:t>
        </x:r>
      </x:text>
    </x:comment>
    <x:comment ref="E55" authorId="0">
      <x:text>
        <x:r>
          <x:t>Reverse Terminal g. Formula: =IF(G54&lt;$E$9,E54,F54)
Review selected-case observations and Model Guide for definitions and held assumptions.</x:t>
        </x:r>
      </x:text>
    </x:comment>
    <x:comment ref="F55" authorId="0">
      <x:text>
        <x:r>
          <x:t>Reverse Terminal g. Formula: =(D55+E55)/2
Review selected-case observations and Model Guide for definitions and held assumptions.</x:t>
        </x:r>
      </x:text>
    </x:comment>
    <x:comment ref="G55"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55))*('Terminal Value'!$E$10+(0))*(1-'Assumptions'!$E$15-(0))*(1-(F55)/('Terminal Value'!$E$12))/(('DCF'!$E$6)-(F55))/(1+('DCF'!$E$6))^'DCF'!$E$19)
Review selected-case observations and Model Guide for definitions and held assumptions.</x:t>
        </x:r>
      </x:text>
    </x:comment>
    <x:comment ref="H55" authorId="0">
      <x:text>
        <x:r>
          <x:t>Reverse Terminal g. Formula: =G55-$E$9
Review selected-case observations and Model Guide for definitions and held assumptions.</x:t>
        </x:r>
      </x:text>
    </x:comment>
    <x:comment ref="C56" authorId="0">
      <x:text>
        <x:r>
          <x:t>Reverse Terminal g. Editable source or analyst input.
Review selected-case observations and Model Guide for definitions and held assumptions.</x:t>
        </x:r>
      </x:text>
    </x:comment>
    <x:comment ref="D56" authorId="0">
      <x:text>
        <x:r>
          <x:t>Reverse Terminal g. Formula: =IF(G55&lt;$E$9,F55,D55)
Review selected-case observations and Model Guide for definitions and held assumptions.</x:t>
        </x:r>
      </x:text>
    </x:comment>
    <x:comment ref="E56" authorId="0">
      <x:text>
        <x:r>
          <x:t>Reverse Terminal g. Formula: =IF(G55&lt;$E$9,E55,F55)
Review selected-case observations and Model Guide for definitions and held assumptions.</x:t>
        </x:r>
      </x:text>
    </x:comment>
    <x:comment ref="F56" authorId="0">
      <x:text>
        <x:r>
          <x:t>Reverse Terminal g. Formula: =(D56+E56)/2
Review selected-case observations and Model Guide for definitions and held assumptions.</x:t>
        </x:r>
      </x:text>
    </x:comment>
    <x:comment ref="G56"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56))*('Terminal Value'!$E$10+(0))*(1-'Assumptions'!$E$15-(0))*(1-(F56)/('Terminal Value'!$E$12))/(('DCF'!$E$6)-(F56))/(1+('DCF'!$E$6))^'DCF'!$E$19)
Review selected-case observations and Model Guide for definitions and held assumptions.</x:t>
        </x:r>
      </x:text>
    </x:comment>
    <x:comment ref="H56" authorId="0">
      <x:text>
        <x:r>
          <x:t>Reverse Terminal g. Formula: =G56-$E$9
Review selected-case observations and Model Guide for definitions and held assumptions.</x:t>
        </x:r>
      </x:text>
    </x:comment>
    <x:comment ref="C57" authorId="0">
      <x:text>
        <x:r>
          <x:t>Reverse Terminal g. Editable source or analyst input.
Review selected-case observations and Model Guide for definitions and held assumptions.</x:t>
        </x:r>
      </x:text>
    </x:comment>
    <x:comment ref="D57" authorId="0">
      <x:text>
        <x:r>
          <x:t>Reverse Terminal g. Formula: =IF(G56&lt;$E$9,F56,D56)
Review selected-case observations and Model Guide for definitions and held assumptions.</x:t>
        </x:r>
      </x:text>
    </x:comment>
    <x:comment ref="E57" authorId="0">
      <x:text>
        <x:r>
          <x:t>Reverse Terminal g. Formula: =IF(G56&lt;$E$9,E56,F56)
Review selected-case observations and Model Guide for definitions and held assumptions.</x:t>
        </x:r>
      </x:text>
    </x:comment>
    <x:comment ref="F57" authorId="0">
      <x:text>
        <x:r>
          <x:t>Reverse Terminal g. Formula: =(D57+E57)/2
Review selected-case observations and Model Guide for definitions and held assumptions.</x:t>
        </x:r>
      </x:text>
    </x:comment>
    <x:comment ref="G57"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57))*('Terminal Value'!$E$10+(0))*(1-'Assumptions'!$E$15-(0))*(1-(F57)/('Terminal Value'!$E$12))/(('DCF'!$E$6)-(F57))/(1+('DCF'!$E$6))^'DCF'!$E$19)
Review selected-case observations and Model Guide for definitions and held assumptions.</x:t>
        </x:r>
      </x:text>
    </x:comment>
    <x:comment ref="H57" authorId="0">
      <x:text>
        <x:r>
          <x:t>Reverse Terminal g. Formula: =G57-$E$9
Review selected-case observations and Model Guide for definitions and held assumptions.</x:t>
        </x:r>
      </x:text>
    </x:comment>
    <x:comment ref="C58" authorId="0">
      <x:text>
        <x:r>
          <x:t>Reverse Terminal g. Editable source or analyst input.
Review selected-case observations and Model Guide for definitions and held assumptions.</x:t>
        </x:r>
      </x:text>
    </x:comment>
    <x:comment ref="D58" authorId="0">
      <x:text>
        <x:r>
          <x:t>Reverse Terminal g. Formula: =IF(G57&lt;$E$9,F57,D57)
Review selected-case observations and Model Guide for definitions and held assumptions.</x:t>
        </x:r>
      </x:text>
    </x:comment>
    <x:comment ref="E58" authorId="0">
      <x:text>
        <x:r>
          <x:t>Reverse Terminal g. Formula: =IF(G57&lt;$E$9,E57,F57)
Review selected-case observations and Model Guide for definitions and held assumptions.</x:t>
        </x:r>
      </x:text>
    </x:comment>
    <x:comment ref="F58" authorId="0">
      <x:text>
        <x:r>
          <x:t>Reverse Terminal g. Formula: =(D58+E58)/2
Review selected-case observations and Model Guide for definitions and held assumptions.</x:t>
        </x:r>
      </x:text>
    </x:comment>
    <x:comment ref="G58"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58))*('Terminal Value'!$E$10+(0))*(1-'Assumptions'!$E$15-(0))*(1-(F58)/('Terminal Value'!$E$12))/(('DCF'!$E$6)-(F58))/(1+('DCF'!$E$6))^'DCF'!$E$19)
Review selected-case observations and Model Guide for definitions and held assumptions.</x:t>
        </x:r>
      </x:text>
    </x:comment>
    <x:comment ref="H58" authorId="0">
      <x:text>
        <x:r>
          <x:t>Reverse Terminal g. Formula: =G58-$E$9
Review selected-case observations and Model Guide for definitions and held assumptions.</x:t>
        </x:r>
      </x:text>
    </x:comment>
    <x:comment ref="C59" authorId="0">
      <x:text>
        <x:r>
          <x:t>Reverse Terminal g. Editable source or analyst input.
Review selected-case observations and Model Guide for definitions and held assumptions.</x:t>
        </x:r>
      </x:text>
    </x:comment>
    <x:comment ref="D59" authorId="0">
      <x:text>
        <x:r>
          <x:t>Reverse Terminal g. Formula: =IF(G58&lt;$E$9,F58,D58)
Review selected-case observations and Model Guide for definitions and held assumptions.</x:t>
        </x:r>
      </x:text>
    </x:comment>
    <x:comment ref="E59" authorId="0">
      <x:text>
        <x:r>
          <x:t>Reverse Terminal g. Formula: =IF(G58&lt;$E$9,E58,F58)
Review selected-case observations and Model Guide for definitions and held assumptions.</x:t>
        </x:r>
      </x:text>
    </x:comment>
    <x:comment ref="F59" authorId="0">
      <x:text>
        <x:r>
          <x:t>Reverse Terminal g. Formula: =(D59+E59)/2
Review selected-case observations and Model Guide for definitions and held assumptions.</x:t>
        </x:r>
      </x:text>
    </x:comment>
    <x:comment ref="G59"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59))*('Terminal Value'!$E$10+(0))*(1-'Assumptions'!$E$15-(0))*(1-(F59)/('Terminal Value'!$E$12))/(('DCF'!$E$6)-(F59))/(1+('DCF'!$E$6))^'DCF'!$E$19)
Review selected-case observations and Model Guide for definitions and held assumptions.</x:t>
        </x:r>
      </x:text>
    </x:comment>
    <x:comment ref="H59" authorId="0">
      <x:text>
        <x:r>
          <x:t>Reverse Terminal g. Formula: =G59-$E$9
Review selected-case observations and Model Guide for definitions and held assumptions.</x:t>
        </x:r>
      </x:text>
    </x:comment>
    <x:comment ref="C60" authorId="0">
      <x:text>
        <x:r>
          <x:t>Reverse Terminal g. Editable source or analyst input.
Review selected-case observations and Model Guide for definitions and held assumptions.</x:t>
        </x:r>
      </x:text>
    </x:comment>
    <x:comment ref="D60" authorId="0">
      <x:text>
        <x:r>
          <x:t>Reverse Terminal g. Formula: =IF(G59&lt;$E$9,F59,D59)
Review selected-case observations and Model Guide for definitions and held assumptions.</x:t>
        </x:r>
      </x:text>
    </x:comment>
    <x:comment ref="E60" authorId="0">
      <x:text>
        <x:r>
          <x:t>Reverse Terminal g. Formula: =IF(G59&lt;$E$9,E59,F59)
Review selected-case observations and Model Guide for definitions and held assumptions.</x:t>
        </x:r>
      </x:text>
    </x:comment>
    <x:comment ref="F60" authorId="0">
      <x:text>
        <x:r>
          <x:t>Reverse Terminal g. Formula: =(D60+E60)/2
Review selected-case observations and Model Guide for definitions and held assumptions.</x:t>
        </x:r>
      </x:text>
    </x:comment>
    <x:comment ref="G60"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60))*('Terminal Value'!$E$10+(0))*(1-'Assumptions'!$E$15-(0))*(1-(F60)/('Terminal Value'!$E$12))/(('DCF'!$E$6)-(F60))/(1+('DCF'!$E$6))^'DCF'!$E$19)
Review selected-case observations and Model Guide for definitions and held assumptions.</x:t>
        </x:r>
      </x:text>
    </x:comment>
    <x:comment ref="H60" authorId="0">
      <x:text>
        <x:r>
          <x:t>Reverse Terminal g. Formula: =G60-$E$9
Review selected-case observations and Model Guide for definitions and held assumptions.</x:t>
        </x:r>
      </x:text>
    </x:comment>
    <x:comment ref="C61" authorId="0">
      <x:text>
        <x:r>
          <x:t>Reverse Terminal g. Editable source or analyst input.
Review selected-case observations and Model Guide for definitions and held assumptions.</x:t>
        </x:r>
      </x:text>
    </x:comment>
    <x:comment ref="D61" authorId="0">
      <x:text>
        <x:r>
          <x:t>Reverse Terminal g. Formula: =IF(G60&lt;$E$9,F60,D60)
Review selected-case observations and Model Guide for definitions and held assumptions.</x:t>
        </x:r>
      </x:text>
    </x:comment>
    <x:comment ref="E61" authorId="0">
      <x:text>
        <x:r>
          <x:t>Reverse Terminal g. Formula: =IF(G60&lt;$E$9,E60,F60)
Review selected-case observations and Model Guide for definitions and held assumptions.</x:t>
        </x:r>
      </x:text>
    </x:comment>
    <x:comment ref="F61" authorId="0">
      <x:text>
        <x:r>
          <x:t>Reverse Terminal g. Formula: =(D61+E61)/2
Review selected-case observations and Model Guide for definitions and held assumptions.</x:t>
        </x:r>
      </x:text>
    </x:comment>
    <x:comment ref="G61"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61))*('Terminal Value'!$E$10+(0))*(1-'Assumptions'!$E$15-(0))*(1-(F61)/('Terminal Value'!$E$12))/(('DCF'!$E$6)-(F61))/(1+('DCF'!$E$6))^'DCF'!$E$19)
Review selected-case observations and Model Guide for definitions and held assumptions.</x:t>
        </x:r>
      </x:text>
    </x:comment>
    <x:comment ref="H61" authorId="0">
      <x:text>
        <x:r>
          <x:t>Reverse Terminal g. Formula: =G61-$E$9
Review selected-case observations and Model Guide for definitions and held assumptions.</x:t>
        </x:r>
      </x:text>
    </x:comment>
    <x:comment ref="C62" authorId="0">
      <x:text>
        <x:r>
          <x:t>Reverse Terminal g. Editable source or analyst input.
Review selected-case observations and Model Guide for definitions and held assumptions.</x:t>
        </x:r>
      </x:text>
    </x:comment>
    <x:comment ref="D62" authorId="0">
      <x:text>
        <x:r>
          <x:t>Reverse Terminal g. Formula: =IF(G61&lt;$E$9,F61,D61)
Review selected-case observations and Model Guide for definitions and held assumptions.</x:t>
        </x:r>
      </x:text>
    </x:comment>
    <x:comment ref="E62" authorId="0">
      <x:text>
        <x:r>
          <x:t>Reverse Terminal g. Formula: =IF(G61&lt;$E$9,E61,F61)
Review selected-case observations and Model Guide for definitions and held assumptions.</x:t>
        </x:r>
      </x:text>
    </x:comment>
    <x:comment ref="F62" authorId="0">
      <x:text>
        <x:r>
          <x:t>Reverse Terminal g. Formula: =(D62+E62)/2
Review selected-case observations and Model Guide for definitions and held assumptions.</x:t>
        </x:r>
      </x:text>
    </x:comment>
    <x:comment ref="G62"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62))*('Terminal Value'!$E$10+(0))*(1-'Assumptions'!$E$15-(0))*(1-(F62)/('Terminal Value'!$E$12))/(('DCF'!$E$6)-(F62))/(1+('DCF'!$E$6))^'DCF'!$E$19)
Review selected-case observations and Model Guide for definitions and held assumptions.</x:t>
        </x:r>
      </x:text>
    </x:comment>
    <x:comment ref="H62" authorId="0">
      <x:text>
        <x:r>
          <x:t>Reverse Terminal g. Formula: =G62-$E$9
Review selected-case observations and Model Guide for definitions and held assumptions.</x:t>
        </x:r>
      </x:text>
    </x:comment>
    <x:comment ref="C63" authorId="0">
      <x:text>
        <x:r>
          <x:t>Reverse Terminal g. Editable source or analyst input.
Review selected-case observations and Model Guide for definitions and held assumptions.</x:t>
        </x:r>
      </x:text>
    </x:comment>
    <x:comment ref="D63" authorId="0">
      <x:text>
        <x:r>
          <x:t>Reverse Terminal g. Formula: =IF(G62&lt;$E$9,F62,D62)
Review selected-case observations and Model Guide for definitions and held assumptions.</x:t>
        </x:r>
      </x:text>
    </x:comment>
    <x:comment ref="E63" authorId="0">
      <x:text>
        <x:r>
          <x:t>Reverse Terminal g. Formula: =IF(G62&lt;$E$9,E62,F62)
Review selected-case observations and Model Guide for definitions and held assumptions.</x:t>
        </x:r>
      </x:text>
    </x:comment>
    <x:comment ref="F63" authorId="0">
      <x:text>
        <x:r>
          <x:t>Reverse Terminal g. Formula: =(D63+E63)/2
Review selected-case observations and Model Guide for definitions and held assumptions.</x:t>
        </x:r>
      </x:text>
    </x:comment>
    <x:comment ref="G63"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63))*('Terminal Value'!$E$10+(0))*(1-'Assumptions'!$E$15-(0))*(1-(F63)/('Terminal Value'!$E$12))/(('DCF'!$E$6)-(F63))/(1+('DCF'!$E$6))^'DCF'!$E$19)
Review selected-case observations and Model Guide for definitions and held assumptions.</x:t>
        </x:r>
      </x:text>
    </x:comment>
    <x:comment ref="H63" authorId="0">
      <x:text>
        <x:r>
          <x:t>Reverse Terminal g. Formula: =G63-$E$9
Review selected-case observations and Model Guide for definitions and held assumptions.</x:t>
        </x:r>
      </x:text>
    </x:comment>
    <x:comment ref="C64" authorId="0">
      <x:text>
        <x:r>
          <x:t>Reverse Terminal g. Editable source or analyst input.
Review selected-case observations and Model Guide for definitions and held assumptions.</x:t>
        </x:r>
      </x:text>
    </x:comment>
    <x:comment ref="D64" authorId="0">
      <x:text>
        <x:r>
          <x:t>Reverse Terminal g. Formula: =IF(G63&lt;$E$9,F63,D63)
Review selected-case observations and Model Guide for definitions and held assumptions.</x:t>
        </x:r>
      </x:text>
    </x:comment>
    <x:comment ref="E64" authorId="0">
      <x:text>
        <x:r>
          <x:t>Reverse Terminal g. Formula: =IF(G63&lt;$E$9,E63,F63)
Review selected-case observations and Model Guide for definitions and held assumptions.</x:t>
        </x:r>
      </x:text>
    </x:comment>
    <x:comment ref="F64" authorId="0">
      <x:text>
        <x:r>
          <x:t>Reverse Terminal g. Formula: =(D64+E64)/2
Review selected-case observations and Model Guide for definitions and held assumptions.</x:t>
        </x:r>
      </x:text>
    </x:comment>
    <x:comment ref="G64"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64))*('Terminal Value'!$E$10+(0))*(1-'Assumptions'!$E$15-(0))*(1-(F64)/('Terminal Value'!$E$12))/(('DCF'!$E$6)-(F64))/(1+('DCF'!$E$6))^'DCF'!$E$19)
Review selected-case observations and Model Guide for definitions and held assumptions.</x:t>
        </x:r>
      </x:text>
    </x:comment>
    <x:comment ref="H64" authorId="0">
      <x:text>
        <x:r>
          <x:t>Reverse Terminal g. Formula: =G64-$E$9
Review selected-case observations and Model Guide for definitions and held assumptions.</x:t>
        </x:r>
      </x:text>
    </x:comment>
    <x:comment ref="C65" authorId="0">
      <x:text>
        <x:r>
          <x:t>Reverse Terminal g. Editable source or analyst input.
Review selected-case observations and Model Guide for definitions and held assumptions.</x:t>
        </x:r>
      </x:text>
    </x:comment>
    <x:comment ref="D65" authorId="0">
      <x:text>
        <x:r>
          <x:t>Reverse Terminal g. Formula: =IF(G64&lt;$E$9,F64,D64)
Review selected-case observations and Model Guide for definitions and held assumptions.</x:t>
        </x:r>
      </x:text>
    </x:comment>
    <x:comment ref="E65" authorId="0">
      <x:text>
        <x:r>
          <x:t>Reverse Terminal g. Formula: =IF(G64&lt;$E$9,E64,F64)
Review selected-case observations and Model Guide for definitions and held assumptions.</x:t>
        </x:r>
      </x:text>
    </x:comment>
    <x:comment ref="F65" authorId="0">
      <x:text>
        <x:r>
          <x:t>Reverse Terminal g. Formula: =(D65+E65)/2
Review selected-case observations and Model Guide for definitions and held assumptions.</x:t>
        </x:r>
      </x:text>
    </x:comment>
    <x:comment ref="G65"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65))*('Terminal Value'!$E$10+(0))*(1-'Assumptions'!$E$15-(0))*(1-(F65)/('Terminal Value'!$E$12))/(('DCF'!$E$6)-(F65))/(1+('DCF'!$E$6))^'DCF'!$E$19)
Review selected-case observations and Model Guide for definitions and held assumptions.</x:t>
        </x:r>
      </x:text>
    </x:comment>
    <x:comment ref="H65" authorId="0">
      <x:text>
        <x:r>
          <x:t>Reverse Terminal g. Formula: =G65-$E$9
Review selected-case observations and Model Guide for definitions and held assumptions.</x:t>
        </x:r>
      </x:text>
    </x:comment>
    <x:comment ref="C66" authorId="0">
      <x:text>
        <x:r>
          <x:t>Reverse Terminal g. Editable source or analyst input.
Review selected-case observations and Model Guide for definitions and held assumptions.</x:t>
        </x:r>
      </x:text>
    </x:comment>
    <x:comment ref="D66" authorId="0">
      <x:text>
        <x:r>
          <x:t>Reverse Terminal g. Formula: =IF(G65&lt;$E$9,F65,D65)
Review selected-case observations and Model Guide for definitions and held assumptions.</x:t>
        </x:r>
      </x:text>
    </x:comment>
    <x:comment ref="E66" authorId="0">
      <x:text>
        <x:r>
          <x:t>Reverse Terminal g. Formula: =IF(G65&lt;$E$9,E65,F65)
Review selected-case observations and Model Guide for definitions and held assumptions.</x:t>
        </x:r>
      </x:text>
    </x:comment>
    <x:comment ref="F66" authorId="0">
      <x:text>
        <x:r>
          <x:t>Reverse Terminal g. Formula: =(D66+E66)/2
Review selected-case observations and Model Guide for definitions and held assumptions.</x:t>
        </x:r>
      </x:text>
    </x:comment>
    <x:comment ref="G66"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66))*('Terminal Value'!$E$10+(0))*(1-'Assumptions'!$E$15-(0))*(1-(F66)/('Terminal Value'!$E$12))/(('DCF'!$E$6)-(F66))/(1+('DCF'!$E$6))^'DCF'!$E$19)
Review selected-case observations and Model Guide for definitions and held assumptions.</x:t>
        </x:r>
      </x:text>
    </x:comment>
    <x:comment ref="H66" authorId="0">
      <x:text>
        <x:r>
          <x:t>Reverse Terminal g. Formula: =G66-$E$9
Review selected-case observations and Model Guide for definitions and held assumptions.</x:t>
        </x:r>
      </x:text>
    </x:comment>
    <x:comment ref="C67" authorId="0">
      <x:text>
        <x:r>
          <x:t>Reverse Terminal g. Editable source or analyst input.
Review selected-case observations and Model Guide for definitions and held assumptions.</x:t>
        </x:r>
      </x:text>
    </x:comment>
    <x:comment ref="D67" authorId="0">
      <x:text>
        <x:r>
          <x:t>Reverse Terminal g. Formula: =IF(G66&lt;$E$9,F66,D66)
Review selected-case observations and Model Guide for definitions and held assumptions.</x:t>
        </x:r>
      </x:text>
    </x:comment>
    <x:comment ref="E67" authorId="0">
      <x:text>
        <x:r>
          <x:t>Reverse Terminal g. Formula: =IF(G66&lt;$E$9,E66,F66)
Review selected-case observations and Model Guide for definitions and held assumptions.</x:t>
        </x:r>
      </x:text>
    </x:comment>
    <x:comment ref="F67" authorId="0">
      <x:text>
        <x:r>
          <x:t>Reverse Terminal g. Formula: =(D67+E67)/2
Review selected-case observations and Model Guide for definitions and held assumptions.</x:t>
        </x:r>
      </x:text>
    </x:comment>
    <x:comment ref="G67"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67))*('Terminal Value'!$E$10+(0))*(1-'Assumptions'!$E$15-(0))*(1-(F67)/('Terminal Value'!$E$12))/(('DCF'!$E$6)-(F67))/(1+('DCF'!$E$6))^'DCF'!$E$19)
Review selected-case observations and Model Guide for definitions and held assumptions.</x:t>
        </x:r>
      </x:text>
    </x:comment>
    <x:comment ref="H67" authorId="0">
      <x:text>
        <x:r>
          <x:t>Reverse Terminal g. Formula: =G67-$E$9
Review selected-case observations and Model Guide for definitions and held assumptions.</x:t>
        </x:r>
      </x:text>
    </x:comment>
    <x:comment ref="C68" authorId="0">
      <x:text>
        <x:r>
          <x:t>Reverse Terminal g. Editable source or analyst input.
Review selected-case observations and Model Guide for definitions and held assumptions.</x:t>
        </x:r>
      </x:text>
    </x:comment>
    <x:comment ref="D68" authorId="0">
      <x:text>
        <x:r>
          <x:t>Reverse Terminal g. Formula: =IF(G67&lt;$E$9,F67,D67)
Review selected-case observations and Model Guide for definitions and held assumptions.</x:t>
        </x:r>
      </x:text>
    </x:comment>
    <x:comment ref="E68" authorId="0">
      <x:text>
        <x:r>
          <x:t>Reverse Terminal g. Formula: =IF(G67&lt;$E$9,E67,F67)
Review selected-case observations and Model Guide for definitions and held assumptions.</x:t>
        </x:r>
      </x:text>
    </x:comment>
    <x:comment ref="F68" authorId="0">
      <x:text>
        <x:r>
          <x:t>Reverse Terminal g. Formula: =(D68+E68)/2
Review selected-case observations and Model Guide for definitions and held assumptions.</x:t>
        </x:r>
      </x:text>
    </x:comment>
    <x:comment ref="G68"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68))*('Terminal Value'!$E$10+(0))*(1-'Assumptions'!$E$15-(0))*(1-(F68)/('Terminal Value'!$E$12))/(('DCF'!$E$6)-(F68))/(1+('DCF'!$E$6))^'DCF'!$E$19)
Review selected-case observations and Model Guide for definitions and held assumptions.</x:t>
        </x:r>
      </x:text>
    </x:comment>
    <x:comment ref="H68" authorId="0">
      <x:text>
        <x:r>
          <x:t>Reverse Terminal g. Formula: =G68-$E$9
Review selected-case observations and Model Guide for definitions and held assumptions.</x:t>
        </x:r>
      </x:text>
    </x:comment>
    <x:comment ref="C69" authorId="0">
      <x:text>
        <x:r>
          <x:t>Reverse Terminal g. Editable source or analyst input.
Review selected-case observations and Model Guide for definitions and held assumptions.</x:t>
        </x:r>
      </x:text>
    </x:comment>
    <x:comment ref="D69" authorId="0">
      <x:text>
        <x:r>
          <x:t>Reverse Terminal g. Formula: =IF(G68&lt;$E$9,F68,D68)
Review selected-case observations and Model Guide for definitions and held assumptions.</x:t>
        </x:r>
      </x:text>
    </x:comment>
    <x:comment ref="E69" authorId="0">
      <x:text>
        <x:r>
          <x:t>Reverse Terminal g. Formula: =IF(G68&lt;$E$9,E68,F68)
Review selected-case observations and Model Guide for definitions and held assumptions.</x:t>
        </x:r>
      </x:text>
    </x:comment>
    <x:comment ref="F69" authorId="0">
      <x:text>
        <x:r>
          <x:t>Reverse Terminal g. Formula: =(D69+E69)/2
Review selected-case observations and Model Guide for definitions and held assumptions.</x:t>
        </x:r>
      </x:text>
    </x:comment>
    <x:comment ref="G69"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69))*('Terminal Value'!$E$10+(0))*(1-'Assumptions'!$E$15-(0))*(1-(F69)/('Terminal Value'!$E$12))/(('DCF'!$E$6)-(F69))/(1+('DCF'!$E$6))^'DCF'!$E$19)
Review selected-case observations and Model Guide for definitions and held assumptions.</x:t>
        </x:r>
      </x:text>
    </x:comment>
    <x:comment ref="H69" authorId="0">
      <x:text>
        <x:r>
          <x:t>Reverse Terminal g. Formula: =G69-$E$9
Review selected-case observations and Model Guide for definitions and held assumptions.</x:t>
        </x:r>
      </x:text>
    </x:comment>
    <x:comment ref="C70" authorId="0">
      <x:text>
        <x:r>
          <x:t>Reverse Terminal g. Editable source or analyst input.
Review selected-case observations and Model Guide for definitions and held assumptions.</x:t>
        </x:r>
      </x:text>
    </x:comment>
    <x:comment ref="D70" authorId="0">
      <x:text>
        <x:r>
          <x:t>Reverse Terminal g. Formula: =IF(G69&lt;$E$9,F69,D69)
Review selected-case observations and Model Guide for definitions and held assumptions.</x:t>
        </x:r>
      </x:text>
    </x:comment>
    <x:comment ref="E70" authorId="0">
      <x:text>
        <x:r>
          <x:t>Reverse Terminal g. Formula: =IF(G69&lt;$E$9,E69,F69)
Review selected-case observations and Model Guide for definitions and held assumptions.</x:t>
        </x:r>
      </x:text>
    </x:comment>
    <x:comment ref="F70" authorId="0">
      <x:text>
        <x:r>
          <x:t>Reverse Terminal g. Formula: =(D70+E70)/2
Review selected-case observations and Model Guide for definitions and held assumptions.</x:t>
        </x:r>
      </x:text>
    </x:comment>
    <x:comment ref="G70"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70))*('Terminal Value'!$E$10+(0))*(1-'Assumptions'!$E$15-(0))*(1-(F70)/('Terminal Value'!$E$12))/(('DCF'!$E$6)-(F70))/(1+('DCF'!$E$6))^'DCF'!$E$19)
Review selected-case observations and Model Guide for definitions and held assumptions.</x:t>
        </x:r>
      </x:text>
    </x:comment>
    <x:comment ref="H70" authorId="0">
      <x:text>
        <x:r>
          <x:t>Reverse Terminal g. Formula: =G70-$E$9
Review selected-case observations and Model Guide for definitions and held assumptions.</x:t>
        </x:r>
      </x:text>
    </x:comment>
    <x:comment ref="C71" authorId="0">
      <x:text>
        <x:r>
          <x:t>Reverse Terminal g. Editable source or analyst input.
Review selected-case observations and Model Guide for definitions and held assumptions.</x:t>
        </x:r>
      </x:text>
    </x:comment>
    <x:comment ref="D71" authorId="0">
      <x:text>
        <x:r>
          <x:t>Reverse Terminal g. Formula: =IF(G70&lt;$E$9,F70,D70)
Review selected-case observations and Model Guide for definitions and held assumptions.</x:t>
        </x:r>
      </x:text>
    </x:comment>
    <x:comment ref="E71" authorId="0">
      <x:text>
        <x:r>
          <x:t>Reverse Terminal g. Formula: =IF(G70&lt;$E$9,E70,F70)
Review selected-case observations and Model Guide for definitions and held assumptions.</x:t>
        </x:r>
      </x:text>
    </x:comment>
    <x:comment ref="F71" authorId="0">
      <x:text>
        <x:r>
          <x:t>Reverse Terminal g. Formula: =(D71+E71)/2
Review selected-case observations and Model Guide for definitions and held assumptions.</x:t>
        </x:r>
      </x:text>
    </x:comment>
    <x:comment ref="G71"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71))*('Terminal Value'!$E$10+(0))*(1-'Assumptions'!$E$15-(0))*(1-(F71)/('Terminal Value'!$E$12))/(('DCF'!$E$6)-(F71))/(1+('DCF'!$E$6))^'DCF'!$E$19)
Review selected-case observations and Model Guide for definitions and held assumptions.</x:t>
        </x:r>
      </x:text>
    </x:comment>
    <x:comment ref="H71" authorId="0">
      <x:text>
        <x:r>
          <x:t>Reverse Terminal g. Formula: =G71-$E$9
Review selected-case observations and Model Guide for definitions and held assumptions.</x:t>
        </x:r>
      </x:text>
    </x:comment>
    <x:comment ref="C72" authorId="0">
      <x:text>
        <x:r>
          <x:t>Reverse Terminal g. Editable source or analyst input.
Review selected-case observations and Model Guide for definitions and held assumptions.</x:t>
        </x:r>
      </x:text>
    </x:comment>
    <x:comment ref="D72" authorId="0">
      <x:text>
        <x:r>
          <x:t>Reverse Terminal g. Formula: =IF(G71&lt;$E$9,F71,D71)
Review selected-case observations and Model Guide for definitions and held assumptions.</x:t>
        </x:r>
      </x:text>
    </x:comment>
    <x:comment ref="E72" authorId="0">
      <x:text>
        <x:r>
          <x:t>Reverse Terminal g. Formula: =IF(G71&lt;$E$9,E71,F71)
Review selected-case observations and Model Guide for definitions and held assumptions.</x:t>
        </x:r>
      </x:text>
    </x:comment>
    <x:comment ref="F72" authorId="0">
      <x:text>
        <x:r>
          <x:t>Reverse Terminal g. Formula: =(D72+E72)/2
Review selected-case observations and Model Guide for definitions and held assumptions.</x:t>
        </x:r>
      </x:text>
    </x:comment>
    <x:comment ref="G72"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72))*('Terminal Value'!$E$10+(0))*(1-'Assumptions'!$E$15-(0))*(1-(F72)/('Terminal Value'!$E$12))/(('DCF'!$E$6)-(F72))/(1+('DCF'!$E$6))^'DCF'!$E$19)
Review selected-case observations and Model Guide for definitions and held assumptions.</x:t>
        </x:r>
      </x:text>
    </x:comment>
    <x:comment ref="H72" authorId="0">
      <x:text>
        <x:r>
          <x:t>Reverse Terminal g. Formula: =G72-$E$9
Review selected-case observations and Model Guide for definitions and held assumptions.</x:t>
        </x:r>
      </x:text>
    </x:comment>
    <x:comment ref="C73" authorId="0">
      <x:text>
        <x:r>
          <x:t>Reverse Terminal g. Editable source or analyst input.
Review selected-case observations and Model Guide for definitions and held assumptions.</x:t>
        </x:r>
      </x:text>
    </x:comment>
    <x:comment ref="D73" authorId="0">
      <x:text>
        <x:r>
          <x:t>Reverse Terminal g. Formula: =IF(G72&lt;$E$9,F72,D72)
Review selected-case observations and Model Guide for definitions and held assumptions.</x:t>
        </x:r>
      </x:text>
    </x:comment>
    <x:comment ref="E73" authorId="0">
      <x:text>
        <x:r>
          <x:t>Reverse Terminal g. Formula: =IF(G72&lt;$E$9,E72,F72)
Review selected-case observations and Model Guide for definitions and held assumptions.</x:t>
        </x:r>
      </x:text>
    </x:comment>
    <x:comment ref="F73" authorId="0">
      <x:text>
        <x:r>
          <x:t>Reverse Terminal g. Formula: =(D73+E73)/2
Review selected-case observations and Model Guide for definitions and held assumptions.</x:t>
        </x:r>
      </x:text>
    </x:comment>
    <x:comment ref="G73"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73))*('Terminal Value'!$E$10+(0))*(1-'Assumptions'!$E$15-(0))*(1-(F73)/('Terminal Value'!$E$12))/(('DCF'!$E$6)-(F73))/(1+('DCF'!$E$6))^'DCF'!$E$19)
Review selected-case observations and Model Guide for definitions and held assumptions.</x:t>
        </x:r>
      </x:text>
    </x:comment>
    <x:comment ref="H73" authorId="0">
      <x:text>
        <x:r>
          <x:t>Reverse Terminal g. Formula: =G73-$E$9
Review selected-case observations and Model Guide for definitions and held assumptions.</x:t>
        </x:r>
      </x:text>
    </x:comment>
    <x:comment ref="C74" authorId="0">
      <x:text>
        <x:r>
          <x:t>Reverse Terminal g. Editable source or analyst input.
Review selected-case observations and Model Guide for definitions and held assumptions.</x:t>
        </x:r>
      </x:text>
    </x:comment>
    <x:comment ref="D74" authorId="0">
      <x:text>
        <x:r>
          <x:t>Reverse Terminal g. Formula: =IF(G73&lt;$E$9,F73,D73)
Review selected-case observations and Model Guide for definitions and held assumptions.</x:t>
        </x:r>
      </x:text>
    </x:comment>
    <x:comment ref="E74" authorId="0">
      <x:text>
        <x:r>
          <x:t>Reverse Terminal g. Formula: =IF(G73&lt;$E$9,E73,F73)
Review selected-case observations and Model Guide for definitions and held assumptions.</x:t>
        </x:r>
      </x:text>
    </x:comment>
    <x:comment ref="F74" authorId="0">
      <x:text>
        <x:r>
          <x:t>Reverse Terminal g. Formula: =(D74+E74)/2
Review selected-case observations and Model Guide for definitions and held assumptions.</x:t>
        </x:r>
      </x:text>
    </x:comment>
    <x:comment ref="G74"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74))*('Terminal Value'!$E$10+(0))*(1-'Assumptions'!$E$15-(0))*(1-(F74)/('Terminal Value'!$E$12))/(('DCF'!$E$6)-(F74))/(1+('DCF'!$E$6))^'DCF'!$E$19)
Review selected-case observations and Model Guide for definitions and held assumptions.</x:t>
        </x:r>
      </x:text>
    </x:comment>
    <x:comment ref="H74" authorId="0">
      <x:text>
        <x:r>
          <x:t>Reverse Terminal g. Formula: =G74-$E$9
Review selected-case observations and Model Guide for definitions and held assumptions.</x:t>
        </x:r>
      </x:text>
    </x:comment>
    <x:comment ref="C75" authorId="0">
      <x:text>
        <x:r>
          <x:t>Reverse Terminal g. Editable source or analyst input.
Review selected-case observations and Model Guide for definitions and held assumptions.</x:t>
        </x:r>
      </x:text>
    </x:comment>
    <x:comment ref="D75" authorId="0">
      <x:text>
        <x:r>
          <x:t>Reverse Terminal g. Formula: =IF(G74&lt;$E$9,F74,D74)
Review selected-case observations and Model Guide for definitions and held assumptions.</x:t>
        </x:r>
      </x:text>
    </x:comment>
    <x:comment ref="E75" authorId="0">
      <x:text>
        <x:r>
          <x:t>Reverse Terminal g. Formula: =IF(G74&lt;$E$9,E74,F74)
Review selected-case observations and Model Guide for definitions and held assumptions.</x:t>
        </x:r>
      </x:text>
    </x:comment>
    <x:comment ref="F75" authorId="0">
      <x:text>
        <x:r>
          <x:t>Reverse Terminal g. Formula: =(D75+E75)/2
Review selected-case observations and Model Guide for definitions and held assumptions.</x:t>
        </x:r>
      </x:text>
    </x:comment>
    <x:comment ref="G75"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75))*('Terminal Value'!$E$10+(0))*(1-'Assumptions'!$E$15-(0))*(1-(F75)/('Terminal Value'!$E$12))/(('DCF'!$E$6)-(F75))/(1+('DCF'!$E$6))^'DCF'!$E$19)
Review selected-case observations and Model Guide for definitions and held assumptions.</x:t>
        </x:r>
      </x:text>
    </x:comment>
    <x:comment ref="H75" authorId="0">
      <x:text>
        <x:r>
          <x:t>Reverse Terminal g. Formula: =G75-$E$9
Review selected-case observations and Model Guide for definitions and held assumptions.</x:t>
        </x:r>
      </x:text>
    </x:comment>
    <x:comment ref="C76" authorId="0">
      <x:text>
        <x:r>
          <x:t>Reverse Terminal g. Editable source or analyst input.
Review selected-case observations and Model Guide for definitions and held assumptions.</x:t>
        </x:r>
      </x:text>
    </x:comment>
    <x:comment ref="D76" authorId="0">
      <x:text>
        <x:r>
          <x:t>Reverse Terminal g. Formula: =IF(G75&lt;$E$9,F75,D75)
Review selected-case observations and Model Guide for definitions and held assumptions.</x:t>
        </x:r>
      </x:text>
    </x:comment>
    <x:comment ref="E76" authorId="0">
      <x:text>
        <x:r>
          <x:t>Reverse Terminal g. Formula: =IF(G75&lt;$E$9,E75,F75)
Review selected-case observations and Model Guide for definitions and held assumptions.</x:t>
        </x:r>
      </x:text>
    </x:comment>
    <x:comment ref="F76" authorId="0">
      <x:text>
        <x:r>
          <x:t>Reverse Terminal g. Formula: =(D76+E76)/2
Review selected-case observations and Model Guide for definitions and held assumptions.</x:t>
        </x:r>
      </x:text>
    </x:comment>
    <x:comment ref="G76"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76))*('Terminal Value'!$E$10+(0))*(1-'Assumptions'!$E$15-(0))*(1-(F76)/('Terminal Value'!$E$12))/(('DCF'!$E$6)-(F76))/(1+('DCF'!$E$6))^'DCF'!$E$19)
Review selected-case observations and Model Guide for definitions and held assumptions.</x:t>
        </x:r>
      </x:text>
    </x:comment>
    <x:comment ref="H76" authorId="0">
      <x:text>
        <x:r>
          <x:t>Reverse Terminal g. Formula: =G76-$E$9
Review selected-case observations and Model Guide for definitions and held assumptions.</x:t>
        </x:r>
      </x:text>
    </x:comment>
    <x:comment ref="C77" authorId="0">
      <x:text>
        <x:r>
          <x:t>Reverse Terminal g. Editable source or analyst input.
Review selected-case observations and Model Guide for definitions and held assumptions.</x:t>
        </x:r>
      </x:text>
    </x:comment>
    <x:comment ref="D77" authorId="0">
      <x:text>
        <x:r>
          <x:t>Reverse Terminal g. Formula: =IF(G76&lt;$E$9,F76,D76)
Review selected-case observations and Model Guide for definitions and held assumptions.</x:t>
        </x:r>
      </x:text>
    </x:comment>
    <x:comment ref="E77" authorId="0">
      <x:text>
        <x:r>
          <x:t>Reverse Terminal g. Formula: =IF(G76&lt;$E$9,E76,F76)
Review selected-case observations and Model Guide for definitions and held assumptions.</x:t>
        </x:r>
      </x:text>
    </x:comment>
    <x:comment ref="F77" authorId="0">
      <x:text>
        <x:r>
          <x:t>Reverse Terminal g. Formula: =(D77+E77)/2
Review selected-case observations and Model Guide for definitions and held assumptions.</x:t>
        </x:r>
      </x:text>
    </x:comment>
    <x:comment ref="G77"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77))*('Terminal Value'!$E$10+(0))*(1-'Assumptions'!$E$15-(0))*(1-(F77)/('Terminal Value'!$E$12))/(('DCF'!$E$6)-(F77))/(1+('DCF'!$E$6))^'DCF'!$E$19)
Review selected-case observations and Model Guide for definitions and held assumptions.</x:t>
        </x:r>
      </x:text>
    </x:comment>
    <x:comment ref="H77" authorId="0">
      <x:text>
        <x:r>
          <x:t>Reverse Terminal g. Formula: =G77-$E$9
Review selected-case observations and Model Guide for definitions and held assumptions.</x:t>
        </x:r>
      </x:text>
    </x:comment>
    <x:comment ref="C78" authorId="0">
      <x:text>
        <x:r>
          <x:t>Reverse Terminal g. Editable source or analyst input.
Review selected-case observations and Model Guide for definitions and held assumptions.</x:t>
        </x:r>
      </x:text>
    </x:comment>
    <x:comment ref="D78" authorId="0">
      <x:text>
        <x:r>
          <x:t>Reverse Terminal g. Formula: =IF(G77&lt;$E$9,F77,D77)
Review selected-case observations and Model Guide for definitions and held assumptions.</x:t>
        </x:r>
      </x:text>
    </x:comment>
    <x:comment ref="E78" authorId="0">
      <x:text>
        <x:r>
          <x:t>Reverse Terminal g. Formula: =IF(G77&lt;$E$9,E77,F77)
Review selected-case observations and Model Guide for definitions and held assumptions.</x:t>
        </x:r>
      </x:text>
    </x:comment>
    <x:comment ref="F78" authorId="0">
      <x:text>
        <x:r>
          <x:t>Reverse Terminal g. Formula: =(D78+E78)/2
Review selected-case observations and Model Guide for definitions and held assumptions.</x:t>
        </x:r>
      </x:text>
    </x:comment>
    <x:comment ref="G78"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78))*('Terminal Value'!$E$10+(0))*(1-'Assumptions'!$E$15-(0))*(1-(F78)/('Terminal Value'!$E$12))/(('DCF'!$E$6)-(F78))/(1+('DCF'!$E$6))^'DCF'!$E$19)
Review selected-case observations and Model Guide for definitions and held assumptions.</x:t>
        </x:r>
      </x:text>
    </x:comment>
    <x:comment ref="H78" authorId="0">
      <x:text>
        <x:r>
          <x:t>Reverse Terminal g. Formula: =G78-$E$9
Review selected-case observations and Model Guide for definitions and held assumptions.</x:t>
        </x:r>
      </x:text>
    </x:comment>
    <x:comment ref="C79" authorId="0">
      <x:text>
        <x:r>
          <x:t>Reverse Terminal g. Editable source or analyst input.
Review selected-case observations and Model Guide for definitions and held assumptions.</x:t>
        </x:r>
      </x:text>
    </x:comment>
    <x:comment ref="D79" authorId="0">
      <x:text>
        <x:r>
          <x:t>Reverse Terminal g. Formula: =IF(G78&lt;$E$9,F78,D78)
Review selected-case observations and Model Guide for definitions and held assumptions.</x:t>
        </x:r>
      </x:text>
    </x:comment>
    <x:comment ref="E79" authorId="0">
      <x:text>
        <x:r>
          <x:t>Reverse Terminal g. Formula: =IF(G78&lt;$E$9,E78,F78)
Review selected-case observations and Model Guide for definitions and held assumptions.</x:t>
        </x:r>
      </x:text>
    </x:comment>
    <x:comment ref="F79" authorId="0">
      <x:text>
        <x:r>
          <x:t>Reverse Terminal g. Formula: =(D79+E79)/2
Review selected-case observations and Model Guide for definitions and held assumptions.</x:t>
        </x:r>
      </x:text>
    </x:comment>
    <x:comment ref="G79"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79))*('Terminal Value'!$E$10+(0))*(1-'Assumptions'!$E$15-(0))*(1-(F79)/('Terminal Value'!$E$12))/(('DCF'!$E$6)-(F79))/(1+('DCF'!$E$6))^'DCF'!$E$19)
Review selected-case observations and Model Guide for definitions and held assumptions.</x:t>
        </x:r>
      </x:text>
    </x:comment>
    <x:comment ref="H79" authorId="0">
      <x:text>
        <x:r>
          <x:t>Reverse Terminal g. Formula: =G79-$E$9
Review selected-case observations and Model Guide for definitions and held assumptions.</x:t>
        </x:r>
      </x:text>
    </x:comment>
    <x:comment ref="C80" authorId="0">
      <x:text>
        <x:r>
          <x:t>Reverse Terminal g. Editable source or analyst input.
Review selected-case observations and Model Guide for definitions and held assumptions.</x:t>
        </x:r>
      </x:text>
    </x:comment>
    <x:comment ref="D80" authorId="0">
      <x:text>
        <x:r>
          <x:t>Reverse Terminal g. Formula: =IF(G79&lt;$E$9,F79,D79)
Review selected-case observations and Model Guide for definitions and held assumptions.</x:t>
        </x:r>
      </x:text>
    </x:comment>
    <x:comment ref="E80" authorId="0">
      <x:text>
        <x:r>
          <x:t>Reverse Terminal g. Formula: =IF(G79&lt;$E$9,E79,F79)
Review selected-case observations and Model Guide for definitions and held assumptions.</x:t>
        </x:r>
      </x:text>
    </x:comment>
    <x:comment ref="F80" authorId="0">
      <x:text>
        <x:r>
          <x:t>Reverse Terminal g. Formula: =(D80+E80)/2
Review selected-case observations and Model Guide for definitions and held assumptions.</x:t>
        </x:r>
      </x:text>
    </x:comment>
    <x:comment ref="G80"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80))*('Terminal Value'!$E$10+(0))*(1-'Assumptions'!$E$15-(0))*(1-(F80)/('Terminal Value'!$E$12))/(('DCF'!$E$6)-(F80))/(1+('DCF'!$E$6))^'DCF'!$E$19)
Review selected-case observations and Model Guide for definitions and held assumptions.</x:t>
        </x:r>
      </x:text>
    </x:comment>
    <x:comment ref="H80" authorId="0">
      <x:text>
        <x:r>
          <x:t>Reverse Terminal g. Formula: =G80-$E$9
Review selected-case observations and Model Guide for definitions and held assumptions.</x:t>
        </x:r>
      </x:text>
    </x:comment>
    <x:comment ref="C81" authorId="0">
      <x:text>
        <x:r>
          <x:t>Reverse Terminal g. Editable source or analyst input.
Review selected-case observations and Model Guide for definitions and held assumptions.</x:t>
        </x:r>
      </x:text>
    </x:comment>
    <x:comment ref="D81" authorId="0">
      <x:text>
        <x:r>
          <x:t>Reverse Terminal g. Formula: =IF(G80&lt;$E$9,F80,D80)
Review selected-case observations and Model Guide for definitions and held assumptions.</x:t>
        </x:r>
      </x:text>
    </x:comment>
    <x:comment ref="E81" authorId="0">
      <x:text>
        <x:r>
          <x:t>Reverse Terminal g. Formula: =IF(G80&lt;$E$9,E80,F80)
Review selected-case observations and Model Guide for definitions and held assumptions.</x:t>
        </x:r>
      </x:text>
    </x:comment>
    <x:comment ref="F81" authorId="0">
      <x:text>
        <x:r>
          <x:t>Reverse Terminal g. Formula: =(D81+E81)/2
Review selected-case observations and Model Guide for definitions and held assumptions.</x:t>
        </x:r>
      </x:text>
    </x:comment>
    <x:comment ref="G81"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81))*('Terminal Value'!$E$10+(0))*(1-'Assumptions'!$E$15-(0))*(1-(F81)/('Terminal Value'!$E$12))/(('DCF'!$E$6)-(F81))/(1+('DCF'!$E$6))^'DCF'!$E$19)
Review selected-case observations and Model Guide for definitions and held assumptions.</x:t>
        </x:r>
      </x:text>
    </x:comment>
    <x:comment ref="H81" authorId="0">
      <x:text>
        <x:r>
          <x:t>Reverse Terminal g. Formula: =G81-$E$9
Review selected-case observations and Model Guide for definitions and held assumptions.</x:t>
        </x:r>
      </x:text>
    </x:comment>
    <x:comment ref="E18" authorId="0">
      <x:text>
        <x:r>
          <x:t>Reverse Terminal g. Formula: =G81-E9
Review selected-case observations and Model Guide for definitions and held assumptions.</x:t>
        </x:r>
      </x:text>
    </x:comment>
    <x:comment ref="C87" authorId="0">
      <x:text>
        <x:r>
          <x:t>Reverse Terminal g. Formula: =$E$16+($E$17-$E$16)*0/8
Review selected-case observations and Model Guide for definitions and held assumptions.</x:t>
        </x:r>
      </x:text>
    </x:comment>
    <x:comment ref="D87"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87))*('Terminal Value'!$E$10+(0))*(1-'Assumptions'!$E$15-(0))*(1-(C87)/('Terminal Value'!$E$12))/(('DCF'!$E$6)-(C87))/(1+('DCF'!$E$6))^'DCF'!$E$19)+'Equity Bridge'!$E$17)/'Equity Bridge'!$E$20
Review selected-case observations and Model Guide for definitions and held assumptions.</x:t>
        </x:r>
      </x:text>
    </x:comment>
    <x:comment ref="C88" authorId="0">
      <x:text>
        <x:r>
          <x:t>Reverse Terminal g. Formula: =$E$16+($E$17-$E$16)*1/8
Review selected-case observations and Model Guide for definitions and held assumptions.</x:t>
        </x:r>
      </x:text>
    </x:comment>
    <x:comment ref="D88"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88))*('Terminal Value'!$E$10+(0))*(1-'Assumptions'!$E$15-(0))*(1-(C88)/('Terminal Value'!$E$12))/(('DCF'!$E$6)-(C88))/(1+('DCF'!$E$6))^'DCF'!$E$19)+'Equity Bridge'!$E$17)/'Equity Bridge'!$E$20
Review selected-case observations and Model Guide for definitions and held assumptions.</x:t>
        </x:r>
      </x:text>
    </x:comment>
    <x:comment ref="C89" authorId="0">
      <x:text>
        <x:r>
          <x:t>Reverse Terminal g. Formula: =$E$16+($E$17-$E$16)*2/8
Review selected-case observations and Model Guide for definitions and held assumptions.</x:t>
        </x:r>
      </x:text>
    </x:comment>
    <x:comment ref="D89"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89))*('Terminal Value'!$E$10+(0))*(1-'Assumptions'!$E$15-(0))*(1-(C89)/('Terminal Value'!$E$12))/(('DCF'!$E$6)-(C89))/(1+('DCF'!$E$6))^'DCF'!$E$19)+'Equity Bridge'!$E$17)/'Equity Bridge'!$E$20
Review selected-case observations and Model Guide for definitions and held assumptions.</x:t>
        </x:r>
      </x:text>
    </x:comment>
    <x:comment ref="C90" authorId="0">
      <x:text>
        <x:r>
          <x:t>Reverse Terminal g. Formula: =$E$16+($E$17-$E$16)*3/8
Review selected-case observations and Model Guide for definitions and held assumptions.</x:t>
        </x:r>
      </x:text>
    </x:comment>
    <x:comment ref="D90"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90))*('Terminal Value'!$E$10+(0))*(1-'Assumptions'!$E$15-(0))*(1-(C90)/('Terminal Value'!$E$12))/(('DCF'!$E$6)-(C90))/(1+('DCF'!$E$6))^'DCF'!$E$19)+'Equity Bridge'!$E$17)/'Equity Bridge'!$E$20
Review selected-case observations and Model Guide for definitions and held assumptions.</x:t>
        </x:r>
      </x:text>
    </x:comment>
    <x:comment ref="C91" authorId="0">
      <x:text>
        <x:r>
          <x:t>Reverse Terminal g. Formula: =$E$16+($E$17-$E$16)*4/8
Review selected-case observations and Model Guide for definitions and held assumptions.</x:t>
        </x:r>
      </x:text>
    </x:comment>
    <x:comment ref="D91"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91))*('Terminal Value'!$E$10+(0))*(1-'Assumptions'!$E$15-(0))*(1-(C91)/('Terminal Value'!$E$12))/(('DCF'!$E$6)-(C91))/(1+('DCF'!$E$6))^'DCF'!$E$19)+'Equity Bridge'!$E$17)/'Equity Bridge'!$E$20
Review selected-case observations and Model Guide for definitions and held assumptions.</x:t>
        </x:r>
      </x:text>
    </x:comment>
    <x:comment ref="C92" authorId="0">
      <x:text>
        <x:r>
          <x:t>Reverse Terminal g. Formula: =$E$16+($E$17-$E$16)*5/8
Review selected-case observations and Model Guide for definitions and held assumptions.</x:t>
        </x:r>
      </x:text>
    </x:comment>
    <x:comment ref="D92"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92))*('Terminal Value'!$E$10+(0))*(1-'Assumptions'!$E$15-(0))*(1-(C92)/('Terminal Value'!$E$12))/(('DCF'!$E$6)-(C92))/(1+('DCF'!$E$6))^'DCF'!$E$19)+'Equity Bridge'!$E$17)/'Equity Bridge'!$E$20
Review selected-case observations and Model Guide for definitions and held assumptions.</x:t>
        </x:r>
      </x:text>
    </x:comment>
    <x:comment ref="C93" authorId="0">
      <x:text>
        <x:r>
          <x:t>Reverse Terminal g. Formula: =$E$16+($E$17-$E$16)*6/8
Review selected-case observations and Model Guide for definitions and held assumptions.</x:t>
        </x:r>
      </x:text>
    </x:comment>
    <x:comment ref="D93"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93))*('Terminal Value'!$E$10+(0))*(1-'Assumptions'!$E$15-(0))*(1-(C93)/('Terminal Value'!$E$12))/(('DCF'!$E$6)-(C93))/(1+('DCF'!$E$6))^'DCF'!$E$19)+'Equity Bridge'!$E$17)/'Equity Bridge'!$E$20
Review selected-case observations and Model Guide for definitions and held assumptions.</x:t>
        </x:r>
      </x:text>
    </x:comment>
    <x:comment ref="C94" authorId="0">
      <x:text>
        <x:r>
          <x:t>Reverse Terminal g. Formula: =$E$16+($E$17-$E$16)*7/8
Review selected-case observations and Model Guide for definitions and held assumptions.</x:t>
        </x:r>
      </x:text>
    </x:comment>
    <x:comment ref="D94"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94))*('Terminal Value'!$E$10+(0))*(1-'Assumptions'!$E$15-(0))*(1-(C94)/('Terminal Value'!$E$12))/(('DCF'!$E$6)-(C94))/(1+('DCF'!$E$6))^'DCF'!$E$19)+'Equity Bridge'!$E$17)/'Equity Bridge'!$E$20
Review selected-case observations and Model Guide for definitions and held assumptions.</x:t>
        </x:r>
      </x:text>
    </x:comment>
    <x:comment ref="C95" authorId="0">
      <x:text>
        <x:r>
          <x:t>Reverse Terminal g. Formula: =$E$16+($E$17-$E$16)*8/8
Review selected-case observations and Model Guide for definitions and held assumptions.</x:t>
        </x:r>
      </x:text>
    </x:comment>
    <x:comment ref="D95" authorId="0">
      <x:text>
        <x:r>
          <x:t>Reverse Terminal g.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95))*('Terminal Value'!$E$10+(0))*(1-'Assumptions'!$E$15-(0))*(1-(C95)/('Terminal Value'!$E$12))/(('DCF'!$E$6)-(C95))/(1+('DCF'!$E$6))^'DCF'!$E$19)+'Equity Bridge'!$E$17)/'Equity Bridge'!$E$20
Review selected-case observations and Model Guide for definitions and held assumptions.</x:t>
        </x:r>
      </x:text>
    </x:comment>
  </x:commentList>
</x:comments>
</file>

<file path=xl/comments20.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C11" authorId="0">
      <x:text>
        <x:r>
          <x:t>Required PV of terminal cash flow</x:t>
        </x:r>
      </x:text>
    </x:comment>
    <x:comment ref="C12" authorId="0">
      <x:text>
        <x:r>
          <x:t>ROIC if finite positive solution</x:t>
        </x:r>
      </x:text>
    </x:comment>
    <x:comment ref="C14" authorId="0">
      <x:text>
        <x:r>
          <x:t>Economic interpretation</x:t>
        </x:r>
      </x:text>
    </x:comment>
    <x:comment ref="C16" authorId="0">
      <x:text>
        <x:r>
          <x:t>PV if stable reinvestment tends to zero</x:t>
        </x:r>
      </x:text>
    </x:comment>
    <x:comment ref="C17" authorId="0">
      <x:text>
        <x:r>
          <x:t>Maximum price as ROIC tends to infinity</x:t>
        </x:r>
      </x:text>
    </x:comment>
    <x:comment ref="C18" authorId="0">
      <x:text>
        <x:r>
          <x:t>Remaining price gap at that ceiling</x:t>
        </x:r>
      </x:text>
    </x:comment>
    <x:comment ref="E4" authorId="0">
      <x:text>
        <x:r>
          <x:t>Reverse ROIC. Formula: =CHOOSE('DCF'!$E$5,"Base","Upside","Downside")
Review selected-case observations and Model Guide for definitions and held assumptions.</x:t>
        </x:r>
      </x:text>
    </x:comment>
    <x:comment ref="E8" authorId="0">
      <x:text>
        <x:r>
          <x:t>Reverse ROIC. Formula: ='DCF'!E24
Review selected-case observations and Model Guide for definitions and held assumptions.</x:t>
        </x:r>
      </x:text>
    </x:comment>
    <x:comment ref="E9" authorId="0">
      <x:text>
        <x:r>
          <x:t>Reverse ROIC. Formula: ='DCF'!E32
Review selected-case observations and Model Guide for definitions and held assumptions.</x:t>
        </x:r>
      </x:text>
    </x:comment>
    <x:comment ref="E11" authorId="0">
      <x:text>
        <x:r>
          <x:t>Reverse ROIC. Formula: =E9-'DCF'!E18
Review selected-case observations and Model Guide for definitions and held assumptions.</x:t>
        </x:r>
      </x:text>
    </x:comment>
    <x:comment ref="E12" authorId="0">
      <x:text>
        <x:r>
          <x:t>Reverse ROIC. Formula: =IF(1-E11/E16&gt;0,'DCF'!E7/(1-E11/E16),"No finite positive ROIC")
Review selected-case observations and Model Guide for definitions and held assumptions.</x:t>
        </x:r>
      </x:text>
    </x:comment>
    <x:comment ref="E14" authorId="0">
      <x:text>
        <x:r>
          <x:t>Reverse ROIC. Formula: =IF(ISNUMBER(E12),"Check business ROIC assumption","ROIC alone cannot reach price")
Review selected-case observations and Model Guide for definitions and held assumptions.</x:t>
        </x:r>
      </x:text>
    </x:comment>
    <x:comment ref="E16" authorId="0">
      <x:text>
        <x:r>
          <x:t>Reverse ROIC. Formula: ='Terminal Value'!E13/('DCF'!E6-'DCF'!E7)/'DCF'!E20
Review selected-case observations and Model Guide for definitions and held assumptions.</x:t>
        </x:r>
      </x:text>
    </x:comment>
    <x:comment ref="E17" authorId="0">
      <x:text>
        <x:r>
          <x:t>Reverse ROIC. Formula: =('DCF'!E18+E16+'Equity Bridge'!E17)/'Equity Bridge'!E20
Review selected-case observations and Model Guide for definitions and held assumptions.</x:t>
        </x:r>
      </x:text>
    </x:comment>
    <x:comment ref="E18" authorId="0">
      <x:text>
        <x:r>
          <x:t>Reverse ROIC. Formula: ='Market Inputs'!E9-E17
Review selected-case observations and Model Guide for definitions and held assumptions.</x:t>
        </x:r>
      </x:text>
    </x:comment>
    <x:comment ref="C23" authorId="0">
      <x:text>
        <x:r>
          <x:t>Reverse ROIC. Editable source or analyst input.
Review selected-case observations and Model Guide for definitions and held assumptions.</x:t>
        </x:r>
      </x:text>
    </x:comment>
    <x:comment ref="D23"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Value'!$E$10+(0))*(1-'Assumptions'!$E$15-(0))*(1-('DCF'!$E$7)/(C23))/(('DCF'!$E$6)-('DCF'!$E$7))/(1+('DCF'!$E$6))^'DCF'!$E$19)+'Equity Bridge'!$E$17)/'Equity Bridge'!$E$20
Review selected-case observations and Model Guide for definitions and held assumptions.</x:t>
        </x:r>
      </x:text>
    </x:comment>
    <x:comment ref="C24" authorId="0">
      <x:text>
        <x:r>
          <x:t>Reverse ROIC. Editable source or analyst input.
Review selected-case observations and Model Guide for definitions and held assumptions.</x:t>
        </x:r>
      </x:text>
    </x:comment>
    <x:comment ref="D24"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Value'!$E$10+(0))*(1-'Assumptions'!$E$15-(0))*(1-('DCF'!$E$7)/(C24))/(('DCF'!$E$6)-('DCF'!$E$7))/(1+('DCF'!$E$6))^'DCF'!$E$19)+'Equity Bridge'!$E$17)/'Equity Bridge'!$E$20
Review selected-case observations and Model Guide for definitions and held assumptions.</x:t>
        </x:r>
      </x:text>
    </x:comment>
    <x:comment ref="C25" authorId="0">
      <x:text>
        <x:r>
          <x:t>Reverse ROIC. Editable source or analyst input.
Review selected-case observations and Model Guide for definitions and held assumptions.</x:t>
        </x:r>
      </x:text>
    </x:comment>
    <x:comment ref="D25"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Value'!$E$10+(0))*(1-'Assumptions'!$E$15-(0))*(1-('DCF'!$E$7)/(C25))/(('DCF'!$E$6)-('DCF'!$E$7))/(1+('DCF'!$E$6))^'DCF'!$E$19)+'Equity Bridge'!$E$17)/'Equity Bridge'!$E$20
Review selected-case observations and Model Guide for definitions and held assumptions.</x:t>
        </x:r>
      </x:text>
    </x:comment>
    <x:comment ref="C26" authorId="0">
      <x:text>
        <x:r>
          <x:t>Reverse ROIC. Editable source or analyst input.
Review selected-case observations and Model Guide for definitions and held assumptions.</x:t>
        </x:r>
      </x:text>
    </x:comment>
    <x:comment ref="D26"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Value'!$E$10+(0))*(1-'Assumptions'!$E$15-(0))*(1-('DCF'!$E$7)/(C26))/(('DCF'!$E$6)-('DCF'!$E$7))/(1+('DCF'!$E$6))^'DCF'!$E$19)+'Equity Bridge'!$E$17)/'Equity Bridge'!$E$20
Review selected-case observations and Model Guide for definitions and held assumptions.</x:t>
        </x:r>
      </x:text>
    </x:comment>
    <x:comment ref="C27" authorId="0">
      <x:text>
        <x:r>
          <x:t>Reverse ROIC. Editable source or analyst input.
Review selected-case observations and Model Guide for definitions and held assumptions.</x:t>
        </x:r>
      </x:text>
    </x:comment>
    <x:comment ref="D27"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Value'!$E$10+(0))*(1-'Assumptions'!$E$15-(0))*(1-('DCF'!$E$7)/(C27))/(('DCF'!$E$6)-('DCF'!$E$7))/(1+('DCF'!$E$6))^'DCF'!$E$19)+'Equity Bridge'!$E$17)/'Equity Bridge'!$E$20
Review selected-case observations and Model Guide for definitions and held assumptions.</x:t>
        </x:r>
      </x:text>
    </x:comment>
    <x:comment ref="C28" authorId="0">
      <x:text>
        <x:r>
          <x:t>Reverse ROIC. Editable source or analyst input.
Review selected-case observations and Model Guide for definitions and held assumptions.</x:t>
        </x:r>
      </x:text>
    </x:comment>
    <x:comment ref="D28"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Value'!$E$10+(0))*(1-'Assumptions'!$E$15-(0))*(1-('DCF'!$E$7)/(C28))/(('DCF'!$E$6)-('DCF'!$E$7))/(1+('DCF'!$E$6))^'DCF'!$E$19)+'Equity Bridge'!$E$17)/'Equity Bridge'!$E$20
Review selected-case observations and Model Guide for definitions and held assumptions.</x:t>
        </x:r>
      </x:text>
    </x:comment>
    <x:comment ref="C29" authorId="0">
      <x:text>
        <x:r>
          <x:t>Reverse ROIC. Editable source or analyst input.
Review selected-case observations and Model Guide for definitions and held assumptions.</x:t>
        </x:r>
      </x:text>
    </x:comment>
    <x:comment ref="D29"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Value'!$E$10+(0))*(1-'Assumptions'!$E$15-(0))*(1-('DCF'!$E$7)/(C29))/(('DCF'!$E$6)-('DCF'!$E$7))/(1+('DCF'!$E$6))^'DCF'!$E$19)+'Equity Bridge'!$E$17)/'Equity Bridge'!$E$20
Review selected-case observations and Model Guide for definitions and held assumptions.</x:t>
        </x:r>
      </x:text>
    </x:comment>
    <x:comment ref="C30" authorId="0">
      <x:text>
        <x:r>
          <x:t>Reverse ROIC. Editable source or analyst input.
Review selected-case observations and Model Guide for definitions and held assumptions.</x:t>
        </x:r>
      </x:text>
    </x:comment>
    <x:comment ref="D30"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Value'!$E$10+(0))*(1-'Assumptions'!$E$15-(0))*(1-('DCF'!$E$7)/(C30))/(('DCF'!$E$6)-('DCF'!$E$7))/(1+('DCF'!$E$6))^'DCF'!$E$19)+'Equity Bridge'!$E$17)/'Equity Bridge'!$E$20
Review selected-case observations and Model Guide for definitions and held assumptions.</x:t>
        </x:r>
      </x:text>
    </x:comment>
    <x:comment ref="C31" authorId="0">
      <x:text>
        <x:r>
          <x:t>Reverse ROIC. Editable source or analyst input.
Review selected-case observations and Model Guide for definitions and held assumptions.</x:t>
        </x:r>
      </x:text>
    </x:comment>
    <x:comment ref="D31" authorId="0">
      <x:text>
        <x:r>
          <x:t>Reverse ROIC. Formula: =((SUM((('Forecast'!E12)*(('Assumptions'!E37+(0))*(1-'Assumptions'!E42-(0))+'Assumptions'!E47-'Assumptions'!E52*(1)+'Assumptions'!E57-'Assumptions'!E62*(1)-'Assumptions'!E67-(0))+('Working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Value'!$E$10+(0))*(1-'Assumptions'!$E$15-(0))*(1-('DCF'!$E$7)/(C31))/(('DCF'!$E$6)-('DCF'!$E$7))/(1+('DCF'!$E$6))^'DCF'!$E$19)+'Equity Bridge'!$E$17)/'Equity Bridge'!$E$20
Review selected-case observations and Model Guide for definitions and held assumptions.</x:t>
        </x:r>
      </x:text>
    </x:comment>
    <x:comment ref="C36" authorId="0">
      <x:text>
        <x:r>
          <x:t>Reverse ROIC. Formula: ="The no-reinvestment price ceiling is USD "&amp;ROUND(E17,2)&amp;" with a remaining gap USD "&amp;ROUND(E18,2)&amp;". "&amp;"Higher ROIC reduces investment needed for the same stable growth, increasing stable cash flow. With positive NOPAT, cash flow cannot exceed NOPAT as ROIC tends to infinity."
Review selected-case observations and Model Guide for definitions and held assumptions.</x:t>
        </x:r>
      </x:text>
    </x:comment>
  </x:commentList>
</x:comments>
</file>

<file path=xl/comments21.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C11" authorId="0">
      <x:text>
        <x:r>
          <x:t>Value slope per unit driver</x:t>
        </x:r>
      </x:text>
    </x:comment>
    <x:comment ref="C12" authorId="0">
      <x:text>
        <x:r>
          <x:t>Required operating tax rate shift</x:t>
        </x:r>
      </x:text>
    </x:comment>
    <x:comment ref="E14" authorId="0">
      <x:text>
        <x:r>
          <x:t>Economic interpretation. All explicit operating tax rates and the stable tax rate shift together. The WACC debt tax shield stays fixed to isolate operating taxation. Negative ongoing tax rates are not accepted as a sustainable base case.
Excel formula: =IF(AND(MIN('Forecast'!E16:I16)+E12&gt;=0,MAX('Forecast'!E16:I16)+E12&lt;=0.50,'Assumptions'!E15+E12&gt;=0,'Assumptions'!E15+E12&lt;=0.50),"Inside 0% to 50% tax band","Outside tax band")</x:t>
        </x:r>
      </x:text>
    </x:comment>
    <x:comment ref="C14" authorId="0">
      <x:text>
        <x:r>
          <x:t>All explicit operating tax rates and the stable tax rate shift together. The WACC debt tax shield stays fixed to isolate operating taxation. Negative ongoing tax rates are not accepted as a sustainable base case.</x:t>
        </x:r>
      </x:text>
    </x:comment>
    <x:comment ref="C16" authorId="0">
      <x:text>
        <x:r>
          <x:t>Solved enterprise value</x:t>
        </x:r>
      </x:text>
    </x:comment>
    <x:comment ref="C17" authorId="0">
      <x:text>
        <x:r>
          <x:t>Valuation residual</x:t>
        </x:r>
      </x:text>
    </x:comment>
    <x:comment ref="C19" authorId="0">
      <x:text>
        <x:r>
          <x:t>Required stable tax rate</x:t>
        </x:r>
      </x:text>
    </x:comment>
    <x:comment ref="E4" authorId="0">
      <x:text>
        <x:r>
          <x:t>Reverse Tax. Formula: =CHOOSE('DCF'!$E$5,"Base","Upside","Downside")
Review selected-case observations and Model Guide for definitions and held assumptions.</x:t>
        </x:r>
      </x:text>
    </x:comment>
    <x:comment ref="E8" authorId="0">
      <x:text>
        <x:r>
          <x:t>Reverse Tax. Formula: ='DCF'!E24
Review selected-case observations and Model Guide for definitions and held assumptions.</x:t>
        </x:r>
      </x:text>
    </x:comment>
    <x:comment ref="E9" authorId="0">
      <x:text>
        <x:r>
          <x:t>Reverse Tax. Formula: ='DCF'!E32
Review selected-case observations and Model Guide for definitions and held assumptions.</x:t>
        </x:r>
      </x:text>
    </x:comment>
    <x:comment ref="E11" authorId="0">
      <x:text>
        <x:r>
          <x:t>Reverse Tax. Formula: =-SUM('Forecast'!E15*'DCF'!E12/'DCF'!E14,'Forecast'!F15*'DCF'!F12/'DCF'!F14,'Forecast'!G15*'DCF'!G12/'DCF'!G14,'Forecast'!H15*'DCF'!H12/'DCF'!H14,'Forecast'!I15*'DCF'!I12/'DCF'!I14,'Terminal Value'!E8*(1+'DCF'!E7)*'Terminal Value'!E10*(1-'DCF'!E7/'Terminal Value'!E12)/('DCF'!E6-'DCF'!E7)/'DCF'!E20)
Review selected-case observations and Model Guide for definitions and held assumptions.</x:t>
        </x:r>
      </x:text>
    </x:comment>
    <x:comment ref="E12" authorId="0">
      <x:text>
        <x:r>
          <x:t>Reverse Tax. Formula: =0+E10/E11
Review selected-case observations and Model Guide for definitions and held assumptions.</x:t>
        </x:r>
      </x:text>
    </x:comment>
    <x:comment ref="E16" authorId="0">
      <x:text>
        <x:r>
          <x:t>Reverse Tax. Formula: =E8+(E12-(0))*E11
Review selected-case observations and Model Guide for definitions and held assumptions.</x:t>
        </x:r>
      </x:text>
    </x:comment>
    <x:comment ref="E17" authorId="0">
      <x:text>
        <x:r>
          <x:t>Reverse Tax. Formula: =E16-E9
Review selected-case observations and Model Guide for definitions and held assumptions.</x:t>
        </x:r>
      </x:text>
    </x:comment>
    <x:comment ref="C22" authorId="0">
      <x:text>
        <x:r>
          <x:t>Reverse Tax. Editable source or analyst input.
Review selected-case observations and Model Guide for definitions and held assumptions.</x:t>
        </x:r>
      </x:text>
    </x:comment>
    <x:comment ref="D22" authorId="0">
      <x:text>
        <x:r>
          <x:t>Reverse Tax. Formula: =((SUM((('Forecast'!E12)*(('Assumptions'!E37+(0))*(1-'Assumptions'!E42-(C22))+'Assumptions'!E47-'Assumptions'!E52*(1)+'Assumptions'!E57-'Assumptions'!E62*(1)-'Assumptions'!E67-(0))+('Working Capital'!$E$6))*'DCF'!E12/(1+('DCF'!$E$6))^'DCF'!E13,(('Forecast'!F12)*(('Assumptions'!F37+(0))*(1-'Assumptions'!F42-(C22))+'Assumptions'!F47-'Assumptions'!F52*(1)+'Assumptions'!F57-'Assumptions'!F62*(1)-'Assumptions'!F67-(0))+(('Forecast'!E12)*('Assumptions'!E67+(0))))*'DCF'!F12/(1+('DCF'!$E$6))^'DCF'!F13,(('Forecast'!G12)*(('Assumptions'!G37+(0))*(1-'Assumptions'!G42-(C22))+'Assumptions'!G47-'Assumptions'!G52*(1)+'Assumptions'!G57-'Assumptions'!G62*(1)-'Assumptions'!G67-(0))+(('Forecast'!F12)*('Assumptions'!F67+(0))))*'DCF'!G12/(1+('DCF'!$E$6))^'DCF'!G13,(('Forecast'!H12)*(('Assumptions'!H37+(0))*(1-'Assumptions'!H42-(C22))+'Assumptions'!H47-'Assumptions'!H52*(1)+'Assumptions'!H57-'Assumptions'!H62*(1)-'Assumptions'!H67-(0))+(('Forecast'!G12)*('Assumptions'!G67+(0))))*'DCF'!H12/(1+('DCF'!$E$6))^'DCF'!H13,(('Forecast'!I12)*(('Assumptions'!I37+(0))*(1-'Assumptions'!I42-(C22))+'Assumptions'!I47-'Assumptions'!I52*(1)+'Assumptions'!I57-'Assumptions'!I62*(1)-'Assumptions'!I67-(0))+(('Forecast'!H12)*('Assumptions'!H67+(0))))*'DCF'!I12/(1+('DCF'!$E$6))^'DCF'!I13)+('Forecast'!I12)*(1+('DCF'!$E$7))*('Terminal Value'!$E$10+(0))*(1-'Assumptions'!$E$15-(C22))*(1-('DCF'!$E$7)/('Terminal Value'!$E$12))/(('DCF'!$E$6)-('DCF'!$E$7))/(1+('DCF'!$E$6))^'DCF'!$E$19)+'Equity Bridge'!$E$17)/'Equity Bridge'!$E$20
Review selected-case observations and Model Guide for definitions and held assumptions.</x:t>
        </x:r>
      </x:text>
    </x:comment>
    <x:comment ref="C23" authorId="0">
      <x:text>
        <x:r>
          <x:t>Reverse Tax. Editable source or analyst input.
Review selected-case observations and Model Guide for definitions and held assumptions.</x:t>
        </x:r>
      </x:text>
    </x:comment>
    <x:comment ref="D23" authorId="0">
      <x:text>
        <x:r>
          <x:t>Reverse Tax. Formula: =((SUM((('Forecast'!E12)*(('Assumptions'!E37+(0))*(1-'Assumptions'!E42-(C23))+'Assumptions'!E47-'Assumptions'!E52*(1)+'Assumptions'!E57-'Assumptions'!E62*(1)-'Assumptions'!E67-(0))+('Working Capital'!$E$6))*'DCF'!E12/(1+('DCF'!$E$6))^'DCF'!E13,(('Forecast'!F12)*(('Assumptions'!F37+(0))*(1-'Assumptions'!F42-(C23))+'Assumptions'!F47-'Assumptions'!F52*(1)+'Assumptions'!F57-'Assumptions'!F62*(1)-'Assumptions'!F67-(0))+(('Forecast'!E12)*('Assumptions'!E67+(0))))*'DCF'!F12/(1+('DCF'!$E$6))^'DCF'!F13,(('Forecast'!G12)*(('Assumptions'!G37+(0))*(1-'Assumptions'!G42-(C23))+'Assumptions'!G47-'Assumptions'!G52*(1)+'Assumptions'!G57-'Assumptions'!G62*(1)-'Assumptions'!G67-(0))+(('Forecast'!F12)*('Assumptions'!F67+(0))))*'DCF'!G12/(1+('DCF'!$E$6))^'DCF'!G13,(('Forecast'!H12)*(('Assumptions'!H37+(0))*(1-'Assumptions'!H42-(C23))+'Assumptions'!H47-'Assumptions'!H52*(1)+'Assumptions'!H57-'Assumptions'!H62*(1)-'Assumptions'!H67-(0))+(('Forecast'!G12)*('Assumptions'!G67+(0))))*'DCF'!H12/(1+('DCF'!$E$6))^'DCF'!H13,(('Forecast'!I12)*(('Assumptions'!I37+(0))*(1-'Assumptions'!I42-(C23))+'Assumptions'!I47-'Assumptions'!I52*(1)+'Assumptions'!I57-'Assumptions'!I62*(1)-'Assumptions'!I67-(0))+(('Forecast'!H12)*('Assumptions'!H67+(0))))*'DCF'!I12/(1+('DCF'!$E$6))^'DCF'!I13)+('Forecast'!I12)*(1+('DCF'!$E$7))*('Terminal Value'!$E$10+(0))*(1-'Assumptions'!$E$15-(C23))*(1-('DCF'!$E$7)/('Terminal Value'!$E$12))/(('DCF'!$E$6)-('DCF'!$E$7))/(1+('DCF'!$E$6))^'DCF'!$E$19)+'Equity Bridge'!$E$17)/'Equity Bridge'!$E$20
Review selected-case observations and Model Guide for definitions and held assumptions.</x:t>
        </x:r>
      </x:text>
    </x:comment>
    <x:comment ref="C24" authorId="0">
      <x:text>
        <x:r>
          <x:t>Reverse Tax. Editable source or analyst input.
Review selected-case observations and Model Guide for definitions and held assumptions.</x:t>
        </x:r>
      </x:text>
    </x:comment>
    <x:comment ref="D24" authorId="0">
      <x:text>
        <x:r>
          <x:t>Reverse Tax. Formula: =((SUM((('Forecast'!E12)*(('Assumptions'!E37+(0))*(1-'Assumptions'!E42-(C24))+'Assumptions'!E47-'Assumptions'!E52*(1)+'Assumptions'!E57-'Assumptions'!E62*(1)-'Assumptions'!E67-(0))+('Working Capital'!$E$6))*'DCF'!E12/(1+('DCF'!$E$6))^'DCF'!E13,(('Forecast'!F12)*(('Assumptions'!F37+(0))*(1-'Assumptions'!F42-(C24))+'Assumptions'!F47-'Assumptions'!F52*(1)+'Assumptions'!F57-'Assumptions'!F62*(1)-'Assumptions'!F67-(0))+(('Forecast'!E12)*('Assumptions'!E67+(0))))*'DCF'!F12/(1+('DCF'!$E$6))^'DCF'!F13,(('Forecast'!G12)*(('Assumptions'!G37+(0))*(1-'Assumptions'!G42-(C24))+'Assumptions'!G47-'Assumptions'!G52*(1)+'Assumptions'!G57-'Assumptions'!G62*(1)-'Assumptions'!G67-(0))+(('Forecast'!F12)*('Assumptions'!F67+(0))))*'DCF'!G12/(1+('DCF'!$E$6))^'DCF'!G13,(('Forecast'!H12)*(('Assumptions'!H37+(0))*(1-'Assumptions'!H42-(C24))+'Assumptions'!H47-'Assumptions'!H52*(1)+'Assumptions'!H57-'Assumptions'!H62*(1)-'Assumptions'!H67-(0))+(('Forecast'!G12)*('Assumptions'!G67+(0))))*'DCF'!H12/(1+('DCF'!$E$6))^'DCF'!H13,(('Forecast'!I12)*(('Assumptions'!I37+(0))*(1-'Assumptions'!I42-(C24))+'Assumptions'!I47-'Assumptions'!I52*(1)+'Assumptions'!I57-'Assumptions'!I62*(1)-'Assumptions'!I67-(0))+(('Forecast'!H12)*('Assumptions'!H67+(0))))*'DCF'!I12/(1+('DCF'!$E$6))^'DCF'!I13)+('Forecast'!I12)*(1+('DCF'!$E$7))*('Terminal Value'!$E$10+(0))*(1-'Assumptions'!$E$15-(C24))*(1-('DCF'!$E$7)/('Terminal Value'!$E$12))/(('DCF'!$E$6)-('DCF'!$E$7))/(1+('DCF'!$E$6))^'DCF'!$E$19)+'Equity Bridge'!$E$17)/'Equity Bridge'!$E$20
Review selected-case observations and Model Guide for definitions and held assumptions.</x:t>
        </x:r>
      </x:text>
    </x:comment>
    <x:comment ref="C25" authorId="0">
      <x:text>
        <x:r>
          <x:t>Reverse Tax. Editable source or analyst input.
Review selected-case observations and Model Guide for definitions and held assumptions.</x:t>
        </x:r>
      </x:text>
    </x:comment>
    <x:comment ref="D25" authorId="0">
      <x:text>
        <x:r>
          <x:t>Reverse Tax. Formula: =((SUM((('Forecast'!E12)*(('Assumptions'!E37+(0))*(1-'Assumptions'!E42-(C25))+'Assumptions'!E47-'Assumptions'!E52*(1)+'Assumptions'!E57-'Assumptions'!E62*(1)-'Assumptions'!E67-(0))+('Working Capital'!$E$6))*'DCF'!E12/(1+('DCF'!$E$6))^'DCF'!E13,(('Forecast'!F12)*(('Assumptions'!F37+(0))*(1-'Assumptions'!F42-(C25))+'Assumptions'!F47-'Assumptions'!F52*(1)+'Assumptions'!F57-'Assumptions'!F62*(1)-'Assumptions'!F67-(0))+(('Forecast'!E12)*('Assumptions'!E67+(0))))*'DCF'!F12/(1+('DCF'!$E$6))^'DCF'!F13,(('Forecast'!G12)*(('Assumptions'!G37+(0))*(1-'Assumptions'!G42-(C25))+'Assumptions'!G47-'Assumptions'!G52*(1)+'Assumptions'!G57-'Assumptions'!G62*(1)-'Assumptions'!G67-(0))+(('Forecast'!F12)*('Assumptions'!F67+(0))))*'DCF'!G12/(1+('DCF'!$E$6))^'DCF'!G13,(('Forecast'!H12)*(('Assumptions'!H37+(0))*(1-'Assumptions'!H42-(C25))+'Assumptions'!H47-'Assumptions'!H52*(1)+'Assumptions'!H57-'Assumptions'!H62*(1)-'Assumptions'!H67-(0))+(('Forecast'!G12)*('Assumptions'!G67+(0))))*'DCF'!H12/(1+('DCF'!$E$6))^'DCF'!H13,(('Forecast'!I12)*(('Assumptions'!I37+(0))*(1-'Assumptions'!I42-(C25))+'Assumptions'!I47-'Assumptions'!I52*(1)+'Assumptions'!I57-'Assumptions'!I62*(1)-'Assumptions'!I67-(0))+(('Forecast'!H12)*('Assumptions'!H67+(0))))*'DCF'!I12/(1+('DCF'!$E$6))^'DCF'!I13)+('Forecast'!I12)*(1+('DCF'!$E$7))*('Terminal Value'!$E$10+(0))*(1-'Assumptions'!$E$15-(C25))*(1-('DCF'!$E$7)/('Terminal Value'!$E$12))/(('DCF'!$E$6)-('DCF'!$E$7))/(1+('DCF'!$E$6))^'DCF'!$E$19)+'Equity Bridge'!$E$17)/'Equity Bridge'!$E$20
Review selected-case observations and Model Guide for definitions and held assumptions.</x:t>
        </x:r>
      </x:text>
    </x:comment>
    <x:comment ref="C26" authorId="0">
      <x:text>
        <x:r>
          <x:t>Reverse Tax. Editable source or analyst input.
Review selected-case observations and Model Guide for definitions and held assumptions.</x:t>
        </x:r>
      </x:text>
    </x:comment>
    <x:comment ref="D26" authorId="0">
      <x:text>
        <x:r>
          <x:t>Reverse Tax. Formula: =((SUM((('Forecast'!E12)*(('Assumptions'!E37+(0))*(1-'Assumptions'!E42-(C26))+'Assumptions'!E47-'Assumptions'!E52*(1)+'Assumptions'!E57-'Assumptions'!E62*(1)-'Assumptions'!E67-(0))+('Working Capital'!$E$6))*'DCF'!E12/(1+('DCF'!$E$6))^'DCF'!E13,(('Forecast'!F12)*(('Assumptions'!F37+(0))*(1-'Assumptions'!F42-(C26))+'Assumptions'!F47-'Assumptions'!F52*(1)+'Assumptions'!F57-'Assumptions'!F62*(1)-'Assumptions'!F67-(0))+(('Forecast'!E12)*('Assumptions'!E67+(0))))*'DCF'!F12/(1+('DCF'!$E$6))^'DCF'!F13,(('Forecast'!G12)*(('Assumptions'!G37+(0))*(1-'Assumptions'!G42-(C26))+'Assumptions'!G47-'Assumptions'!G52*(1)+'Assumptions'!G57-'Assumptions'!G62*(1)-'Assumptions'!G67-(0))+(('Forecast'!F12)*('Assumptions'!F67+(0))))*'DCF'!G12/(1+('DCF'!$E$6))^'DCF'!G13,(('Forecast'!H12)*(('Assumptions'!H37+(0))*(1-'Assumptions'!H42-(C26))+'Assumptions'!H47-'Assumptions'!H52*(1)+'Assumptions'!H57-'Assumptions'!H62*(1)-'Assumptions'!H67-(0))+(('Forecast'!G12)*('Assumptions'!G67+(0))))*'DCF'!H12/(1+('DCF'!$E$6))^'DCF'!H13,(('Forecast'!I12)*(('Assumptions'!I37+(0))*(1-'Assumptions'!I42-(C26))+'Assumptions'!I47-'Assumptions'!I52*(1)+'Assumptions'!I57-'Assumptions'!I62*(1)-'Assumptions'!I67-(0))+(('Forecast'!H12)*('Assumptions'!H67+(0))))*'DCF'!I12/(1+('DCF'!$E$6))^'DCF'!I13)+('Forecast'!I12)*(1+('DCF'!$E$7))*('Terminal Value'!$E$10+(0))*(1-'Assumptions'!$E$15-(C26))*(1-('DCF'!$E$7)/('Terminal Value'!$E$12))/(('DCF'!$E$6)-('DCF'!$E$7))/(1+('DCF'!$E$6))^'DCF'!$E$19)+'Equity Bridge'!$E$17)/'Equity Bridge'!$E$20
Review selected-case observations and Model Guide for definitions and held assumptions.</x:t>
        </x:r>
      </x:text>
    </x:comment>
    <x:comment ref="C27" authorId="0">
      <x:text>
        <x:r>
          <x:t>Reverse Tax. Editable source or analyst input.
Review selected-case observations and Model Guide for definitions and held assumptions.</x:t>
        </x:r>
      </x:text>
    </x:comment>
    <x:comment ref="D27" authorId="0">
      <x:text>
        <x:r>
          <x:t>Reverse Tax. Formula: =((SUM((('Forecast'!E12)*(('Assumptions'!E37+(0))*(1-'Assumptions'!E42-(C27))+'Assumptions'!E47-'Assumptions'!E52*(1)+'Assumptions'!E57-'Assumptions'!E62*(1)-'Assumptions'!E67-(0))+('Working Capital'!$E$6))*'DCF'!E12/(1+('DCF'!$E$6))^'DCF'!E13,(('Forecast'!F12)*(('Assumptions'!F37+(0))*(1-'Assumptions'!F42-(C27))+'Assumptions'!F47-'Assumptions'!F52*(1)+'Assumptions'!F57-'Assumptions'!F62*(1)-'Assumptions'!F67-(0))+(('Forecast'!E12)*('Assumptions'!E67+(0))))*'DCF'!F12/(1+('DCF'!$E$6))^'DCF'!F13,(('Forecast'!G12)*(('Assumptions'!G37+(0))*(1-'Assumptions'!G42-(C27))+'Assumptions'!G47-'Assumptions'!G52*(1)+'Assumptions'!G57-'Assumptions'!G62*(1)-'Assumptions'!G67-(0))+(('Forecast'!F12)*('Assumptions'!F67+(0))))*'DCF'!G12/(1+('DCF'!$E$6))^'DCF'!G13,(('Forecast'!H12)*(('Assumptions'!H37+(0))*(1-'Assumptions'!H42-(C27))+'Assumptions'!H47-'Assumptions'!H52*(1)+'Assumptions'!H57-'Assumptions'!H62*(1)-'Assumptions'!H67-(0))+(('Forecast'!G12)*('Assumptions'!G67+(0))))*'DCF'!H12/(1+('DCF'!$E$6))^'DCF'!H13,(('Forecast'!I12)*(('Assumptions'!I37+(0))*(1-'Assumptions'!I42-(C27))+'Assumptions'!I47-'Assumptions'!I52*(1)+'Assumptions'!I57-'Assumptions'!I62*(1)-'Assumptions'!I67-(0))+(('Forecast'!H12)*('Assumptions'!H67+(0))))*'DCF'!I12/(1+('DCF'!$E$6))^'DCF'!I13)+('Forecast'!I12)*(1+('DCF'!$E$7))*('Terminal Value'!$E$10+(0))*(1-'Assumptions'!$E$15-(C27))*(1-('DCF'!$E$7)/('Terminal Value'!$E$12))/(('DCF'!$E$6)-('DCF'!$E$7))/(1+('DCF'!$E$6))^'DCF'!$E$19)+'Equity Bridge'!$E$17)/'Equity Bridge'!$E$20
Review selected-case observations and Model Guide for definitions and held assumptions.</x:t>
        </x:r>
      </x:text>
    </x:comment>
    <x:comment ref="C28" authorId="0">
      <x:text>
        <x:r>
          <x:t>Reverse Tax. Editable source or analyst input.
Review selected-case observations and Model Guide for definitions and held assumptions.</x:t>
        </x:r>
      </x:text>
    </x:comment>
    <x:comment ref="D28" authorId="0">
      <x:text>
        <x:r>
          <x:t>Reverse Tax. Formula: =((SUM((('Forecast'!E12)*(('Assumptions'!E37+(0))*(1-'Assumptions'!E42-(C28))+'Assumptions'!E47-'Assumptions'!E52*(1)+'Assumptions'!E57-'Assumptions'!E62*(1)-'Assumptions'!E67-(0))+('Working Capital'!$E$6))*'DCF'!E12/(1+('DCF'!$E$6))^'DCF'!E13,(('Forecast'!F12)*(('Assumptions'!F37+(0))*(1-'Assumptions'!F42-(C28))+'Assumptions'!F47-'Assumptions'!F52*(1)+'Assumptions'!F57-'Assumptions'!F62*(1)-'Assumptions'!F67-(0))+(('Forecast'!E12)*('Assumptions'!E67+(0))))*'DCF'!F12/(1+('DCF'!$E$6))^'DCF'!F13,(('Forecast'!G12)*(('Assumptions'!G37+(0))*(1-'Assumptions'!G42-(C28))+'Assumptions'!G47-'Assumptions'!G52*(1)+'Assumptions'!G57-'Assumptions'!G62*(1)-'Assumptions'!G67-(0))+(('Forecast'!F12)*('Assumptions'!F67+(0))))*'DCF'!G12/(1+('DCF'!$E$6))^'DCF'!G13,(('Forecast'!H12)*(('Assumptions'!H37+(0))*(1-'Assumptions'!H42-(C28))+'Assumptions'!H47-'Assumptions'!H52*(1)+'Assumptions'!H57-'Assumptions'!H62*(1)-'Assumptions'!H67-(0))+(('Forecast'!G12)*('Assumptions'!G67+(0))))*'DCF'!H12/(1+('DCF'!$E$6))^'DCF'!H13,(('Forecast'!I12)*(('Assumptions'!I37+(0))*(1-'Assumptions'!I42-(C28))+'Assumptions'!I47-'Assumptions'!I52*(1)+'Assumptions'!I57-'Assumptions'!I62*(1)-'Assumptions'!I67-(0))+(('Forecast'!H12)*('Assumptions'!H67+(0))))*'DCF'!I12/(1+('DCF'!$E$6))^'DCF'!I13)+('Forecast'!I12)*(1+('DCF'!$E$7))*('Terminal Value'!$E$10+(0))*(1-'Assumptions'!$E$15-(C28))*(1-('DCF'!$E$7)/('Terminal Value'!$E$12))/(('DCF'!$E$6)-('DCF'!$E$7))/(1+('DCF'!$E$6))^'DCF'!$E$19)+'Equity Bridge'!$E$17)/'Equity Bridge'!$E$20
Review selected-case observations and Model Guide for definitions and held assumptions.</x:t>
        </x:r>
      </x:text>
    </x:comment>
    <x:comment ref="C29" authorId="0">
      <x:text>
        <x:r>
          <x:t>Reverse Tax. Editable source or analyst input.
Review selected-case observations and Model Guide for definitions and held assumptions.</x:t>
        </x:r>
      </x:text>
    </x:comment>
    <x:comment ref="D29" authorId="0">
      <x:text>
        <x:r>
          <x:t>Reverse Tax. Formula: =((SUM((('Forecast'!E12)*(('Assumptions'!E37+(0))*(1-'Assumptions'!E42-(C29))+'Assumptions'!E47-'Assumptions'!E52*(1)+'Assumptions'!E57-'Assumptions'!E62*(1)-'Assumptions'!E67-(0))+('Working Capital'!$E$6))*'DCF'!E12/(1+('DCF'!$E$6))^'DCF'!E13,(('Forecast'!F12)*(('Assumptions'!F37+(0))*(1-'Assumptions'!F42-(C29))+'Assumptions'!F47-'Assumptions'!F52*(1)+'Assumptions'!F57-'Assumptions'!F62*(1)-'Assumptions'!F67-(0))+(('Forecast'!E12)*('Assumptions'!E67+(0))))*'DCF'!F12/(1+('DCF'!$E$6))^'DCF'!F13,(('Forecast'!G12)*(('Assumptions'!G37+(0))*(1-'Assumptions'!G42-(C29))+'Assumptions'!G47-'Assumptions'!G52*(1)+'Assumptions'!G57-'Assumptions'!G62*(1)-'Assumptions'!G67-(0))+(('Forecast'!F12)*('Assumptions'!F67+(0))))*'DCF'!G12/(1+('DCF'!$E$6))^'DCF'!G13,(('Forecast'!H12)*(('Assumptions'!H37+(0))*(1-'Assumptions'!H42-(C29))+'Assumptions'!H47-'Assumptions'!H52*(1)+'Assumptions'!H57-'Assumptions'!H62*(1)-'Assumptions'!H67-(0))+(('Forecast'!G12)*('Assumptions'!G67+(0))))*'DCF'!H12/(1+('DCF'!$E$6))^'DCF'!H13,(('Forecast'!I12)*(('Assumptions'!I37+(0))*(1-'Assumptions'!I42-(C29))+'Assumptions'!I47-'Assumptions'!I52*(1)+'Assumptions'!I57-'Assumptions'!I62*(1)-'Assumptions'!I67-(0))+(('Forecast'!H12)*('Assumptions'!H67+(0))))*'DCF'!I12/(1+('DCF'!$E$6))^'DCF'!I13)+('Forecast'!I12)*(1+('DCF'!$E$7))*('Terminal Value'!$E$10+(0))*(1-'Assumptions'!$E$15-(C29))*(1-('DCF'!$E$7)/('Terminal Value'!$E$12))/(('DCF'!$E$6)-('DCF'!$E$7))/(1+('DCF'!$E$6))^'DCF'!$E$19)+'Equity Bridge'!$E$17)/'Equity Bridge'!$E$20
Review selected-case observations and Model Guide for definitions and held assumptions.</x:t>
        </x:r>
      </x:text>
    </x:comment>
    <x:comment ref="C30" authorId="0">
      <x:text>
        <x:r>
          <x:t>Reverse Tax. Editable source or analyst input.
Review selected-case observations and Model Guide for definitions and held assumptions.</x:t>
        </x:r>
      </x:text>
    </x:comment>
    <x:comment ref="D30" authorId="0">
      <x:text>
        <x:r>
          <x:t>Reverse Tax. Formula: =((SUM((('Forecast'!E12)*(('Assumptions'!E37+(0))*(1-'Assumptions'!E42-(C30))+'Assumptions'!E47-'Assumptions'!E52*(1)+'Assumptions'!E57-'Assumptions'!E62*(1)-'Assumptions'!E67-(0))+('Working Capital'!$E$6))*'DCF'!E12/(1+('DCF'!$E$6))^'DCF'!E13,(('Forecast'!F12)*(('Assumptions'!F37+(0))*(1-'Assumptions'!F42-(C30))+'Assumptions'!F47-'Assumptions'!F52*(1)+'Assumptions'!F57-'Assumptions'!F62*(1)-'Assumptions'!F67-(0))+(('Forecast'!E12)*('Assumptions'!E67+(0))))*'DCF'!F12/(1+('DCF'!$E$6))^'DCF'!F13,(('Forecast'!G12)*(('Assumptions'!G37+(0))*(1-'Assumptions'!G42-(C30))+'Assumptions'!G47-'Assumptions'!G52*(1)+'Assumptions'!G57-'Assumptions'!G62*(1)-'Assumptions'!G67-(0))+(('Forecast'!F12)*('Assumptions'!F67+(0))))*'DCF'!G12/(1+('DCF'!$E$6))^'DCF'!G13,(('Forecast'!H12)*(('Assumptions'!H37+(0))*(1-'Assumptions'!H42-(C30))+'Assumptions'!H47-'Assumptions'!H52*(1)+'Assumptions'!H57-'Assumptions'!H62*(1)-'Assumptions'!H67-(0))+(('Forecast'!G12)*('Assumptions'!G67+(0))))*'DCF'!H12/(1+('DCF'!$E$6))^'DCF'!H13,(('Forecast'!I12)*(('Assumptions'!I37+(0))*(1-'Assumptions'!I42-(C30))+'Assumptions'!I47-'Assumptions'!I52*(1)+'Assumptions'!I57-'Assumptions'!I62*(1)-'Assumptions'!I67-(0))+(('Forecast'!H12)*('Assumptions'!H67+(0))))*'DCF'!I12/(1+('DCF'!$E$6))^'DCF'!I13)+('Forecast'!I12)*(1+('DCF'!$E$7))*('Terminal Value'!$E$10+(0))*(1-'Assumptions'!$E$15-(C30))*(1-('DCF'!$E$7)/('Terminal Value'!$E$12))/(('DCF'!$E$6)-('DCF'!$E$7))/(1+('DCF'!$E$6))^'DCF'!$E$19)+'Equity Bridge'!$E$17)/'Equity Bridge'!$E$20
Review selected-case observations and Model Guide for definitions and held assumptions.</x:t>
        </x:r>
      </x:text>
    </x:comment>
    <x:comment ref="C35" authorId="0">
      <x:text>
        <x:r>
          <x:t>Reverse Tax. Formula: ="Required tax shift is "&amp;ROUND(E12*100,2)&amp;" pp. "&amp;"All explicit operating tax rates and the stable tax rate shift together. The WACC debt tax shield stays fixed to isolate operating taxation. Negative ongoing tax rates are not accepted as a sustainable base case."
Review selected-case observations and Model Guide for definitions and held assumptions.</x:t>
        </x:r>
      </x:text>
    </x:comment>
    <x:comment ref="E19" authorId="0">
      <x:text>
        <x:r>
          <x:t>Reverse Tax. Formula: ='Assumptions'!E15+E12
Review selected-case observations and Model Guide for definitions and held assumptions.</x:t>
        </x:r>
      </x:text>
    </x:comment>
  </x:commentList>
</x:comments>
</file>

<file path=xl/comments22.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C11" authorId="0">
      <x:text>
        <x:r>
          <x:t>Value slope per unit driver</x:t>
        </x:r>
      </x:text>
    </x:comment>
    <x:comment ref="C12" authorId="0">
      <x:text>
        <x:r>
          <x:t>Required finance asset additions multiplier</x:t>
        </x:r>
      </x:text>
    </x:comment>
    <x:comment ref="E14" authorId="0">
      <x:text>
        <x:r>
          <x:t>Economic interpretation. Only future finance lease asset additions change. Existing finance lease debt stays in the bridge, and current D&amp;A stays fixed. A negative acquisition flow is an algebraic result, not a feasible lease contract plan.
Excel formula: =IF(E12&gt;=0,"Nonnegative asset additions","Impossible negative additions")</x:t>
        </x:r>
      </x:text>
    </x:comment>
    <x:comment ref="C14" authorId="0">
      <x:text>
        <x:r>
          <x:t>Only future finance lease asset additions change. Existing finance lease debt stays in the bridge, and current D&amp;A stays fixed. A negative acquisition flow is an algebraic result, not a feasible lease contract plan.</x:t>
        </x:r>
      </x:text>
    </x:comment>
    <x:comment ref="C16" authorId="0">
      <x:text>
        <x:r>
          <x:t>Solved enterprise value</x:t>
        </x:r>
      </x:text>
    </x:comment>
    <x:comment ref="C17" authorId="0">
      <x:text>
        <x:r>
          <x:t>Valuation residual</x:t>
        </x:r>
      </x:text>
    </x:comment>
    <x:comment ref="E4" authorId="0">
      <x:text>
        <x:r>
          <x:t>Reverse Leases. Formula: =CHOOSE('DCF'!$E$5,"Base","Upside","Downside")
Review selected-case observations and Model Guide for definitions and held assumptions.</x:t>
        </x:r>
      </x:text>
    </x:comment>
    <x:comment ref="E8" authorId="0">
      <x:text>
        <x:r>
          <x:t>Reverse Leases. Formula: ='DCF'!E24
Review selected-case observations and Model Guide for definitions and held assumptions.</x:t>
        </x:r>
      </x:text>
    </x:comment>
    <x:comment ref="E9" authorId="0">
      <x:text>
        <x:r>
          <x:t>Reverse Leases. Formula: ='DCF'!E32
Review selected-case observations and Model Guide for definitions and held assumptions.</x:t>
        </x:r>
      </x:text>
    </x:comment>
    <x:comment ref="E11" authorId="0">
      <x:text>
        <x:r>
          <x:t>Reverse Leases. Formula: =-SUM('Capital Spending'!E12*'DCF'!E12/'DCF'!E14,'Capital Spending'!F12*'DCF'!F12/'DCF'!F14,'Capital Spending'!G12*'DCF'!G12/'DCF'!G14,'Capital Spending'!H12*'DCF'!H12/'DCF'!H14,'Capital Spending'!I12*'DCF'!I12/'DCF'!I14)
Review selected-case observations and Model Guide for definitions and held assumptions.</x:t>
        </x:r>
      </x:text>
    </x:comment>
    <x:comment ref="E12" authorId="0">
      <x:text>
        <x:r>
          <x:t>Reverse Leases. Formula: =1+E10/E11
Review selected-case observations and Model Guide for definitions and held assumptions.</x:t>
        </x:r>
      </x:text>
    </x:comment>
    <x:comment ref="E16" authorId="0">
      <x:text>
        <x:r>
          <x:t>Reverse Leases. Formula: =E8+(E12-(1))*E11
Review selected-case observations and Model Guide for definitions and held assumptions.</x:t>
        </x:r>
      </x:text>
    </x:comment>
    <x:comment ref="E17" authorId="0">
      <x:text>
        <x:r>
          <x:t>Reverse Leases. Formula: =E16-E9
Review selected-case observations and Model Guide for definitions and held assumptions.</x:t>
        </x:r>
      </x:text>
    </x:comment>
    <x:comment ref="C22" authorId="0">
      <x:text>
        <x:r>
          <x:t>Reverse Leases. Editable source or analyst input.
Review selected-case observations and Model Guide for definitions and held assumptions.</x:t>
        </x:r>
      </x:text>
    </x:comment>
    <x:comment ref="D22" authorId="0">
      <x:text>
        <x:r>
          <x:t>Reverse Leases. Formula: =((SUM((('Forecast'!E12)*(('Assumptions'!E37+(0))*(1-'Assumptions'!E42-(0))+'Assumptions'!E47-'Assumptions'!E52*(1)+'Assumptions'!E57-'Assumptions'!E62*(C22)-'Assumptions'!E67-(0))+('Working Capital'!$E$6))*'DCF'!E12/(1+('DCF'!$E$6))^'DCF'!E13,(('Forecast'!F12)*(('Assumptions'!F37+(0))*(1-'Assumptions'!F42-(0))+'Assumptions'!F47-'Assumptions'!F52*(1)+'Assumptions'!F57-'Assumptions'!F62*(C22)-'Assumptions'!F67-(0))+(('Forecast'!E12)*('Assumptions'!E67+(0))))*'DCF'!F12/(1+('DCF'!$E$6))^'DCF'!F13,(('Forecast'!G12)*(('Assumptions'!G37+(0))*(1-'Assumptions'!G42-(0))+'Assumptions'!G47-'Assumptions'!G52*(1)+'Assumptions'!G57-'Assumptions'!G62*(C22)-'Assumptions'!G67-(0))+(('Forecast'!F12)*('Assumptions'!F67+(0))))*'DCF'!G12/(1+('DCF'!$E$6))^'DCF'!G13,(('Forecast'!H12)*(('Assumptions'!H37+(0))*(1-'Assumptions'!H42-(0))+'Assumptions'!H47-'Assumptions'!H52*(1)+'Assumptions'!H57-'Assumptions'!H62*(C22)-'Assumptions'!H67-(0))+(('Forecast'!G12)*('Assumptions'!G67+(0))))*'DCF'!H12/(1+('DCF'!$E$6))^'DCF'!H13,(('Forecast'!I12)*(('Assumptions'!I37+(0))*(1-'Assumptions'!I42-(0))+'Assumptions'!I47-'Assumptions'!I52*(1)+'Assumptions'!I57-'Assumptions'!I62*(C22)-'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3" authorId="0">
      <x:text>
        <x:r>
          <x:t>Reverse Leases. Editable source or analyst input.
Review selected-case observations and Model Guide for definitions and held assumptions.</x:t>
        </x:r>
      </x:text>
    </x:comment>
    <x:comment ref="D23" authorId="0">
      <x:text>
        <x:r>
          <x:t>Reverse Leases. Formula: =((SUM((('Forecast'!E12)*(('Assumptions'!E37+(0))*(1-'Assumptions'!E42-(0))+'Assumptions'!E47-'Assumptions'!E52*(1)+'Assumptions'!E57-'Assumptions'!E62*(C23)-'Assumptions'!E67-(0))+('Working Capital'!$E$6))*'DCF'!E12/(1+('DCF'!$E$6))^'DCF'!E13,(('Forecast'!F12)*(('Assumptions'!F37+(0))*(1-'Assumptions'!F42-(0))+'Assumptions'!F47-'Assumptions'!F52*(1)+'Assumptions'!F57-'Assumptions'!F62*(C23)-'Assumptions'!F67-(0))+(('Forecast'!E12)*('Assumptions'!E67+(0))))*'DCF'!F12/(1+('DCF'!$E$6))^'DCF'!F13,(('Forecast'!G12)*(('Assumptions'!G37+(0))*(1-'Assumptions'!G42-(0))+'Assumptions'!G47-'Assumptions'!G52*(1)+'Assumptions'!G57-'Assumptions'!G62*(C23)-'Assumptions'!G67-(0))+(('Forecast'!F12)*('Assumptions'!F67+(0))))*'DCF'!G12/(1+('DCF'!$E$6))^'DCF'!G13,(('Forecast'!H12)*(('Assumptions'!H37+(0))*(1-'Assumptions'!H42-(0))+'Assumptions'!H47-'Assumptions'!H52*(1)+'Assumptions'!H57-'Assumptions'!H62*(C23)-'Assumptions'!H67-(0))+(('Forecast'!G12)*('Assumptions'!G67+(0))))*'DCF'!H12/(1+('DCF'!$E$6))^'DCF'!H13,(('Forecast'!I12)*(('Assumptions'!I37+(0))*(1-'Assumptions'!I42-(0))+'Assumptions'!I47-'Assumptions'!I52*(1)+'Assumptions'!I57-'Assumptions'!I62*(C23)-'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4" authorId="0">
      <x:text>
        <x:r>
          <x:t>Reverse Leases. Editable source or analyst input.
Review selected-case observations and Model Guide for definitions and held assumptions.</x:t>
        </x:r>
      </x:text>
    </x:comment>
    <x:comment ref="D24" authorId="0">
      <x:text>
        <x:r>
          <x:t>Reverse Leases. Formula: =((SUM((('Forecast'!E12)*(('Assumptions'!E37+(0))*(1-'Assumptions'!E42-(0))+'Assumptions'!E47-'Assumptions'!E52*(1)+'Assumptions'!E57-'Assumptions'!E62*(C24)-'Assumptions'!E67-(0))+('Working Capital'!$E$6))*'DCF'!E12/(1+('DCF'!$E$6))^'DCF'!E13,(('Forecast'!F12)*(('Assumptions'!F37+(0))*(1-'Assumptions'!F42-(0))+'Assumptions'!F47-'Assumptions'!F52*(1)+'Assumptions'!F57-'Assumptions'!F62*(C24)-'Assumptions'!F67-(0))+(('Forecast'!E12)*('Assumptions'!E67+(0))))*'DCF'!F12/(1+('DCF'!$E$6))^'DCF'!F13,(('Forecast'!G12)*(('Assumptions'!G37+(0))*(1-'Assumptions'!G42-(0))+'Assumptions'!G47-'Assumptions'!G52*(1)+'Assumptions'!G57-'Assumptions'!G62*(C24)-'Assumptions'!G67-(0))+(('Forecast'!F12)*('Assumptions'!F67+(0))))*'DCF'!G12/(1+('DCF'!$E$6))^'DCF'!G13,(('Forecast'!H12)*(('Assumptions'!H37+(0))*(1-'Assumptions'!H42-(0))+'Assumptions'!H47-'Assumptions'!H52*(1)+'Assumptions'!H57-'Assumptions'!H62*(C24)-'Assumptions'!H67-(0))+(('Forecast'!G12)*('Assumptions'!G67+(0))))*'DCF'!H12/(1+('DCF'!$E$6))^'DCF'!H13,(('Forecast'!I12)*(('Assumptions'!I37+(0))*(1-'Assumptions'!I42-(0))+'Assumptions'!I47-'Assumptions'!I52*(1)+'Assumptions'!I57-'Assumptions'!I62*(C24)-'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5" authorId="0">
      <x:text>
        <x:r>
          <x:t>Reverse Leases. Editable source or analyst input.
Review selected-case observations and Model Guide for definitions and held assumptions.</x:t>
        </x:r>
      </x:text>
    </x:comment>
    <x:comment ref="D25" authorId="0">
      <x:text>
        <x:r>
          <x:t>Reverse Leases. Formula: =((SUM((('Forecast'!E12)*(('Assumptions'!E37+(0))*(1-'Assumptions'!E42-(0))+'Assumptions'!E47-'Assumptions'!E52*(1)+'Assumptions'!E57-'Assumptions'!E62*(C25)-'Assumptions'!E67-(0))+('Working Capital'!$E$6))*'DCF'!E12/(1+('DCF'!$E$6))^'DCF'!E13,(('Forecast'!F12)*(('Assumptions'!F37+(0))*(1-'Assumptions'!F42-(0))+'Assumptions'!F47-'Assumptions'!F52*(1)+'Assumptions'!F57-'Assumptions'!F62*(C25)-'Assumptions'!F67-(0))+(('Forecast'!E12)*('Assumptions'!E67+(0))))*'DCF'!F12/(1+('DCF'!$E$6))^'DCF'!F13,(('Forecast'!G12)*(('Assumptions'!G37+(0))*(1-'Assumptions'!G42-(0))+'Assumptions'!G47-'Assumptions'!G52*(1)+'Assumptions'!G57-'Assumptions'!G62*(C25)-'Assumptions'!G67-(0))+(('Forecast'!F12)*('Assumptions'!F67+(0))))*'DCF'!G12/(1+('DCF'!$E$6))^'DCF'!G13,(('Forecast'!H12)*(('Assumptions'!H37+(0))*(1-'Assumptions'!H42-(0))+'Assumptions'!H47-'Assumptions'!H52*(1)+'Assumptions'!H57-'Assumptions'!H62*(C25)-'Assumptions'!H67-(0))+(('Forecast'!G12)*('Assumptions'!G67+(0))))*'DCF'!H12/(1+('DCF'!$E$6))^'DCF'!H13,(('Forecast'!I12)*(('Assumptions'!I37+(0))*(1-'Assumptions'!I42-(0))+'Assumptions'!I47-'Assumptions'!I52*(1)+'Assumptions'!I57-'Assumptions'!I62*(C25)-'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6" authorId="0">
      <x:text>
        <x:r>
          <x:t>Reverse Leases. Editable source or analyst input.
Review selected-case observations and Model Guide for definitions and held assumptions.</x:t>
        </x:r>
      </x:text>
    </x:comment>
    <x:comment ref="D26" authorId="0">
      <x:text>
        <x:r>
          <x:t>Reverse Leases. Formula: =((SUM((('Forecast'!E12)*(('Assumptions'!E37+(0))*(1-'Assumptions'!E42-(0))+'Assumptions'!E47-'Assumptions'!E52*(1)+'Assumptions'!E57-'Assumptions'!E62*(C26)-'Assumptions'!E67-(0))+('Working Capital'!$E$6))*'DCF'!E12/(1+('DCF'!$E$6))^'DCF'!E13,(('Forecast'!F12)*(('Assumptions'!F37+(0))*(1-'Assumptions'!F42-(0))+'Assumptions'!F47-'Assumptions'!F52*(1)+'Assumptions'!F57-'Assumptions'!F62*(C26)-'Assumptions'!F67-(0))+(('Forecast'!E12)*('Assumptions'!E67+(0))))*'DCF'!F12/(1+('DCF'!$E$6))^'DCF'!F13,(('Forecast'!G12)*(('Assumptions'!G37+(0))*(1-'Assumptions'!G42-(0))+'Assumptions'!G47-'Assumptions'!G52*(1)+'Assumptions'!G57-'Assumptions'!G62*(C26)-'Assumptions'!G67-(0))+(('Forecast'!F12)*('Assumptions'!F67+(0))))*'DCF'!G12/(1+('DCF'!$E$6))^'DCF'!G13,(('Forecast'!H12)*(('Assumptions'!H37+(0))*(1-'Assumptions'!H42-(0))+'Assumptions'!H47-'Assumptions'!H52*(1)+'Assumptions'!H57-'Assumptions'!H62*(C26)-'Assumptions'!H67-(0))+(('Forecast'!G12)*('Assumptions'!G67+(0))))*'DCF'!H12/(1+('DCF'!$E$6))^'DCF'!H13,(('Forecast'!I12)*(('Assumptions'!I37+(0))*(1-'Assumptions'!I42-(0))+'Assumptions'!I47-'Assumptions'!I52*(1)+'Assumptions'!I57-'Assumptions'!I62*(C26)-'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7" authorId="0">
      <x:text>
        <x:r>
          <x:t>Reverse Leases. Editable source or analyst input.
Review selected-case observations and Model Guide for definitions and held assumptions.</x:t>
        </x:r>
      </x:text>
    </x:comment>
    <x:comment ref="D27" authorId="0">
      <x:text>
        <x:r>
          <x:t>Reverse Leases. Formula: =((SUM((('Forecast'!E12)*(('Assumptions'!E37+(0))*(1-'Assumptions'!E42-(0))+'Assumptions'!E47-'Assumptions'!E52*(1)+'Assumptions'!E57-'Assumptions'!E62*(C27)-'Assumptions'!E67-(0))+('Working Capital'!$E$6))*'DCF'!E12/(1+('DCF'!$E$6))^'DCF'!E13,(('Forecast'!F12)*(('Assumptions'!F37+(0))*(1-'Assumptions'!F42-(0))+'Assumptions'!F47-'Assumptions'!F52*(1)+'Assumptions'!F57-'Assumptions'!F62*(C27)-'Assumptions'!F67-(0))+(('Forecast'!E12)*('Assumptions'!E67+(0))))*'DCF'!F12/(1+('DCF'!$E$6))^'DCF'!F13,(('Forecast'!G12)*(('Assumptions'!G37+(0))*(1-'Assumptions'!G42-(0))+'Assumptions'!G47-'Assumptions'!G52*(1)+'Assumptions'!G57-'Assumptions'!G62*(C27)-'Assumptions'!G67-(0))+(('Forecast'!F12)*('Assumptions'!F67+(0))))*'DCF'!G12/(1+('DCF'!$E$6))^'DCF'!G13,(('Forecast'!H12)*(('Assumptions'!H37+(0))*(1-'Assumptions'!H42-(0))+'Assumptions'!H47-'Assumptions'!H52*(1)+'Assumptions'!H57-'Assumptions'!H62*(C27)-'Assumptions'!H67-(0))+(('Forecast'!G12)*('Assumptions'!G67+(0))))*'DCF'!H12/(1+('DCF'!$E$6))^'DCF'!H13,(('Forecast'!I12)*(('Assumptions'!I37+(0))*(1-'Assumptions'!I42-(0))+'Assumptions'!I47-'Assumptions'!I52*(1)+'Assumptions'!I57-'Assumptions'!I62*(C27)-'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8" authorId="0">
      <x:text>
        <x:r>
          <x:t>Reverse Leases. Editable source or analyst input.
Review selected-case observations and Model Guide for definitions and held assumptions.</x:t>
        </x:r>
      </x:text>
    </x:comment>
    <x:comment ref="D28" authorId="0">
      <x:text>
        <x:r>
          <x:t>Reverse Leases. Formula: =((SUM((('Forecast'!E12)*(('Assumptions'!E37+(0))*(1-'Assumptions'!E42-(0))+'Assumptions'!E47-'Assumptions'!E52*(1)+'Assumptions'!E57-'Assumptions'!E62*(C28)-'Assumptions'!E67-(0))+('Working Capital'!$E$6))*'DCF'!E12/(1+('DCF'!$E$6))^'DCF'!E13,(('Forecast'!F12)*(('Assumptions'!F37+(0))*(1-'Assumptions'!F42-(0))+'Assumptions'!F47-'Assumptions'!F52*(1)+'Assumptions'!F57-'Assumptions'!F62*(C28)-'Assumptions'!F67-(0))+(('Forecast'!E12)*('Assumptions'!E67+(0))))*'DCF'!F12/(1+('DCF'!$E$6))^'DCF'!F13,(('Forecast'!G12)*(('Assumptions'!G37+(0))*(1-'Assumptions'!G42-(0))+'Assumptions'!G47-'Assumptions'!G52*(1)+'Assumptions'!G57-'Assumptions'!G62*(C28)-'Assumptions'!G67-(0))+(('Forecast'!F12)*('Assumptions'!F67+(0))))*'DCF'!G12/(1+('DCF'!$E$6))^'DCF'!G13,(('Forecast'!H12)*(('Assumptions'!H37+(0))*(1-'Assumptions'!H42-(0))+'Assumptions'!H47-'Assumptions'!H52*(1)+'Assumptions'!H57-'Assumptions'!H62*(C28)-'Assumptions'!H67-(0))+(('Forecast'!G12)*('Assumptions'!G67+(0))))*'DCF'!H12/(1+('DCF'!$E$6))^'DCF'!H13,(('Forecast'!I12)*(('Assumptions'!I37+(0))*(1-'Assumptions'!I42-(0))+'Assumptions'!I47-'Assumptions'!I52*(1)+'Assumptions'!I57-'Assumptions'!I62*(C28)-'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29" authorId="0">
      <x:text>
        <x:r>
          <x:t>Reverse Leases. Editable source or analyst input.
Review selected-case observations and Model Guide for definitions and held assumptions.</x:t>
        </x:r>
      </x:text>
    </x:comment>
    <x:comment ref="D29" authorId="0">
      <x:text>
        <x:r>
          <x:t>Reverse Leases. Formula: =((SUM((('Forecast'!E12)*(('Assumptions'!E37+(0))*(1-'Assumptions'!E42-(0))+'Assumptions'!E47-'Assumptions'!E52*(1)+'Assumptions'!E57-'Assumptions'!E62*(C29)-'Assumptions'!E67-(0))+('Working Capital'!$E$6))*'DCF'!E12/(1+('DCF'!$E$6))^'DCF'!E13,(('Forecast'!F12)*(('Assumptions'!F37+(0))*(1-'Assumptions'!F42-(0))+'Assumptions'!F47-'Assumptions'!F52*(1)+'Assumptions'!F57-'Assumptions'!F62*(C29)-'Assumptions'!F67-(0))+(('Forecast'!E12)*('Assumptions'!E67+(0))))*'DCF'!F12/(1+('DCF'!$E$6))^'DCF'!F13,(('Forecast'!G12)*(('Assumptions'!G37+(0))*(1-'Assumptions'!G42-(0))+'Assumptions'!G47-'Assumptions'!G52*(1)+'Assumptions'!G57-'Assumptions'!G62*(C29)-'Assumptions'!G67-(0))+(('Forecast'!F12)*('Assumptions'!F67+(0))))*'DCF'!G12/(1+('DCF'!$E$6))^'DCF'!G13,(('Forecast'!H12)*(('Assumptions'!H37+(0))*(1-'Assumptions'!H42-(0))+'Assumptions'!H47-'Assumptions'!H52*(1)+'Assumptions'!H57-'Assumptions'!H62*(C29)-'Assumptions'!H67-(0))+(('Forecast'!G12)*('Assumptions'!G67+(0))))*'DCF'!H12/(1+('DCF'!$E$6))^'DCF'!H13,(('Forecast'!I12)*(('Assumptions'!I37+(0))*(1-'Assumptions'!I42-(0))+'Assumptions'!I47-'Assumptions'!I52*(1)+'Assumptions'!I57-'Assumptions'!I62*(C29)-'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30" authorId="0">
      <x:text>
        <x:r>
          <x:t>Reverse Leases. Editable source or analyst input.
Review selected-case observations and Model Guide for definitions and held assumptions.</x:t>
        </x:r>
      </x:text>
    </x:comment>
    <x:comment ref="D30" authorId="0">
      <x:text>
        <x:r>
          <x:t>Reverse Leases. Formula: =((SUM((('Forecast'!E12)*(('Assumptions'!E37+(0))*(1-'Assumptions'!E42-(0))+'Assumptions'!E47-'Assumptions'!E52*(1)+'Assumptions'!E57-'Assumptions'!E62*(C30)-'Assumptions'!E67-(0))+('Working Capital'!$E$6))*'DCF'!E12/(1+('DCF'!$E$6))^'DCF'!E13,(('Forecast'!F12)*(('Assumptions'!F37+(0))*(1-'Assumptions'!F42-(0))+'Assumptions'!F47-'Assumptions'!F52*(1)+'Assumptions'!F57-'Assumptions'!F62*(C30)-'Assumptions'!F67-(0))+(('Forecast'!E12)*('Assumptions'!E67+(0))))*'DCF'!F12/(1+('DCF'!$E$6))^'DCF'!F13,(('Forecast'!G12)*(('Assumptions'!G37+(0))*(1-'Assumptions'!G42-(0))+'Assumptions'!G47-'Assumptions'!G52*(1)+'Assumptions'!G57-'Assumptions'!G62*(C30)-'Assumptions'!G67-(0))+(('Forecast'!F12)*('Assumptions'!F67+(0))))*'DCF'!G12/(1+('DCF'!$E$6))^'DCF'!G13,(('Forecast'!H12)*(('Assumptions'!H37+(0))*(1-'Assumptions'!H42-(0))+'Assumptions'!H47-'Assumptions'!H52*(1)+'Assumptions'!H57-'Assumptions'!H62*(C30)-'Assumptions'!H67-(0))+(('Forecast'!G12)*('Assumptions'!G67+(0))))*'DCF'!H12/(1+('DCF'!$E$6))^'DCF'!H13,(('Forecast'!I12)*(('Assumptions'!I37+(0))*(1-'Assumptions'!I42-(0))+'Assumptions'!I47-'Assumptions'!I52*(1)+'Assumptions'!I57-'Assumptions'!I62*(C30)-'Assumptions'!I67-(0))+(('Forecast'!H12)*('Assumptions'!H67+(0))))*'DCF'!I12/(1+('DCF'!$E$6))^'DCF'!I13)+('Forecast'!I12)*(1+('DCF'!$E$7))*('Terminal Value'!$E$10+(0))*(1-'Assumptions'!$E$15-(0))*(1-('DCF'!$E$7)/('Terminal Value'!$E$12))/(('DCF'!$E$6)-('DCF'!$E$7))/(1+('DCF'!$E$6))^'DCF'!$E$19)+'Equity Bridge'!$E$17)/'Equity Bridge'!$E$20
Review selected-case observations and Model Guide for definitions and held assumptions.</x:t>
        </x:r>
      </x:text>
    </x:comment>
    <x:comment ref="C35" authorId="0">
      <x:text>
        <x:r>
          <x:t>Reverse Leases. Formula: ="Required finance asset acquisition multiplier is "&amp;ROUND(E12,2)&amp;"x. "&amp;"Only future finance lease asset additions change. Existing finance lease debt stays in the bridge, and current D&amp;A stays fixed. A negative acquisition flow is an algebraic result, not a feasible lease contract plan."
Review selected-case observations and Model Guide for definitions and held assumptions.</x:t>
        </x:r>
      </x:text>
    </x:comment>
  </x:commentList>
</x:comments>
</file>

<file path=xl/comments23.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C11" authorId="0">
      <x:text>
        <x:r>
          <x:t>Required PV of stable cash flow</x:t>
        </x:r>
      </x:text>
    </x:comment>
    <x:comment ref="C12" authorId="0">
      <x:text>
        <x:r>
          <x:t>Required normalized FY2032 FCFF</x:t>
        </x:r>
      </x:text>
    </x:comment>
    <x:comment ref="C13" authorId="0">
      <x:text>
        <x:r>
          <x:t>Required stable FCFF / revenue</x:t>
        </x:r>
      </x:text>
    </x:comment>
    <x:comment ref="C14" authorId="0">
      <x:text>
        <x:r>
          <x:t>Feasible within stable NOPAT ceiling?</x:t>
        </x:r>
      </x:text>
    </x:comment>
    <x:comment ref="C16" authorId="0">
      <x:text>
        <x:r>
          <x:t>Baseline normalized stable FCFF</x:t>
        </x:r>
      </x:text>
    </x:comment>
    <x:comment ref="C17" authorId="0">
      <x:text>
        <x:r>
          <x:t>Required / baseline stable FCFF</x:t>
        </x:r>
      </x:text>
    </x:comment>
    <x:comment ref="E4" authorId="0">
      <x:text>
        <x:r>
          <x:t>Reverse FCF. Formula: =CHOOSE('DCF'!$E$5,"Base","Upside","Downside")
Review selected-case observations and Model Guide for definitions and held assumptions.</x:t>
        </x:r>
      </x:text>
    </x:comment>
    <x:comment ref="E8" authorId="0">
      <x:text>
        <x:r>
          <x:t>Reverse FCF. Formula: ='DCF'!E24
Review selected-case observations and Model Guide for definitions and held assumptions.</x:t>
        </x:r>
      </x:text>
    </x:comment>
    <x:comment ref="E9" authorId="0">
      <x:text>
        <x:r>
          <x:t>Reverse FCF. Formula: ='DCF'!E32
Review selected-case observations and Model Guide for definitions and held assumptions.</x:t>
        </x:r>
      </x:text>
    </x:comment>
    <x:comment ref="E11" authorId="0">
      <x:text>
        <x:r>
          <x:t>Reverse FCF. Formula: =E9-'DCF'!E18
Review selected-case observations and Model Guide for definitions and held assumptions.</x:t>
        </x:r>
      </x:text>
    </x:comment>
    <x:comment ref="E12" authorId="0">
      <x:text>
        <x:r>
          <x:t>Reverse FCF. Formula: =E11*'DCF'!E20*('DCF'!E6-'DCF'!E7)
Review selected-case observations and Model Guide for definitions and held assumptions.</x:t>
        </x:r>
      </x:text>
    </x:comment>
    <x:comment ref="E13" authorId="0">
      <x:text>
        <x:r>
          <x:t>Reverse FCF. Formula: =E12/('Terminal Value'!E8*(1+'DCF'!E7))
Review selected-case observations and Model Guide for definitions and held assumptions.</x:t>
        </x:r>
      </x:text>
    </x:comment>
    <x:comment ref="E14" authorId="0">
      <x:text>
        <x:r>
          <x:t>Reverse FCF. Formula: =IF(E12&lt;='Terminal Value'!E13,"Within NOPAT ceiling","Requires more cash than stable NOPAT")
Review selected-case observations and Model Guide for definitions and held assumptions.</x:t>
        </x:r>
      </x:text>
    </x:comment>
    <x:comment ref="E16" authorId="0">
      <x:text>
        <x:r>
          <x:t>Reverse FCF. Formula: ='Terminal Value'!E15
Review selected-case observations and Model Guide for definitions and held assumptions.</x:t>
        </x:r>
      </x:text>
    </x:comment>
    <x:comment ref="E17" authorId="0">
      <x:text>
        <x:r>
          <x:t>Reverse FCF. Formula: =E12/E16
Review selected-case observations and Model Guide for definitions and held assumptions.</x:t>
        </x:r>
      </x:text>
    </x:comment>
    <x:comment ref="D22" authorId="0">
      <x:text>
        <x:r>
          <x:t>Reverse FCF. Formula: =E16
Review selected-case observations and Model Guide for definitions and held assumptions.</x:t>
        </x:r>
      </x:text>
    </x:comment>
    <x:comment ref="D23" authorId="0">
      <x:text>
        <x:r>
          <x:t>Reverse FCF. Formula: =E12
Review selected-case observations and Model Guide for definitions and held assumptions.</x:t>
        </x:r>
      </x:text>
    </x:comment>
    <x:comment ref="C29" authorId="0">
      <x:text>
        <x:r>
          <x:t>Reverse FCF. Formula: ="Required normalized stable FCFF is USD "&amp;ROUND(E12/1000,1)&amp;"bn, or "&amp;ROUND(E13*100,2)&amp;"% of stable revenue. "&amp;"The market enterprise value minus the explicit forecast PV is the terminal PV required by investors. It is grown to the terminal date and multiplied by WACC minus stable growth."
Review selected-case observations and Model Guide for definitions and held assumptions.</x:t>
        </x:r>
      </x:text>
    </x:comment>
  </x:commentList>
</x:comments>
</file>

<file path=xl/comments24.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C11" authorId="0">
      <x:text>
        <x:r>
          <x:t>Final forecast EBITDA</x:t>
        </x:r>
      </x:text>
    </x:comment>
    <x:comment ref="C12" authorId="0">
      <x:text>
        <x:r>
          <x:t>Required terminal EV / EBITDA</x:t>
        </x:r>
      </x:text>
    </x:comment>
    <x:comment ref="C14" authorId="0">
      <x:text>
        <x:r>
          <x:t>Multiple-based interpretation</x:t>
        </x:r>
      </x:text>
    </x:comment>
    <x:comment ref="C16" authorId="0">
      <x:text>
        <x:r>
          <x:t>DCF normalized implied multiple</x:t>
        </x:r>
      </x:text>
    </x:comment>
    <x:comment ref="C17" authorId="0">
      <x:text>
        <x:r>
          <x:t>Historical market EV / current EBITDA</x:t>
        </x:r>
      </x:text>
    </x:comment>
    <x:comment ref="E4" authorId="0">
      <x:text>
        <x:r>
          <x:t>Reverse Multiple. Formula: =CHOOSE('DCF'!$E$5,"Base","Upside","Downside")
Review selected-case observations and Model Guide for definitions and held assumptions.</x:t>
        </x:r>
      </x:text>
    </x:comment>
    <x:comment ref="E8" authorId="0">
      <x:text>
        <x:r>
          <x:t>Reverse Multiple. Formula: ='DCF'!E24
Review selected-case observations and Model Guide for definitions and held assumptions.</x:t>
        </x:r>
      </x:text>
    </x:comment>
    <x:comment ref="E9" authorId="0">
      <x:text>
        <x:r>
          <x:t>Reverse Multiple. Formula: ='DCF'!E32
Review selected-case observations and Model Guide for definitions and held assumptions.</x:t>
        </x:r>
      </x:text>
    </x:comment>
    <x:comment ref="E11" authorId="0">
      <x:text>
        <x:r>
          <x:t>Reverse Multiple. Formula: ='Forecast'!I15+'Forecast'!I18
Review selected-case observations and Model Guide for definitions and held assumptions.</x:t>
        </x:r>
      </x:text>
    </x:comment>
    <x:comment ref="E12" authorId="0">
      <x:text>
        <x:r>
          <x:t>Reverse Multiple. Formula: =(E9-'DCF'!E18)*'DCF'!E20/E11
Review selected-case observations and Model Guide for definitions and held assumptions.</x:t>
        </x:r>
      </x:text>
    </x:comment>
    <x:comment ref="E16" authorId="0">
      <x:text>
        <x:r>
          <x:t>Reverse Multiple. Formula: ='Terminal Value'!E20
Review selected-case observations and Model Guide for definitions and held assumptions.</x:t>
        </x:r>
      </x:text>
    </x:comment>
    <x:comment ref="E17" authorId="0">
      <x:text>
        <x:r>
          <x:t>Reverse Multiple. Formula: ='DCF'!E32/('Historical Inputs'!N10+'Historical Inputs'!N33+'Historical Inputs'!N34)
Review selected-case observations and Model Guide for definitions and held assumptions.</x:t>
        </x:r>
      </x:text>
    </x:comment>
    <x:comment ref="C22" authorId="0">
      <x:text>
        <x:r>
          <x:t>Reverse Multiple. Editable source or analyst input.
Review selected-case observations and Model Guide for definitions and held assumptions.</x:t>
        </x:r>
      </x:text>
    </x:comment>
    <x:comment ref="D22" authorId="0">
      <x:text>
        <x:r>
          <x:t>Reverse Multiple. Formula: =('DCF'!E18+C22*$E$11/'DCF'!E20+'Equity Bridge'!E17)/'Equity Bridge'!E20
Review selected-case observations and Model Guide for definitions and held assumptions.</x:t>
        </x:r>
      </x:text>
    </x:comment>
    <x:comment ref="C23" authorId="0">
      <x:text>
        <x:r>
          <x:t>Reverse Multiple. Editable source or analyst input.
Review selected-case observations and Model Guide for definitions and held assumptions.</x:t>
        </x:r>
      </x:text>
    </x:comment>
    <x:comment ref="D23" authorId="0">
      <x:text>
        <x:r>
          <x:t>Reverse Multiple. Formula: =('DCF'!E18+C23*$E$11/'DCF'!E20+'Equity Bridge'!E17)/'Equity Bridge'!E20
Review selected-case observations and Model Guide for definitions and held assumptions.</x:t>
        </x:r>
      </x:text>
    </x:comment>
    <x:comment ref="C24" authorId="0">
      <x:text>
        <x:r>
          <x:t>Reverse Multiple. Editable source or analyst input.
Review selected-case observations and Model Guide for definitions and held assumptions.</x:t>
        </x:r>
      </x:text>
    </x:comment>
    <x:comment ref="D24" authorId="0">
      <x:text>
        <x:r>
          <x:t>Reverse Multiple. Formula: =('DCF'!E18+C24*$E$11/'DCF'!E20+'Equity Bridge'!E17)/'Equity Bridge'!E20
Review selected-case observations and Model Guide for definitions and held assumptions.</x:t>
        </x:r>
      </x:text>
    </x:comment>
    <x:comment ref="C25" authorId="0">
      <x:text>
        <x:r>
          <x:t>Reverse Multiple. Editable source or analyst input.
Review selected-case observations and Model Guide for definitions and held assumptions.</x:t>
        </x:r>
      </x:text>
    </x:comment>
    <x:comment ref="D25" authorId="0">
      <x:text>
        <x:r>
          <x:t>Reverse Multiple. Formula: =('DCF'!E18+C25*$E$11/'DCF'!E20+'Equity Bridge'!E17)/'Equity Bridge'!E20
Review selected-case observations and Model Guide for definitions and held assumptions.</x:t>
        </x:r>
      </x:text>
    </x:comment>
    <x:comment ref="C26" authorId="0">
      <x:text>
        <x:r>
          <x:t>Reverse Multiple. Editable source or analyst input.
Review selected-case observations and Model Guide for definitions and held assumptions.</x:t>
        </x:r>
      </x:text>
    </x:comment>
    <x:comment ref="D26" authorId="0">
      <x:text>
        <x:r>
          <x:t>Reverse Multiple. Formula: =('DCF'!E18+C26*$E$11/'DCF'!E20+'Equity Bridge'!E17)/'Equity Bridge'!E20
Review selected-case observations and Model Guide for definitions and held assumptions.</x:t>
        </x:r>
      </x:text>
    </x:comment>
    <x:comment ref="C27" authorId="0">
      <x:text>
        <x:r>
          <x:t>Reverse Multiple. Editable source or analyst input.
Review selected-case observations and Model Guide for definitions and held assumptions.</x:t>
        </x:r>
      </x:text>
    </x:comment>
    <x:comment ref="D27" authorId="0">
      <x:text>
        <x:r>
          <x:t>Reverse Multiple. Formula: =('DCF'!E18+C27*$E$11/'DCF'!E20+'Equity Bridge'!E17)/'Equity Bridge'!E20
Review selected-case observations and Model Guide for definitions and held assumptions.</x:t>
        </x:r>
      </x:text>
    </x:comment>
    <x:comment ref="C28" authorId="0">
      <x:text>
        <x:r>
          <x:t>Reverse Multiple. Editable source or analyst input.
Review selected-case observations and Model Guide for definitions and held assumptions.</x:t>
        </x:r>
      </x:text>
    </x:comment>
    <x:comment ref="D28" authorId="0">
      <x:text>
        <x:r>
          <x:t>Reverse Multiple. Formula: =('DCF'!E18+C28*$E$11/'DCF'!E20+'Equity Bridge'!E17)/'Equity Bridge'!E20
Review selected-case observations and Model Guide for definitions and held assumptions.</x:t>
        </x:r>
      </x:text>
    </x:comment>
    <x:comment ref="C29" authorId="0">
      <x:text>
        <x:r>
          <x:t>Reverse Multiple. Editable source or analyst input.
Review selected-case observations and Model Guide for definitions and held assumptions.</x:t>
        </x:r>
      </x:text>
    </x:comment>
    <x:comment ref="D29" authorId="0">
      <x:text>
        <x:r>
          <x:t>Reverse Multiple. Formula: =('DCF'!E18+C29*$E$11/'DCF'!E20+'Equity Bridge'!E17)/'Equity Bridge'!E20
Review selected-case observations and Model Guide for definitions and held assumptions.</x:t>
        </x:r>
      </x:text>
    </x:comment>
    <x:comment ref="C30" authorId="0">
      <x:text>
        <x:r>
          <x:t>Reverse Multiple. Editable source or analyst input.
Review selected-case observations and Model Guide for definitions and held assumptions.</x:t>
        </x:r>
      </x:text>
    </x:comment>
    <x:comment ref="D30" authorId="0">
      <x:text>
        <x:r>
          <x:t>Reverse Multiple. Formula: =('DCF'!E18+C30*$E$11/'DCF'!E20+'Equity Bridge'!E17)/'Equity Bridge'!E20
Review selected-case observations and Model Guide for definitions and held assumptions.</x:t>
        </x:r>
      </x:text>
    </x:comment>
    <x:comment ref="C35" authorId="0">
      <x:text>
        <x:r>
          <x:t>Reverse Multiple. Formula: ="The required terminal EV / EBITDA is "&amp;ROUND(E12,2)&amp;"x. "&amp;"An exit multiple is terminal enterprise value divided by final-year operating income plus D&amp;A. The required multiple solves the observed market price using the same explicit PV and bridge."
Review selected-case observations and Model Guide for definitions and held assumptions.</x:t>
        </x:r>
      </x:text>
    </x:comment>
  </x:commentList>
</x:comments>
</file>

<file path=xl/comments25.xml><?xml version="1.0" encoding="utf-8"?>
<x:comments xmlns:x="http://schemas.openxmlformats.org/spreadsheetml/2006/main">
  <x:authors>
    <x:author>Goran Brkich</x:author>
  </x:authors>
  <x:commentList>
    <x:comment ref="C8" authorId="0">
      <x:text>
        <x:r>
          <x:t>Selected operating value</x:t>
        </x:r>
      </x:text>
    </x:comment>
    <x:comment ref="C9" authorId="0">
      <x:text>
        <x:r>
          <x:t>Market operating value target</x:t>
        </x:r>
      </x:text>
    </x:comment>
    <x:comment ref="E10" authorId="0">
      <x:text>
        <x:r>
          <x:t>Operating value gap. The market target uses the identical bridge and share convention as the modeled equity value. Each test changes one driver while holding the rest fixed.
Excel formula: =E9-E8</x:t>
        </x:r>
      </x:text>
    </x:comment>
    <x:comment ref="C10" authorId="0">
      <x:text>
        <x:r>
          <x:t>The market target uses the identical bridge and share convention as the modeled equity value. Each test changes one driver while holding the rest fixed.</x:t>
        </x:r>
      </x:text>
    </x:comment>
    <x:comment ref="E12" authorId="0">
      <x:text>
        <x:r>
          <x:t>Shares implied with no cash outflow. Algebra only: divide unchanged equity value by the observed price. Actual buybacks consume equity value and cannot be ignored.
Excel formula: ='DCF'!E26/'Market Inputs'!E9</x:t>
        </x:r>
      </x:text>
    </x:comment>
    <x:comment ref="C12" authorId="0">
      <x:text>
        <x:r>
          <x:t>Algebra only: divide unchanged equity value by the observed price. Actual buybacks consume equity value and cannot be ignored.</x:t>
        </x:r>
      </x:text>
    </x:comment>
    <x:comment ref="C14" authorId="0">
      <x:text>
        <x:r>
          <x:t>Ownership interpretation</x:t>
        </x:r>
      </x:text>
    </x:comment>
    <x:comment ref="C16" authorId="0">
      <x:text>
        <x:r>
          <x:t>Shares notionally removed</x:t>
        </x:r>
      </x:text>
    </x:comment>
    <x:comment ref="C17" authorId="0">
      <x:text>
        <x:r>
          <x:t>Cash cost at observed market price</x:t>
        </x:r>
      </x:text>
    </x:comment>
    <x:comment ref="C18" authorId="0">
      <x:text>
        <x:r>
          <x:t>Equity after that buyback</x:t>
        </x:r>
      </x:text>
    </x:comment>
    <x:comment ref="C19" authorId="0">
      <x:text>
        <x:r>
          <x:t>Price with funded buyback</x:t>
        </x:r>
      </x:text>
    </x:comment>
    <x:comment ref="E4" authorId="0">
      <x:text>
        <x:r>
          <x:t>Ownership. Formula: =CHOOSE('DCF'!$E$5,"Base","Upside","Downside")
Review selected-case observations and Model Guide for definitions and held assumptions.</x:t>
        </x:r>
      </x:text>
    </x:comment>
    <x:comment ref="E8" authorId="0">
      <x:text>
        <x:r>
          <x:t>Ownership. Formula: ='DCF'!E24
Review selected-case observations and Model Guide for definitions and held assumptions.</x:t>
        </x:r>
      </x:text>
    </x:comment>
    <x:comment ref="E9" authorId="0">
      <x:text>
        <x:r>
          <x:t>Ownership. Formula: ='DCF'!E32
Review selected-case observations and Model Guide for definitions and held assumptions.</x:t>
        </x:r>
      </x:text>
    </x:comment>
    <x:comment ref="E16" authorId="0">
      <x:text>
        <x:r>
          <x:t>Ownership. Formula: ='Equity Bridge'!E20-E12
Review selected-case observations and Model Guide for definitions and held assumptions.</x:t>
        </x:r>
      </x:text>
    </x:comment>
    <x:comment ref="E17" authorId="0">
      <x:text>
        <x:r>
          <x:t>Ownership. Formula: =E16*'Market Inputs'!E9
Review selected-case observations and Model Guide for definitions and held assumptions.</x:t>
        </x:r>
      </x:text>
    </x:comment>
    <x:comment ref="E18" authorId="0">
      <x:text>
        <x:r>
          <x:t>Ownership. Formula: ='DCF'!E26-E17
Review selected-case observations and Model Guide for definitions and held assumptions.</x:t>
        </x:r>
      </x:text>
    </x:comment>
    <x:comment ref="E19" authorId="0">
      <x:text>
        <x:r>
          <x:t>Ownership. Formula: =E18/E12
Review selected-case observations and Model Guide for definitions and held assumptions.</x:t>
        </x:r>
      </x:text>
    </x:comment>
    <x:comment ref="D24" authorId="0">
      <x:text>
        <x:r>
          <x:t>Ownership. Formula: ='Market Inputs'!E11
Review selected-case observations and Model Guide for definitions and held assumptions.</x:t>
        </x:r>
      </x:text>
    </x:comment>
    <x:comment ref="E24" authorId="0">
      <x:text>
        <x:r>
          <x:t>Ownership. Formula: ='DCF'!E26/D24
Review selected-case observations and Model Guide for definitions and held assumptions.</x:t>
        </x:r>
      </x:text>
    </x:comment>
    <x:comment ref="D25" authorId="0">
      <x:text>
        <x:r>
          <x:t>Ownership. Formula: ='Equity Bridge'!E20
Review selected-case observations and Model Guide for definitions and held assumptions.</x:t>
        </x:r>
      </x:text>
    </x:comment>
    <x:comment ref="E25" authorId="0">
      <x:text>
        <x:r>
          <x:t>Ownership. Formula: ='DCF'!E26/D25
Review selected-case observations and Model Guide for definitions and held assumptions.</x:t>
        </x:r>
      </x:text>
    </x:comment>
    <x:comment ref="D26" authorId="0">
      <x:text>
        <x:r>
          <x:t>Ownership. Formula: ='Historical Inputs'!N14
Review selected-case observations and Model Guide for definitions and held assumptions.</x:t>
        </x:r>
      </x:text>
    </x:comment>
    <x:comment ref="E26" authorId="0">
      <x:text>
        <x:r>
          <x:t>Ownership. Formula: ='DCF'!E26/D26
Review selected-case observations and Model Guide for definitions and held assumptions.</x:t>
        </x:r>
      </x:text>
    </x:comment>
    <x:comment ref="C31" authorId="0">
      <x:text>
        <x:r>
          <x:t>Ownership. Formula: ="Removing shares without reducing equity would require "&amp;ROUND(E12,1)&amp;" million shares outstanding. "&amp;"The primary denominator is latest disclosed point shares plus the FY2026 diluted-minus-basic weighted-share proxy. The proxy is explicit and can be edited; it is not an exact option treasury-stock calculation."
Review selected-case observations and Model Guide for definitions and held assumptions.</x:t>
        </x:r>
      </x:text>
    </x:comment>
  </x:commentList>
</x:comments>
</file>

<file path=xl/comments26.xml><?xml version="1.0" encoding="utf-8"?>
<x:comments xmlns:x="http://schemas.openxmlformats.org/spreadsheetml/2006/main">
  <x:authors>
    <x:author>Goran Brkich</x:author>
  </x:authors>
  <x:commentList>
    <x:comment ref="E8" authorId="0">
      <x:text>
        <x:r>
          <x:t>Deterministic draws. Frozen seed 20261008; the same uniform matrix is reused in Excel and Python. No volatile RAND function is used.</x:t>
        </x:r>
      </x:text>
    </x:comment>
    <x:comment ref="C8" authorId="0">
      <x:text>
        <x:r>
          <x:t>Frozen seed 20261008; the same uniform matrix is reused in Excel and Python. No volatile RAND function is used.</x:t>
        </x:r>
      </x:text>
    </x:comment>
    <x:comment ref="C19" authorId="0">
      <x:text>
        <x:r>
          <x:t>Conditional price percentile 5</x:t>
        </x:r>
      </x:text>
    </x:comment>
    <x:comment ref="C20" authorId="0">
      <x:text>
        <x:r>
          <x:t>Conditional price percentile 25</x:t>
        </x:r>
      </x:text>
    </x:comment>
    <x:comment ref="C21" authorId="0">
      <x:text>
        <x:r>
          <x:t>Conditional price percentile 50</x:t>
        </x:r>
      </x:text>
    </x:comment>
    <x:comment ref="C22" authorId="0">
      <x:text>
        <x:r>
          <x:t>Conditional price percentile 75</x:t>
        </x:r>
      </x:text>
    </x:comment>
    <x:comment ref="C23" authorId="0">
      <x:text>
        <x:r>
          <x:t>Conditional price percentile 95</x:t>
        </x:r>
      </x:text>
    </x:comment>
    <x:comment ref="E24" authorId="0">
      <x:text>
        <x:r>
          <x:t>Share of draws above observed close. Frequency under subjective independent triangular priors, not a forecast probability of the future market price.
Excel formula: =COUNTIF(K32:K1031,"&gt;"&amp;'Market Inputs'!E9)/E8</x:t>
        </x:r>
      </x:text>
    </x:comment>
    <x:comment ref="C24" authorId="0">
      <x:text>
        <x:r>
          <x:t>Frequency under subjective independent triangular priors, not a forecast probability of the future market price.</x:t>
        </x:r>
      </x:text>
    </x:comment>
    <x:comment ref="K31" authorId="0">
      <x:text>
        <x:r>
          <x:t>Fixed uniforms X:AB are transformed with the inverse triangular CDF using D12:F16. Columns D:H are the five simulated drivers.</x:t>
        </x:r>
      </x:text>
    </x:comment>
    <x:comment ref="K32" authorId="0">
      <x:text>
        <x:r>
          <x:t>Each row applies the same five-year FCFF valuation, using a uniform revenue CAGR and selected ratios. Fair price equals enterprise value plus the bridge, divided by million shares.</x:t>
        </x:r>
      </x:text>
    </x:comment>
  </x:commentList>
</x:comments>
</file>

<file path=xl/comments27.xml><?xml version="1.0" encoding="utf-8"?>
<x:comments xmlns:x="http://schemas.openxmlformats.org/spreadsheetml/2006/main">
  <x:authors>
    <x:author>Goran Brkich</x:author>
  </x:authors>
  <x:commentList>
    <x:comment ref="E9" authorId="0">
      <x:text>
        <x:r>
          <x:t>Revenue. income source input. Match the fiscal period to the latest available comparative filing in source_crosswalk.csv. A missing disclosure is n.a., never a reported zero.
Source SRC-0001: Total revenue. Fiscal year 2017, report FY2019, PDF page 51.
Reported 96571.0 USD millions. Workbook 96571.0 USD millions. none. Status reported.
data/raw/reports/originals/Microsoft_FY2019_10K.pdf
https://www.microsoft.com/investor/reports/ar19/index.html</x:t>
        </x:r>
      </x:text>
    </x:comment>
    <x:comment ref="F9" authorId="0">
      <x:text>
        <x:r>
          <x:t>Revenue. income source input. Match the fiscal period to the latest available comparative filing in source_crosswalk.csv. A missing disclosure is n.a., never a reported zero.
Source SRC-0106: Total revenue. Fiscal year 2018, report FY2020, PDF page 55.
Reported 110360.0 USD millions. Workbook 110360.0 USD millions. none. Status reported.
data/raw/reports/originals/Microsoft_FY2020_10K.pdf
https://www.microsoft.com/investor/reports/ar20/index.html</x:t>
        </x:r>
      </x:text>
    </x:comment>
    <x:comment ref="G9" authorId="0">
      <x:text>
        <x:r>
          <x:t>Revenue. income source input. Match the fiscal period to the latest available comparative filing in source_crosswalk.csv. A missing disclosure is n.a., never a reported zero.
Source SRC-0211: Total revenue. Fiscal year 2019, report FY2021, PDF page 57.
Reported 125843.0 USD millions. Workbook 125843.0 USD millions. none. Status reported.
data/raw/reports/originals/Microsoft_FY2021_10K.pdf
https://www.microsoft.com/investor/reports/ar21/index.html</x:t>
        </x:r>
      </x:text>
    </x:comment>
    <x:comment ref="H9" authorId="0">
      <x:text>
        <x:r>
          <x:t>Revenue. income source input. Match the fiscal period to the latest available comparative filing in source_crosswalk.csv. A missing disclosure is n.a., never a reported zero.
Source SRC-0316: Total revenue. Fiscal year 2020, report FY2022, PDF page 57.
Reported 143015.0 USD millions. Workbook 143015.0 USD millions. none. Status reported.
data/raw/reports/originals/Microsoft_FY2022_10K.pdf
https://www.microsoft.com/investor/reports/ar22/index.html</x:t>
        </x:r>
      </x:text>
    </x:comment>
    <x:comment ref="I9" authorId="0">
      <x:text>
        <x:r>
          <x:t>Revenue. income source input. Match the fiscal period to the latest available comparative filing in source_crosswalk.csv. A missing disclosure is n.a., never a reported zero.
Source SRC-0422: Total revenue. Fiscal year 2021, report FY2023, PDF page 58.
Reported 168088.0 USD millions. Workbook 168088.0 USD millions. none. Status reported.
data/raw/reports/originals/Microsoft_FY2023_10K.pdf
https://www.microsoft.com/investor/reports/ar23/index.html</x:t>
        </x:r>
      </x:text>
    </x:comment>
    <x:comment ref="J9" authorId="0">
      <x:text>
        <x:r>
          <x:t>Revenue. income source input. Match the fiscal period to the latest available comparative filing in source_crosswalk.csv. A missing disclosure is n.a., never a reported zero.
Source SRC-0528: Total revenue. Fiscal year 2022, report FY2024, PDF page 56.
Reported 198270.0 USD millions. Workbook 198270.0 USD millions. none. Status reported.
data/raw/reports/originals/Microsoft_FY2024_10K.pdf
https://www.microsoft.com/investor/reports/ar24/index.html</x:t>
        </x:r>
      </x:text>
    </x:comment>
    <x:comment ref="K9" authorId="0">
      <x:text>
        <x:r>
          <x:t>Revenue. income source input. Match the fiscal period to the latest available comparative filing in source_crosswalk.csv. A missing disclosure is n.a., never a reported zero.
Source SRC-0633: Total revenue. Fiscal year 2023, report FY2025, PDF page 50.
Reported 211915.0 USD millions. Workbook 211915.0 USD millions. none. Status reported.
data/raw/reports/originals/Microsoft_FY2025_10K.pdf
https://www.microsoft.com/investor/reports/ar25/index.html</x:t>
        </x:r>
      </x:text>
    </x:comment>
    <x:comment ref="L9" authorId="0">
      <x:text>
        <x:r>
          <x:t>Revenue. income source input. Match the fiscal period to the latest available comparative filing in source_crosswalk.csv. A missing disclosure is n.a., never a reported zero.
Source SRC-0742: Total revenue. Fiscal year 2024, report FY2026, PDF page 50.
Reported 245122.0 USD millions. Workbook 245122.0 USD millions. none. Status reported.
data/raw/reports/originals/Microsoft_FY2026_10K.pdf
https://www.sec.gov/Archives/edgar/data/789019/000119312526323660/msft-20260630.htm</x:t>
        </x:r>
      </x:text>
    </x:comment>
    <x:comment ref="M9" authorId="0">
      <x:text>
        <x:r>
          <x:t>Revenue. income source input. Match the fiscal period to the latest available comparative filing in source_crosswalk.csv. A missing disclosure is n.a., never a reported zero.
Source SRC-0851: Total revenue. Fiscal year 2025, report FY2026, PDF page 50.
Reported 281724.0 USD millions. Workbook 281724.0 USD millions. none. Status reported.
data/raw/reports/originals/Microsoft_FY2026_10K.pdf
https://www.sec.gov/Archives/edgar/data/789019/000119312526323660/msft-20260630.htm</x:t>
        </x:r>
      </x:text>
    </x:comment>
    <x:comment ref="N9" authorId="0">
      <x:text>
        <x:r>
          <x:t>Revenue. income source input. Match the fiscal period to the latest available comparative filing in source_crosswalk.csv. A missing disclosure is n.a., never a reported zero.
Source SRC-0960: Total revenue. Fiscal year 2026, report FY2026, PDF page 50.
Reported 331839.0 USD millions. Workbook 331839.0 USD millions. none. Status reported.
data/raw/reports/originals/Microsoft_FY2026_10K.pdf
https://www.sec.gov/Archives/edgar/data/789019/000119312526323660/msft-20260630.htm</x:t>
        </x:r>
      </x:text>
    </x:comment>
    <x:comment ref="C9" authorId="0">
      <x:text>
        <x:r>
          <x:t>income source input. Match the fiscal period to the latest available comparative filing in source_crosswalk.csv. A missing disclosure is n.a., never a reported zero.</x:t>
        </x:r>
      </x:text>
    </x:comment>
    <x:comment ref="E10" authorId="0">
      <x:text>
        <x:r>
          <x:t>Operating income. income source input. Match the fiscal period to the latest available comparative filing in source_crosswalk.csv. A missing disclosure is n.a., never a reported zero.
Source SRC-0007: Operating income. Fiscal year 2017, report FY2019, PDF page 51.
Reported 29025.0 USD millions. Workbook 29025.0 USD millions. none. Status reported.
data/raw/reports/originals/Microsoft_FY2019_10K.pdf
https://www.microsoft.com/investor/reports/ar19/index.html</x:t>
        </x:r>
      </x:text>
    </x:comment>
    <x:comment ref="F10" authorId="0">
      <x:text>
        <x:r>
          <x:t>Operating income. income source input. Match the fiscal period to the latest available comparative filing in source_crosswalk.csv. A missing disclosure is n.a., never a reported zero.
Source SRC-0112: Operating income. Fiscal year 2018, report FY2020, PDF page 55.
Reported 35058.0 USD millions. Workbook 35058.0 USD millions. none. Status reported.
data/raw/reports/originals/Microsoft_FY2020_10K.pdf
https://www.microsoft.com/investor/reports/ar20/index.html</x:t>
        </x:r>
      </x:text>
    </x:comment>
    <x:comment ref="G10" authorId="0">
      <x:text>
        <x:r>
          <x:t>Operating income. income source input. Match the fiscal period to the latest available comparative filing in source_crosswalk.csv. A missing disclosure is n.a., never a reported zero.
Source SRC-0217: Operating income. Fiscal year 2019, report FY2021, PDF page 57.
Reported 42959.0 USD millions. Workbook 42959.0 USD millions. none. Status reported.
data/raw/reports/originals/Microsoft_FY2021_10K.pdf
https://www.microsoft.com/investor/reports/ar21/index.html</x:t>
        </x:r>
      </x:text>
    </x:comment>
    <x:comment ref="H10" authorId="0">
      <x:text>
        <x:r>
          <x:t>Operating income. income source input. Match the fiscal period to the latest available comparative filing in source_crosswalk.csv. A missing disclosure is n.a., never a reported zero.
Source SRC-0322: Operating income. Fiscal year 2020, report FY2022, PDF page 57.
Reported 52959.0 USD millions. Workbook 52959.0 USD millions. none. Status reported.
data/raw/reports/originals/Microsoft_FY2022_10K.pdf
https://www.microsoft.com/investor/reports/ar22/index.html</x:t>
        </x:r>
      </x:text>
    </x:comment>
    <x:comment ref="I10" authorId="0">
      <x:text>
        <x:r>
          <x:t>Operating income. income source input. Match the fiscal period to the latest available comparative filing in source_crosswalk.csv. A missing disclosure is n.a., never a reported zero.
Source SRC-0428: Operating income. Fiscal year 2021, report FY2023, PDF page 58.
Reported 69916.0 USD millions. Workbook 69916.0 USD millions. none. Status reported.
data/raw/reports/originals/Microsoft_FY2023_10K.pdf
https://www.microsoft.com/investor/reports/ar23/index.html</x:t>
        </x:r>
      </x:text>
    </x:comment>
    <x:comment ref="J10" authorId="0">
      <x:text>
        <x:r>
          <x:t>Operating income. income source input. Match the fiscal period to the latest available comparative filing in source_crosswalk.csv. A missing disclosure is n.a., never a reported zero.
Source SRC-0534: Operating income. Fiscal year 2022, report FY2024, PDF page 56.
Reported 83383.0 USD millions. Workbook 83383.0 USD millions. none. Status reported.
data/raw/reports/originals/Microsoft_FY2024_10K.pdf
https://www.microsoft.com/investor/reports/ar24/index.html</x:t>
        </x:r>
      </x:text>
    </x:comment>
    <x:comment ref="K10" authorId="0">
      <x:text>
        <x:r>
          <x:t>Operating income. income source input. Match the fiscal period to the latest available comparative filing in source_crosswalk.csv. A missing disclosure is n.a., never a reported zero.
Source SRC-0639: Operating income. Fiscal year 2023, report FY2025, PDF page 50.
Reported 88523.0 USD millions. Workbook 88523.0 USD millions. none. Status reported.
data/raw/reports/originals/Microsoft_FY2025_10K.pdf
https://www.microsoft.com/investor/reports/ar25/index.html</x:t>
        </x:r>
      </x:text>
    </x:comment>
    <x:comment ref="L10" authorId="0">
      <x:text>
        <x:r>
          <x:t>Operating income. income source input. Match the fiscal period to the latest available comparative filing in source_crosswalk.csv. A missing disclosure is n.a., never a reported zero.
Source SRC-0748: Operating income. Fiscal year 2024, report FY2026, PDF page 50.
Reported 109433.0 USD millions. Workbook 109433.0 USD millions. none. Status reported.
data/raw/reports/originals/Microsoft_FY2026_10K.pdf
https://www.sec.gov/Archives/edgar/data/789019/000119312526323660/msft-20260630.htm</x:t>
        </x:r>
      </x:text>
    </x:comment>
    <x:comment ref="M10" authorId="0">
      <x:text>
        <x:r>
          <x:t>Operating income. income source input. Match the fiscal period to the latest available comparative filing in source_crosswalk.csv. A missing disclosure is n.a., never a reported zero.
Source SRC-0857: Operating income. Fiscal year 2025, report FY2026, PDF page 50.
Reported 128528.0 USD millions. Workbook 128528.0 USD millions. none. Status reported.
data/raw/reports/originals/Microsoft_FY2026_10K.pdf
https://www.sec.gov/Archives/edgar/data/789019/000119312526323660/msft-20260630.htm</x:t>
        </x:r>
      </x:text>
    </x:comment>
    <x:comment ref="N10" authorId="0">
      <x:text>
        <x:r>
          <x:t>Operating income. income source input. Match the fiscal period to the latest available comparative filing in source_crosswalk.csv. A missing disclosure is n.a., never a reported zero.
Source SRC-0966: Operating income. Fiscal year 2026, report FY2026, PDF page 50.
Reported 155237.0 USD millions. Workbook 155237.0 USD millions. none. Status reported.
data/raw/reports/originals/Microsoft_FY2026_10K.pdf
https://www.sec.gov/Archives/edgar/data/789019/000119312526323660/msft-20260630.htm</x:t>
        </x:r>
      </x:text>
    </x:comment>
    <x:comment ref="C10" authorId="0">
      <x:text>
        <x:r>
          <x:t>income source input. Match the fiscal period to the latest available comparative filing in source_crosswalk.csv. A missing disclosure is n.a., never a reported zero.</x:t>
        </x:r>
      </x:text>
    </x:comment>
    <x:comment ref="E11" authorId="0">
      <x:text>
        <x:r>
          <x:t>Income tax expense. income source input. Match the fiscal period to the latest available comparative filing in source_crosswalk.csv. A missing disclosure is n.a., never a reported zero.
Source SRC-0010: Provision for income taxes. Fiscal year 2017, report FY2019, PDF page 51.
Reported 4412.0 USD millions. Workbook 4412.0 USD millions. none. Status reported.
data/raw/reports/originals/Microsoft_FY2019_10K.pdf
https://www.microsoft.com/investor/reports/ar19/index.html</x:t>
        </x:r>
      </x:text>
    </x:comment>
    <x:comment ref="F11" authorId="0">
      <x:text>
        <x:r>
          <x:t>Income tax expense. income source input. Match the fiscal period to the latest available comparative filing in source_crosswalk.csv. A missing disclosure is n.a., never a reported zero.
Source SRC-0115: Provision for income taxes. Fiscal year 2018, report FY2020, PDF page 55.
Reported 19903.0 USD millions. Workbook 19903.0 USD millions. none. Status reported.
data/raw/reports/originals/Microsoft_FY2020_10K.pdf
https://www.microsoft.com/investor/reports/ar20/index.html</x:t>
        </x:r>
      </x:text>
    </x:comment>
    <x:comment ref="G11" authorId="0">
      <x:text>
        <x:r>
          <x:t>Income tax expense. income source input. Match the fiscal period to the latest available comparative filing in source_crosswalk.csv. A missing disclosure is n.a., never a reported zero.
Source SRC-0220: Provision for income taxes. Fiscal year 2019, report FY2021, PDF page 57.
Reported 4448.0 USD millions. Workbook 4448.0 USD millions. none. Status reported.
data/raw/reports/originals/Microsoft_FY2021_10K.pdf
https://www.microsoft.com/investor/reports/ar21/index.html</x:t>
        </x:r>
      </x:text>
    </x:comment>
    <x:comment ref="H11" authorId="0">
      <x:text>
        <x:r>
          <x:t>Income tax expense. income source input. Match the fiscal period to the latest available comparative filing in source_crosswalk.csv. A missing disclosure is n.a., never a reported zero.
Source SRC-0325: Provision for income taxes. Fiscal year 2020, report FY2022, PDF page 57.
Reported 8755.0 USD millions. Workbook 8755.0 USD millions. none. Status reported.
data/raw/reports/originals/Microsoft_FY2022_10K.pdf
https://www.microsoft.com/investor/reports/ar22/index.html</x:t>
        </x:r>
      </x:text>
    </x:comment>
    <x:comment ref="I11" authorId="0">
      <x:text>
        <x:r>
          <x:t>Income tax expense. income source input. Match the fiscal period to the latest available comparative filing in source_crosswalk.csv. A missing disclosure is n.a., never a reported zero.
Source SRC-0431: Provision for income taxes. Fiscal year 2021, report FY2023, PDF page 58.
Reported 9831.0 USD millions. Workbook 9831.0 USD millions. none. Status reported.
data/raw/reports/originals/Microsoft_FY2023_10K.pdf
https://www.microsoft.com/investor/reports/ar23/index.html</x:t>
        </x:r>
      </x:text>
    </x:comment>
    <x:comment ref="J11" authorId="0">
      <x:text>
        <x:r>
          <x:t>Income tax expense. income source input. Match the fiscal period to the latest available comparative filing in source_crosswalk.csv. A missing disclosure is n.a., never a reported zero.
Source SRC-0537: Provision for income taxes. Fiscal year 2022, report FY2024, PDF page 56.
Reported 10978.0 USD millions. Workbook 10978.0 USD millions. none. Status reported.
data/raw/reports/originals/Microsoft_FY2024_10K.pdf
https://www.microsoft.com/investor/reports/ar24/index.html</x:t>
        </x:r>
      </x:text>
    </x:comment>
    <x:comment ref="K11" authorId="0">
      <x:text>
        <x:r>
          <x:t>Income tax expense. income source input. Match the fiscal period to the latest available comparative filing in source_crosswalk.csv. A missing disclosure is n.a., never a reported zero.
Source SRC-0642: Provision for income taxes. Fiscal year 2023, report FY2025, PDF page 50.
Reported 16950.0 USD millions. Workbook 16950.0 USD millions. none. Status reported.
data/raw/reports/originals/Microsoft_FY2025_10K.pdf
https://www.microsoft.com/investor/reports/ar25/index.html</x:t>
        </x:r>
      </x:text>
    </x:comment>
    <x:comment ref="L11" authorId="0">
      <x:text>
        <x:r>
          <x:t>Income tax expense. income source input. Match the fiscal period to the latest available comparative filing in source_crosswalk.csv. A missing disclosure is n.a., never a reported zero.
Source SRC-0751: Provision for income taxes. Fiscal year 2024, report FY2026, PDF page 50.
Reported 19651.0 USD millions. Workbook 19651.0 USD millions. none. Status reported.
data/raw/reports/originals/Microsoft_FY2026_10K.pdf
https://www.sec.gov/Archives/edgar/data/789019/000119312526323660/msft-20260630.htm</x:t>
        </x:r>
      </x:text>
    </x:comment>
    <x:comment ref="M11" authorId="0">
      <x:text>
        <x:r>
          <x:t>Income tax expense. income source input. Match the fiscal period to the latest available comparative filing in source_crosswalk.csv. A missing disclosure is n.a., never a reported zero.
Source SRC-0860: Provision for income taxes. Fiscal year 2025, report FY2026, PDF page 50.
Reported 21795.0 USD millions. Workbook 21795.0 USD millions. none. Status reported.
data/raw/reports/originals/Microsoft_FY2026_10K.pdf
https://www.sec.gov/Archives/edgar/data/789019/000119312526323660/msft-20260630.htm</x:t>
        </x:r>
      </x:text>
    </x:comment>
    <x:comment ref="N11" authorId="0">
      <x:text>
        <x:r>
          <x:t>Income tax expense. income source input. Match the fiscal period to the latest available comparative filing in source_crosswalk.csv. A missing disclosure is n.a., never a reported zero.
Source SRC-0969: Provision for income taxes. Fiscal year 2026, report FY2026, PDF page 50.
Reported 32185.0 USD millions. Workbook 32185.0 USD millions. none. Status reported.
data/raw/reports/originals/Microsoft_FY2026_10K.pdf
https://www.sec.gov/Archives/edgar/data/789019/000119312526323660/msft-20260630.htm</x:t>
        </x:r>
      </x:text>
    </x:comment>
    <x:comment ref="C11" authorId="0">
      <x:text>
        <x:r>
          <x:t>income source input. Match the fiscal period to the latest available comparative filing in source_crosswalk.csv. A missing disclosure is n.a., never a reported zero.</x:t>
        </x:r>
      </x:text>
    </x:comment>
    <x:comment ref="E12" authorId="0">
      <x:text>
        <x:r>
          <x:t>Pretax income. income source input. Match the fiscal period to the latest available comparative filing in source_crosswalk.csv. A missing disclosure is n.a., never a reported zero.
Source SRC-0009: Income before income taxes. Fiscal year 2017, report FY2019, PDF page 51.
Reported 29901.0 USD millions. Workbook 29901.0 USD millions. none. Status reported.
data/raw/reports/originals/Microsoft_FY2019_10K.pdf
https://www.microsoft.com/investor/reports/ar19/index.html</x:t>
        </x:r>
      </x:text>
    </x:comment>
    <x:comment ref="F12" authorId="0">
      <x:text>
        <x:r>
          <x:t>Pretax income. income source input. Match the fiscal period to the latest available comparative filing in source_crosswalk.csv. A missing disclosure is n.a., never a reported zero.
Source SRC-0114: Income before income taxes. Fiscal year 2018, report FY2020, PDF page 55.
Reported 36474.0 USD millions. Workbook 36474.0 USD millions. none. Status reported.
data/raw/reports/originals/Microsoft_FY2020_10K.pdf
https://www.microsoft.com/investor/reports/ar20/index.html</x:t>
        </x:r>
      </x:text>
    </x:comment>
    <x:comment ref="G12" authorId="0">
      <x:text>
        <x:r>
          <x:t>Pretax income. income source input. Match the fiscal period to the latest available comparative filing in source_crosswalk.csv. A missing disclosure is n.a., never a reported zero.
Source SRC-0219: Income before income taxes. Fiscal year 2019, report FY2021, PDF page 57.
Reported 43688.0 USD millions. Workbook 43688.0 USD millions. none. Status reported.
data/raw/reports/originals/Microsoft_FY2021_10K.pdf
https://www.microsoft.com/investor/reports/ar21/index.html</x:t>
        </x:r>
      </x:text>
    </x:comment>
    <x:comment ref="H12" authorId="0">
      <x:text>
        <x:r>
          <x:t>Pretax income. income source input. Match the fiscal period to the latest available comparative filing in source_crosswalk.csv. A missing disclosure is n.a., never a reported zero.
Source SRC-0324: Income before income taxes. Fiscal year 2020, report FY2022, PDF page 57.
Reported 53036.0 USD millions. Workbook 53036.0 USD millions. none. Status reported.
data/raw/reports/originals/Microsoft_FY2022_10K.pdf
https://www.microsoft.com/investor/reports/ar22/index.html</x:t>
        </x:r>
      </x:text>
    </x:comment>
    <x:comment ref="I12" authorId="0">
      <x:text>
        <x:r>
          <x:t>Pretax income. income source input. Match the fiscal period to the latest available comparative filing in source_crosswalk.csv. A missing disclosure is n.a., never a reported zero.
Source SRC-0430: Income before income taxes. Fiscal year 2021, report FY2023, PDF page 58.
Reported 71102.0 USD millions. Workbook 71102.0 USD millions. none. Status reported.
data/raw/reports/originals/Microsoft_FY2023_10K.pdf
https://www.microsoft.com/investor/reports/ar23/index.html</x:t>
        </x:r>
      </x:text>
    </x:comment>
    <x:comment ref="J12" authorId="0">
      <x:text>
        <x:r>
          <x:t>Pretax income. income source input. Match the fiscal period to the latest available comparative filing in source_crosswalk.csv. A missing disclosure is n.a., never a reported zero.
Source SRC-0536: Income before income taxes. Fiscal year 2022, report FY2024, PDF page 56.
Reported 83716.0 USD millions. Workbook 83716.0 USD millions. none. Status reported.
data/raw/reports/originals/Microsoft_FY2024_10K.pdf
https://www.microsoft.com/investor/reports/ar24/index.html</x:t>
        </x:r>
      </x:text>
    </x:comment>
    <x:comment ref="K12" authorId="0">
      <x:text>
        <x:r>
          <x:t>Pretax income. income source input. Match the fiscal period to the latest available comparative filing in source_crosswalk.csv. A missing disclosure is n.a., never a reported zero.
Source SRC-0641: Income before income taxes. Fiscal year 2023, report FY2025, PDF page 50.
Reported 89311.0 USD millions. Workbook 89311.0 USD millions. none. Status reported.
data/raw/reports/originals/Microsoft_FY2025_10K.pdf
https://www.microsoft.com/investor/reports/ar25/index.html</x:t>
        </x:r>
      </x:text>
    </x:comment>
    <x:comment ref="L12" authorId="0">
      <x:text>
        <x:r>
          <x:t>Pretax income. income source input. Match the fiscal period to the latest available comparative filing in source_crosswalk.csv. A missing disclosure is n.a., never a reported zero.
Source SRC-0750: Income before income taxes. Fiscal year 2024, report FY2026, PDF page 50.
Reported 107787.0 USD millions. Workbook 107787.0 USD millions. none. Status reported.
data/raw/reports/originals/Microsoft_FY2026_10K.pdf
https://www.sec.gov/Archives/edgar/data/789019/000119312526323660/msft-20260630.htm</x:t>
        </x:r>
      </x:text>
    </x:comment>
    <x:comment ref="M12" authorId="0">
      <x:text>
        <x:r>
          <x:t>Pretax income. income source input. Match the fiscal period to the latest available comparative filing in source_crosswalk.csv. A missing disclosure is n.a., never a reported zero.
Source SRC-0859: Income before income taxes. Fiscal year 2025, report FY2026, PDF page 50.
Reported 123627.0 USD millions. Workbook 123627.0 USD millions. none. Status reported.
data/raw/reports/originals/Microsoft_FY2026_10K.pdf
https://www.sec.gov/Archives/edgar/data/789019/000119312526323660/msft-20260630.htm</x:t>
        </x:r>
      </x:text>
    </x:comment>
    <x:comment ref="N12" authorId="0">
      <x:text>
        <x:r>
          <x:t>Pretax income. income source input. Match the fiscal period to the latest available comparative filing in source_crosswalk.csv. A missing disclosure is n.a., never a reported zero.
Source SRC-0968: Income before income taxes. Fiscal year 2026, report FY2026, PDF page 50.
Reported 165934.0 USD millions. Workbook 165934.0 USD millions. none. Status reported.
data/raw/reports/originals/Microsoft_FY2026_10K.pdf
https://www.sec.gov/Archives/edgar/data/789019/000119312526323660/msft-20260630.htm</x:t>
        </x:r>
      </x:text>
    </x:comment>
    <x:comment ref="C12" authorId="0">
      <x:text>
        <x:r>
          <x:t>income source input. Match the fiscal period to the latest available comparative filing in source_crosswalk.csv. A missing disclosure is n.a., never a reported zero.</x:t>
        </x:r>
      </x:text>
    </x:comment>
    <x:comment ref="E13" authorId="0">
      <x:text>
        <x:r>
          <x:t>Weighted average basic shares. income source input. Match the fiscal period to the latest available comparative filing in source_crosswalk.csv. A missing disclosure is n.a., never a reported zero.
Source SRC-0014: Basic. Fiscal year 2017, report FY2019, PDF page 51.
Reported 7746.0 million shares. Workbook 7746.0 million shares. none. Status reported.
data/raw/reports/originals/Microsoft_FY2019_10K.pdf
https://www.microsoft.com/investor/reports/ar19/index.html</x:t>
        </x:r>
      </x:text>
    </x:comment>
    <x:comment ref="F13" authorId="0">
      <x:text>
        <x:r>
          <x:t>Weighted average basic shares. income source input. Match the fiscal period to the latest available comparative filing in source_crosswalk.csv. A missing disclosure is n.a., never a reported zero.
Source SRC-0119: Basic. Fiscal year 2018, report FY2020, PDF page 55.
Reported 7700.0 million shares. Workbook 7700.0 million shares. none. Status reported.
data/raw/reports/originals/Microsoft_FY2020_10K.pdf
https://www.microsoft.com/investor/reports/ar20/index.html</x:t>
        </x:r>
      </x:text>
    </x:comment>
    <x:comment ref="G13" authorId="0">
      <x:text>
        <x:r>
          <x:t>Weighted average basic shares. income source input. Match the fiscal period to the latest available comparative filing in source_crosswalk.csv. A missing disclosure is n.a., never a reported zero.
Source SRC-0224: Basic. Fiscal year 2019, report FY2021, PDF page 57.
Reported 7673.0 million shares. Workbook 7673.0 million shares. none. Status reported.
data/raw/reports/originals/Microsoft_FY2021_10K.pdf
https://www.microsoft.com/investor/reports/ar21/index.html</x:t>
        </x:r>
      </x:text>
    </x:comment>
    <x:comment ref="H13" authorId="0">
      <x:text>
        <x:r>
          <x:t>Weighted average basic shares. income source input. Match the fiscal period to the latest available comparative filing in source_crosswalk.csv. A missing disclosure is n.a., never a reported zero.
Source SRC-0329: Basic. Fiscal year 2020, report FY2022, PDF page 57.
Reported 7610.0 million shares. Workbook 7610.0 million shares. none. Status reported.
data/raw/reports/originals/Microsoft_FY2022_10K.pdf
https://www.microsoft.com/investor/reports/ar22/index.html</x:t>
        </x:r>
      </x:text>
    </x:comment>
    <x:comment ref="I13" authorId="0">
      <x:text>
        <x:r>
          <x:t>Weighted average basic shares. income source input. Match the fiscal period to the latest available comparative filing in source_crosswalk.csv. A missing disclosure is n.a., never a reported zero.
Source SRC-0435: Basic. Fiscal year 2021, report FY2023, PDF page 58.
Reported 7547.0 million shares. Workbook 7547.0 million shares. none. Status reported.
data/raw/reports/originals/Microsoft_FY2023_10K.pdf
https://www.microsoft.com/investor/reports/ar23/index.html</x:t>
        </x:r>
      </x:text>
    </x:comment>
    <x:comment ref="J13" authorId="0">
      <x:text>
        <x:r>
          <x:t>Weighted average basic shares. income source input. Match the fiscal period to the latest available comparative filing in source_crosswalk.csv. A missing disclosure is n.a., never a reported zero.
Source SRC-0541: Basic. Fiscal year 2022, report FY2024, PDF page 56.
Reported 7496.0 million shares. Workbook 7496.0 million shares. none. Status reported.
data/raw/reports/originals/Microsoft_FY2024_10K.pdf
https://www.microsoft.com/investor/reports/ar24/index.html</x:t>
        </x:r>
      </x:text>
    </x:comment>
    <x:comment ref="K13" authorId="0">
      <x:text>
        <x:r>
          <x:t>Weighted average basic shares. income source input. Match the fiscal period to the latest available comparative filing in source_crosswalk.csv. A missing disclosure is n.a., never a reported zero.
Source SRC-0646: Basic. Fiscal year 2023, report FY2025, PDF page 50.
Reported 7446.0 million shares. Workbook 7446.0 million shares. none. Status reported.
data/raw/reports/originals/Microsoft_FY2025_10K.pdf
https://www.microsoft.com/investor/reports/ar25/index.html</x:t>
        </x:r>
      </x:text>
    </x:comment>
    <x:comment ref="L13" authorId="0">
      <x:text>
        <x:r>
          <x:t>Weighted average basic shares. income source input. Match the fiscal period to the latest available comparative filing in source_crosswalk.csv. A missing disclosure is n.a., never a reported zero.
Source SRC-0755: Basic. Fiscal year 2024, report FY2026, PDF page 50.
Reported 7431.0 million shares. Workbook 7431.0 million shares. none. Status reported.
data/raw/reports/originals/Microsoft_FY2026_10K.pdf
https://www.sec.gov/Archives/edgar/data/789019/000119312526323660/msft-20260630.htm</x:t>
        </x:r>
      </x:text>
    </x:comment>
    <x:comment ref="M13" authorId="0">
      <x:text>
        <x:r>
          <x:t>Weighted average basic shares. income source input. Match the fiscal period to the latest available comparative filing in source_crosswalk.csv. A missing disclosure is n.a., never a reported zero.
Source SRC-0864: Basic. Fiscal year 2025, report FY2026, PDF page 50.
Reported 7433.0 million shares. Workbook 7433.0 million shares. none. Status reported.
data/raw/reports/originals/Microsoft_FY2026_10K.pdf
https://www.sec.gov/Archives/edgar/data/789019/000119312526323660/msft-20260630.htm</x:t>
        </x:r>
      </x:text>
    </x:comment>
    <x:comment ref="N13" authorId="0">
      <x:text>
        <x:r>
          <x:t>Weighted average basic shares. income source input. Match the fiscal period to the latest available comparative filing in source_crosswalk.csv. A missing disclosure is n.a., never a reported zero.
Source SRC-0973: Basic. Fiscal year 2026, report FY2026, PDF page 50.
Reported 7429.0 million shares. Workbook 7429.0 million shares. none. Status reported.
data/raw/reports/originals/Microsoft_FY2026_10K.pdf
https://www.sec.gov/Archives/edgar/data/789019/000119312526323660/msft-20260630.htm</x:t>
        </x:r>
      </x:text>
    </x:comment>
    <x:comment ref="C13" authorId="0">
      <x:text>
        <x:r>
          <x:t>income source input. Match the fiscal period to the latest available comparative filing in source_crosswalk.csv. A missing disclosure is n.a., never a reported zero.</x:t>
        </x:r>
      </x:text>
    </x:comment>
    <x:comment ref="E14" authorId="0">
      <x:text>
        <x:r>
          <x:t>Weighted average diluted shares. income source input. Match the fiscal period to the latest available comparative filing in source_crosswalk.csv. A missing disclosure is n.a., never a reported zero.
Source SRC-0015: Diluted. Fiscal year 2017, report FY2019, PDF page 51.
Reported 7832.0 million shares. Workbook 7832.0 million shares. none. Status reported.
data/raw/reports/originals/Microsoft_FY2019_10K.pdf
https://www.microsoft.com/investor/reports/ar19/index.html</x:t>
        </x:r>
      </x:text>
    </x:comment>
    <x:comment ref="F14" authorId="0">
      <x:text>
        <x:r>
          <x:t>Weighted average diluted shares. income source input. Match the fiscal period to the latest available comparative filing in source_crosswalk.csv. A missing disclosure is n.a., never a reported zero.
Source SRC-0120: Diluted. Fiscal year 2018, report FY2020, PDF page 55.
Reported 7794.0 million shares. Workbook 7794.0 million shares. none. Status reported.
data/raw/reports/originals/Microsoft_FY2020_10K.pdf
https://www.microsoft.com/investor/reports/ar20/index.html</x:t>
        </x:r>
      </x:text>
    </x:comment>
    <x:comment ref="G14" authorId="0">
      <x:text>
        <x:r>
          <x:t>Weighted average diluted shares. income source input. Match the fiscal period to the latest available comparative filing in source_crosswalk.csv. A missing disclosure is n.a., never a reported zero.
Source SRC-0225: Diluted. Fiscal year 2019, report FY2021, PDF page 57.
Reported 7753.0 million shares. Workbook 7753.0 million shares. none. Status reported.
data/raw/reports/originals/Microsoft_FY2021_10K.pdf
https://www.microsoft.com/investor/reports/ar21/index.html</x:t>
        </x:r>
      </x:text>
    </x:comment>
    <x:comment ref="H14" authorId="0">
      <x:text>
        <x:r>
          <x:t>Weighted average diluted shares. income source input. Match the fiscal period to the latest available comparative filing in source_crosswalk.csv. A missing disclosure is n.a., never a reported zero.
Source SRC-0330: Diluted. Fiscal year 2020, report FY2022, PDF page 57.
Reported 7683.0 million shares. Workbook 7683.0 million shares. none. Status reported.
data/raw/reports/originals/Microsoft_FY2022_10K.pdf
https://www.microsoft.com/investor/reports/ar22/index.html</x:t>
        </x:r>
      </x:text>
    </x:comment>
    <x:comment ref="I14" authorId="0">
      <x:text>
        <x:r>
          <x:t>Weighted average diluted shares. income source input. Match the fiscal period to the latest available comparative filing in source_crosswalk.csv. A missing disclosure is n.a., never a reported zero.
Source SRC-0436: Diluted. Fiscal year 2021, report FY2023, PDF page 58.
Reported 7608.0 million shares. Workbook 7608.0 million shares. none. Status reported.
data/raw/reports/originals/Microsoft_FY2023_10K.pdf
https://www.microsoft.com/investor/reports/ar23/index.html</x:t>
        </x:r>
      </x:text>
    </x:comment>
    <x:comment ref="J14" authorId="0">
      <x:text>
        <x:r>
          <x:t>Weighted average diluted shares. income source input. Match the fiscal period to the latest available comparative filing in source_crosswalk.csv. A missing disclosure is n.a., never a reported zero.
Source SRC-0542: Diluted. Fiscal year 2022, report FY2024, PDF page 56.
Reported 7540.0 million shares. Workbook 7540.0 million shares. none. Status reported.
data/raw/reports/originals/Microsoft_FY2024_10K.pdf
https://www.microsoft.com/investor/reports/ar24/index.html</x:t>
        </x:r>
      </x:text>
    </x:comment>
    <x:comment ref="K14" authorId="0">
      <x:text>
        <x:r>
          <x:t>Weighted average diluted shares. income source input. Match the fiscal period to the latest available comparative filing in source_crosswalk.csv. A missing disclosure is n.a., never a reported zero.
Source SRC-0647: Diluted. Fiscal year 2023, report FY2025, PDF page 50.
Reported 7472.0 million shares. Workbook 7472.0 million shares. none. Status reported.
data/raw/reports/originals/Microsoft_FY2025_10K.pdf
https://www.microsoft.com/investor/reports/ar25/index.html</x:t>
        </x:r>
      </x:text>
    </x:comment>
    <x:comment ref="L14" authorId="0">
      <x:text>
        <x:r>
          <x:t>Weighted average diluted shares. income source input. Match the fiscal period to the latest available comparative filing in source_crosswalk.csv. A missing disclosure is n.a., never a reported zero.
Source SRC-0756: Diluted. Fiscal year 2024, report FY2026, PDF page 50.
Reported 7469.0 million shares. Workbook 7469.0 million shares. none. Status reported.
data/raw/reports/originals/Microsoft_FY2026_10K.pdf
https://www.sec.gov/Archives/edgar/data/789019/000119312526323660/msft-20260630.htm</x:t>
        </x:r>
      </x:text>
    </x:comment>
    <x:comment ref="M14" authorId="0">
      <x:text>
        <x:r>
          <x:t>Weighted average diluted shares. income source input. Match the fiscal period to the latest available comparative filing in source_crosswalk.csv. A missing disclosure is n.a., never a reported zero.
Source SRC-0865: Diluted. Fiscal year 2025, report FY2026, PDF page 50.
Reported 7465.0 million shares. Workbook 7465.0 million shares. none. Status reported.
data/raw/reports/originals/Microsoft_FY2026_10K.pdf
https://www.sec.gov/Archives/edgar/data/789019/000119312526323660/msft-20260630.htm</x:t>
        </x:r>
      </x:text>
    </x:comment>
    <x:comment ref="N14" authorId="0">
      <x:text>
        <x:r>
          <x:t>Weighted average diluted shares. income source input. Match the fiscal period to the latest available comparative filing in source_crosswalk.csv. A missing disclosure is n.a., never a reported zero.
Source SRC-0974: Diluted. Fiscal year 2026, report FY2026, PDF page 50.
Reported 7453.0 million shares. Workbook 7453.0 million shares. none. Status reported.
data/raw/reports/originals/Microsoft_FY2026_10K.pdf
https://www.sec.gov/Archives/edgar/data/789019/000119312526323660/msft-20260630.htm</x:t>
        </x:r>
      </x:text>
    </x:comment>
    <x:comment ref="C14" authorId="0">
      <x:text>
        <x:r>
          <x:t>income source input. Match the fiscal period to the latest available comparative filing in source_crosswalk.csv. A missing disclosure is n.a., never a reported zero.</x:t>
        </x:r>
      </x:text>
    </x:comment>
    <x:comment ref="E15" authorId="0">
      <x:text>
        <x:r>
          <x:t>Cash flow depreciation and other adjustments. cashflow source input. Match the fiscal period to the latest available comparative filing in source_crosswalk.csv. A missing disclosure is n.a., never a reported zero.
Source SRC-0053: Depreciation, amortization, and other. Fiscal year 2017, report FY2019, PDF page 54.
Reported 8778.0 USD millions. Workbook 8778.0 USD millions. none. Status reported.
data/raw/reports/originals/Microsoft_FY2019_10K.pdf
https://www.microsoft.com/investor/reports/ar19/index.html</x:t>
        </x:r>
      </x:text>
    </x:comment>
    <x:comment ref="F15" authorId="0">
      <x:text>
        <x:r>
          <x:t>Cash flow depreciation and other adjustments. cashflow source input. Match the fiscal period to the latest available comparative filing in source_crosswalk.csv. A missing disclosure is n.a., never a reported zero.
Source SRC-0158: Depreciation, amortization, and other. Fiscal year 2018, report FY2020, PDF page 58.
Reported 10261.0 USD millions. Workbook 10261.0 USD millions. none. Status reported.
data/raw/reports/originals/Microsoft_FY2020_10K.pdf
https://www.microsoft.com/investor/reports/ar20/index.html</x:t>
        </x:r>
      </x:text>
    </x:comment>
    <x:comment ref="G15" authorId="0">
      <x:text>
        <x:r>
          <x:t>Cash flow depreciation and other adjustments. cashflow source input. Match the fiscal period to the latest available comparative filing in source_crosswalk.csv. A missing disclosure is n.a., never a reported zero.
Source SRC-0263: Depreciation, amortization, and other. Fiscal year 2019, report FY2021, PDF page 60.
Reported 11682.0 USD millions. Workbook 11682.0 USD millions. none. Status reported.
data/raw/reports/originals/Microsoft_FY2021_10K.pdf
https://www.microsoft.com/investor/reports/ar21/index.html</x:t>
        </x:r>
      </x:text>
    </x:comment>
    <x:comment ref="H15" authorId="0">
      <x:text>
        <x:r>
          <x:t>Cash flow depreciation and other adjustments. cashflow source input. Match the fiscal period to the latest available comparative filing in source_crosswalk.csv. A missing disclosure is n.a., never a reported zero.
Source SRC-0368: Depreciation, amortization, and other. Fiscal year 2020, report FY2022, PDF page 60.
Reported 12796.0 USD millions. Workbook 12796.0 USD millions. none. Status reported.
data/raw/reports/originals/Microsoft_FY2022_10K.pdf
https://www.microsoft.com/investor/reports/ar22/index.html</x:t>
        </x:r>
      </x:text>
    </x:comment>
    <x:comment ref="I15" authorId="0">
      <x:text>
        <x:r>
          <x:t>Cash flow depreciation and other adjustments. cashflow source input. Match the fiscal period to the latest available comparative filing in source_crosswalk.csv. A missing disclosure is n.a., never a reported zero.
Source SRC-0474: Depreciation, amortization, and other. Fiscal year 2021, report FY2023, PDF page 61.
Reported 11686.0 USD millions. Workbook 11686.0 USD millions. none. Status reported.
data/raw/reports/originals/Microsoft_FY2023_10K.pdf
https://www.microsoft.com/investor/reports/ar23/index.html</x:t>
        </x:r>
      </x:text>
    </x:comment>
    <x:comment ref="J15" authorId="0">
      <x:text>
        <x:r>
          <x:t>Cash flow depreciation and other adjustments. cashflow source input. Match the fiscal period to the latest available comparative filing in source_crosswalk.csv. A missing disclosure is n.a., never a reported zero.
Source SRC-0580: Depreciation, amortization, and other. Fiscal year 2022, report FY2024, PDF page 59.
Reported 14460.0 USD millions. Workbook 14460.0 USD millions. none. Status reported.
data/raw/reports/originals/Microsoft_FY2024_10K.pdf
https://www.microsoft.com/investor/reports/ar24/index.html</x:t>
        </x:r>
      </x:text>
    </x:comment>
    <x:comment ref="K15" authorId="0">
      <x:text>
        <x:r>
          <x:t>Cash flow depreciation and other adjustments. cashflow source input. Match the fiscal period to the latest available comparative filing in source_crosswalk.csv. A missing disclosure is n.a., never a reported zero.
Source SRC-0685: Depreciation, amortization, and other. Fiscal year 2023, report FY2025, PDF page 53.
Reported 13861.0 USD millions. Workbook 13861.0 USD millions. none. Status reported.
data/raw/reports/originals/Microsoft_FY2025_10K.pdf
https://www.microsoft.com/investor/reports/ar25/index.html</x:t>
        </x:r>
      </x:text>
    </x:comment>
    <x:comment ref="L15" authorId="0">
      <x:text>
        <x:r>
          <x:t>Cash flow depreciation and other adjustments. cashflow source input. Match the fiscal period to the latest available comparative filing in source_crosswalk.csv. A missing disclosure is n.a., never a reported zero.
Source SRC-0794: Depreciation, amortization, and other. Fiscal year 2024, report FY2026, PDF page 53.
Reported 20958.0 USD millions. Workbook 20958.0 USD millions. none. Status reported.
data/raw/reports/originals/Microsoft_FY2026_10K.pdf
https://www.sec.gov/Archives/edgar/data/789019/000119312526323660/msft-20260630.htm</x:t>
        </x:r>
      </x:text>
    </x:comment>
    <x:comment ref="M15" authorId="0">
      <x:text>
        <x:r>
          <x:t>Cash flow depreciation and other adjustments. cashflow source input. Match the fiscal period to the latest available comparative filing in source_crosswalk.csv. A missing disclosure is n.a., never a reported zero.
Source SRC-0903: Depreciation, amortization, and other. Fiscal year 2025, report FY2026, PDF page 53.
Reported 29433.0 USD millions. Workbook 29433.0 USD millions. none. Status reported.
data/raw/reports/originals/Microsoft_FY2026_10K.pdf
https://www.sec.gov/Archives/edgar/data/789019/000119312526323660/msft-20260630.htm</x:t>
        </x:r>
      </x:text>
    </x:comment>
    <x:comment ref="N15" authorId="0">
      <x:text>
        <x:r>
          <x:t>Cash flow depreciation and other adjustments. cashflow source input. Match the fiscal period to the latest available comparative filing in source_crosswalk.csv. A missing disclosure is n.a., never a reported zero.
Source SRC-1012: Depreciation, amortization, and other. Fiscal year 2026, report FY2026, PDF page 53.
Reported 38534.0 USD millions. Workbook 38534.0 USD millions. none. Status reported.
data/raw/reports/originals/Microsoft_FY2026_10K.pdf
https://www.sec.gov/Archives/edgar/data/789019/000119312526323660/msft-20260630.htm</x:t>
        </x:r>
      </x:text>
    </x:comment>
    <x:comment ref="C15" authorId="0">
      <x:text>
        <x:r>
          <x:t>cashflow source input. Match the fiscal period to the latest available comparative filing in source_crosswalk.csv. A missing disclosure is n.a., never a reported zero.</x:t>
        </x:r>
      </x:text>
    </x:comment>
    <x:comment ref="E16" authorId="0">
      <x:text>
        <x:r>
          <x:t>Operating cash flow. cashflow source input. Match the fiscal period to the latest available comparative filing in source_crosswalk.csv. A missing disclosure is n.a., never a reported zero.
Source SRC-0066: Net cash from operations. Fiscal year 2017, report FY2019, PDF page 54.
Reported 39507.0 USD millions. Workbook 39507.0 USD millions. none. Status reported.
data/raw/reports/originals/Microsoft_FY2019_10K.pdf
https://www.microsoft.com/investor/reports/ar19/index.html</x:t>
        </x:r>
      </x:text>
    </x:comment>
    <x:comment ref="F16" authorId="0">
      <x:text>
        <x:r>
          <x:t>Operating cash flow. cashflow source input. Match the fiscal period to the latest available comparative filing in source_crosswalk.csv. A missing disclosure is n.a., never a reported zero.
Source SRC-0171: Net cash from operations. Fiscal year 2018, report FY2020, PDF page 58.
Reported 43884.0 USD millions. Workbook 43884.0 USD millions. none. Status reported.
data/raw/reports/originals/Microsoft_FY2020_10K.pdf
https://www.microsoft.com/investor/reports/ar20/index.html</x:t>
        </x:r>
      </x:text>
    </x:comment>
    <x:comment ref="G16" authorId="0">
      <x:text>
        <x:r>
          <x:t>Operating cash flow. cashflow source input. Match the fiscal period to the latest available comparative filing in source_crosswalk.csv. A missing disclosure is n.a., never a reported zero.
Source SRC-0276: Net cash from operations. Fiscal year 2019, report FY2021, PDF page 60.
Reported 52185.0 USD millions. Workbook 52185.0 USD millions. none. Status reported.
data/raw/reports/originals/Microsoft_FY2021_10K.pdf
https://www.microsoft.com/investor/reports/ar21/index.html</x:t>
        </x:r>
      </x:text>
    </x:comment>
    <x:comment ref="H16" authorId="0">
      <x:text>
        <x:r>
          <x:t>Operating cash flow. cashflow source input. Match the fiscal period to the latest available comparative filing in source_crosswalk.csv. A missing disclosure is n.a., never a reported zero.
Source SRC-0381: Net cash from operations. Fiscal year 2020, report FY2022, PDF page 60.
Reported 60675.0 USD millions. Workbook 60675.0 USD millions. none. Status reported.
data/raw/reports/originals/Microsoft_FY2022_10K.pdf
https://www.microsoft.com/investor/reports/ar22/index.html</x:t>
        </x:r>
      </x:text>
    </x:comment>
    <x:comment ref="I16" authorId="0">
      <x:text>
        <x:r>
          <x:t>Operating cash flow. cashflow source input. Match the fiscal period to the latest available comparative filing in source_crosswalk.csv. A missing disclosure is n.a., never a reported zero.
Source SRC-0487: Net cash from operations. Fiscal year 2021, report FY2023, PDF page 61.
Reported 76740.0 USD millions. Workbook 76740.0 USD millions. none. Status reported.
data/raw/reports/originals/Microsoft_FY2023_10K.pdf
https://www.microsoft.com/investor/reports/ar23/index.html</x:t>
        </x:r>
      </x:text>
    </x:comment>
    <x:comment ref="J16" authorId="0">
      <x:text>
        <x:r>
          <x:t>Operating cash flow. cashflow source input. Match the fiscal period to the latest available comparative filing in source_crosswalk.csv. A missing disclosure is n.a., never a reported zero.
Source SRC-0593: Net cash from operations. Fiscal year 2022, report FY2024, PDF page 59.
Reported 89035.0 USD millions. Workbook 89035.0 USD millions. none. Status reported.
data/raw/reports/originals/Microsoft_FY2024_10K.pdf
https://www.microsoft.com/investor/reports/ar24/index.html</x:t>
        </x:r>
      </x:text>
    </x:comment>
    <x:comment ref="K16" authorId="0">
      <x:text>
        <x:r>
          <x:t>Operating cash flow. cashflow source input. Match the fiscal period to the latest available comparative filing in source_crosswalk.csv. A missing disclosure is n.a., never a reported zero.
Source SRC-0698: Net cash from operations. Fiscal year 2023, report FY2025, PDF page 53.
Reported 87582.0 USD millions. Workbook 87582.0 USD millions. none. Status reported.
data/raw/reports/originals/Microsoft_FY2025_10K.pdf
https://www.microsoft.com/investor/reports/ar25/index.html</x:t>
        </x:r>
      </x:text>
    </x:comment>
    <x:comment ref="L16" authorId="0">
      <x:text>
        <x:r>
          <x:t>Operating cash flow. cashflow source input. Match the fiscal period to the latest available comparative filing in source_crosswalk.csv. A missing disclosure is n.a., never a reported zero.
Source SRC-0807: Net cash from operations. Fiscal year 2024, report FY2026, PDF page 53.
Reported 118548.0 USD millions. Workbook 118548.0 USD millions. none. Status reported.
data/raw/reports/originals/Microsoft_FY2026_10K.pdf
https://www.sec.gov/Archives/edgar/data/789019/000119312526323660/msft-20260630.htm</x:t>
        </x:r>
      </x:text>
    </x:comment>
    <x:comment ref="M16" authorId="0">
      <x:text>
        <x:r>
          <x:t>Operating cash flow. cashflow source input. Match the fiscal period to the latest available comparative filing in source_crosswalk.csv. A missing disclosure is n.a., never a reported zero.
Source SRC-0916: Net cash from operations. Fiscal year 2025, report FY2026, PDF page 53.
Reported 136162.0 USD millions. Workbook 136162.0 USD millions. none. Status reported.
data/raw/reports/originals/Microsoft_FY2026_10K.pdf
https://www.sec.gov/Archives/edgar/data/789019/000119312526323660/msft-20260630.htm</x:t>
        </x:r>
      </x:text>
    </x:comment>
    <x:comment ref="N16" authorId="0">
      <x:text>
        <x:r>
          <x:t>Operating cash flow. cashflow source input. Match the fiscal period to the latest available comparative filing in source_crosswalk.csv. A missing disclosure is n.a., never a reported zero.
Source SRC-1025: Net cash from operations. Fiscal year 2026, report FY2026, PDF page 53.
Reported 182935.0 USD millions. Workbook 182935.0 USD millions. none. Status reported.
data/raw/reports/originals/Microsoft_FY2026_10K.pdf
https://www.sec.gov/Archives/edgar/data/789019/000119312526323660/msft-20260630.htm</x:t>
        </x:r>
      </x:text>
    </x:comment>
    <x:comment ref="C16" authorId="0">
      <x:text>
        <x:r>
          <x:t>cashflow source input. Match the fiscal period to the latest available comparative filing in source_crosswalk.csv. A missing disclosure is n.a., never a reported zero.</x:t>
        </x:r>
      </x:text>
    </x:comment>
    <x:comment ref="E17" authorId="0">
      <x:text>
        <x:r>
          <x:t>Cash purchases of property and equipment. cashflow source input. Match the fiscal period to the latest available comparative filing in source_crosswalk.csv. A missing disclosure is n.a., never a reported zero.
Source SRC-0075: Additions to property and equipment. Fiscal year 2017, report FY2019, PDF page 54.
Reported -8129.0 USD millions. Workbook -8129.0 USD millions. none. Status reported.
data/raw/reports/originals/Microsoft_FY2019_10K.pdf
https://www.microsoft.com/investor/reports/ar19/index.html</x:t>
        </x:r>
      </x:text>
    </x:comment>
    <x:comment ref="F17" authorId="0">
      <x:text>
        <x:r>
          <x:t>Cash purchases of property and equipment. cashflow source input. Match the fiscal period to the latest available comparative filing in source_crosswalk.csv. A missing disclosure is n.a., never a reported zero.
Source SRC-0180: Additions to property and equipment. Fiscal year 2018, report FY2020, PDF page 58.
Reported -11632.0 USD millions. Workbook -11632.0 USD millions. none. Status reported.
data/raw/reports/originals/Microsoft_FY2020_10K.pdf
https://www.microsoft.com/investor/reports/ar20/index.html</x:t>
        </x:r>
      </x:text>
    </x:comment>
    <x:comment ref="G17" authorId="0">
      <x:text>
        <x:r>
          <x:t>Cash purchases of property and equipment. cashflow source input. Match the fiscal period to the latest available comparative filing in source_crosswalk.csv. A missing disclosure is n.a., never a reported zero.
Source SRC-0285: Additions to property and equipment. Fiscal year 2019, report FY2021, PDF page 60.
Reported -13925.0 USD millions. Workbook -13925.0 USD millions. none. Status reported.
data/raw/reports/originals/Microsoft_FY2021_10K.pdf
https://www.microsoft.com/investor/reports/ar21/index.html</x:t>
        </x:r>
      </x:text>
    </x:comment>
    <x:comment ref="H17" authorId="0">
      <x:text>
        <x:r>
          <x:t>Cash purchases of property and equipment. cashflow source input. Match the fiscal period to the latest available comparative filing in source_crosswalk.csv. A missing disclosure is n.a., never a reported zero.
Source SRC-0391: Additions to property and equipment. Fiscal year 2020, report FY2022, PDF page 60.
Reported -15441.0 USD millions. Workbook -15441.0 USD millions. none. Status reported.
data/raw/reports/originals/Microsoft_FY2022_10K.pdf
https://www.microsoft.com/investor/reports/ar22/index.html</x:t>
        </x:r>
      </x:text>
    </x:comment>
    <x:comment ref="I17" authorId="0">
      <x:text>
        <x:r>
          <x:t>Cash purchases of property and equipment. cashflow source input. Match the fiscal period to the latest available comparative filing in source_crosswalk.csv. A missing disclosure is n.a., never a reported zero.
Source SRC-0497: Additions to property and equipment. Fiscal year 2021, report FY2023, PDF page 61.
Reported -20622.0 USD millions. Workbook -20622.0 USD millions. none. Status reported.
data/raw/reports/originals/Microsoft_FY2023_10K.pdf
https://www.microsoft.com/investor/reports/ar23/index.html</x:t>
        </x:r>
      </x:text>
    </x:comment>
    <x:comment ref="J17" authorId="0">
      <x:text>
        <x:r>
          <x:t>Cash purchases of property and equipment. cashflow source input. Match the fiscal period to the latest available comparative filing in source_crosswalk.csv. A missing disclosure is n.a., never a reported zero.
Source SRC-0602: Additions to property and equipment. Fiscal year 2022, report FY2024, PDF page 59.
Reported -23886.0 USD millions. Workbook -23886.0 USD millions. none. Status reported.
data/raw/reports/originals/Microsoft_FY2024_10K.pdf
https://www.microsoft.com/investor/reports/ar24/index.html</x:t>
        </x:r>
      </x:text>
    </x:comment>
    <x:comment ref="K17" authorId="0">
      <x:text>
        <x:r>
          <x:t>Cash purchases of property and equipment. cashflow source input. Match the fiscal period to the latest available comparative filing in source_crosswalk.csv. A missing disclosure is n.a., never a reported zero.
Source SRC-0707: Additions to property and equipment. Fiscal year 2023, report FY2025, PDF page 53.
Reported -28107.0 USD millions. Workbook -28107.0 USD millions. none. Status reported.
data/raw/reports/originals/Microsoft_FY2025_10K.pdf
https://www.microsoft.com/investor/reports/ar25/index.html</x:t>
        </x:r>
      </x:text>
    </x:comment>
    <x:comment ref="L17" authorId="0">
      <x:text>
        <x:r>
          <x:t>Cash purchases of property and equipment. cashflow source input. Match the fiscal period to the latest available comparative filing in source_crosswalk.csv. A missing disclosure is n.a., never a reported zero.
Source SRC-0816: Additions to property and equipment. Fiscal year 2024, report FY2026, PDF page 53.
Reported -44477.0 USD millions. Workbook -44477.0 USD millions. none. Status reported.
data/raw/reports/originals/Microsoft_FY2026_10K.pdf
https://www.sec.gov/Archives/edgar/data/789019/000119312526323660/msft-20260630.htm</x:t>
        </x:r>
      </x:text>
    </x:comment>
    <x:comment ref="M17" authorId="0">
      <x:text>
        <x:r>
          <x:t>Cash purchases of property and equipment. cashflow source input. Match the fiscal period to the latest available comparative filing in source_crosswalk.csv. A missing disclosure is n.a., never a reported zero.
Source SRC-0925: Additions to property and equipment. Fiscal year 2025, report FY2026, PDF page 53.
Reported -64551.0 USD millions. Workbook -64551.0 USD millions. none. Status reported.
data/raw/reports/originals/Microsoft_FY2026_10K.pdf
https://www.sec.gov/Archives/edgar/data/789019/000119312526323660/msft-20260630.htm</x:t>
        </x:r>
      </x:text>
    </x:comment>
    <x:comment ref="N17" authorId="0">
      <x:text>
        <x:r>
          <x:t>Cash purchases of property and equipment. cashflow source input. Match the fiscal period to the latest available comparative filing in source_crosswalk.csv. A missing disclosure is n.a., never a reported zero.
Source SRC-1034: Additions to property and equipment. Fiscal year 2026, report FY2026, PDF page 53.
Reported -115948.0 USD millions. Workbook -115948.0 USD millions. none. Status reported.
data/raw/reports/originals/Microsoft_FY2026_10K.pdf
https://www.sec.gov/Archives/edgar/data/789019/000119312526323660/msft-20260630.htm</x:t>
        </x:r>
      </x:text>
    </x:comment>
    <x:comment ref="C17" authorId="0">
      <x:text>
        <x:r>
          <x:t>cashflow source input. Match the fiscal period to the latest available comparative filing in source_crosswalk.csv. A missing disclosure is n.a., never a reported zero.</x:t>
        </x:r>
      </x:text>
    </x:comment>
    <x:comment ref="E18" authorId="0">
      <x:text>
        <x:r>
          <x:t>Stock based compensation. cashflow source input. Match the fiscal period to the latest available comparative filing in source_crosswalk.csv. A missing disclosure is n.a., never a reported zero.
Source SRC-0054: Stock-based compensation expense. Fiscal year 2017, report FY2019, PDF page 54.
Reported 3266.0 USD millions. Workbook 3266.0 USD millions. none. Status reported.
data/raw/reports/originals/Microsoft_FY2019_10K.pdf
https://www.microsoft.com/investor/reports/ar19/index.html</x:t>
        </x:r>
      </x:text>
    </x:comment>
    <x:comment ref="F18" authorId="0">
      <x:text>
        <x:r>
          <x:t>Stock based compensation. cashflow source input. Match the fiscal period to the latest available comparative filing in source_crosswalk.csv. A missing disclosure is n.a., never a reported zero.
Source SRC-0159: Stock-based compensation expense. Fiscal year 2018, report FY2020, PDF page 58.
Reported 3940.0 USD millions. Workbook 3940.0 USD millions. none. Status reported.
data/raw/reports/originals/Microsoft_FY2020_10K.pdf
https://www.microsoft.com/investor/reports/ar20/index.html</x:t>
        </x:r>
      </x:text>
    </x:comment>
    <x:comment ref="G18" authorId="0">
      <x:text>
        <x:r>
          <x:t>Stock based compensation. cashflow source input. Match the fiscal period to the latest available comparative filing in source_crosswalk.csv. A missing disclosure is n.a., never a reported zero.
Source SRC-0264: Stock-based compensation expense. Fiscal year 2019, report FY2021, PDF page 60.
Reported 4652.0 USD millions. Workbook 4652.0 USD millions. none. Status reported.
data/raw/reports/originals/Microsoft_FY2021_10K.pdf
https://www.microsoft.com/investor/reports/ar21/index.html</x:t>
        </x:r>
      </x:text>
    </x:comment>
    <x:comment ref="H18" authorId="0">
      <x:text>
        <x:r>
          <x:t>Stock based compensation. cashflow source input. Match the fiscal period to the latest available comparative filing in source_crosswalk.csv. A missing disclosure is n.a., never a reported zero.
Source SRC-0369: Stock-based compensation expense. Fiscal year 2020, report FY2022, PDF page 60.
Reported 5289.0 USD millions. Workbook 5289.0 USD millions. none. Status reported.
data/raw/reports/originals/Microsoft_FY2022_10K.pdf
https://www.microsoft.com/investor/reports/ar22/index.html</x:t>
        </x:r>
      </x:text>
    </x:comment>
    <x:comment ref="I18" authorId="0">
      <x:text>
        <x:r>
          <x:t>Stock based compensation. cashflow source input. Match the fiscal period to the latest available comparative filing in source_crosswalk.csv. A missing disclosure is n.a., never a reported zero.
Source SRC-0475: Stock-based compensation expense. Fiscal year 2021, report FY2023, PDF page 61.
Reported 6118.0 USD millions. Workbook 6118.0 USD millions. none. Status reported.
data/raw/reports/originals/Microsoft_FY2023_10K.pdf
https://www.microsoft.com/investor/reports/ar23/index.html</x:t>
        </x:r>
      </x:text>
    </x:comment>
    <x:comment ref="J18" authorId="0">
      <x:text>
        <x:r>
          <x:t>Stock based compensation. cashflow source input. Match the fiscal period to the latest available comparative filing in source_crosswalk.csv. A missing disclosure is n.a., never a reported zero.
Source SRC-0581: Stock-based compensation expense. Fiscal year 2022, report FY2024, PDF page 59.
Reported 7502.0 USD millions. Workbook 7502.0 USD millions. none. Status reported.
data/raw/reports/originals/Microsoft_FY2024_10K.pdf
https://www.microsoft.com/investor/reports/ar24/index.html</x:t>
        </x:r>
      </x:text>
    </x:comment>
    <x:comment ref="K18" authorId="0">
      <x:text>
        <x:r>
          <x:t>Stock based compensation. cashflow source input. Match the fiscal period to the latest available comparative filing in source_crosswalk.csv. A missing disclosure is n.a., never a reported zero.
Source SRC-0686: Stock-based compensation expense. Fiscal year 2023, report FY2025, PDF page 53.
Reported 9611.0 USD millions. Workbook 9611.0 USD millions. none. Status reported.
data/raw/reports/originals/Microsoft_FY2025_10K.pdf
https://www.microsoft.com/investor/reports/ar25/index.html</x:t>
        </x:r>
      </x:text>
    </x:comment>
    <x:comment ref="L18" authorId="0">
      <x:text>
        <x:r>
          <x:t>Stock based compensation. cashflow source input. Match the fiscal period to the latest available comparative filing in source_crosswalk.csv. A missing disclosure is n.a., never a reported zero.
Source SRC-0795: Stock-based compensation expense. Fiscal year 2024, report FY2026, PDF page 53.
Reported 10734.0 USD millions. Workbook 10734.0 USD millions. none. Status reported.
data/raw/reports/originals/Microsoft_FY2026_10K.pdf
https://www.sec.gov/Archives/edgar/data/789019/000119312526323660/msft-20260630.htm</x:t>
        </x:r>
      </x:text>
    </x:comment>
    <x:comment ref="M18" authorId="0">
      <x:text>
        <x:r>
          <x:t>Stock based compensation. cashflow source input. Match the fiscal period to the latest available comparative filing in source_crosswalk.csv. A missing disclosure is n.a., never a reported zero.
Source SRC-0904: Stock-based compensation expense. Fiscal year 2025, report FY2026, PDF page 53.
Reported 11974.0 USD millions. Workbook 11974.0 USD millions. none. Status reported.
data/raw/reports/originals/Microsoft_FY2026_10K.pdf
https://www.sec.gov/Archives/edgar/data/789019/000119312526323660/msft-20260630.htm</x:t>
        </x:r>
      </x:text>
    </x:comment>
    <x:comment ref="N18" authorId="0">
      <x:text>
        <x:r>
          <x:t>Stock based compensation. cashflow source input. Match the fiscal period to the latest available comparative filing in source_crosswalk.csv. A missing disclosure is n.a., never a reported zero.
Source SRC-1013: Stock-based compensation expense. Fiscal year 2026, report FY2026, PDF page 53.
Reported 12405.0 USD millions. Workbook 12405.0 USD millions. none. Status reported.
data/raw/reports/originals/Microsoft_FY2026_10K.pdf
https://www.sec.gov/Archives/edgar/data/789019/000119312526323660/msft-20260630.htm</x:t>
        </x:r>
      </x:text>
    </x:comment>
    <x:comment ref="C18" authorId="0">
      <x:text>
        <x:r>
          <x:t>cashflow source input. Match the fiscal period to the latest available comparative filing in source_crosswalk.csv. A missing disclosure is n.a., never a reported zero.</x:t>
        </x:r>
      </x:text>
    </x:comment>
    <x:comment ref="E19" authorId="0">
      <x:text>
        <x:r>
          <x:t>Cash and cash equivalents. balance source input. Match the fiscal period to the latest available comparative filing in source_crosswalk.csv. A missing disclosure is n.a., never a reported zero.
Source SRC-0017: Cash and cash equivalents. Fiscal year 2017, report FY2018, PDF page 53.
Reported 7663.0 USD millions. Workbook 7663.0 USD millions. none. Status reported.
data/raw/reports/originals/Microsoft_FY2018_10K.pdf
https://www.microsoft.com/investor/reports/ar18/index.html</x:t>
        </x:r>
      </x:text>
    </x:comment>
    <x:comment ref="F19" authorId="0">
      <x:text>
        <x:r>
          <x:t>Cash and cash equivalents. balance source input. Match the fiscal period to the latest available comparative filing in source_crosswalk.csv. A missing disclosure is n.a., never a reported zero.
Source SRC-0122: Cash and cash equivalents. Fiscal year 2018, report FY2019, PDF page 53.
Reported 11946.0 USD millions. Workbook 11946.0 USD millions. none. Status reported.
data/raw/reports/originals/Microsoft_FY2019_10K.pdf
https://www.microsoft.com/investor/reports/ar19/index.html</x:t>
        </x:r>
      </x:text>
    </x:comment>
    <x:comment ref="G19" authorId="0">
      <x:text>
        <x:r>
          <x:t>Cash and cash equivalents. balance source input. Match the fiscal period to the latest available comparative filing in source_crosswalk.csv. A missing disclosure is n.a., never a reported zero.
Source SRC-0227: Cash and cash equivalents. Fiscal year 2019, report FY2020, PDF page 57.
Reported 11356.0 USD millions. Workbook 11356.0 USD millions. none. Status reported.
data/raw/reports/originals/Microsoft_FY2020_10K.pdf
https://www.microsoft.com/investor/reports/ar20/index.html</x:t>
        </x:r>
      </x:text>
    </x:comment>
    <x:comment ref="H19" authorId="0">
      <x:text>
        <x:r>
          <x:t>Cash and cash equivalents. balance source input. Match the fiscal period to the latest available comparative filing in source_crosswalk.csv. A missing disclosure is n.a., never a reported zero.
Source SRC-0332: Cash and cash equivalents. Fiscal year 2020, report FY2021, PDF page 59.
Reported 13576.0 USD millions. Workbook 13576.0 USD millions. none. Status reported.
data/raw/reports/originals/Microsoft_FY2021_10K.pdf
https://www.microsoft.com/investor/reports/ar21/index.html</x:t>
        </x:r>
      </x:text>
    </x:comment>
    <x:comment ref="I19" authorId="0">
      <x:text>
        <x:r>
          <x:t>Cash and cash equivalents. balance source input. Match the fiscal period to the latest available comparative filing in source_crosswalk.csv. A missing disclosure is n.a., never a reported zero.
Source SRC-0438: Cash and cash equivalents. Fiscal year 2021, report FY2022, PDF page 59.
Reported 14224.0 USD millions. Workbook 14224.0 USD millions. none. Status reported.
data/raw/reports/originals/Microsoft_FY2022_10K.pdf
https://www.microsoft.com/investor/reports/ar22/index.html</x:t>
        </x:r>
      </x:text>
    </x:comment>
    <x:comment ref="J19" authorId="0">
      <x:text>
        <x:r>
          <x:t>Cash and cash equivalents. balance source input. Match the fiscal period to the latest available comparative filing in source_crosswalk.csv. A missing disclosure is n.a., never a reported zero.
Source SRC-0544: Cash and cash equivalents. Fiscal year 2022, report FY2023, PDF page 60.
Reported 13931.0 USD millions. Workbook 13931.0 USD millions. none. Status reported.
data/raw/reports/originals/Microsoft_FY2023_10K.pdf
https://www.microsoft.com/investor/reports/ar23/index.html</x:t>
        </x:r>
      </x:text>
    </x:comment>
    <x:comment ref="K19" authorId="0">
      <x:text>
        <x:r>
          <x:t>Cash and cash equivalents. balance source input. Match the fiscal period to the latest available comparative filing in source_crosswalk.csv. A missing disclosure is n.a., never a reported zero.
Source SRC-0649: Cash and cash equivalents. Fiscal year 2023, report FY2024, PDF page 58.
Reported 34704.0 USD millions. Workbook 34704.0 USD millions. none. Status reported.
data/raw/reports/originals/Microsoft_FY2024_10K.pdf
https://www.microsoft.com/investor/reports/ar24/index.html</x:t>
        </x:r>
      </x:text>
    </x:comment>
    <x:comment ref="L19" authorId="0">
      <x:text>
        <x:r>
          <x:t>Cash and cash equivalents. balance source input. Match the fiscal period to the latest available comparative filing in source_crosswalk.csv. A missing disclosure is n.a., never a reported zero.
Source SRC-0758: Cash and cash equivalents. Fiscal year 2024, report FY2025, PDF page 52.
Reported 18315.0 USD millions. Workbook 18315.0 USD millions. none. Status reported.
data/raw/reports/originals/Microsoft_FY2025_10K.pdf
https://www.microsoft.com/investor/reports/ar25/index.html</x:t>
        </x:r>
      </x:text>
    </x:comment>
    <x:comment ref="M19" authorId="0">
      <x:text>
        <x:r>
          <x:t>Cash and cash equivalents. balance source input. Match the fiscal period to the latest available comparative filing in source_crosswalk.csv. A missing disclosure is n.a., never a reported zero.
Source SRC-0867: Cash and cash equivalents. Fiscal year 2025, report FY2026, PDF page 52.
Reported 30242.0 USD millions. Workbook 30242.0 USD millions. none. Status reported.
data/raw/reports/originals/Microsoft_FY2026_10K.pdf
https://www.sec.gov/Archives/edgar/data/789019/000119312526323660/msft-20260630.htm</x:t>
        </x:r>
      </x:text>
    </x:comment>
    <x:comment ref="N19" authorId="0">
      <x:text>
        <x:r>
          <x:t>Cash and cash equivalents. balance source input. Match the fiscal period to the latest available comparative filing in source_crosswalk.csv. A missing disclosure is n.a., never a reported zero.
Source SRC-0976: Cash and cash equivalents. Fiscal year 2026, report FY2026, PDF page 52.
Reported 20935.0 USD millions. Workbook 20935.0 USD millions. none. Status reported.
data/raw/reports/originals/Microsoft_FY2026_10K.pdf
https://www.sec.gov/Archives/edgar/data/789019/000119312526323660/msft-20260630.htm</x:t>
        </x:r>
      </x:text>
    </x:comment>
    <x:comment ref="C19" authorId="0">
      <x:text>
        <x:r>
          <x:t>balance source input. Match the fiscal period to the latest available comparative filing in source_crosswalk.csv. A missing disclosure is n.a., never a reported zero.</x:t>
        </x:r>
      </x:text>
    </x:comment>
    <x:comment ref="E20" authorId="0">
      <x:text>
        <x:r>
          <x:t>Short term investments. balance source input. Match the fiscal period to the latest available comparative filing in source_crosswalk.csv. A missing disclosure is n.a., never a reported zero.
Source SRC-0018: Short-term investments. Fiscal year 2017, report FY2018, PDF page 53.
Reported 125318.0 USD millions. Workbook 125318.0 USD millions. none. Status reported.
data/raw/reports/originals/Microsoft_FY2018_10K.pdf
https://www.microsoft.com/investor/reports/ar18/index.html</x:t>
        </x:r>
      </x:text>
    </x:comment>
    <x:comment ref="F20" authorId="0">
      <x:text>
        <x:r>
          <x:t>Short term investments. balance source input. Match the fiscal period to the latest available comparative filing in source_crosswalk.csv. A missing disclosure is n.a., never a reported zero.
Source SRC-0123: Short-term investments. Fiscal year 2018, report FY2019, PDF page 53.
Reported 121822.0 USD millions. Workbook 121822.0 USD millions. none. Status reported.
data/raw/reports/originals/Microsoft_FY2019_10K.pdf
https://www.microsoft.com/investor/reports/ar19/index.html</x:t>
        </x:r>
      </x:text>
    </x:comment>
    <x:comment ref="G20" authorId="0">
      <x:text>
        <x:r>
          <x:t>Short term investments. balance source input. Match the fiscal period to the latest available comparative filing in source_crosswalk.csv. A missing disclosure is n.a., never a reported zero.
Source SRC-0228: Short-term investments. Fiscal year 2019, report FY2020, PDF page 57.
Reported 122463.0 USD millions. Workbook 122463.0 USD millions. none. Status reported.
data/raw/reports/originals/Microsoft_FY2020_10K.pdf
https://www.microsoft.com/investor/reports/ar20/index.html</x:t>
        </x:r>
      </x:text>
    </x:comment>
    <x:comment ref="H20" authorId="0">
      <x:text>
        <x:r>
          <x:t>Short term investments. balance source input. Match the fiscal period to the latest available comparative filing in source_crosswalk.csv. A missing disclosure is n.a., never a reported zero.
Source SRC-0333: Short-term investments. Fiscal year 2020, report FY2021, PDF page 59.
Reported 122951.0 USD millions. Workbook 122951.0 USD millions. none. Status reported.
data/raw/reports/originals/Microsoft_FY2021_10K.pdf
https://www.microsoft.com/investor/reports/ar21/index.html</x:t>
        </x:r>
      </x:text>
    </x:comment>
    <x:comment ref="I20" authorId="0">
      <x:text>
        <x:r>
          <x:t>Short term investments. balance source input. Match the fiscal period to the latest available comparative filing in source_crosswalk.csv. A missing disclosure is n.a., never a reported zero.
Source SRC-0439: Short-term investments. Fiscal year 2021, report FY2022, PDF page 59.
Reported 116110.0 USD millions. Workbook 116110.0 USD millions. none. Status reported.
data/raw/reports/originals/Microsoft_FY2022_10K.pdf
https://www.microsoft.com/investor/reports/ar22/index.html</x:t>
        </x:r>
      </x:text>
    </x:comment>
    <x:comment ref="J20" authorId="0">
      <x:text>
        <x:r>
          <x:t>Short term investments. balance source input. Match the fiscal period to the latest available comparative filing in source_crosswalk.csv. A missing disclosure is n.a., never a reported zero.
Source SRC-0545: Short-term investments. Fiscal year 2022, report FY2023, PDF page 60.
Reported 90826.0 USD millions. Workbook 90826.0 USD millions. none. Status reported.
data/raw/reports/originals/Microsoft_FY2023_10K.pdf
https://www.microsoft.com/investor/reports/ar23/index.html</x:t>
        </x:r>
      </x:text>
    </x:comment>
    <x:comment ref="K20" authorId="0">
      <x:text>
        <x:r>
          <x:t>Short term investments. balance source input. Match the fiscal period to the latest available comparative filing in source_crosswalk.csv. A missing disclosure is n.a., never a reported zero.
Source SRC-0650: Short-term investments. Fiscal year 2023, report FY2024, PDF page 58.
Reported 76558.0 USD millions. Workbook 76558.0 USD millions. none. Status reported.
data/raw/reports/originals/Microsoft_FY2024_10K.pdf
https://www.microsoft.com/investor/reports/ar24/index.html</x:t>
        </x:r>
      </x:text>
    </x:comment>
    <x:comment ref="L20" authorId="0">
      <x:text>
        <x:r>
          <x:t>Short term investments. balance source input. Match the fiscal period to the latest available comparative filing in source_crosswalk.csv. A missing disclosure is n.a., never a reported zero.
Source SRC-0759: Short-term investments. Fiscal year 2024, report FY2025, PDF page 52.
Reported 57228.0 USD millions. Workbook 57228.0 USD millions. none. Status reported.
data/raw/reports/originals/Microsoft_FY2025_10K.pdf
https://www.microsoft.com/investor/reports/ar25/index.html</x:t>
        </x:r>
      </x:text>
    </x:comment>
    <x:comment ref="M20" authorId="0">
      <x:text>
        <x:r>
          <x:t>Short term investments. balance source input. Match the fiscal period to the latest available comparative filing in source_crosswalk.csv. A missing disclosure is n.a., never a reported zero.
Source SRC-0868: Short-term investments. Fiscal year 2025, report FY2026, PDF page 52.
Reported 64323.0 USD millions. Workbook 64323.0 USD millions. none. Status reported.
data/raw/reports/originals/Microsoft_FY2026_10K.pdf
https://www.sec.gov/Archives/edgar/data/789019/000119312526323660/msft-20260630.htm</x:t>
        </x:r>
      </x:text>
    </x:comment>
    <x:comment ref="N20" authorId="0">
      <x:text>
        <x:r>
          <x:t>Short term investments. balance source input. Match the fiscal period to the latest available comparative filing in source_crosswalk.csv. A missing disclosure is n.a., never a reported zero.
Source SRC-0977: Short-term investments. Fiscal year 2026, report FY2026, PDF page 52.
Reported 55908.0 USD millions. Workbook 55908.0 USD millions. none. Status reported.
data/raw/reports/originals/Microsoft_FY2026_10K.pdf
https://www.sec.gov/Archives/edgar/data/789019/000119312526323660/msft-20260630.htm</x:t>
        </x:r>
      </x:text>
    </x:comment>
    <x:comment ref="C20" authorId="0">
      <x:text>
        <x:r>
          <x:t>balance source input. Match the fiscal period to the latest available comparative filing in source_crosswalk.csv. A missing disclosure is n.a., never a reported zero.</x:t>
        </x:r>
      </x:text>
    </x:comment>
    <x:comment ref="E21" authorId="0">
      <x:text>
        <x:r>
          <x:t>Equity and other investments. balance source input. Match the fiscal period to the latest available comparative filing in source_crosswalk.csv. A missing disclosure is n.a., never a reported zero.
Source SRC-0026: Equity and other investments. Fiscal year 2017, report FY2018, PDF page 53.
Reported 6023.0 USD millions. Workbook 6023.0 USD millions. none. Status reported.
data/raw/reports/originals/Microsoft_FY2018_10K.pdf
https://www.microsoft.com/investor/reports/ar18/index.html</x:t>
        </x:r>
      </x:text>
    </x:comment>
    <x:comment ref="F21" authorId="0">
      <x:text>
        <x:r>
          <x:t>Equity and other investments. balance source input. Match the fiscal period to the latest available comparative filing in source_crosswalk.csv. A missing disclosure is n.a., never a reported zero.
Source SRC-0131: Equity investments. Fiscal year 2018, report FY2019, PDF page 53.
Reported 1862.0 USD millions. Workbook 1862.0 USD millions. none. Status reported.
data/raw/reports/originals/Microsoft_FY2019_10K.pdf
https://www.microsoft.com/investor/reports/ar19/index.html</x:t>
        </x:r>
      </x:text>
    </x:comment>
    <x:comment ref="G21" authorId="0">
      <x:text>
        <x:r>
          <x:t>Equity and other investments. balance source input. Match the fiscal period to the latest available comparative filing in source_crosswalk.csv. A missing disclosure is n.a., never a reported zero.
Source SRC-0236: Equity investments. Fiscal year 2019, report FY2020, PDF page 57.
Reported 2649.0 USD millions. Workbook 2649.0 USD millions. none. Status reported.
data/raw/reports/originals/Microsoft_FY2020_10K.pdf
https://www.microsoft.com/investor/reports/ar20/index.html</x:t>
        </x:r>
      </x:text>
    </x:comment>
    <x:comment ref="H21" authorId="0">
      <x:text>
        <x:r>
          <x:t>Equity and other investments. balance source input. Match the fiscal period to the latest available comparative filing in source_crosswalk.csv. A missing disclosure is n.a., never a reported zero.
Source SRC-0341: Equity investments. Fiscal year 2020, report FY2021, PDF page 59.
Reported 2965.0 USD millions. Workbook 2965.0 USD millions. none. Status reported.
data/raw/reports/originals/Microsoft_FY2021_10K.pdf
https://www.microsoft.com/investor/reports/ar21/index.html</x:t>
        </x:r>
      </x:text>
    </x:comment>
    <x:comment ref="I21" authorId="0">
      <x:text>
        <x:r>
          <x:t>Equity and other investments. balance source input. Match the fiscal period to the latest available comparative filing in source_crosswalk.csv. A missing disclosure is n.a., never a reported zero.
Source SRC-0447: Equity investments. Fiscal year 2021, report FY2022, PDF page 59.
Reported 5984.0 USD millions. Workbook 5984.0 USD millions. none. Status reported.
data/raw/reports/originals/Microsoft_FY2022_10K.pdf
https://www.microsoft.com/investor/reports/ar22/index.html</x:t>
        </x:r>
      </x:text>
    </x:comment>
    <x:comment ref="J21" authorId="0">
      <x:text>
        <x:r>
          <x:t>Equity and other investments. balance source input. Match the fiscal period to the latest available comparative filing in source_crosswalk.csv. A missing disclosure is n.a., never a reported zero.
Source SRC-0553: Equity investments. Fiscal year 2022, report FY2023, PDF page 60.
Reported 6891.0 USD millions. Workbook 6891.0 USD millions. none. Status reported.
data/raw/reports/originals/Microsoft_FY2023_10K.pdf
https://www.microsoft.com/investor/reports/ar23/index.html</x:t>
        </x:r>
      </x:text>
    </x:comment>
    <x:comment ref="K21" authorId="0">
      <x:text>
        <x:r>
          <x:t>Equity and other investments. balance source input. Match the fiscal period to the latest available comparative filing in source_crosswalk.csv. A missing disclosure is n.a., never a reported zero.
Source SRC-0658: Equity and other investments. Fiscal year 2023, report FY2024, PDF page 58.
Reported 9879.0 USD millions. Workbook 9879.0 USD millions. none. Status reported.
data/raw/reports/originals/Microsoft_FY2024_10K.pdf
https://www.microsoft.com/investor/reports/ar24/index.html</x:t>
        </x:r>
      </x:text>
    </x:comment>
    <x:comment ref="L21" authorId="0">
      <x:text>
        <x:r>
          <x:t>Equity and other investments. balance source input. Match the fiscal period to the latest available comparative filing in source_crosswalk.csv. A missing disclosure is n.a., never a reported zero.
Source SRC-0767: Equity and other investments. Fiscal year 2024, report FY2025, PDF page 52.
Reported 14600.0 USD millions. Workbook 14600.0 USD millions. none. Status reported.
data/raw/reports/originals/Microsoft_FY2025_10K.pdf
https://www.microsoft.com/investor/reports/ar25/index.html</x:t>
        </x:r>
      </x:text>
    </x:comment>
    <x:comment ref="M21" authorId="0">
      <x:text>
        <x:r>
          <x:t>Equity and other investments. balance source input. Match the fiscal period to the latest available comparative filing in source_crosswalk.csv. A missing disclosure is n.a., never a reported zero.
Source SRC-0876: Equity and other investments. Fiscal year 2025, report FY2026, PDF page 52.
Reported 15405.0 USD millions. Workbook 15405.0 USD millions. none. Status reported.
data/raw/reports/originals/Microsoft_FY2026_10K.pdf
https://www.sec.gov/Archives/edgar/data/789019/000119312526323660/msft-20260630.htm</x:t>
        </x:r>
      </x:text>
    </x:comment>
    <x:comment ref="N21" authorId="0">
      <x:text>
        <x:r>
          <x:t>Equity and other investments. balance source input. Match the fiscal period to the latest available comparative filing in source_crosswalk.csv. A missing disclosure is n.a., never a reported zero.
Source SRC-0985: Equity and other investments. Fiscal year 2026, report FY2026, PDF page 52.
Reported 36348.0 USD millions. Workbook 36348.0 USD millions. none. Status reported.
data/raw/reports/originals/Microsoft_FY2026_10K.pdf
https://www.sec.gov/Archives/edgar/data/789019/000119312526323660/msft-20260630.htm</x:t>
        </x:r>
      </x:text>
    </x:comment>
    <x:comment ref="C21" authorId="0">
      <x:text>
        <x:r>
          <x:t>balance source input. Match the fiscal period to the latest available comparative filing in source_crosswalk.csv. A missing disclosure is n.a., never a reported zero.</x:t>
        </x:r>
      </x:text>
    </x:comment>
    <x:comment ref="E22" authorId="0">
      <x:text>
        <x:r>
          <x:t>Accounts receivable. balance source input. Match the fiscal period to the latest available comparative filing in source_crosswalk.csv. A missing disclosure is n.a., never a reported zero.
Source SRC-0020: Accounts receivable, net of allowance for doubtful accounts of $377 and $345. Fiscal year 2017, report FY2018, PDF page 53.
Reported 22431.0 USD millions. Workbook 22431.0 USD millions. none. Status reported.
data/raw/reports/originals/Microsoft_FY2018_10K.pdf
https://www.microsoft.com/investor/reports/ar18/index.html</x:t>
        </x:r>
      </x:text>
    </x:comment>
    <x:comment ref="F22" authorId="0">
      <x:text>
        <x:r>
          <x:t>Accounts receivable. balance source input. Match the fiscal period to the latest available comparative filing in source_crosswalk.csv. A missing disclosure is n.a., never a reported zero.
Source SRC-0125: Accounts receivable, net of allowance for doubtful accounts of $411 and $377. Fiscal year 2018, report FY2019, PDF page 53.
Reported 26481.0 USD millions. Workbook 26481.0 USD millions. none. Status reported.
data/raw/reports/originals/Microsoft_FY2019_10K.pdf
https://www.microsoft.com/investor/reports/ar19/index.html</x:t>
        </x:r>
      </x:text>
    </x:comment>
    <x:comment ref="G22" authorId="0">
      <x:text>
        <x:r>
          <x:t>Accounts receivable. balance source input. Match the fiscal period to the latest available comparative filing in source_crosswalk.csv. A missing disclosure is n.a., never a reported zero.
Source SRC-0230: Accounts receivable, net of allowance for doubtful accounts of $788 and $411. Fiscal year 2019, report FY2020, PDF page 57.
Reported 29524.0 USD millions. Workbook 29524.0 USD millions. none. Status reported.
data/raw/reports/originals/Microsoft_FY2020_10K.pdf
https://www.microsoft.com/investor/reports/ar20/index.html</x:t>
        </x:r>
      </x:text>
    </x:comment>
    <x:comment ref="H22" authorId="0">
      <x:text>
        <x:r>
          <x:t>Accounts receivable. balance source input. Match the fiscal period to the latest available comparative filing in source_crosswalk.csv. A missing disclosure is n.a., never a reported zero.
Source SRC-0335: Accounts receivable, net of allowance for doubtful accounts of $751 and $788. Fiscal year 2020, report FY2021, PDF page 59.
Reported 32011.0 USD millions. Workbook 32011.0 USD millions. none. Status reported.
data/raw/reports/originals/Microsoft_FY2021_10K.pdf
https://www.microsoft.com/investor/reports/ar21/index.html</x:t>
        </x:r>
      </x:text>
    </x:comment>
    <x:comment ref="I22" authorId="0">
      <x:text>
        <x:r>
          <x:t>Accounts receivable. balance source input. Match the fiscal period to the latest available comparative filing in source_crosswalk.csv. A missing disclosure is n.a., never a reported zero.
Source SRC-0441: Accounts receivable, net of allowance for doubtful accounts of $633 and $751. Fiscal year 2021, report FY2022, PDF page 59.
Reported 38043.0 USD millions. Workbook 38043.0 USD millions. none. Status reported.
data/raw/reports/originals/Microsoft_FY2022_10K.pdf
https://www.microsoft.com/investor/reports/ar22/index.html</x:t>
        </x:r>
      </x:text>
    </x:comment>
    <x:comment ref="J22" authorId="0">
      <x:text>
        <x:r>
          <x:t>Accounts receivable. balance source input. Match the fiscal period to the latest available comparative filing in source_crosswalk.csv. A missing disclosure is n.a., never a reported zero.
Source SRC-0547: Accounts receivable, net of allowance for doubtful accounts of $650 and $633. Fiscal year 2022, report FY2023, PDF page 60.
Reported 44261.0 USD millions. Workbook 44261.0 USD millions. none. Status reported.
data/raw/reports/originals/Microsoft_FY2023_10K.pdf
https://www.microsoft.com/investor/reports/ar23/index.html</x:t>
        </x:r>
      </x:text>
    </x:comment>
    <x:comment ref="K22" authorId="0">
      <x:text>
        <x:r>
          <x:t>Accounts receivable. balance source input. Match the fiscal period to the latest available comparative filing in source_crosswalk.csv. A missing disclosure is n.a., never a reported zero.
Source SRC-0652: Accounts receivable, net of allowance for doubtful accounts of $830 and $650. Fiscal year 2023, report FY2024, PDF page 58.
Reported 48688.0 USD millions. Workbook 48688.0 USD millions. none. Status reported.
data/raw/reports/originals/Microsoft_FY2024_10K.pdf
https://www.microsoft.com/investor/reports/ar24/index.html</x:t>
        </x:r>
      </x:text>
    </x:comment>
    <x:comment ref="L22" authorId="0">
      <x:text>
        <x:r>
          <x:t>Accounts receivable. balance source input. Match the fiscal period to the latest available comparative filing in source_crosswalk.csv. A missing disclosure is n.a., never a reported zero.
Source SRC-0761: Accounts receivable, net of allowance for doubtful accounts of $944 and $830. Fiscal year 2024, report FY2025, PDF page 52.
Reported 56924.0 USD millions. Workbook 56924.0 USD millions. none. Status reported.
data/raw/reports/originals/Microsoft_FY2025_10K.pdf
https://www.microsoft.com/investor/reports/ar25/index.html</x:t>
        </x:r>
      </x:text>
    </x:comment>
    <x:comment ref="M22" authorId="0">
      <x:text>
        <x:r>
          <x:t>Accounts receivable. balance source input. Match the fiscal period to the latest available comparative filing in source_crosswalk.csv. A missing disclosure is n.a., never a reported zero.
Source SRC-0870: Accounts receivable, net of allowance for doubtful accounts of $1,040 and $944. Fiscal year 2025, report FY2026, PDF page 52.
Reported 69905.0 USD millions. Workbook 69905.0 USD millions. none. Status reported.
data/raw/reports/originals/Microsoft_FY2026_10K.pdf
https://www.sec.gov/Archives/edgar/data/789019/000119312526323660/msft-20260630.htm</x:t>
        </x:r>
      </x:text>
    </x:comment>
    <x:comment ref="N22" authorId="0">
      <x:text>
        <x:r>
          <x:t>Accounts receivable. balance source input. Match the fiscal period to the latest available comparative filing in source_crosswalk.csv. A missing disclosure is n.a., never a reported zero.
Source SRC-0979: Accounts receivable, net of allowance for doubtful accounts of $1,040 and $944. Fiscal year 2026, report FY2026, PDF page 52.
Reported 80876.0 USD millions. Workbook 80876.0 USD millions. none. Status reported.
data/raw/reports/originals/Microsoft_FY2026_10K.pdf
https://www.sec.gov/Archives/edgar/data/789019/000119312526323660/msft-20260630.htm</x:t>
        </x:r>
      </x:text>
    </x:comment>
    <x:comment ref="C22" authorId="0">
      <x:text>
        <x:r>
          <x:t>balance source input. Match the fiscal period to the latest available comparative filing in source_crosswalk.csv. A missing disclosure is n.a., never a reported zero.</x:t>
        </x:r>
      </x:text>
    </x:comment>
    <x:comment ref="E23" authorId="0">
      <x:text>
        <x:r>
          <x:t>Inventory. balance source input. Match the fiscal period to the latest available comparative filing in source_crosswalk.csv. A missing disclosure is n.a., never a reported zero.
Source SRC-0021: Inventories. Fiscal year 2017, report FY2018, PDF page 53.
Reported 2181.0 USD millions. Workbook 2181.0 USD millions. none. Status reported.
data/raw/reports/originals/Microsoft_FY2018_10K.pdf
https://www.microsoft.com/investor/reports/ar18/index.html</x:t>
        </x:r>
      </x:text>
    </x:comment>
    <x:comment ref="F23" authorId="0">
      <x:text>
        <x:r>
          <x:t>Inventory. balance source input. Match the fiscal period to the latest available comparative filing in source_crosswalk.csv. A missing disclosure is n.a., never a reported zero.
Source SRC-0126: Inventories. Fiscal year 2018, report FY2019, PDF page 53.
Reported 2662.0 USD millions. Workbook 2662.0 USD millions. none. Status reported.
data/raw/reports/originals/Microsoft_FY2019_10K.pdf
https://www.microsoft.com/investor/reports/ar19/index.html</x:t>
        </x:r>
      </x:text>
    </x:comment>
    <x:comment ref="G23" authorId="0">
      <x:text>
        <x:r>
          <x:t>Inventory. balance source input. Match the fiscal period to the latest available comparative filing in source_crosswalk.csv. A missing disclosure is n.a., never a reported zero.
Source SRC-0231: Inventories. Fiscal year 2019, report FY2020, PDF page 57.
Reported 2063.0 USD millions. Workbook 2063.0 USD millions. none. Status reported.
data/raw/reports/originals/Microsoft_FY2020_10K.pdf
https://www.microsoft.com/investor/reports/ar20/index.html</x:t>
        </x:r>
      </x:text>
    </x:comment>
    <x:comment ref="H23" authorId="0">
      <x:text>
        <x:r>
          <x:t>Inventory. balance source input. Match the fiscal period to the latest available comparative filing in source_crosswalk.csv. A missing disclosure is n.a., never a reported zero.
Source SRC-0336: Inventories. Fiscal year 2020, report FY2021, PDF page 59.
Reported 1895.0 USD millions. Workbook 1895.0 USD millions. none. Status reported.
data/raw/reports/originals/Microsoft_FY2021_10K.pdf
https://www.microsoft.com/investor/reports/ar21/index.html</x:t>
        </x:r>
      </x:text>
    </x:comment>
    <x:comment ref="I23" authorId="0">
      <x:text>
        <x:r>
          <x:t>Inventory. balance source input. Match the fiscal period to the latest available comparative filing in source_crosswalk.csv. A missing disclosure is n.a., never a reported zero.
Source SRC-0442: Inventories. Fiscal year 2021, report FY2022, PDF page 59.
Reported 2636.0 USD millions. Workbook 2636.0 USD millions. none. Status reported.
data/raw/reports/originals/Microsoft_FY2022_10K.pdf
https://www.microsoft.com/investor/reports/ar22/index.html</x:t>
        </x:r>
      </x:text>
    </x:comment>
    <x:comment ref="J23" authorId="0">
      <x:text>
        <x:r>
          <x:t>Inventory. balance source input. Match the fiscal period to the latest available comparative filing in source_crosswalk.csv. A missing disclosure is n.a., never a reported zero.
Source SRC-0548: Inventories. Fiscal year 2022, report FY2023, PDF page 60.
Reported 3742.0 USD millions. Workbook 3742.0 USD millions. none. Status reported.
data/raw/reports/originals/Microsoft_FY2023_10K.pdf
https://www.microsoft.com/investor/reports/ar23/index.html</x:t>
        </x:r>
      </x:text>
    </x:comment>
    <x:comment ref="K23" authorId="0">
      <x:text>
        <x:r>
          <x:t>Inventory. balance source input. Match the fiscal period to the latest available comparative filing in source_crosswalk.csv. A missing disclosure is n.a., never a reported zero.
Source SRC-0653: Inventories. Fiscal year 2023, report FY2024, PDF page 58.
Reported 2500.0 USD millions. Workbook 2500.0 USD millions. none. Status reported.
data/raw/reports/originals/Microsoft_FY2024_10K.pdf
https://www.microsoft.com/investor/reports/ar24/index.html</x:t>
        </x:r>
      </x:text>
    </x:comment>
    <x:comment ref="L23" authorId="0">
      <x:text>
        <x:r>
          <x:t>Inventory. balance source input. Match the fiscal period to the latest available comparative filing in source_crosswalk.csv. A missing disclosure is n.a., never a reported zero.
Source SRC-0762: Inventories. Fiscal year 2024, report FY2025, PDF page 52.
Reported 1246.0 USD millions. Workbook 1246.0 USD millions. none. Status reported.
data/raw/reports/originals/Microsoft_FY2025_10K.pdf
https://www.microsoft.com/investor/reports/ar25/index.html</x:t>
        </x:r>
      </x:text>
    </x:comment>
    <x:comment ref="M23" authorId="0">
      <x:text>
        <x:r>
          <x:t>Inventory. balance source input. Match the fiscal period to the latest available comparative filing in source_crosswalk.csv. A missing disclosure is n.a., never a reported zero.
Source SRC-0871: Inventories. Fiscal year 2025, report FY2026, PDF page 52.
Reported 938.0 USD millions. Workbook 938.0 USD millions. none. Status reported.
data/raw/reports/originals/Microsoft_FY2026_10K.pdf
https://www.sec.gov/Archives/edgar/data/789019/000119312526323660/msft-20260630.htm</x:t>
        </x:r>
      </x:text>
    </x:comment>
    <x:comment ref="N23" authorId="0">
      <x:text>
        <x:r>
          <x:t>Inventory. balance source input. Match the fiscal period to the latest available comparative filing in source_crosswalk.csv. A missing disclosure is n.a., never a reported zero.
Source SRC-0980: Inventories. Fiscal year 2026, report FY2026, PDF page 52.
Reported 1397.0 USD millions. Workbook 1397.0 USD millions. none. Status reported.
data/raw/reports/originals/Microsoft_FY2026_10K.pdf
https://www.sec.gov/Archives/edgar/data/789019/000119312526323660/msft-20260630.htm</x:t>
        </x:r>
      </x:text>
    </x:comment>
    <x:comment ref="C23" authorId="0">
      <x:text>
        <x:r>
          <x:t>balance source input. Match the fiscal period to the latest available comparative filing in source_crosswalk.csv. A missing disclosure is n.a., never a reported zero.</x:t>
        </x:r>
      </x:text>
    </x:comment>
    <x:comment ref="E24" authorId="0">
      <x:text>
        <x:r>
          <x:t>Other current assets. balance source input. Match the fiscal period to the latest available comparative filing in source_crosswalk.csv. A missing disclosure is n.a., never a reported zero.
Source SRC-0022: Other. Fiscal year 2017, report FY2018, PDF page 53.
Reported 5103.0 USD millions. Workbook 5103.0 USD millions. none. Status reported.
data/raw/reports/originals/Microsoft_FY2018_10K.pdf
https://www.microsoft.com/investor/reports/ar18/index.html</x:t>
        </x:r>
      </x:text>
    </x:comment>
    <x:comment ref="F24" authorId="0">
      <x:text>
        <x:r>
          <x:t>Other current assets. balance source input. Match the fiscal period to the latest available comparative filing in source_crosswalk.csv. A missing disclosure is n.a., never a reported zero.
Source SRC-0127: Other. Fiscal year 2018, report FY2019, PDF page 53.
Reported 6751.0 USD millions. Workbook 6751.0 USD millions. none. Status reported.
data/raw/reports/originals/Microsoft_FY2019_10K.pdf
https://www.microsoft.com/investor/reports/ar19/index.html</x:t>
        </x:r>
      </x:text>
    </x:comment>
    <x:comment ref="G24" authorId="0">
      <x:text>
        <x:r>
          <x:t>Other current assets. balance source input. Match the fiscal period to the latest available comparative filing in source_crosswalk.csv. A missing disclosure is n.a., never a reported zero.
Source SRC-0232: Other current assets. Fiscal year 2019, report FY2020, PDF page 57.
Reported 10146.0 USD millions. Workbook 10146.0 USD millions. none. Status reported.
data/raw/reports/originals/Microsoft_FY2020_10K.pdf
https://www.microsoft.com/investor/reports/ar20/index.html</x:t>
        </x:r>
      </x:text>
    </x:comment>
    <x:comment ref="H24" authorId="0">
      <x:text>
        <x:r>
          <x:t>Other current assets. balance source input. Match the fiscal period to the latest available comparative filing in source_crosswalk.csv. A missing disclosure is n.a., never a reported zero.
Source SRC-0337: Other current assets. Fiscal year 2020, report FY2021, PDF page 59.
Reported 11482.0 USD millions. Workbook 11482.0 USD millions. none. Status reported.
data/raw/reports/originals/Microsoft_FY2021_10K.pdf
https://www.microsoft.com/investor/reports/ar21/index.html</x:t>
        </x:r>
      </x:text>
    </x:comment>
    <x:comment ref="I24" authorId="0">
      <x:text>
        <x:r>
          <x:t>Other current assets. balance source input. Match the fiscal period to the latest available comparative filing in source_crosswalk.csv. A missing disclosure is n.a., never a reported zero.
Source SRC-0443: Other current assets. Fiscal year 2021, report FY2022, PDF page 59.
Reported 13393.0 USD millions. Workbook 13393.0 USD millions. none. Status reported.
data/raw/reports/originals/Microsoft_FY2022_10K.pdf
https://www.microsoft.com/investor/reports/ar22/index.html</x:t>
        </x:r>
      </x:text>
    </x:comment>
    <x:comment ref="J24" authorId="0">
      <x:text>
        <x:r>
          <x:t>Other current assets. balance source input. Match the fiscal period to the latest available comparative filing in source_crosswalk.csv. A missing disclosure is n.a., never a reported zero.
Source SRC-0549: Other current assets. Fiscal year 2022, report FY2023, PDF page 60.
Reported 16924.0 USD millions. Workbook 16924.0 USD millions. none. Status reported.
data/raw/reports/originals/Microsoft_FY2023_10K.pdf
https://www.microsoft.com/investor/reports/ar23/index.html</x:t>
        </x:r>
      </x:text>
    </x:comment>
    <x:comment ref="K24" authorId="0">
      <x:text>
        <x:r>
          <x:t>Other current assets. balance source input. Match the fiscal period to the latest available comparative filing in source_crosswalk.csv. A missing disclosure is n.a., never a reported zero.
Source SRC-0654: Other current assets. Fiscal year 2023, report FY2024, PDF page 58.
Reported 21807.0 USD millions. Workbook 21807.0 USD millions. none. Status reported.
data/raw/reports/originals/Microsoft_FY2024_10K.pdf
https://www.microsoft.com/investor/reports/ar24/index.html</x:t>
        </x:r>
      </x:text>
    </x:comment>
    <x:comment ref="L24" authorId="0">
      <x:text>
        <x:r>
          <x:t>Other current assets. balance source input. Match the fiscal period to the latest available comparative filing in source_crosswalk.csv. A missing disclosure is n.a., never a reported zero.
Source SRC-0763: Other current assets. Fiscal year 2024, report FY2025, PDF page 52.
Reported 26021.0 USD millions. Workbook 26021.0 USD millions. none. Status reported.
data/raw/reports/originals/Microsoft_FY2025_10K.pdf
https://www.microsoft.com/investor/reports/ar25/index.html</x:t>
        </x:r>
      </x:text>
    </x:comment>
    <x:comment ref="M24" authorId="0">
      <x:text>
        <x:r>
          <x:t>Other current assets. balance source input. Match the fiscal period to the latest available comparative filing in source_crosswalk.csv. A missing disclosure is n.a., never a reported zero.
Source SRC-0872: Other current assets. Fiscal year 2025, report FY2026, PDF page 52.
Reported 25723.0 USD millions. Workbook 25723.0 USD millions. none. Status reported.
data/raw/reports/originals/Microsoft_FY2026_10K.pdf
https://www.sec.gov/Archives/edgar/data/789019/000119312526323660/msft-20260630.htm</x:t>
        </x:r>
      </x:text>
    </x:comment>
    <x:comment ref="N24" authorId="0">
      <x:text>
        <x:r>
          <x:t>Other current assets. balance source input. Match the fiscal period to the latest available comparative filing in source_crosswalk.csv. A missing disclosure is n.a., never a reported zero.
Source SRC-0981: Other current assets. Fiscal year 2026, report FY2026, PDF page 52.
Reported 48594.0 USD millions. Workbook 48594.0 USD millions. none. Status reported.
data/raw/reports/originals/Microsoft_FY2026_10K.pdf
https://www.sec.gov/Archives/edgar/data/789019/000119312526323660/msft-20260630.htm</x:t>
        </x:r>
      </x:text>
    </x:comment>
    <x:comment ref="C24" authorId="0">
      <x:text>
        <x:r>
          <x:t>balance source input. Match the fiscal period to the latest available comparative filing in source_crosswalk.csv. A missing disclosure is n.a., never a reported zero.</x:t>
        </x:r>
      </x:text>
    </x:comment>
    <x:comment ref="E25" authorId="0">
      <x:text>
        <x:r>
          <x:t>Accounts payable including capex payables. balance source input. Match the fiscal period to the latest available comparative filing in source_crosswalk.csv. A missing disclosure is n.a., never a reported zero.
Source SRC-0031: Accounts payable. Fiscal year 2017, report FY2018, PDF page 53.
Reported 7390.0 USD millions. Workbook 7390.0 USD millions. none. Status reported.
data/raw/reports/originals/Microsoft_FY2018_10K.pdf
https://www.microsoft.com/investor/reports/ar18/index.html</x:t>
        </x:r>
      </x:text>
    </x:comment>
    <x:comment ref="F25" authorId="0">
      <x:text>
        <x:r>
          <x:t>Accounts payable including capex payables. balance source input. Match the fiscal period to the latest available comparative filing in source_crosswalk.csv. A missing disclosure is n.a., never a reported zero.
Source SRC-0136: Accounts payable. Fiscal year 2018, report FY2019, PDF page 53.
Reported 8617.0 USD millions. Workbook 8617.0 USD millions. none. Status reported.
data/raw/reports/originals/Microsoft_FY2019_10K.pdf
https://www.microsoft.com/investor/reports/ar19/index.html</x:t>
        </x:r>
      </x:text>
    </x:comment>
    <x:comment ref="G25" authorId="0">
      <x:text>
        <x:r>
          <x:t>Accounts payable including capex payables. balance source input. Match the fiscal period to the latest available comparative filing in source_crosswalk.csv. A missing disclosure is n.a., never a reported zero.
Source SRC-0241: Accounts payable. Fiscal year 2019, report FY2020, PDF page 57.
Reported 9382.0 USD millions. Workbook 9382.0 USD millions. none. Status reported.
data/raw/reports/originals/Microsoft_FY2020_10K.pdf
https://www.microsoft.com/investor/reports/ar20/index.html</x:t>
        </x:r>
      </x:text>
    </x:comment>
    <x:comment ref="H25" authorId="0">
      <x:text>
        <x:r>
          <x:t>Accounts payable including capex payables. balance source input. Match the fiscal period to the latest available comparative filing in source_crosswalk.csv. A missing disclosure is n.a., never a reported zero.
Source SRC-0346: Accounts payable. Fiscal year 2020, report FY2021, PDF page 59.
Reported 12530.0 USD millions. Workbook 12530.0 USD millions. none. Status reported.
data/raw/reports/originals/Microsoft_FY2021_10K.pdf
https://www.microsoft.com/investor/reports/ar21/index.html</x:t>
        </x:r>
      </x:text>
    </x:comment>
    <x:comment ref="I25" authorId="0">
      <x:text>
        <x:r>
          <x:t>Accounts payable including capex payables. balance source input. Match the fiscal period to the latest available comparative filing in source_crosswalk.csv. A missing disclosure is n.a., never a reported zero.
Source SRC-0452: Accounts payable. Fiscal year 2021, report FY2022, PDF page 59.
Reported 15163.0 USD millions. Workbook 15163.0 USD millions. none. Status reported.
data/raw/reports/originals/Microsoft_FY2022_10K.pdf
https://www.microsoft.com/investor/reports/ar22/index.html</x:t>
        </x:r>
      </x:text>
    </x:comment>
    <x:comment ref="J25" authorId="0">
      <x:text>
        <x:r>
          <x:t>Accounts payable including capex payables. balance source input. Match the fiscal period to the latest available comparative filing in source_crosswalk.csv. A missing disclosure is n.a., never a reported zero.
Source SRC-0558: Accounts payable. Fiscal year 2022, report FY2023, PDF page 60.
Reported 19000.0 USD millions. Workbook 19000.0 USD millions. none. Status reported.
data/raw/reports/originals/Microsoft_FY2023_10K.pdf
https://www.microsoft.com/investor/reports/ar23/index.html</x:t>
        </x:r>
      </x:text>
    </x:comment>
    <x:comment ref="K25" authorId="0">
      <x:text>
        <x:r>
          <x:t>Accounts payable including capex payables. balance source input. Match the fiscal period to the latest available comparative filing in source_crosswalk.csv. A missing disclosure is n.a., never a reported zero.
Source SRC-0663: Accounts payable. Fiscal year 2023, report FY2024, PDF page 58.
Reported 18095.0 USD millions. Workbook 18095.0 USD millions. none. Status reported.
data/raw/reports/originals/Microsoft_FY2024_10K.pdf
https://www.microsoft.com/investor/reports/ar24/index.html</x:t>
        </x:r>
      </x:text>
    </x:comment>
    <x:comment ref="L25" authorId="0">
      <x:text>
        <x:r>
          <x:t>Accounts payable including capex payables. balance source input. Match the fiscal period to the latest available comparative filing in source_crosswalk.csv. A missing disclosure is n.a., never a reported zero.
Source SRC-0772: Accounts payable. Fiscal year 2024, report FY2025, PDF page 52.
Reported 21996.0 USD millions. Workbook 21996.0 USD millions. none. Status reported.
data/raw/reports/originals/Microsoft_FY2025_10K.pdf
https://www.microsoft.com/investor/reports/ar25/index.html</x:t>
        </x:r>
      </x:text>
    </x:comment>
    <x:comment ref="M25" authorId="0">
      <x:text>
        <x:r>
          <x:t>Accounts payable including capex payables. balance source input. Match the fiscal period to the latest available comparative filing in source_crosswalk.csv. A missing disclosure is n.a., never a reported zero.
Source SRC-0881: Accounts payable. Fiscal year 2025, report FY2026, PDF page 52.
Reported 27724.0 USD millions. Workbook 27724.0 USD millions. none. Status reported.
data/raw/reports/originals/Microsoft_FY2026_10K.pdf
https://www.sec.gov/Archives/edgar/data/789019/000119312526323660/msft-20260630.htm</x:t>
        </x:r>
      </x:text>
    </x:comment>
    <x:comment ref="N25" authorId="0">
      <x:text>
        <x:r>
          <x:t>Accounts payable including capex payables. balance source input. Match the fiscal period to the latest available comparative filing in source_crosswalk.csv. A missing disclosure is n.a., never a reported zero.
Source SRC-0990: Accounts payable. Fiscal year 2026, report FY2026, PDF page 52.
Reported 42416.0 USD millions. Workbook 42416.0 USD millions. none. Status reported.
data/raw/reports/originals/Microsoft_FY2026_10K.pdf
https://www.sec.gov/Archives/edgar/data/789019/000119312526323660/msft-20260630.htm</x:t>
        </x:r>
      </x:text>
    </x:comment>
    <x:comment ref="C25" authorId="0">
      <x:text>
        <x:r>
          <x:t>balance source input. Match the fiscal period to the latest available comparative filing in source_crosswalk.csv. A missing disclosure is n.a., never a reported zero.</x:t>
        </x:r>
      </x:text>
    </x:comment>
    <x:comment ref="E26" authorId="0">
      <x:text>
        <x:r>
          <x:t>Accrued compensation. balance source input. Match the fiscal period to the latest available comparative filing in source_crosswalk.csv. A missing disclosure is n.a., never a reported zero.
Source SRC-0033: Accrued compensation. Fiscal year 2017, report FY2018, PDF page 53.
Reported 5819.0 USD millions. Workbook 5819.0 USD millions. none. Status reported.
data/raw/reports/originals/Microsoft_FY2018_10K.pdf
https://www.microsoft.com/investor/reports/ar18/index.html</x:t>
        </x:r>
      </x:text>
    </x:comment>
    <x:comment ref="F26" authorId="0">
      <x:text>
        <x:r>
          <x:t>Accrued compensation. balance source input. Match the fiscal period to the latest available comparative filing in source_crosswalk.csv. A missing disclosure is n.a., never a reported zero.
Source SRC-0138: Accrued compensation. Fiscal year 2018, report FY2019, PDF page 53.
Reported 6103.0 USD millions. Workbook 6103.0 USD millions. none. Status reported.
data/raw/reports/originals/Microsoft_FY2019_10K.pdf
https://www.microsoft.com/investor/reports/ar19/index.html</x:t>
        </x:r>
      </x:text>
    </x:comment>
    <x:comment ref="G26" authorId="0">
      <x:text>
        <x:r>
          <x:t>Accrued compensation. balance source input. Match the fiscal period to the latest available comparative filing in source_crosswalk.csv. A missing disclosure is n.a., never a reported zero.
Source SRC-0243: Accrued compensation. Fiscal year 2019, report FY2020, PDF page 57.
Reported 6830.0 USD millions. Workbook 6830.0 USD millions. none. Status reported.
data/raw/reports/originals/Microsoft_FY2020_10K.pdf
https://www.microsoft.com/investor/reports/ar20/index.html</x:t>
        </x:r>
      </x:text>
    </x:comment>
    <x:comment ref="H26" authorId="0">
      <x:text>
        <x:r>
          <x:t>Accrued compensation. balance source input. Match the fiscal period to the latest available comparative filing in source_crosswalk.csv. A missing disclosure is n.a., never a reported zero.
Source SRC-0348: Accrued compensation. Fiscal year 2020, report FY2021, PDF page 59.
Reported 7874.0 USD millions. Workbook 7874.0 USD millions. none. Status reported.
data/raw/reports/originals/Microsoft_FY2021_10K.pdf
https://www.microsoft.com/investor/reports/ar21/index.html</x:t>
        </x:r>
      </x:text>
    </x:comment>
    <x:comment ref="I26" authorId="0">
      <x:text>
        <x:r>
          <x:t>Accrued compensation. balance source input. Match the fiscal period to the latest available comparative filing in source_crosswalk.csv. A missing disclosure is n.a., never a reported zero.
Source SRC-0454: Accrued compensation. Fiscal year 2021, report FY2022, PDF page 59.
Reported 10057.0 USD millions. Workbook 10057.0 USD millions. none. Status reported.
data/raw/reports/originals/Microsoft_FY2022_10K.pdf
https://www.microsoft.com/investor/reports/ar22/index.html</x:t>
        </x:r>
      </x:text>
    </x:comment>
    <x:comment ref="J26" authorId="0">
      <x:text>
        <x:r>
          <x:t>Accrued compensation. balance source input. Match the fiscal period to the latest available comparative filing in source_crosswalk.csv. A missing disclosure is n.a., never a reported zero.
Source SRC-0560: Accrued compensation. Fiscal year 2022, report FY2023, PDF page 60.
Reported 10661.0 USD millions. Workbook 10661.0 USD millions. none. Status reported.
data/raw/reports/originals/Microsoft_FY2023_10K.pdf
https://www.microsoft.com/investor/reports/ar23/index.html</x:t>
        </x:r>
      </x:text>
    </x:comment>
    <x:comment ref="K26" authorId="0">
      <x:text>
        <x:r>
          <x:t>Accrued compensation. balance source input. Match the fiscal period to the latest available comparative filing in source_crosswalk.csv. A missing disclosure is n.a., never a reported zero.
Source SRC-0665: Accrued compensation. Fiscal year 2023, report FY2024, PDF page 58.
Reported 11009.0 USD millions. Workbook 11009.0 USD millions. none. Status reported.
data/raw/reports/originals/Microsoft_FY2024_10K.pdf
https://www.microsoft.com/investor/reports/ar24/index.html</x:t>
        </x:r>
      </x:text>
    </x:comment>
    <x:comment ref="L26" authorId="0">
      <x:text>
        <x:r>
          <x:t>Accrued compensation. balance source input. Match the fiscal period to the latest available comparative filing in source_crosswalk.csv. A missing disclosure is n.a., never a reported zero.
Source SRC-0774: Accrued compensation. Fiscal year 2024, report FY2025, PDF page 52.
Reported 12564.0 USD millions. Workbook 12564.0 USD millions. none. Status reported.
data/raw/reports/originals/Microsoft_FY2025_10K.pdf
https://www.microsoft.com/investor/reports/ar25/index.html</x:t>
        </x:r>
      </x:text>
    </x:comment>
    <x:comment ref="M26" authorId="0">
      <x:text>
        <x:r>
          <x:t>Accrued compensation. balance source input. Match the fiscal period to the latest available comparative filing in source_crosswalk.csv. A missing disclosure is n.a., never a reported zero.
Source SRC-0883: Accrued compensation. Fiscal year 2025, report FY2026, PDF page 52.
Reported 13709.0 USD millions. Workbook 13709.0 USD millions. none. Status reported.
data/raw/reports/originals/Microsoft_FY2026_10K.pdf
https://www.sec.gov/Archives/edgar/data/789019/000119312526323660/msft-20260630.htm</x:t>
        </x:r>
      </x:text>
    </x:comment>
    <x:comment ref="N26" authorId="0">
      <x:text>
        <x:r>
          <x:t>Accrued compensation. balance source input. Match the fiscal period to the latest available comparative filing in source_crosswalk.csv. A missing disclosure is n.a., never a reported zero.
Source SRC-0992: Accrued compensation. Fiscal year 2026, report FY2026, PDF page 52.
Reported 14945.0 USD millions. Workbook 14945.0 USD millions. none. Status reported.
data/raw/reports/originals/Microsoft_FY2026_10K.pdf
https://www.sec.gov/Archives/edgar/data/789019/000119312526323660/msft-20260630.htm</x:t>
        </x:r>
      </x:text>
    </x:comment>
    <x:comment ref="C26" authorId="0">
      <x:text>
        <x:r>
          <x:t>balance source input. Match the fiscal period to the latest available comparative filing in source_crosswalk.csv. A missing disclosure is n.a., never a reported zero.</x:t>
        </x:r>
      </x:text>
    </x:comment>
    <x:comment ref="E27" authorId="0">
      <x:text>
        <x:r>
          <x:t>Current unearned revenue. balance source input. Match the fiscal period to the latest available comparative filing in source_crosswalk.csv. A missing disclosure is n.a., never a reported zero.
Source SRC-0035: Short-term unearned revenue. Fiscal year 2017, report FY2018, PDF page 53.
Reported 24013.0 USD millions. Workbook 24013.0 USD millions. none. Status reported.
data/raw/reports/originals/Microsoft_FY2018_10K.pdf
https://www.microsoft.com/investor/reports/ar18/index.html</x:t>
        </x:r>
      </x:text>
    </x:comment>
    <x:comment ref="F27" authorId="0">
      <x:text>
        <x:r>
          <x:t>Current unearned revenue. balance source input. Match the fiscal period to the latest available comparative filing in source_crosswalk.csv. A missing disclosure is n.a., never a reported zero.
Source SRC-0140: Short-term unearned revenue. Fiscal year 2018, report FY2019, PDF page 53.
Reported 28905.0 USD millions. Workbook 28905.0 USD millions. none. Status reported.
data/raw/reports/originals/Microsoft_FY2019_10K.pdf
https://www.microsoft.com/investor/reports/ar19/index.html</x:t>
        </x:r>
      </x:text>
    </x:comment>
    <x:comment ref="G27" authorId="0">
      <x:text>
        <x:r>
          <x:t>Current unearned revenue. balance source input. Match the fiscal period to the latest available comparative filing in source_crosswalk.csv. A missing disclosure is n.a., never a reported zero.
Source SRC-0245: Short-term unearned revenue. Fiscal year 2019, report FY2020, PDF page 57.
Reported 32676.0 USD millions. Workbook 32676.0 USD millions. none. Status reported.
data/raw/reports/originals/Microsoft_FY2020_10K.pdf
https://www.microsoft.com/investor/reports/ar20/index.html</x:t>
        </x:r>
      </x:text>
    </x:comment>
    <x:comment ref="H27" authorId="0">
      <x:text>
        <x:r>
          <x:t>Current unearned revenue. balance source input. Match the fiscal period to the latest available comparative filing in source_crosswalk.csv. A missing disclosure is n.a., never a reported zero.
Source SRC-0350: Short-term unearned revenue. Fiscal year 2020, report FY2021, PDF page 59.
Reported 36000.0 USD millions. Workbook 36000.0 USD millions. none. Status reported.
data/raw/reports/originals/Microsoft_FY2021_10K.pdf
https://www.microsoft.com/investor/reports/ar21/index.html</x:t>
        </x:r>
      </x:text>
    </x:comment>
    <x:comment ref="I27" authorId="0">
      <x:text>
        <x:r>
          <x:t>Current unearned revenue. balance source input. Match the fiscal period to the latest available comparative filing in source_crosswalk.csv. A missing disclosure is n.a., never a reported zero.
Source SRC-0456: Short-term unearned revenue. Fiscal year 2021, report FY2022, PDF page 59.
Reported 41525.0 USD millions. Workbook 41525.0 USD millions. none. Status reported.
data/raw/reports/originals/Microsoft_FY2022_10K.pdf
https://www.microsoft.com/investor/reports/ar22/index.html</x:t>
        </x:r>
      </x:text>
    </x:comment>
    <x:comment ref="J27" authorId="0">
      <x:text>
        <x:r>
          <x:t>Current unearned revenue. balance source input. Match the fiscal period to the latest available comparative filing in source_crosswalk.csv. A missing disclosure is n.a., never a reported zero.
Source SRC-0562: Short-term unearned revenue. Fiscal year 2022, report FY2023, PDF page 60.
Reported 45538.0 USD millions. Workbook 45538.0 USD millions. none. Status reported.
data/raw/reports/originals/Microsoft_FY2023_10K.pdf
https://www.microsoft.com/investor/reports/ar23/index.html</x:t>
        </x:r>
      </x:text>
    </x:comment>
    <x:comment ref="K27" authorId="0">
      <x:text>
        <x:r>
          <x:t>Current unearned revenue. balance source input. Match the fiscal period to the latest available comparative filing in source_crosswalk.csv. A missing disclosure is n.a., never a reported zero.
Source SRC-0667: Short-term unearned revenue. Fiscal year 2023, report FY2024, PDF page 58.
Reported 50901.0 USD millions. Workbook 50901.0 USD millions. none. Status reported.
data/raw/reports/originals/Microsoft_FY2024_10K.pdf
https://www.microsoft.com/investor/reports/ar24/index.html</x:t>
        </x:r>
      </x:text>
    </x:comment>
    <x:comment ref="L27" authorId="0">
      <x:text>
        <x:r>
          <x:t>Current unearned revenue. balance source input. Match the fiscal period to the latest available comparative filing in source_crosswalk.csv. A missing disclosure is n.a., never a reported zero.
Source SRC-0776: Short-term unearned revenue. Fiscal year 2024, report FY2025, PDF page 52.
Reported 57582.0 USD millions. Workbook 57582.0 USD millions. none. Status reported.
data/raw/reports/originals/Microsoft_FY2025_10K.pdf
https://www.microsoft.com/investor/reports/ar25/index.html</x:t>
        </x:r>
      </x:text>
    </x:comment>
    <x:comment ref="M27" authorId="0">
      <x:text>
        <x:r>
          <x:t>Current unearned revenue. balance source input. Match the fiscal period to the latest available comparative filing in source_crosswalk.csv. A missing disclosure is n.a., never a reported zero.
Source SRC-0885: Short-term unearned revenue. Fiscal year 2025, report FY2026, PDF page 52.
Reported 64555.0 USD millions. Workbook 64555.0 USD millions. none. Status reported.
data/raw/reports/originals/Microsoft_FY2026_10K.pdf
https://www.sec.gov/Archives/edgar/data/789019/000119312526323660/msft-20260630.htm</x:t>
        </x:r>
      </x:text>
    </x:comment>
    <x:comment ref="N27" authorId="0">
      <x:text>
        <x:r>
          <x:t>Current unearned revenue. balance source input. Match the fiscal period to the latest available comparative filing in source_crosswalk.csv. A missing disclosure is n.a., never a reported zero.
Source SRC-0994: Short-term unearned revenue. Fiscal year 2026, report FY2026, PDF page 52.
Reported 72965.0 USD millions. Workbook 72965.0 USD millions. none. Status reported.
data/raw/reports/originals/Microsoft_FY2026_10K.pdf
https://www.sec.gov/Archives/edgar/data/789019/000119312526323660/msft-20260630.htm</x:t>
        </x:r>
      </x:text>
    </x:comment>
    <x:comment ref="C27" authorId="0">
      <x:text>
        <x:r>
          <x:t>balance source input. Match the fiscal period to the latest available comparative filing in source_crosswalk.csv. A missing disclosure is n.a., never a reported zero.</x:t>
        </x:r>
      </x:text>
    </x:comment>
    <x:comment ref="E28" authorId="0">
      <x:text>
        <x:r>
          <x:t>Other current liabilities including lease portions. balance source input. Match the fiscal period to the latest available comparative filing in source_crosswalk.csv. A missing disclosure is n.a., never a reported zero.
Source SRC-0036: Other. Fiscal year 2017, report FY2018, PDF page 53.
Reported 7684.0 USD millions. Workbook 7684.0 USD millions. none. Status reported.
data/raw/reports/originals/Microsoft_FY2018_10K.pdf
https://www.microsoft.com/investor/reports/ar18/index.html</x:t>
        </x:r>
      </x:text>
    </x:comment>
    <x:comment ref="F28" authorId="0">
      <x:text>
        <x:r>
          <x:t>Other current liabilities including lease portions. balance source input. Match the fiscal period to the latest available comparative filing in source_crosswalk.csv. A missing disclosure is n.a., never a reported zero.
Source SRC-0141: Other. Fiscal year 2018, report FY2019, PDF page 53.
Reported 8744.0 USD millions. Workbook 8744.0 USD millions. none. Status reported.
data/raw/reports/originals/Microsoft_FY2019_10K.pdf
https://www.microsoft.com/investor/reports/ar19/index.html</x:t>
        </x:r>
      </x:text>
    </x:comment>
    <x:comment ref="G28" authorId="0">
      <x:text>
        <x:r>
          <x:t>Other current liabilities including lease portions. balance source input. Match the fiscal period to the latest available comparative filing in source_crosswalk.csv. A missing disclosure is n.a., never a reported zero.
Source SRC-0246: Other current liabilities. Fiscal year 2019, report FY2020, PDF page 57.
Reported 9351.0 USD millions. Workbook 9351.0 USD millions. none. Status reported.
data/raw/reports/originals/Microsoft_FY2020_10K.pdf
https://www.microsoft.com/investor/reports/ar20/index.html</x:t>
        </x:r>
      </x:text>
    </x:comment>
    <x:comment ref="H28" authorId="0">
      <x:text>
        <x:r>
          <x:t>Other current liabilities including lease portions. balance source input. Match the fiscal period to the latest available comparative filing in source_crosswalk.csv. A missing disclosure is n.a., never a reported zero.
Source SRC-0351: Other current liabilities. Fiscal year 2020, report FY2021, PDF page 59.
Reported 10027.0 USD millions. Workbook 10027.0 USD millions. none. Status reported.
data/raw/reports/originals/Microsoft_FY2021_10K.pdf
https://www.microsoft.com/investor/reports/ar21/index.html</x:t>
        </x:r>
      </x:text>
    </x:comment>
    <x:comment ref="I28" authorId="0">
      <x:text>
        <x:r>
          <x:t>Other current liabilities including lease portions. balance source input. Match the fiscal period to the latest available comparative filing in source_crosswalk.csv. A missing disclosure is n.a., never a reported zero.
Source SRC-0457: Other current liabilities. Fiscal year 2021, report FY2022, PDF page 59.
Reported 11666.0 USD millions. Workbook 11666.0 USD millions. none. Status reported.
data/raw/reports/originals/Microsoft_FY2022_10K.pdf
https://www.microsoft.com/investor/reports/ar22/index.html</x:t>
        </x:r>
      </x:text>
    </x:comment>
    <x:comment ref="J28" authorId="0">
      <x:text>
        <x:r>
          <x:t>Other current liabilities including lease portions. balance source input. Match the fiscal period to the latest available comparative filing in source_crosswalk.csv. A missing disclosure is n.a., never a reported zero.
Source SRC-0563: Other current liabilities. Fiscal year 2022, report FY2023, PDF page 60.
Reported 13067.0 USD millions. Workbook 13067.0 USD millions. none. Status reported.
data/raw/reports/originals/Microsoft_FY2023_10K.pdf
https://www.microsoft.com/investor/reports/ar23/index.html</x:t>
        </x:r>
      </x:text>
    </x:comment>
    <x:comment ref="K28" authorId="0">
      <x:text>
        <x:r>
          <x:t>Other current liabilities including lease portions. balance source input. Match the fiscal period to the latest available comparative filing in source_crosswalk.csv. A missing disclosure is n.a., never a reported zero.
Source SRC-0668: Other current liabilities. Fiscal year 2023, report FY2024, PDF page 58.
Reported 14745.0 USD millions. Workbook 14745.0 USD millions. none. Status reported.
data/raw/reports/originals/Microsoft_FY2024_10K.pdf
https://www.microsoft.com/investor/reports/ar24/index.html</x:t>
        </x:r>
      </x:text>
    </x:comment>
    <x:comment ref="L28" authorId="0">
      <x:text>
        <x:r>
          <x:t>Other current liabilities including lease portions. balance source input. Match the fiscal period to the latest available comparative filing in source_crosswalk.csv. A missing disclosure is n.a., never a reported zero.
Source SRC-0777: Other current liabilities. Fiscal year 2024, report FY2025, PDF page 52.
Reported 19185.0 USD millions. Workbook 19185.0 USD millions. none. Status reported.
data/raw/reports/originals/Microsoft_FY2025_10K.pdf
https://www.microsoft.com/investor/reports/ar25/index.html</x:t>
        </x:r>
      </x:text>
    </x:comment>
    <x:comment ref="M28" authorId="0">
      <x:text>
        <x:r>
          <x:t>Other current liabilities including lease portions. balance source input. Match the fiscal period to the latest available comparative filing in source_crosswalk.csv. A missing disclosure is n.a., never a reported zero.
Source SRC-0886: Other current liabilities. Fiscal year 2025, report FY2026, PDF page 52.
Reported 25020.0 USD millions. Workbook 25020.0 USD millions. none. Status reported.
data/raw/reports/originals/Microsoft_FY2026_10K.pdf
https://www.sec.gov/Archives/edgar/data/789019/000119312526323660/msft-20260630.htm</x:t>
        </x:r>
      </x:text>
    </x:comment>
    <x:comment ref="N28" authorId="0">
      <x:text>
        <x:r>
          <x:t>Other current liabilities including lease portions. balance source input. Match the fiscal period to the latest available comparative filing in source_crosswalk.csv. A missing disclosure is n.a., never a reported zero.
Source SRC-0995: Other current liabilities. Fiscal year 2026, report FY2026, PDF page 52.
Reported 26738.0 USD millions. Workbook 26738.0 USD millions. none. Status reported.
data/raw/reports/originals/Microsoft_FY2026_10K.pdf
https://www.sec.gov/Archives/edgar/data/789019/000119312526323660/msft-20260630.htm</x:t>
        </x:r>
      </x:text>
    </x:comment>
    <x:comment ref="C28" authorId="0">
      <x:text>
        <x:r>
          <x:t>balance source input. Match the fiscal period to the latest available comparative filing in source_crosswalk.csv. A missing disclosure is n.a., never a reported zero.</x:t>
        </x:r>
      </x:text>
    </x:comment>
    <x:comment ref="E29" authorId="0">
      <x:text>
        <x:r>
          <x:t>Current portion of long term debt. balance source input. Match the fiscal period to the latest available comparative filing in source_crosswalk.csv. A missing disclosure is n.a., never a reported zero.
Source SRC-0032: Current portion of long-term debt. Fiscal year 2017, report FY2018, PDF page 53.
Reported 1049.0 USD millions. Workbook 1049.0 USD millions. none. Status reported.
data/raw/reports/originals/Microsoft_FY2018_10K.pdf
https://www.microsoft.com/investor/reports/ar18/index.html</x:t>
        </x:r>
      </x:text>
    </x:comment>
    <x:comment ref="F29" authorId="0">
      <x:text>
        <x:r>
          <x:t>Current portion of long term debt. balance source input. Match the fiscal period to the latest available comparative filing in source_crosswalk.csv. A missing disclosure is n.a., never a reported zero.
Source SRC-0137: Current portion of long-term debt. Fiscal year 2018, report FY2019, PDF page 53.
Reported 3998.0 USD millions. Workbook 3998.0 USD millions. none. Status reported.
data/raw/reports/originals/Microsoft_FY2019_10K.pdf
https://www.microsoft.com/investor/reports/ar19/index.html</x:t>
        </x:r>
      </x:text>
    </x:comment>
    <x:comment ref="G29" authorId="0">
      <x:text>
        <x:r>
          <x:t>Current portion of long term debt. balance source input. Match the fiscal period to the latest available comparative filing in source_crosswalk.csv. A missing disclosure is n.a., never a reported zero.
Source SRC-0242: Current portion of long-term debt. Fiscal year 2019, report FY2020, PDF page 57.
Reported 5516.0 USD millions. Workbook 5516.0 USD millions. none. Status reported.
data/raw/reports/originals/Microsoft_FY2020_10K.pdf
https://www.microsoft.com/investor/reports/ar20/index.html</x:t>
        </x:r>
      </x:text>
    </x:comment>
    <x:comment ref="H29" authorId="0">
      <x:text>
        <x:r>
          <x:t>Current portion of long term debt. balance source input. Match the fiscal period to the latest available comparative filing in source_crosswalk.csv. A missing disclosure is n.a., never a reported zero.
Source SRC-0347: Current portion of long-term debt. Fiscal year 2020, report FY2021, PDF page 59.
Reported 3749.0 USD millions. Workbook 3749.0 USD millions. none. Status reported.
data/raw/reports/originals/Microsoft_FY2021_10K.pdf
https://www.microsoft.com/investor/reports/ar21/index.html</x:t>
        </x:r>
      </x:text>
    </x:comment>
    <x:comment ref="I29" authorId="0">
      <x:text>
        <x:r>
          <x:t>Current portion of long term debt. balance source input. Match the fiscal period to the latest available comparative filing in source_crosswalk.csv. A missing disclosure is n.a., never a reported zero.
Source SRC-0453: Current portion of long-term debt. Fiscal year 2021, report FY2022, PDF page 59.
Reported 8072.0 USD millions. Workbook 8072.0 USD millions. none. Status reported.
data/raw/reports/originals/Microsoft_FY2022_10K.pdf
https://www.microsoft.com/investor/reports/ar22/index.html</x:t>
        </x:r>
      </x:text>
    </x:comment>
    <x:comment ref="J29" authorId="0">
      <x:text>
        <x:r>
          <x:t>Current portion of long term debt. balance source input. Match the fiscal period to the latest available comparative filing in source_crosswalk.csv. A missing disclosure is n.a., never a reported zero.
Source SRC-0559: Current portion of long-term debt. Fiscal year 2022, report FY2023, PDF page 60.
Reported 2749.0 USD millions. Workbook 2749.0 USD millions. none. Status reported.
data/raw/reports/originals/Microsoft_FY2023_10K.pdf
https://www.microsoft.com/investor/reports/ar23/index.html</x:t>
        </x:r>
      </x:text>
    </x:comment>
    <x:comment ref="K29" authorId="0">
      <x:text>
        <x:r>
          <x:t>Current portion of long term debt. balance source input. Match the fiscal period to the latest available comparative filing in source_crosswalk.csv. A missing disclosure is n.a., never a reported zero.
Source SRC-0664: Current portion of long-term debt. Fiscal year 2023, report FY2024, PDF page 58.
Reported 5247.0 USD millions. Workbook 5247.0 USD millions. none. Status reported.
data/raw/reports/originals/Microsoft_FY2024_10K.pdf
https://www.microsoft.com/investor/reports/ar24/index.html</x:t>
        </x:r>
      </x:text>
    </x:comment>
    <x:comment ref="L29" authorId="0">
      <x:text>
        <x:r>
          <x:t>Current portion of long term debt. balance source input. Match the fiscal period to the latest available comparative filing in source_crosswalk.csv. A missing disclosure is n.a., never a reported zero.
Source SRC-0773: Current portion of long-term debt. Fiscal year 2024, report FY2025, PDF page 52.
Reported 2249.0 USD millions. Workbook 2249.0 USD millions. none. Status reported.
data/raw/reports/originals/Microsoft_FY2025_10K.pdf
https://www.microsoft.com/investor/reports/ar25/index.html</x:t>
        </x:r>
      </x:text>
    </x:comment>
    <x:comment ref="M29" authorId="0">
      <x:text>
        <x:r>
          <x:t>Current portion of long term debt. balance source input. Match the fiscal period to the latest available comparative filing in source_crosswalk.csv. A missing disclosure is n.a., never a reported zero.
Source SRC-0882: Current portion of long-term debt. Fiscal year 2025, report FY2026, PDF page 52.
Reported 2999.0 USD millions. Workbook 2999.0 USD millions. none. Status reported.
data/raw/reports/originals/Microsoft_FY2026_10K.pdf
https://www.sec.gov/Archives/edgar/data/789019/000119312526323660/msft-20260630.htm</x:t>
        </x:r>
      </x:text>
    </x:comment>
    <x:comment ref="N29" authorId="0">
      <x:text>
        <x:r>
          <x:t>Current portion of long term debt. balance source input. Match the fiscal period to the latest available comparative filing in source_crosswalk.csv. A missing disclosure is n.a., never a reported zero.
Source SRC-0991: Current portion of long-term debt. Fiscal year 2026, report FY2026, PDF page 52.
Reported 9227.0 USD millions. Workbook 9227.0 USD millions. none. Status reported.
data/raw/reports/originals/Microsoft_FY2026_10K.pdf
https://www.sec.gov/Archives/edgar/data/789019/000119312526323660/msft-20260630.htm</x:t>
        </x:r>
      </x:text>
    </x:comment>
    <x:comment ref="C29" authorId="0">
      <x:text>
        <x:r>
          <x:t>balance source input. Match the fiscal period to the latest available comparative filing in source_crosswalk.csv. A missing disclosure is n.a., never a reported zero.</x:t>
        </x:r>
      </x:text>
    </x:comment>
    <x:comment ref="E30" authorId="0">
      <x:text>
        <x:r>
          <x:t>Short term debt. balance source input. Match the fiscal period to the latest available comparative filing in source_crosswalk.csv. A missing disclosure is n.a., never a reported zero.
Source SRC-0050: Short-term debt. Fiscal year 2017, report FY2018, PDF page 53.
Reported 9072.0 USD millions. Workbook 9072.0 USD millions. none. Status reported.
data/raw/reports/originals/Microsoft_FY2018_10K.pdf
https://www.microsoft.com/investor/reports/ar18/index.html</x:t>
        </x:r>
      </x:text>
    </x:comment>
    <x:comment ref="F30" authorId="0">
      <x:text>
        <x:r>
          <x:t>Short term debt. balance source input. Match the fiscal period to the latest available comparative filing in source_crosswalk.csv. A missing disclosure is n.a., never a reported zero.
Source SRC-0155: st debt. Fiscal year 2018, report FY2019, PDF page 53.
Reported  USD millions. Workbook 0.0 USD millions. normalized_absence. Status normalized_absence.
data/raw/reports/originals/Microsoft_FY2019_10K.pdf
https://www.microsoft.com/investor/reports/ar19/index.html</x:t>
        </x:r>
      </x:text>
    </x:comment>
    <x:comment ref="G30" authorId="0">
      <x:text>
        <x:r>
          <x:t>Short term debt. balance source input. Match the fiscal period to the latest available comparative filing in source_crosswalk.csv. A missing disclosure is n.a., never a reported zero.
Source SRC-0260: st debt. Fiscal year 2019, report FY2020, PDF page 57.
Reported  USD millions. Workbook 0.0 USD millions. normalized_absence. Status normalized_absence.
data/raw/reports/originals/Microsoft_FY2020_10K.pdf
https://www.microsoft.com/investor/reports/ar20/index.html</x:t>
        </x:r>
      </x:text>
    </x:comment>
    <x:comment ref="H30" authorId="0">
      <x:text>
        <x:r>
          <x:t>Short term debt. balance source input. Match the fiscal period to the latest available comparative filing in source_crosswalk.csv. A missing disclosure is n.a., never a reported zero.
Source SRC-0365: st debt. Fiscal year 2020, report FY2021, PDF page 59.
Reported  USD millions. Workbook 0.0 USD millions. normalized_absence. Status normalized_absence.
data/raw/reports/originals/Microsoft_FY2021_10K.pdf
https://www.microsoft.com/investor/reports/ar21/index.html</x:t>
        </x:r>
      </x:text>
    </x:comment>
    <x:comment ref="I30" authorId="0">
      <x:text>
        <x:r>
          <x:t>Short term debt. balance source input. Match the fiscal period to the latest available comparative filing in source_crosswalk.csv. A missing disclosure is n.a., never a reported zero.
Source SRC-0471: st debt. Fiscal year 2021, report FY2022, PDF page 59.
Reported  USD millions. Workbook 0.0 USD millions. normalized_absence. Status normalized_absence.
data/raw/reports/originals/Microsoft_FY2022_10K.pdf
https://www.microsoft.com/investor/reports/ar22/index.html</x:t>
        </x:r>
      </x:text>
    </x:comment>
    <x:comment ref="J30" authorId="0">
      <x:text>
        <x:r>
          <x:t>Short term debt. balance source input. Match the fiscal period to the latest available comparative filing in source_crosswalk.csv. A missing disclosure is n.a., never a reported zero.
Source SRC-0577: st debt. Fiscal year 2022, report FY2023, PDF page 60.
Reported  USD millions. Workbook 0.0 USD millions. normalized_absence. Status normalized_absence.
data/raw/reports/originals/Microsoft_FY2023_10K.pdf
https://www.microsoft.com/investor/reports/ar23/index.html</x:t>
        </x:r>
      </x:text>
    </x:comment>
    <x:comment ref="K30" authorId="0">
      <x:text>
        <x:r>
          <x:t>Short term debt. balance source input. Match the fiscal period to the latest available comparative filing in source_crosswalk.csv. A missing disclosure is n.a., never a reported zero.
Source SRC-0682: Short-term debt. Fiscal year 2023, report FY2024, PDF page 58.
Reported 0.0 USD millions. Workbook 0.0 USD millions. none. Status reported.
data/raw/reports/originals/Microsoft_FY2024_10K.pdf
https://www.microsoft.com/investor/reports/ar24/index.html</x:t>
        </x:r>
      </x:text>
    </x:comment>
    <x:comment ref="L30" authorId="0">
      <x:text>
        <x:r>
          <x:t>Short term debt. balance source input. Match the fiscal period to the latest available comparative filing in source_crosswalk.csv. A missing disclosure is n.a., never a reported zero.
Source SRC-0791: Short-term debt. Fiscal year 2024, report FY2025, PDF page 52.
Reported 6693.0 USD millions. Workbook 6693.0 USD millions. none. Status reported.
data/raw/reports/originals/Microsoft_FY2025_10K.pdf
https://www.microsoft.com/investor/reports/ar25/index.html</x:t>
        </x:r>
      </x:text>
    </x:comment>
    <x:comment ref="M30" authorId="0">
      <x:text>
        <x:r>
          <x:t>Short term debt. balance source input. Match the fiscal period to the latest available comparative filing in source_crosswalk.csv. A missing disclosure is n.a., never a reported zero.
Source SRC-0900: st debt. Fiscal year 2025, report FY2026, PDF page 52.
Reported  USD millions. Workbook 0.0 USD millions. normalized_absence. Status normalized_absence.
data/raw/reports/originals/Microsoft_FY2026_10K.pdf
https://www.sec.gov/Archives/edgar/data/789019/000119312526323660/msft-20260630.htm</x:t>
        </x:r>
      </x:text>
    </x:comment>
    <x:comment ref="N30" authorId="0">
      <x:text>
        <x:r>
          <x:t>Short term debt. balance source input. Match the fiscal period to the latest available comparative filing in source_crosswalk.csv. A missing disclosure is n.a., never a reported zero.
Source SRC-1009: st debt. Fiscal year 2026, report FY2026, PDF page 52.
Reported  USD millions. Workbook 0.0 USD millions. normalized_absence. Status normalized_absence.
data/raw/reports/originals/Microsoft_FY2026_10K.pdf
https://www.sec.gov/Archives/edgar/data/789019/000119312526323660/msft-20260630.htm</x:t>
        </x:r>
      </x:text>
    </x:comment>
    <x:comment ref="C30" authorId="0">
      <x:text>
        <x:r>
          <x:t>balance source input. Match the fiscal period to the latest available comparative filing in source_crosswalk.csv. A missing disclosure is n.a., never a reported zero.</x:t>
        </x:r>
      </x:text>
    </x:comment>
    <x:comment ref="E31" authorId="0">
      <x:text>
        <x:r>
          <x:t>Long term debt carrying amount. balance source input. Match the fiscal period to the latest available comparative filing in source_crosswalk.csv. A missing disclosure is n.a., never a reported zero.
Source SRC-0038: Long-term debt. Fiscal year 2017, report FY2018, PDF page 53.
Reported 76073.0 USD millions. Workbook 76073.0 USD millions. none. Status reported.
data/raw/reports/originals/Microsoft_FY2018_10K.pdf
https://www.microsoft.com/investor/reports/ar18/index.html</x:t>
        </x:r>
      </x:text>
    </x:comment>
    <x:comment ref="F31" authorId="0">
      <x:text>
        <x:r>
          <x:t>Long term debt carrying amount. balance source input. Match the fiscal period to the latest available comparative filing in source_crosswalk.csv. A missing disclosure is n.a., never a reported zero.
Source SRC-0143: Long-term debt. Fiscal year 2018, report FY2019, PDF page 53.
Reported 72242.0 USD millions. Workbook 72242.0 USD millions. none. Status reported.
data/raw/reports/originals/Microsoft_FY2019_10K.pdf
https://www.microsoft.com/investor/reports/ar19/index.html</x:t>
        </x:r>
      </x:text>
    </x:comment>
    <x:comment ref="G31" authorId="0">
      <x:text>
        <x:r>
          <x:t>Long term debt carrying amount. balance source input. Match the fiscal period to the latest available comparative filing in source_crosswalk.csv. A missing disclosure is n.a., never a reported zero.
Source SRC-0248: Long-term debt. Fiscal year 2019, report FY2020, PDF page 57.
Reported 66662.0 USD millions. Workbook 66662.0 USD millions. none. Status reported.
data/raw/reports/originals/Microsoft_FY2020_10K.pdf
https://www.microsoft.com/investor/reports/ar20/index.html</x:t>
        </x:r>
      </x:text>
    </x:comment>
    <x:comment ref="H31" authorId="0">
      <x:text>
        <x:r>
          <x:t>Long term debt carrying amount. balance source input. Match the fiscal period to the latest available comparative filing in source_crosswalk.csv. A missing disclosure is n.a., never a reported zero.
Source SRC-0353: Long-term debt. Fiscal year 2020, report FY2021, PDF page 59.
Reported 59578.0 USD millions. Workbook 59578.0 USD millions. none. Status reported.
data/raw/reports/originals/Microsoft_FY2021_10K.pdf
https://www.microsoft.com/investor/reports/ar21/index.html</x:t>
        </x:r>
      </x:text>
    </x:comment>
    <x:comment ref="I31" authorId="0">
      <x:text>
        <x:r>
          <x:t>Long term debt carrying amount. balance source input. Match the fiscal period to the latest available comparative filing in source_crosswalk.csv. A missing disclosure is n.a., never a reported zero.
Source SRC-0459: Long-term debt. Fiscal year 2021, report FY2022, PDF page 59.
Reported 50074.0 USD millions. Workbook 50074.0 USD millions. none. Status reported.
data/raw/reports/originals/Microsoft_FY2022_10K.pdf
https://www.microsoft.com/investor/reports/ar22/index.html</x:t>
        </x:r>
      </x:text>
    </x:comment>
    <x:comment ref="J31" authorId="0">
      <x:text>
        <x:r>
          <x:t>Long term debt carrying amount. balance source input. Match the fiscal period to the latest available comparative filing in source_crosswalk.csv. A missing disclosure is n.a., never a reported zero.
Source SRC-0565: Long-term debt. Fiscal year 2022, report FY2023, PDF page 60.
Reported 47032.0 USD millions. Workbook 47032.0 USD millions. none. Status reported.
data/raw/reports/originals/Microsoft_FY2023_10K.pdf
https://www.microsoft.com/investor/reports/ar23/index.html</x:t>
        </x:r>
      </x:text>
    </x:comment>
    <x:comment ref="K31" authorId="0">
      <x:text>
        <x:r>
          <x:t>Long term debt carrying amount. balance source input. Match the fiscal period to the latest available comparative filing in source_crosswalk.csv. A missing disclosure is n.a., never a reported zero.
Source SRC-0670: Long-term debt. Fiscal year 2023, report FY2024, PDF page 58.
Reported 41990.0 USD millions. Workbook 41990.0 USD millions. none. Status reported.
data/raw/reports/originals/Microsoft_FY2024_10K.pdf
https://www.microsoft.com/investor/reports/ar24/index.html</x:t>
        </x:r>
      </x:text>
    </x:comment>
    <x:comment ref="L31" authorId="0">
      <x:text>
        <x:r>
          <x:t>Long term debt carrying amount. balance source input. Match the fiscal period to the latest available comparative filing in source_crosswalk.csv. A missing disclosure is n.a., never a reported zero.
Source SRC-0779: Long-term debt. Fiscal year 2024, report FY2025, PDF page 52.
Reported 42688.0 USD millions. Workbook 42688.0 USD millions. none. Status reported.
data/raw/reports/originals/Microsoft_FY2025_10K.pdf
https://www.microsoft.com/investor/reports/ar25/index.html</x:t>
        </x:r>
      </x:text>
    </x:comment>
    <x:comment ref="M31" authorId="0">
      <x:text>
        <x:r>
          <x:t>Long term debt carrying amount. balance source input. Match the fiscal period to the latest available comparative filing in source_crosswalk.csv. A missing disclosure is n.a., never a reported zero.
Source SRC-0888: Long-term debt. Fiscal year 2025, report FY2026, PDF page 52.
Reported 40152.0 USD millions. Workbook 40152.0 USD millions. none. Status reported.
data/raw/reports/originals/Microsoft_FY2026_10K.pdf
https://www.sec.gov/Archives/edgar/data/789019/000119312526323660/msft-20260630.htm</x:t>
        </x:r>
      </x:text>
    </x:comment>
    <x:comment ref="N31" authorId="0">
      <x:text>
        <x:r>
          <x:t>Long term debt carrying amount. balance source input. Match the fiscal period to the latest available comparative filing in source_crosswalk.csv. A missing disclosure is n.a., never a reported zero.
Source SRC-0997: Long-term debt. Fiscal year 2026, report FY2026, PDF page 52.
Reported 31067.0 USD millions. Workbook 31067.0 USD millions. none. Status reported.
data/raw/reports/originals/Microsoft_FY2026_10K.pdf
https://www.sec.gov/Archives/edgar/data/789019/000119312526323660/msft-20260630.htm</x:t>
        </x:r>
      </x:text>
    </x:comment>
    <x:comment ref="C31" authorId="0">
      <x:text>
        <x:r>
          <x:t>balance source input. Match the fiscal period to the latest available comparative filing in source_crosswalk.csv. A missing disclosure is n.a., never a reported zero.</x:t>
        </x:r>
      </x:text>
    </x:comment>
    <x:comment ref="E32" authorId="0">
      <x:text>
        <x:r>
          <x:t>Property and equipment net. balance source input. Match the fiscal period to the latest available comparative filing in source_crosswalk.csv. A missing disclosure is n.a., never a reported zero.
Source SRC-0024: Property and equipment, net of accumulated depreciation of $29,223 and $24,179. Fiscal year 2017, report FY2018, PDF page 53.
Reported 23734.0 USD millions. Workbook 23734.0 USD millions. none. Status reported.
data/raw/reports/originals/Microsoft_FY2018_10K.pdf
https://www.microsoft.com/investor/reports/ar18/index.html</x:t>
        </x:r>
      </x:text>
    </x:comment>
    <x:comment ref="F32" authorId="0">
      <x:text>
        <x:r>
          <x:t>Property and equipment net. balance source input. Match the fiscal period to the latest available comparative filing in source_crosswalk.csv. A missing disclosure is n.a., never a reported zero.
Source SRC-0129: Property and equipment, net of accumulated depreciation of $35,330 and $29,223. Fiscal year 2018, report FY2019, PDF page 53.
Reported 29460.0 USD millions. Workbook 29460.0 USD millions. none. Status reported.
data/raw/reports/originals/Microsoft_FY2019_10K.pdf
https://www.microsoft.com/investor/reports/ar19/index.html</x:t>
        </x:r>
      </x:text>
    </x:comment>
    <x:comment ref="G32" authorId="0">
      <x:text>
        <x:r>
          <x:t>Property and equipment net. balance source input. Match the fiscal period to the latest available comparative filing in source_crosswalk.csv. A missing disclosure is n.a., never a reported zero.
Source SRC-0234: Property and equipment, net of accumulated depreciation of $43,197 and $35,330. Fiscal year 2019, report FY2020, PDF page 57.
Reported 36477.0 USD millions. Workbook 36477.0 USD millions. none. Status reported.
data/raw/reports/originals/Microsoft_FY2020_10K.pdf
https://www.microsoft.com/investor/reports/ar20/index.html</x:t>
        </x:r>
      </x:text>
    </x:comment>
    <x:comment ref="H32" authorId="0">
      <x:text>
        <x:r>
          <x:t>Property and equipment net. balance source input. Match the fiscal period to the latest available comparative filing in source_crosswalk.csv. A missing disclosure is n.a., never a reported zero.
Source SRC-0339: Property and equipment, net of accumulated depreciation of $51,351 and $43,197. Fiscal year 2020, report FY2021, PDF page 59.
Reported 44151.0 USD millions. Workbook 44151.0 USD millions. none. Status reported.
data/raw/reports/originals/Microsoft_FY2021_10K.pdf
https://www.microsoft.com/investor/reports/ar21/index.html</x:t>
        </x:r>
      </x:text>
    </x:comment>
    <x:comment ref="I32" authorId="0">
      <x:text>
        <x:r>
          <x:t>Property and equipment net. balance source input. Match the fiscal period to the latest available comparative filing in source_crosswalk.csv. A missing disclosure is n.a., never a reported zero.
Source SRC-0445: Property and equipment, net of accumulated depreciation of $59,660 and $51,351. Fiscal year 2021, report FY2022, PDF page 59.
Reported 59715.0 USD millions. Workbook 59715.0 USD millions. none. Status reported.
data/raw/reports/originals/Microsoft_FY2022_10K.pdf
https://www.microsoft.com/investor/reports/ar22/index.html</x:t>
        </x:r>
      </x:text>
    </x:comment>
    <x:comment ref="J32" authorId="0">
      <x:text>
        <x:r>
          <x:t>Property and equipment net. balance source input. Match the fiscal period to the latest available comparative filing in source_crosswalk.csv. A missing disclosure is n.a., never a reported zero.
Source SRC-0551: Property and equipment, net of accumulated depreciation of $68,251 and $59,660. Fiscal year 2022, report FY2023, PDF page 60.
Reported 74398.0 USD millions. Workbook 74398.0 USD millions. none. Status reported.
data/raw/reports/originals/Microsoft_FY2023_10K.pdf
https://www.microsoft.com/investor/reports/ar23/index.html</x:t>
        </x:r>
      </x:text>
    </x:comment>
    <x:comment ref="K32" authorId="0">
      <x:text>
        <x:r>
          <x:t>Property and equipment net. balance source input. Match the fiscal period to the latest available comparative filing in source_crosswalk.csv. A missing disclosure is n.a., never a reported zero.
Source SRC-0656: Property and equipment, net of accumulated depreciation of $76,421 and $68,251. Fiscal year 2023, report FY2024, PDF page 58.
Reported 95641.0 USD millions. Workbook 95641.0 USD millions. none. Status reported.
data/raw/reports/originals/Microsoft_FY2024_10K.pdf
https://www.microsoft.com/investor/reports/ar24/index.html</x:t>
        </x:r>
      </x:text>
    </x:comment>
    <x:comment ref="L32" authorId="0">
      <x:text>
        <x:r>
          <x:t>Property and equipment net. balance source input. Match the fiscal period to the latest available comparative filing in source_crosswalk.csv. A missing disclosure is n.a., never a reported zero.
Source SRC-0765: Property and equipment, net of accumulated depreciation of $93,653 and $76,421. Fiscal year 2024, report FY2025, PDF page 52.
Reported 135591.0 USD millions. Workbook 135591.0 USD millions. none. Status reported.
data/raw/reports/originals/Microsoft_FY2025_10K.pdf
https://www.microsoft.com/investor/reports/ar25/index.html</x:t>
        </x:r>
      </x:text>
    </x:comment>
    <x:comment ref="M32" authorId="0">
      <x:text>
        <x:r>
          <x:t>Property and equipment net. balance source input. Match the fiscal period to the latest available comparative filing in source_crosswalk.csv. A missing disclosure is n.a., never a reported zero.
Source SRC-0874: Property and equipment, net of accumulated depreciation of $118,691 and $93,653. Fiscal year 2025, report FY2026, PDF page 52.
Reported 204966.0 USD millions. Workbook 204966.0 USD millions. none. Status reported.
data/raw/reports/originals/Microsoft_FY2026_10K.pdf
https://www.sec.gov/Archives/edgar/data/789019/000119312526323660/msft-20260630.htm</x:t>
        </x:r>
      </x:text>
    </x:comment>
    <x:comment ref="N32" authorId="0">
      <x:text>
        <x:r>
          <x:t>Property and equipment net. balance source input. Match the fiscal period to the latest available comparative filing in source_crosswalk.csv. A missing disclosure is n.a., never a reported zero.
Source SRC-0983: Property and equipment, net of accumulated depreciation of $118,691 and $93,653. Fiscal year 2026, report FY2026, PDF page 52.
Reported 313076.0 USD millions. Workbook 313076.0 USD millions. none. Status reported.
data/raw/reports/originals/Microsoft_FY2026_10K.pdf
https://www.sec.gov/Archives/edgar/data/789019/000119312526323660/msft-20260630.htm</x:t>
        </x:r>
      </x:text>
    </x:comment>
    <x:comment ref="C32" authorId="0">
      <x:text>
        <x:r>
          <x:t>balance source input. Match the fiscal period to the latest available comparative filing in source_crosswalk.csv. A missing disclosure is n.a., never a reported zero.</x:t>
        </x:r>
      </x:text>
    </x:comment>
    <x:comment ref="E33" authorId="0">
      <x:text>
        <x:r>
          <x:t>Property and equipment depreciation. notes source input. Match the fiscal period to the latest available comparative filing in source_crosswalk.csv. A missing disclosure is n.a., never a reported zero.
Source SRC-0090: Depreciation expense. Fiscal year 2017, report FY2019, PDF page 72.
Reported 6.1 USD billions. Workbook 6100.0 USD millions. multiply by 1000. Status reported_billion_to_million.
data/raw/reports/originals/Microsoft_FY2019_10K.pdf
https://www.sec.gov/Archives/edgar/data/789019/000156459019027952/</x:t>
        </x:r>
      </x:text>
    </x:comment>
    <x:comment ref="F33" authorId="0">
      <x:text>
        <x:r>
          <x:t>Property and equipment depreciation. notes source input. Match the fiscal period to the latest available comparative filing in source_crosswalk.csv. A missing disclosure is n.a., never a reported zero.
Source SRC-0195: Depreciation expense. Fiscal year 2018, report FY2020, PDF page 75.
Reported 7.7 USD billions. Workbook 7700.0 USD millions. multiply by 1000. Status reported_billion_to_million.
data/raw/reports/originals/Microsoft_FY2020_10K.pdf
https://www.sec.gov/Archives/edgar/data/789019/000156459020034944/</x:t>
        </x:r>
      </x:text>
    </x:comment>
    <x:comment ref="G33" authorId="0">
      <x:text>
        <x:r>
          <x:t>Property and equipment depreciation. notes source input. Match the fiscal period to the latest available comparative filing in source_crosswalk.csv. A missing disclosure is n.a., never a reported zero.
Source SRC-0300: Depreciation expense. Fiscal year 2019, report FY2021, PDF page 77.
Reported 9.7 USD billions. Workbook 9700.0 USD millions. multiply by 1000. Status reported_billion_to_million.
data/raw/reports/originals/Microsoft_FY2021_10K.pdf
https://www.sec.gov/Archives/edgar/data/789019/000156459021039151/</x:t>
        </x:r>
      </x:text>
    </x:comment>
    <x:comment ref="H33" authorId="0">
      <x:text>
        <x:r>
          <x:t>Property and equipment depreciation. notes source input. Match the fiscal period to the latest available comparative filing in source_crosswalk.csv. A missing disclosure is n.a., never a reported zero.
Source SRC-0406: Depreciation expense. Fiscal year 2020, report FY2022, PDF page 77.
Reported 10.7 USD billions. Workbook 10700.0 USD millions. multiply by 1000. Status reported_billion_to_million.
data/raw/reports/originals/Microsoft_FY2022_10K.pdf
https://www.sec.gov/Archives/edgar/data/789019/000156459022026876/</x:t>
        </x:r>
      </x:text>
    </x:comment>
    <x:comment ref="I33" authorId="0">
      <x:text>
        <x:r>
          <x:t>Property and equipment depreciation. notes source input. Match the fiscal period to the latest available comparative filing in source_crosswalk.csv. A missing disclosure is n.a., never a reported zero.
Source SRC-0512: Depreciation expense. Fiscal year 2021, report FY2023, PDF page 78.
Reported 9.3 USD billions. Workbook 9300.0 USD millions. multiply by 1000. Status reported_billion_to_million.
data/raw/reports/originals/Microsoft_FY2023_10K.pdf
https://www.sec.gov/Archives/edgar/data/789019/000095017023035122/</x:t>
        </x:r>
      </x:text>
    </x:comment>
    <x:comment ref="J33" authorId="0">
      <x:text>
        <x:r>
          <x:t>Property and equipment depreciation. notes source input. Match the fiscal period to the latest available comparative filing in source_crosswalk.csv. A missing disclosure is n.a., never a reported zero.
Source SRC-0617: Depreciation expense. Fiscal year 2022, report FY2024, PDF page 76.
Reported 12.6 USD billions. Workbook 12600.0 USD millions. multiply by 1000. Status reported_billion_to_million.
data/raw/reports/originals/Microsoft_FY2024_10K.pdf
https://www.sec.gov/Archives/edgar/data/789019/000095017024087843/</x:t>
        </x:r>
      </x:text>
    </x:comment>
    <x:comment ref="K33" authorId="0">
      <x:text>
        <x:r>
          <x:t>Property and equipment depreciation. notes source input. Match the fiscal period to the latest available comparative filing in source_crosswalk.csv. A missing disclosure is n.a., never a reported zero.
Source SRC-0722: Depreciation expense. Fiscal year 2023, report FY2025, PDF page 69.
Reported 11.0 USD billions. Workbook 11000.0 USD millions. multiply by 1000. Status reported_billion_to_million.
data/raw/reports/originals/Microsoft_FY2025_10K.pdf
https://www.sec.gov/Archives/edgar/data/789019/000095017025100235/</x:t>
        </x:r>
      </x:text>
    </x:comment>
    <x:comment ref="L33" authorId="0">
      <x:text>
        <x:r>
          <x:t>Property and equipment depreciation. notes source input. Match the fiscal period to the latest available comparative filing in source_crosswalk.csv. A missing disclosure is n.a., never a reported zero.
Source SRC-0831: Depreciation expense. Fiscal year 2024, report FY2026, PDF page 69.
Reported 15.2 USD billions. Workbook 15200.0 USD millions. multiply by 1000. Status reported_billion_to_million.
data/raw/reports/originals/Microsoft_FY2026_10K.pdf
https://www.sec.gov/Archives/edgar/data/789019/000119312526323660/</x:t>
        </x:r>
      </x:text>
    </x:comment>
    <x:comment ref="M33" authorId="0">
      <x:text>
        <x:r>
          <x:t>Property and equipment depreciation. notes source input. Match the fiscal period to the latest available comparative filing in source_crosswalk.csv. A missing disclosure is n.a., never a reported zero.
Source SRC-0940: Depreciation expense. Fiscal year 2025, report FY2026, PDF page 69.
Reported 22.0 USD billions. Workbook 22000.0 USD millions. multiply by 1000. Status reported_billion_to_million.
data/raw/reports/originals/Microsoft_FY2026_10K.pdf
https://www.sec.gov/Archives/edgar/data/789019/000119312526323660/</x:t>
        </x:r>
      </x:text>
    </x:comment>
    <x:comment ref="N33" authorId="0">
      <x:text>
        <x:r>
          <x:t>Property and equipment depreciation. notes source input. Match the fiscal period to the latest available comparative filing in source_crosswalk.csv. A missing disclosure is n.a., never a reported zero.
Source SRC-1049: Depreciation expense. Fiscal year 2026, report FY2026, PDF page 69.
Reported 34.3 USD billions. Workbook 34300.0 USD millions. multiply by 1000. Status reported_billion_to_million.
data/raw/reports/originals/Microsoft_FY2026_10K.pdf
https://www.sec.gov/Archives/edgar/data/789019/000119312526323660/</x:t>
        </x:r>
      </x:text>
    </x:comment>
    <x:comment ref="C33" authorId="0">
      <x:text>
        <x:r>
          <x:t>notes source input. Match the fiscal period to the latest available comparative filing in source_crosswalk.csv. A missing disclosure is n.a., never a reported zero.</x:t>
        </x:r>
      </x:text>
    </x:comment>
    <x:comment ref="E34" authorId="0">
      <x:text>
        <x:r>
          <x:t>Intangible amortization. notes source input. Match the fiscal period to the latest available comparative filing in source_crosswalk.csv. A missing disclosure is n.a., never a reported zero.
Source SRC-0091: Amortization expense. Fiscal year 2017, report FY2019, PDF page 76.
Reported 1.7 USD billions. Workbook 1700.0 USD millions. multiply by 1000. Status reported_billion_to_million.
data/raw/reports/originals/Microsoft_FY2019_10K.pdf
https://www.sec.gov/Archives/edgar/data/789019/000156459019027952/</x:t>
        </x:r>
      </x:text>
    </x:comment>
    <x:comment ref="F34" authorId="0">
      <x:text>
        <x:r>
          <x:t>Intangible amortization. notes source input. Match the fiscal period to the latest available comparative filing in source_crosswalk.csv. A missing disclosure is n.a., never a reported zero.
Source SRC-0196: Amortization expense. Fiscal year 2018, report FY2020, PDF page 77.
Reported 2.2 USD billions. Workbook 2200.0 USD millions. multiply by 1000. Status reported_billion_to_million.
data/raw/reports/originals/Microsoft_FY2020_10K.pdf
https://www.sec.gov/Archives/edgar/data/789019/000156459020034944/</x:t>
        </x:r>
      </x:text>
    </x:comment>
    <x:comment ref="G34" authorId="0">
      <x:text>
        <x:r>
          <x:t>Intangible amortization. notes source input. Match the fiscal period to the latest available comparative filing in source_crosswalk.csv. A missing disclosure is n.a., never a reported zero.
Source SRC-0301: Amortization expense. Fiscal year 2019, report FY2021, PDF page 80.
Reported 1.9 USD billions. Workbook 1900.0 USD millions. multiply by 1000. Status reported_billion_to_million.
data/raw/reports/originals/Microsoft_FY2021_10K.pdf
https://www.sec.gov/Archives/edgar/data/789019/000156459021039151/</x:t>
        </x:r>
      </x:text>
    </x:comment>
    <x:comment ref="H34" authorId="0">
      <x:text>
        <x:r>
          <x:t>Intangible amortization. notes source input. Match the fiscal period to the latest available comparative filing in source_crosswalk.csv. A missing disclosure is n.a., never a reported zero.
Source SRC-0407: Amortization expense. Fiscal year 2020, report FY2022, PDF page 80.
Reported 1.6 USD billions. Workbook 1600.0 USD millions. multiply by 1000. Status reported_billion_to_million.
data/raw/reports/originals/Microsoft_FY2022_10K.pdf
https://www.sec.gov/Archives/edgar/data/789019/000156459022026876/</x:t>
        </x:r>
      </x:text>
    </x:comment>
    <x:comment ref="I34" authorId="0">
      <x:text>
        <x:r>
          <x:t>Intangible amortization. notes source input. Match the fiscal period to the latest available comparative filing in source_crosswalk.csv. A missing disclosure is n.a., never a reported zero.
Source SRC-0513: Amortization expense. Fiscal year 2021, report FY2023, PDF page 80.
Reported 1.6 USD billions. Workbook 1600.0 USD millions. multiply by 1000. Status reported_billion_to_million.
data/raw/reports/originals/Microsoft_FY2023_10K.pdf
https://www.sec.gov/Archives/edgar/data/789019/000095017023035122/</x:t>
        </x:r>
      </x:text>
    </x:comment>
    <x:comment ref="J34" authorId="0">
      <x:text>
        <x:r>
          <x:t>Intangible amortization. notes source input. Match the fiscal period to the latest available comparative filing in source_crosswalk.csv. A missing disclosure is n.a., never a reported zero.
Source SRC-0618: Amortization expense. Fiscal year 2022, report FY2024, PDF page 79.
Reported 2.0 USD billions. Workbook 2000.0 USD millions. multiply by 1000. Status reported_billion_to_million.
data/raw/reports/originals/Microsoft_FY2024_10K.pdf
https://www.sec.gov/Archives/edgar/data/789019/000095017024087843/</x:t>
        </x:r>
      </x:text>
    </x:comment>
    <x:comment ref="K34" authorId="0">
      <x:text>
        <x:r>
          <x:t>Intangible amortization. notes source input. Match the fiscal period to the latest available comparative filing in source_crosswalk.csv. A missing disclosure is n.a., never a reported zero.
Source SRC-0723: Amortization expense. Fiscal year 2023, report FY2025, PDF page 72.
Reported 2.5 USD billions. Workbook 2500.0 USD millions. multiply by 1000. Status reported_billion_to_million.
data/raw/reports/originals/Microsoft_FY2025_10K.pdf
https://www.sec.gov/Archives/edgar/data/789019/000095017025100235/</x:t>
        </x:r>
      </x:text>
    </x:comment>
    <x:comment ref="L34" authorId="0">
      <x:text>
        <x:r>
          <x:t>Intangible amortization. notes source input. Match the fiscal period to the latest available comparative filing in source_crosswalk.csv. A missing disclosure is n.a., never a reported zero.
Source SRC-0832: Amortization expense. Fiscal year 2024, report FY2026, PDF page 71.
Reported 4.8 USD billions. Workbook 4800.0 USD millions. multiply by 1000. Status reported_billion_to_million.
data/raw/reports/originals/Microsoft_FY2026_10K.pdf
https://www.sec.gov/Archives/edgar/data/789019/000119312526323660/</x:t>
        </x:r>
      </x:text>
    </x:comment>
    <x:comment ref="M34" authorId="0">
      <x:text>
        <x:r>
          <x:t>Intangible amortization. notes source input. Match the fiscal period to the latest available comparative filing in source_crosswalk.csv. A missing disclosure is n.a., never a reported zero.
Source SRC-0941: Amortization expense. Fiscal year 2025, report FY2026, PDF page 71.
Reported 6.0 USD billions. Workbook 6000.0 USD millions. multiply by 1000. Status reported_billion_to_million.
data/raw/reports/originals/Microsoft_FY2026_10K.pdf
https://www.sec.gov/Archives/edgar/data/789019/000119312526323660/</x:t>
        </x:r>
      </x:text>
    </x:comment>
    <x:comment ref="N34" authorId="0">
      <x:text>
        <x:r>
          <x:t>Intangible amortization. notes source input. Match the fiscal period to the latest available comparative filing in source_crosswalk.csv. A missing disclosure is n.a., never a reported zero.
Source SRC-1050: Amortization expense. Fiscal year 2026, report FY2026, PDF page 71.
Reported 4.7 USD billions. Workbook 4700.0 USD millions. multiply by 1000. Status reported_billion_to_million.
data/raw/reports/originals/Microsoft_FY2026_10K.pdf
https://www.sec.gov/Archives/edgar/data/789019/000119312526323660/</x:t>
        </x:r>
      </x:text>
    </x:comment>
    <x:comment ref="C34" authorId="0">
      <x:text>
        <x:r>
          <x:t>notes source input. Match the fiscal period to the latest available comparative filing in source_crosswalk.csv. A missing disclosure is n.a., never a reported zero.</x:t>
        </x:r>
      </x:text>
    </x:comment>
    <x:comment ref="E35" authorId="0">
      <x:text>
        <x:r>
          <x:t>Finance lease liabilities. notes source input. Match the fiscal period to the latest available comparative filing in source_crosswalk.csv. A missing disclosure is n.a., never a reported zero.
Source SRC-0094: finance lease liab. Fiscal year 2017, report FY2018, PDF page 87.
Reported 2538.0 USD millions. Workbook 2538.0 USD millions. none. Status reported.
data/raw/reports/originals/Microsoft_FY2018_10K.pdf
https://www.sec.gov/Archives/edgar/data/789019/000156459018019062/</x:t>
        </x:r>
      </x:text>
    </x:comment>
    <x:comment ref="F35" authorId="0">
      <x:text>
        <x:r>
          <x:t>Finance lease liabilities. notes source input. Match the fiscal period to the latest available comparative filing in source_crosswalk.csv. A missing disclosure is n.a., never a reported zero.
Source SRC-0199: finance lease liab. Fiscal year 2018, report FY2019, PDF page 83.
Reported 4301.0 USD millions. Workbook 4301.0 USD millions. none. Status reported.
data/raw/reports/originals/Microsoft_FY2019_10K.pdf
https://www.sec.gov/Archives/edgar/data/789019/000156459019027952/</x:t>
        </x:r>
      </x:text>
    </x:comment>
    <x:comment ref="G35" authorId="0">
      <x:text>
        <x:r>
          <x:t>Finance lease liabilities. notes source input. Match the fiscal period to the latest available comparative filing in source_crosswalk.csv. A missing disclosure is n.a., never a reported zero.
Source SRC-0304: finance lease liab. Fiscal year 2019, report FY2020, PDF page 84.
Reported 6574.0 USD millions. Workbook 6574.0 USD millions. none. Status reported.
data/raw/reports/originals/Microsoft_FY2020_10K.pdf
https://www.sec.gov/Archives/edgar/data/789019/000156459020034944/</x:t>
        </x:r>
      </x:text>
    </x:comment>
    <x:comment ref="H35" authorId="0">
      <x:text>
        <x:r>
          <x:t>Finance lease liabilities. notes source input. Match the fiscal period to the latest available comparative filing in source_crosswalk.csv. A missing disclosure is n.a., never a reported zero.
Source SRC-0410: finance lease liab. Fiscal year 2020, report FY2021, PDF page 87.
Reported 9496.0 USD millions. Workbook 9496.0 USD millions. none. Status reported.
data/raw/reports/originals/Microsoft_FY2021_10K.pdf
https://www.sec.gov/Archives/edgar/data/789019/000156459021039151/</x:t>
        </x:r>
      </x:text>
    </x:comment>
    <x:comment ref="I35" authorId="0">
      <x:text>
        <x:r>
          <x:t>Finance lease liabilities. notes source input. Match the fiscal period to the latest available comparative filing in source_crosswalk.csv. A missing disclosure is n.a., never a reported zero.
Source SRC-0516: finance lease liab. Fiscal year 2021, report FY2022, PDF page 87.
Reported 12541.0 USD millions. Workbook 12541.0 USD millions. none. Status reported.
data/raw/reports/originals/Microsoft_FY2022_10K.pdf
https://www.sec.gov/Archives/edgar/data/789019/000156459022026876/</x:t>
        </x:r>
      </x:text>
    </x:comment>
    <x:comment ref="J35" authorId="0">
      <x:text>
        <x:r>
          <x:t>Finance lease liabilities. notes source input. Match the fiscal period to the latest available comparative filing in source_crosswalk.csv. A missing disclosure is n.a., never a reported zero.
Source SRC-0621: finance lease liab. Fiscal year 2022, report FY2023, PDF page 87.
Reported 14902.0 USD millions. Workbook 14902.0 USD millions. none. Status reported.
data/raw/reports/originals/Microsoft_FY2023_10K.pdf
https://www.sec.gov/Archives/edgar/data/789019/000095017023035122/</x:t>
        </x:r>
      </x:text>
    </x:comment>
    <x:comment ref="K35" authorId="0">
      <x:text>
        <x:r>
          <x:t>Finance lease liabilities. notes source input. Match the fiscal period to the latest available comparative filing in source_crosswalk.csv. A missing disclosure is n.a., never a reported zero.
Source SRC-0726: finance lease liab. Fiscal year 2023, report FY2024, PDF page 85.
Reported 17067.0 USD millions. Workbook 17067.0 USD millions. none. Status reported.
data/raw/reports/originals/Microsoft_FY2024_10K.pdf
https://www.sec.gov/Archives/edgar/data/789019/000095017024087843/</x:t>
        </x:r>
      </x:text>
    </x:comment>
    <x:comment ref="L35" authorId="0">
      <x:text>
        <x:r>
          <x:t>Finance lease liabilities. notes source input. Match the fiscal period to the latest available comparative filing in source_crosswalk.csv. A missing disclosure is n.a., never a reported zero.
Source SRC-0835: finance lease liab. Fiscal year 2024, report FY2025, PDF page 78.
Reported 27145.0 USD millions. Workbook 27145.0 USD millions. none. Status reported.
data/raw/reports/originals/Microsoft_FY2025_10K.pdf
https://www.sec.gov/Archives/edgar/data/789019/000095017025100235/</x:t>
        </x:r>
      </x:text>
    </x:comment>
    <x:comment ref="M35" authorId="0">
      <x:text>
        <x:r>
          <x:t>Finance lease liabilities. notes source input. Match the fiscal period to the latest available comparative filing in source_crosswalk.csv. A missing disclosure is n.a., never a reported zero.
Source SRC-0944: finance lease liab. Fiscal year 2025, report FY2026, PDF page 78.
Reported 46172.0 USD millions. Workbook 46172.0 USD millions. none. Status reported.
data/raw/reports/originals/Microsoft_FY2026_10K.pdf
https://www.sec.gov/Archives/edgar/data/789019/000119312526323660/</x:t>
        </x:r>
      </x:text>
    </x:comment>
    <x:comment ref="N35" authorId="0">
      <x:text>
        <x:r>
          <x:t>Finance lease liabilities. notes source input. Match the fiscal period to the latest available comparative filing in source_crosswalk.csv. A missing disclosure is n.a., never a reported zero.
Source SRC-1053: finance lease liab. Fiscal year 2026, report FY2026, PDF page 78.
Reported 66594.0 USD millions. Workbook 66594.0 USD millions. none. Status reported.
data/raw/reports/originals/Microsoft_FY2026_10K.pdf
https://www.sec.gov/Archives/edgar/data/789019/000119312526323660/</x:t>
        </x:r>
      </x:text>
    </x:comment>
    <x:comment ref="C35" authorId="0">
      <x:text>
        <x:r>
          <x:t>notes source input. Match the fiscal period to the latest available comparative filing in source_crosswalk.csv. A missing disclosure is n.a., never a reported zero.</x:t>
        </x:r>
      </x:text>
    </x:comment>
    <x:comment ref="E36" authorId="0">
      <x:text>
        <x:r>
          <x:t>Finance lease asset additions. notes source input. Match the fiscal period to the latest available comparative filing in source_crosswalk.csv. A missing disclosure is n.a., never a reported zero.
Source SRC-0096: finance lease additions. Fiscal year 2017, report FY2019, PDF page 83.
Reported 1773.0 USD millions. Workbook 1773.0 USD millions. none. Status reported.
data/raw/reports/originals/Microsoft_FY2019_10K.pdf
https://www.sec.gov/Archives/edgar/data/789019/000156459019027952/</x:t>
        </x:r>
      </x:text>
    </x:comment>
    <x:comment ref="F36" authorId="0">
      <x:text>
        <x:r>
          <x:t>Finance lease asset additions. notes source input. Match the fiscal period to the latest available comparative filing in source_crosswalk.csv. A missing disclosure is n.a., never a reported zero.
Source SRC-0201: finance lease additions. Fiscal year 2018, report FY2020, PDF page 83.
Reported 1933.0 USD millions. Workbook 1933.0 USD millions. none. Status reported.
data/raw/reports/originals/Microsoft_FY2020_10K.pdf
https://www.sec.gov/Archives/edgar/data/789019/000156459020034944/</x:t>
        </x:r>
      </x:text>
    </x:comment>
    <x:comment ref="G36" authorId="0">
      <x:text>
        <x:r>
          <x:t>Finance lease asset additions. notes source input. Match the fiscal period to the latest available comparative filing in source_crosswalk.csv. A missing disclosure is n.a., never a reported zero.
Source SRC-0306: finance lease additions. Fiscal year 2019, report FY2021, PDF page 86.
Reported 2532.0 USD millions. Workbook 2532.0 USD millions. none. Status reported.
data/raw/reports/originals/Microsoft_FY2021_10K.pdf
https://www.sec.gov/Archives/edgar/data/789019/000156459021039151/</x:t>
        </x:r>
      </x:text>
    </x:comment>
    <x:comment ref="H36" authorId="0">
      <x:text>
        <x:r>
          <x:t>Finance lease asset additions. notes source input. Match the fiscal period to the latest available comparative filing in source_crosswalk.csv. A missing disclosure is n.a., never a reported zero.
Source SRC-0412: finance lease additions. Fiscal year 2020, report FY2022, PDF page 86.
Reported 3467.0 USD millions. Workbook 3467.0 USD millions. none. Status reported.
data/raw/reports/originals/Microsoft_FY2022_10K.pdf
https://www.sec.gov/Archives/edgar/data/789019/000156459022026876/</x:t>
        </x:r>
      </x:text>
    </x:comment>
    <x:comment ref="I36" authorId="0">
      <x:text>
        <x:r>
          <x:t>Finance lease asset additions. notes source input. Match the fiscal period to the latest available comparative filing in source_crosswalk.csv. A missing disclosure is n.a., never a reported zero.
Source SRC-0518: finance lease additions. Fiscal year 2021, report FY2023, PDF page 86.
Reported 3290.0 USD millions. Workbook 3290.0 USD millions. none. Status reported.
data/raw/reports/originals/Microsoft_FY2023_10K.pdf
https://www.sec.gov/Archives/edgar/data/789019/000095017023035122/</x:t>
        </x:r>
      </x:text>
    </x:comment>
    <x:comment ref="J36" authorId="0">
      <x:text>
        <x:r>
          <x:t>Finance lease asset additions. notes source input. Match the fiscal period to the latest available comparative filing in source_crosswalk.csv. A missing disclosure is n.a., never a reported zero.
Source SRC-0623: finance lease additions. Fiscal year 2022, report FY2024, PDF page 85.
Reported 4234.0 USD millions. Workbook 4234.0 USD millions. none. Status reported.
data/raw/reports/originals/Microsoft_FY2024_10K.pdf
https://www.sec.gov/Archives/edgar/data/789019/000095017024087843/</x:t>
        </x:r>
      </x:text>
    </x:comment>
    <x:comment ref="K36" authorId="0">
      <x:text>
        <x:r>
          <x:t>Finance lease asset additions. notes source input. Match the fiscal period to the latest available comparative filing in source_crosswalk.csv. A missing disclosure is n.a., never a reported zero.
Source SRC-0728: finance lease additions. Fiscal year 2023, report FY2025, PDF page 77.
Reported 3128.0 USD millions. Workbook 3128.0 USD millions. none. Status reported.
data/raw/reports/originals/Microsoft_FY2025_10K.pdf
https://www.sec.gov/Archives/edgar/data/789019/000095017025100235/</x:t>
        </x:r>
      </x:text>
    </x:comment>
    <x:comment ref="L36" authorId="0">
      <x:text>
        <x:r>
          <x:t>Finance lease asset additions. notes source input. Match the fiscal period to the latest available comparative filing in source_crosswalk.csv. A missing disclosure is n.a., never a reported zero.
Source SRC-0837: finance lease additions. Fiscal year 2024, report FY2026, PDF page 78.
Reported 11633.0 USD millions. Workbook 11633.0 USD millions. none. Status reported.
data/raw/reports/originals/Microsoft_FY2026_10K.pdf
https://www.sec.gov/Archives/edgar/data/789019/000119312526323660/</x:t>
        </x:r>
      </x:text>
    </x:comment>
    <x:comment ref="M36" authorId="0">
      <x:text>
        <x:r>
          <x:t>Finance lease asset additions. notes source input. Match the fiscal period to the latest available comparative filing in source_crosswalk.csv. A missing disclosure is n.a., never a reported zero.
Source SRC-0946: finance lease additions. Fiscal year 2025, report FY2026, PDF page 78.
Reported 20511.0 USD millions. Workbook 20511.0 USD millions. none. Status reported.
data/raw/reports/originals/Microsoft_FY2026_10K.pdf
https://www.sec.gov/Archives/edgar/data/789019/000119312526323660/</x:t>
        </x:r>
      </x:text>
    </x:comment>
    <x:comment ref="N36" authorId="0">
      <x:text>
        <x:r>
          <x:t>Finance lease asset additions. notes source input. Match the fiscal period to the latest available comparative filing in source_crosswalk.csv. A missing disclosure is n.a., never a reported zero.
Source SRC-1055: finance lease additions. Fiscal year 2026, report FY2026, PDF page 78.
Reported 24608.0 USD millions. Workbook 24608.0 USD millions. none. Status reported.
data/raw/reports/originals/Microsoft_FY2026_10K.pdf
https://www.sec.gov/Archives/edgar/data/789019/000119312526323660/</x:t>
        </x:r>
      </x:text>
    </x:comment>
    <x:comment ref="C36" authorId="0">
      <x:text>
        <x:r>
          <x:t>notes source input. Match the fiscal period to the latest available comparative filing in source_crosswalk.csv. A missing disclosure is n.a., never a reported zero.</x:t>
        </x:r>
      </x:text>
    </x:comment>
    <x:comment ref="E37" authorId="0">
      <x:text>
        <x:r>
          <x:t>Finance lease principal paid. notes source input. Match the fiscal period to the latest available comparative filing in source_crosswalk.csv. A missing disclosure is n.a., never a reported zero.
Source SRC-0095: Financing cash flows from finance leases. Fiscal year 2017, report FY2019, PDF page 83.
Reported 46.0 USD millions. Workbook 46.0 USD millions. none. Status reported.
data/raw/reports/originals/Microsoft_FY2019_10K.pdf
https://www.sec.gov/Archives/edgar/data/789019/000156459019027952/</x:t>
        </x:r>
      </x:text>
    </x:comment>
    <x:comment ref="F37" authorId="0">
      <x:text>
        <x:r>
          <x:t>Finance lease principal paid. notes source input. Match the fiscal period to the latest available comparative filing in source_crosswalk.csv. A missing disclosure is n.a., never a reported zero.
Source SRC-0200: Financing cash flows from finance leases. Fiscal year 2018, report FY2020, PDF page 83.
Reported 144.0 USD millions. Workbook 144.0 USD millions. none. Status reported.
data/raw/reports/originals/Microsoft_FY2020_10K.pdf
https://www.sec.gov/Archives/edgar/data/789019/000156459020034944/</x:t>
        </x:r>
      </x:text>
    </x:comment>
    <x:comment ref="G37" authorId="0">
      <x:text>
        <x:r>
          <x:t>Finance lease principal paid. notes source input. Match the fiscal period to the latest available comparative filing in source_crosswalk.csv. A missing disclosure is n.a., never a reported zero.
Source SRC-0305: Financing cash flows from finance leases. Fiscal year 2019, report FY2021, PDF page 86.
Reported 221.0 USD millions. Workbook 221.0 USD millions. none. Status reported.
data/raw/reports/originals/Microsoft_FY2021_10K.pdf
https://www.sec.gov/Archives/edgar/data/789019/000156459021039151/</x:t>
        </x:r>
      </x:text>
    </x:comment>
    <x:comment ref="H37" authorId="0">
      <x:text>
        <x:r>
          <x:t>Finance lease principal paid. notes source input. Match the fiscal period to the latest available comparative filing in source_crosswalk.csv. A missing disclosure is n.a., never a reported zero.
Source SRC-0411: Financing cash flows from finance leases. Fiscal year 2020, report FY2022, PDF page 86.
Reported 409.0 USD millions. Workbook 409.0 USD millions. none. Status reported.
data/raw/reports/originals/Microsoft_FY2022_10K.pdf
https://www.sec.gov/Archives/edgar/data/789019/000156459022026876/</x:t>
        </x:r>
      </x:text>
    </x:comment>
    <x:comment ref="I37" authorId="0">
      <x:text>
        <x:r>
          <x:t>Finance lease principal paid. notes source input. Match the fiscal period to the latest available comparative filing in source_crosswalk.csv. A missing disclosure is n.a., never a reported zero.
Source SRC-0517: Financing cash flows from finance leases. Fiscal year 2021, report FY2023, PDF page 86.
Reported 648.0 USD millions. Workbook 648.0 USD millions. none. Status reported.
data/raw/reports/originals/Microsoft_FY2023_10K.pdf
https://www.sec.gov/Archives/edgar/data/789019/000095017023035122/</x:t>
        </x:r>
      </x:text>
    </x:comment>
    <x:comment ref="J37" authorId="0">
      <x:text>
        <x:r>
          <x:t>Finance lease principal paid. notes source input. Match the fiscal period to the latest available comparative filing in source_crosswalk.csv. A missing disclosure is n.a., never a reported zero.
Source SRC-0622: Financing cash flows from finance leases. Fiscal year 2022, report FY2024, PDF page 85.
Reported 896.0 USD millions. Workbook 896.0 USD millions. none. Status reported.
data/raw/reports/originals/Microsoft_FY2024_10K.pdf
https://www.sec.gov/Archives/edgar/data/789019/000095017024087843/</x:t>
        </x:r>
      </x:text>
    </x:comment>
    <x:comment ref="K37" authorId="0">
      <x:text>
        <x:r>
          <x:t>Finance lease principal paid. notes source input. Match the fiscal period to the latest available comparative filing in source_crosswalk.csv. A missing disclosure is n.a., never a reported zero.
Source SRC-0727: Financing cash flows from finance leases. Fiscal year 2023, report FY2025, PDF page 77.
Reported 1056.0 USD millions. Workbook 1056.0 USD millions. none. Status reported.
data/raw/reports/originals/Microsoft_FY2025_10K.pdf
https://www.sec.gov/Archives/edgar/data/789019/000095017025100235/</x:t>
        </x:r>
      </x:text>
    </x:comment>
    <x:comment ref="L37" authorId="0">
      <x:text>
        <x:r>
          <x:t>Finance lease principal paid. notes source input. Match the fiscal period to the latest available comparative filing in source_crosswalk.csv. A missing disclosure is n.a., never a reported zero.
Source SRC-0836: Financing cash flows from finance leases. Fiscal year 2024, report FY2026, PDF page 78.
Reported 1286.0 USD millions. Workbook 1286.0 USD millions. none. Status reported.
data/raw/reports/originals/Microsoft_FY2026_10K.pdf
https://www.sec.gov/Archives/edgar/data/789019/000119312526323660/</x:t>
        </x:r>
      </x:text>
    </x:comment>
    <x:comment ref="M37" authorId="0">
      <x:text>
        <x:r>
          <x:t>Finance lease principal paid. notes source input. Match the fiscal period to the latest available comparative filing in source_crosswalk.csv. A missing disclosure is n.a., never a reported zero.
Source SRC-0945: Financing cash flows from finance leases. Fiscal year 2025, report FY2026, PDF page 78.
Reported 2283.0 USD millions. Workbook 2283.0 USD millions. none. Status reported.
data/raw/reports/originals/Microsoft_FY2026_10K.pdf
https://www.sec.gov/Archives/edgar/data/789019/000119312526323660/</x:t>
        </x:r>
      </x:text>
    </x:comment>
    <x:comment ref="N37" authorId="0">
      <x:text>
        <x:r>
          <x:t>Finance lease principal paid. notes source input. Match the fiscal period to the latest available comparative filing in source_crosswalk.csv. A missing disclosure is n.a., never a reported zero.
Source SRC-1054: Financing cash flows from finance leases. Fiscal year 2026, report FY2026, PDF page 78.
Reported 3101.0 USD millions. Workbook 3101.0 USD millions. none. Status reported.
data/raw/reports/originals/Microsoft_FY2026_10K.pdf
https://www.sec.gov/Archives/edgar/data/789019/000119312526323660/</x:t>
        </x:r>
      </x:text>
    </x:comment>
    <x:comment ref="C37" authorId="0">
      <x:text>
        <x:r>
          <x:t>notes source input. Match the fiscal period to the latest available comparative filing in source_crosswalk.csv. A missing disclosure is n.a., never a reported zero.</x:t>
        </x:r>
      </x:text>
    </x:comment>
    <x:comment ref="E38" authorId="0">
      <x:text>
        <x:r>
          <x:t>Capital expenditure payables. notes source input. Match the fiscal period to the latest available comparative filing in source_crosswalk.csv. A missing disclosure is n.a., never a reported zero.
Source DERIVED-29-2017: Capital expenditure payables. Fiscal year 2017, report FYunavailable, PDF page unavailable.
Reported  . Workbook n.a. USD millions. . Status unavailable_disclosure.
</x:t>
        </x:r>
      </x:text>
    </x:comment>
    <x:comment ref="F38" authorId="0">
      <x:text>
        <x:r>
          <x:t>Capital expenditure payables. notes source input. Match the fiscal period to the latest available comparative filing in source_crosswalk.csv. A missing disclosure is n.a., never a reported zero.
Source DERIVED-29-2018: Capital expenditure payables. Fiscal year 2018, report FYunavailable, PDF page unavailable.
Reported  . Workbook n.a. USD millions. . Status unavailable_disclosure.
</x:t>
        </x:r>
      </x:text>
    </x:comment>
    <x:comment ref="G38" authorId="0">
      <x:text>
        <x:r>
          <x:t>Capital expenditure payables. notes source input. Match the fiscal period to the latest available comparative filing in source_crosswalk.csv. A missing disclosure is n.a., never a reported zero.
Source DERIVED-29-2019: Capital expenditure payables. Fiscal year 2019, report FYunavailable, PDF page unavailable.
Reported  . Workbook n.a. USD millions. . Status unavailable_disclosure.
</x:t>
        </x:r>
      </x:text>
    </x:comment>
    <x:comment ref="H38" authorId="0">
      <x:text>
        <x:r>
          <x:t>Capital expenditure payables. notes source input. Match the fiscal period to the latest available comparative filing in source_crosswalk.csv. A missing disclosure is n.a., never a reported zero.
Source DERIVED-29-2020: Capital expenditure payables. Fiscal year 2020, report FYunavailable, PDF page unavailable.
Reported  . Workbook n.a. USD millions. . Status unavailable_disclosure.
</x:t>
        </x:r>
      </x:text>
    </x:comment>
    <x:comment ref="I38" authorId="0">
      <x:text>
        <x:r>
          <x:t>Capital expenditure payables. notes source input. Match the fiscal period to the latest available comparative filing in source_crosswalk.csv. A missing disclosure is n.a., never a reported zero.
Source DERIVED-29-2021: Capital expenditure payables. Fiscal year 2021, report FYunavailable, PDF page unavailable.
Reported  . Workbook n.a. USD millions. . Status unavailable_disclosure.
</x:t>
        </x:r>
      </x:text>
    </x:comment>
    <x:comment ref="J38" authorId="0">
      <x:text>
        <x:r>
          <x:t>Capital expenditure payables. notes source input. Match the fiscal period to the latest available comparative filing in source_crosswalk.csv. A missing disclosure is n.a., never a reported zero.
Source DERIVED-29-2022: Capital expenditure payables. Fiscal year 2022, report FYunavailable, PDF page unavailable.
Reported  . Workbook n.a. USD millions. . Status unavailable_disclosure.
</x:t>
        </x:r>
      </x:text>
    </x:comment>
    <x:comment ref="K38" authorId="0">
      <x:text>
        <x:r>
          <x:t>Capital expenditure payables. notes source input. Match the fiscal period to the latest available comparative filing in source_crosswalk.csv. A missing disclosure is n.a., never a reported zero.
Source DERIVED-29-2023: Capital expenditure payables. Fiscal year 2023, report FYunavailable, PDF page unavailable.
Reported  . Workbook n.a. USD millions. . Status unavailable_disclosure.
</x:t>
        </x:r>
      </x:text>
    </x:comment>
    <x:comment ref="L38" authorId="0">
      <x:text>
        <x:r>
          <x:t>Capital expenditure payables. notes source input. Match the fiscal period to the latest available comparative filing in source_crosswalk.csv. A missing disclosure is n.a., never a reported zero.
Source DERIVED-29-2024: Capital expenditure payables. Fiscal year 2024, report FYunavailable, PDF page unavailable.
Reported  . Workbook n.a. USD millions. . Status unavailable_disclosure.
</x:t>
        </x:r>
      </x:text>
    </x:comment>
    <x:comment ref="M38" authorId="0">
      <x:text>
        <x:r>
          <x:t>Capital expenditure payables. notes source input. Match the fiscal period to the latest available comparative filing in source_crosswalk.csv. A missing disclosure is n.a., never a reported zero.
Source DERIVED-29-2025: Capital expenditure payables. Fiscal year 2025, report FYunavailable, PDF page unavailable.
Reported  . Workbook n.a. USD millions. . Status unavailable_disclosure.
</x:t>
        </x:r>
      </x:text>
    </x:comment>
    <x:comment ref="N38" authorId="0">
      <x:text>
        <x:r>
          <x:t>Capital expenditure payables. notes source input. Match the fiscal period to the latest available comparative filing in source_crosswalk.csv. A missing disclosure is n.a., never a reported zero.
Source SRC-1070: capex payables. Fiscal year 2026, report FY2026, PDF page 69.
Reported 26.7 USD billions. Workbook 26700 USD millions. multiply by 1000. Status reported_billion_to_million.
data/raw/reports/originals/Microsoft_FY2026_10K.pdf
https://www.sec.gov/Archives/edgar/data/789019/000119312526323660/msft-20260630.htm</x:t>
        </x:r>
      </x:text>
    </x:comment>
    <x:comment ref="C38" authorId="0">
      <x:text>
        <x:r>
          <x:t>notes source input. Match the fiscal period to the latest available comparative filing in source_crosswalk.csv. A missing disclosure is n.a., never a reported zero.</x:t>
        </x:r>
      </x:text>
    </x:comment>
    <x:comment ref="E39" authorId="0">
      <x:text>
        <x:r>
          <x:t>Current operating lease liability. notes source input. Match the fiscal period to the latest available comparative filing in source_crosswalk.csv. A missing disclosure is n.a., never a reported zero.
Source DERIVED-30-2017: Current operating lease liability. Fiscal year 2017, report FYunavailable, PDF page unavailable.
Reported  . Workbook n.a. USD millions. . Status unavailable_disclosure.
</x:t>
        </x:r>
      </x:text>
    </x:comment>
    <x:comment ref="F39" authorId="0">
      <x:text>
        <x:r>
          <x:t>Current operating lease liability. notes source input. Match the fiscal period to the latest available comparative filing in source_crosswalk.csv. A missing disclosure is n.a., never a reported zero.
Source DERIVED-30-2018: Current operating lease liability. Fiscal year 2018, report FYunavailable, PDF page unavailable.
Reported  . Workbook n.a. USD millions. . Status unavailable_disclosure.
</x:t>
        </x:r>
      </x:text>
    </x:comment>
    <x:comment ref="G39" authorId="0">
      <x:text>
        <x:r>
          <x:t>Current operating lease liability. notes source input. Match the fiscal period to the latest available comparative filing in source_crosswalk.csv. A missing disclosure is n.a., never a reported zero.
Source DERIVED-30-2019: Current operating lease liability. Fiscal year 2019, report FYunavailable, PDF page unavailable.
Reported  . Workbook n.a. USD millions. . Status unavailable_disclosure.
</x:t>
        </x:r>
      </x:text>
    </x:comment>
    <x:comment ref="H39" authorId="0">
      <x:text>
        <x:r>
          <x:t>Current operating lease liability. notes source input. Match the fiscal period to the latest available comparative filing in source_crosswalk.csv. A missing disclosure is n.a., never a reported zero.
Source DERIVED-30-2020: Current operating lease liability. Fiscal year 2020, report FYunavailable, PDF page unavailable.
Reported  . Workbook n.a. USD millions. . Status unavailable_disclosure.
</x:t>
        </x:r>
      </x:text>
    </x:comment>
    <x:comment ref="I39" authorId="0">
      <x:text>
        <x:r>
          <x:t>Current operating lease liability. notes source input. Match the fiscal period to the latest available comparative filing in source_crosswalk.csv. A missing disclosure is n.a., never a reported zero.
Source DERIVED-30-2021: Current operating lease liability. Fiscal year 2021, report FYunavailable, PDF page unavailable.
Reported  . Workbook n.a. USD millions. . Status unavailable_disclosure.
</x:t>
        </x:r>
      </x:text>
    </x:comment>
    <x:comment ref="J39" authorId="0">
      <x:text>
        <x:r>
          <x:t>Current operating lease liability. notes source input. Match the fiscal period to the latest available comparative filing in source_crosswalk.csv. A missing disclosure is n.a., never a reported zero.
Source DERIVED-30-2022: Current operating lease liability. Fiscal year 2022, report FYunavailable, PDF page unavailable.
Reported  . Workbook n.a. USD millions. . Status unavailable_disclosure.
</x:t>
        </x:r>
      </x:text>
    </x:comment>
    <x:comment ref="K39" authorId="0">
      <x:text>
        <x:r>
          <x:t>Current operating lease liability. notes source input. Match the fiscal period to the latest available comparative filing in source_crosswalk.csv. A missing disclosure is n.a., never a reported zero.
Source DERIVED-30-2023: Current operating lease liability. Fiscal year 2023, report FYunavailable, PDF page unavailable.
Reported  . Workbook n.a. USD millions. . Status unavailable_disclosure.
</x:t>
        </x:r>
      </x:text>
    </x:comment>
    <x:comment ref="L39" authorId="0">
      <x:text>
        <x:r>
          <x:t>Current operating lease liability. notes source input. Match the fiscal period to the latest available comparative filing in source_crosswalk.csv. A missing disclosure is n.a., never a reported zero.
Source DERIVED-30-2024: Current operating lease liability. Fiscal year 2024, report FYunavailable, PDF page unavailable.
Reported  . Workbook n.a. USD millions. . Status unavailable_disclosure.
</x:t>
        </x:r>
      </x:text>
    </x:comment>
    <x:comment ref="M39" authorId="0">
      <x:text>
        <x:r>
          <x:t>Current operating lease liability. notes source input. Match the fiscal period to the latest available comparative filing in source_crosswalk.csv. A missing disclosure is n.a., never a reported zero.
Source DERIVED-30-2025: Current operating lease liability. Fiscal year 2025, report FYunavailable, PDF page unavailable.
Reported  . Workbook n.a. USD millions. . Status unavailable_disclosure.
</x:t>
        </x:r>
      </x:text>
    </x:comment>
    <x:comment ref="N39" authorId="0">
      <x:text>
        <x:r>
          <x:t>Current operating lease liability. notes source input. Match the fiscal period to the latest available comparative filing in source_crosswalk.csv. A missing disclosure is n.a., never a reported zero.
Source SRC-1075: op lease current. Fiscal year 2026, report FY2026, PDF page 78.
Reported 5393.0 USD millions. Workbook 5393 USD millions. none. Status reported.
data/raw/reports/originals/Microsoft_FY2026_10K.pdf
https://www.sec.gov/Archives/edgar/data/789019/000119312526323660/msft-20260630.htm</x:t>
        </x:r>
      </x:text>
    </x:comment>
    <x:comment ref="C39" authorId="0">
      <x:text>
        <x:r>
          <x:t>notes source input. Match the fiscal period to the latest available comparative filing in source_crosswalk.csv. A missing disclosure is n.a., never a reported zero.</x:t>
        </x:r>
      </x:text>
    </x:comment>
    <x:comment ref="E40" authorId="0">
      <x:text>
        <x:r>
          <x:t>Current finance lease liability. notes source input. Match the fiscal period to the latest available comparative filing in source_crosswalk.csv. A missing disclosure is n.a., never a reported zero.
Source DERIVED-31-2017: Current finance lease liability. Fiscal year 2017, report FYunavailable, PDF page unavailable.
Reported  . Workbook n.a. USD millions. . Status unavailable_disclosure.
</x:t>
        </x:r>
      </x:text>
    </x:comment>
    <x:comment ref="F40" authorId="0">
      <x:text>
        <x:r>
          <x:t>Current finance lease liability. notes source input. Match the fiscal period to the latest available comparative filing in source_crosswalk.csv. A missing disclosure is n.a., never a reported zero.
Source DERIVED-31-2018: Current finance lease liability. Fiscal year 2018, report FYunavailable, PDF page unavailable.
Reported  . Workbook n.a. USD millions. . Status unavailable_disclosure.
</x:t>
        </x:r>
      </x:text>
    </x:comment>
    <x:comment ref="G40" authorId="0">
      <x:text>
        <x:r>
          <x:t>Current finance lease liability. notes source input. Match the fiscal period to the latest available comparative filing in source_crosswalk.csv. A missing disclosure is n.a., never a reported zero.
Source DERIVED-31-2019: Current finance lease liability. Fiscal year 2019, report FYunavailable, PDF page unavailable.
Reported  . Workbook n.a. USD millions. . Status unavailable_disclosure.
</x:t>
        </x:r>
      </x:text>
    </x:comment>
    <x:comment ref="H40" authorId="0">
      <x:text>
        <x:r>
          <x:t>Current finance lease liability. notes source input. Match the fiscal period to the latest available comparative filing in source_crosswalk.csv. A missing disclosure is n.a., never a reported zero.
Source DERIVED-31-2020: Current finance lease liability. Fiscal year 2020, report FYunavailable, PDF page unavailable.
Reported  . Workbook n.a. USD millions. . Status unavailable_disclosure.
</x:t>
        </x:r>
      </x:text>
    </x:comment>
    <x:comment ref="I40" authorId="0">
      <x:text>
        <x:r>
          <x:t>Current finance lease liability. notes source input. Match the fiscal period to the latest available comparative filing in source_crosswalk.csv. A missing disclosure is n.a., never a reported zero.
Source DERIVED-31-2021: Current finance lease liability. Fiscal year 2021, report FYunavailable, PDF page unavailable.
Reported  . Workbook n.a. USD millions. . Status unavailable_disclosure.
</x:t>
        </x:r>
      </x:text>
    </x:comment>
    <x:comment ref="J40" authorId="0">
      <x:text>
        <x:r>
          <x:t>Current finance lease liability. notes source input. Match the fiscal period to the latest available comparative filing in source_crosswalk.csv. A missing disclosure is n.a., never a reported zero.
Source DERIVED-31-2022: Current finance lease liability. Fiscal year 2022, report FYunavailable, PDF page unavailable.
Reported  . Workbook n.a. USD millions. . Status unavailable_disclosure.
</x:t>
        </x:r>
      </x:text>
    </x:comment>
    <x:comment ref="K40" authorId="0">
      <x:text>
        <x:r>
          <x:t>Current finance lease liability. notes source input. Match the fiscal period to the latest available comparative filing in source_crosswalk.csv. A missing disclosure is n.a., never a reported zero.
Source DERIVED-31-2023: Current finance lease liability. Fiscal year 2023, report FYunavailable, PDF page unavailable.
Reported  . Workbook n.a. USD millions. . Status unavailable_disclosure.
</x:t>
        </x:r>
      </x:text>
    </x:comment>
    <x:comment ref="L40" authorId="0">
      <x:text>
        <x:r>
          <x:t>Current finance lease liability. notes source input. Match the fiscal period to the latest available comparative filing in source_crosswalk.csv. A missing disclosure is n.a., never a reported zero.
Source DERIVED-31-2024: Current finance lease liability. Fiscal year 2024, report FYunavailable, PDF page unavailable.
Reported  . Workbook n.a. USD millions. . Status unavailable_disclosure.
</x:t>
        </x:r>
      </x:text>
    </x:comment>
    <x:comment ref="M40" authorId="0">
      <x:text>
        <x:r>
          <x:t>Current finance lease liability. notes source input. Match the fiscal period to the latest available comparative filing in source_crosswalk.csv. A missing disclosure is n.a., never a reported zero.
Source DERIVED-31-2025: Current finance lease liability. Fiscal year 2025, report FYunavailable, PDF page unavailable.
Reported  . Workbook n.a. USD millions. . Status unavailable_disclosure.
</x:t>
        </x:r>
      </x:text>
    </x:comment>
    <x:comment ref="N40" authorId="0">
      <x:text>
        <x:r>
          <x:t>Current finance lease liability. notes source input. Match the fiscal period to the latest available comparative filing in source_crosswalk.csv. A missing disclosure is n.a., never a reported zero.
Source SRC-1076: finance lease current. Fiscal year 2026, report FY2026, PDF page 78.
Reported 4290.0 USD millions. Workbook 4290 USD millions. none. Status reported.
data/raw/reports/originals/Microsoft_FY2026_10K.pdf
https://www.sec.gov/Archives/edgar/data/789019/000119312526323660/msft-20260630.htm</x:t>
        </x:r>
      </x:text>
    </x:comment>
    <x:comment ref="C40" authorId="0">
      <x:text>
        <x:r>
          <x:t>notes source input. Match the fiscal period to the latest available comparative filing in source_crosswalk.csv. A missing disclosure is n.a., never a reported zero.</x:t>
        </x:r>
      </x:text>
    </x:comment>
    <x:comment ref="E41" authorId="0">
      <x:text>
        <x:r>
          <x:t>Operating lease liabilities. notes source input. Match the fiscal period to the latest available comparative filing in source_crosswalk.csv. A missing disclosure is n.a., never a reported zero.
Source SRC-0097: operating lease liab. Fiscal year 2017, report FY2018, PDF page 87.
Reported 6795.0 USD millions. Workbook 6795.0 USD millions. none. Status reported.
data/raw/reports/originals/Microsoft_FY2018_10K.pdf
https://www.sec.gov/Archives/edgar/data/789019/000156459018019062/</x:t>
        </x:r>
      </x:text>
    </x:comment>
    <x:comment ref="F41" authorId="0">
      <x:text>
        <x:r>
          <x:t>Operating lease liabilities. notes source input. Match the fiscal period to the latest available comparative filing in source_crosswalk.csv. A missing disclosure is n.a., never a reported zero.
Source SRC-0202: operating lease liab. Fiscal year 2018, report FY2019, PDF page 83.
Reported 6967.0 USD millions. Workbook 6967.0 USD millions. none. Status reported.
data/raw/reports/originals/Microsoft_FY2019_10K.pdf
https://www.sec.gov/Archives/edgar/data/789019/000156459019027952/</x:t>
        </x:r>
      </x:text>
    </x:comment>
    <x:comment ref="G41" authorId="0">
      <x:text>
        <x:r>
          <x:t>Operating lease liabilities. notes source input. Match the fiscal period to the latest available comparative filing in source_crosswalk.csv. A missing disclosure is n.a., never a reported zero.
Source SRC-0307: operating lease liab. Fiscal year 2019, report FY2020, PDF page 84.
Reported 7703.0 USD millions. Workbook 7703.0 USD millions. none. Status reported.
data/raw/reports/originals/Microsoft_FY2020_10K.pdf
https://www.sec.gov/Archives/edgar/data/789019/000156459020034944/</x:t>
        </x:r>
      </x:text>
    </x:comment>
    <x:comment ref="H41" authorId="0">
      <x:text>
        <x:r>
          <x:t>Operating lease liabilities. notes source input. Match the fiscal period to the latest available comparative filing in source_crosswalk.csv. A missing disclosure is n.a., never a reported zero.
Source SRC-0413: operating lease liab. Fiscal year 2020, report FY2021, PDF page 87.
Reported 9287.0 USD millions. Workbook 9287.0 USD millions. none. Status reported.
data/raw/reports/originals/Microsoft_FY2021_10K.pdf
https://www.sec.gov/Archives/edgar/data/789019/000156459021039151/</x:t>
        </x:r>
      </x:text>
    </x:comment>
    <x:comment ref="I41" authorId="0">
      <x:text>
        <x:r>
          <x:t>Operating lease liabilities. notes source input. Match the fiscal period to the latest available comparative filing in source_crosswalk.csv. A missing disclosure is n.a., never a reported zero.
Source SRC-0519: operating lease liab. Fiscal year 2021, report FY2022, PDF page 87.
Reported 11591.0 USD millions. Workbook 11591.0 USD millions. none. Status reported.
data/raw/reports/originals/Microsoft_FY2022_10K.pdf
https://www.sec.gov/Archives/edgar/data/789019/000156459022026876/</x:t>
        </x:r>
      </x:text>
    </x:comment>
    <x:comment ref="J41" authorId="0">
      <x:text>
        <x:r>
          <x:t>Operating lease liabilities. notes source input. Match the fiscal period to the latest available comparative filing in source_crosswalk.csv. A missing disclosure is n.a., never a reported zero.
Source SRC-0624: operating lease liab. Fiscal year 2022, report FY2023, PDF page 87.
Reported 13717.0 USD millions. Workbook 13717.0 USD millions. none. Status reported.
data/raw/reports/originals/Microsoft_FY2023_10K.pdf
https://www.sec.gov/Archives/edgar/data/789019/000095017023035122/</x:t>
        </x:r>
      </x:text>
    </x:comment>
    <x:comment ref="K41" authorId="0">
      <x:text>
        <x:r>
          <x:t>Operating lease liabilities. notes source input. Match the fiscal period to the latest available comparative filing in source_crosswalk.csv. A missing disclosure is n.a., never a reported zero.
Source SRC-0729: operating lease liab. Fiscal year 2023, report FY2024, PDF page 85.
Reported 15137.0 USD millions. Workbook 15137.0 USD millions. none. Status reported.
data/raw/reports/originals/Microsoft_FY2024_10K.pdf
https://www.sec.gov/Archives/edgar/data/789019/000095017024087843/</x:t>
        </x:r>
      </x:text>
    </x:comment>
    <x:comment ref="L41" authorId="0">
      <x:text>
        <x:r>
          <x:t>Operating lease liabilities. notes source input. Match the fiscal period to the latest available comparative filing in source_crosswalk.csv. A missing disclosure is n.a., never a reported zero.
Source SRC-0838: operating lease liab. Fiscal year 2024, report FY2025, PDF page 78.
Reported 19077.0 USD millions. Workbook 19077.0 USD millions. none. Status reported.
data/raw/reports/originals/Microsoft_FY2025_10K.pdf
https://www.sec.gov/Archives/edgar/data/789019/000095017025100235/</x:t>
        </x:r>
      </x:text>
    </x:comment>
    <x:comment ref="M41" authorId="0">
      <x:text>
        <x:r>
          <x:t>Operating lease liabilities. notes source input. Match the fiscal period to the latest available comparative filing in source_crosswalk.csv. A missing disclosure is n.a., never a reported zero.
Source SRC-0947: operating lease liab. Fiscal year 2025, report FY2026, PDF page 78.
Reported 22861.0 USD millions. Workbook 22861.0 USD millions. none. Status reported.
data/raw/reports/originals/Microsoft_FY2026_10K.pdf
https://www.sec.gov/Archives/edgar/data/789019/000119312526323660/</x:t>
        </x:r>
      </x:text>
    </x:comment>
    <x:comment ref="N41" authorId="0">
      <x:text>
        <x:r>
          <x:t>Operating lease liabilities. notes source input. Match the fiscal period to the latest available comparative filing in source_crosswalk.csv. A missing disclosure is n.a., never a reported zero.
Source SRC-1056: operating lease liab. Fiscal year 2026, report FY2026, PDF page 78.
Reported 21925.0 USD millions. Workbook 21925.0 USD millions. none. Status reported.
data/raw/reports/originals/Microsoft_FY2026_10K.pdf
https://www.sec.gov/Archives/edgar/data/789019/000119312526323660/</x:t>
        </x:r>
      </x:text>
    </x:comment>
    <x:comment ref="C41" authorId="0">
      <x:text>
        <x:r>
          <x:t>notes source input. Match the fiscal period to the latest available comparative filing in source_crosswalk.csv. A missing disclosure is n.a., never a reported zero.</x:t>
        </x:r>
      </x:text>
    </x:comment>
    <x:comment ref="E42" authorId="0">
      <x:text>
        <x:r>
          <x:t>Operating lease expense. notes source input. Match the fiscal period to the latest available comparative filing in source_crosswalk.csv. A missing disclosure is n.a., never a reported zero.
Source SRC-0099: Operating lease cost. Fiscal year 2017, report FY2019, PDF page 82.
Reported 1412.0 USD millions. Workbook 1412.0 USD millions. none. Status reported.
data/raw/reports/originals/Microsoft_FY2019_10K.pdf
https://www.sec.gov/Archives/edgar/data/789019/000156459019027952/</x:t>
        </x:r>
      </x:text>
    </x:comment>
    <x:comment ref="F42" authorId="0">
      <x:text>
        <x:r>
          <x:t>Operating lease expense. notes source input. Match the fiscal period to the latest available comparative filing in source_crosswalk.csv. A missing disclosure is n.a., never a reported zero.
Source SRC-0204: Operating lease cost. Fiscal year 2018, report FY2020, PDF page 83.
Reported 1585.0 USD millions. Workbook 1585.0 USD millions. none. Status reported.
data/raw/reports/originals/Microsoft_FY2020_10K.pdf
https://www.sec.gov/Archives/edgar/data/789019/000156459020034944/</x:t>
        </x:r>
      </x:text>
    </x:comment>
    <x:comment ref="G42" authorId="0">
      <x:text>
        <x:r>
          <x:t>Operating lease expense. notes source input. Match the fiscal period to the latest available comparative filing in source_crosswalk.csv. A missing disclosure is n.a., never a reported zero.
Source SRC-0309: Operating lease cost. Fiscal year 2019, report FY2021, PDF page 86.
Reported 1707.0 USD millions. Workbook 1707.0 USD millions. none. Status reported.
data/raw/reports/originals/Microsoft_FY2021_10K.pdf
https://www.sec.gov/Archives/edgar/data/789019/000156459021039151/</x:t>
        </x:r>
      </x:text>
    </x:comment>
    <x:comment ref="H42" authorId="0">
      <x:text>
        <x:r>
          <x:t>Operating lease expense. notes source input. Match the fiscal period to the latest available comparative filing in source_crosswalk.csv. A missing disclosure is n.a., never a reported zero.
Source SRC-0415: Operating lease cost. Fiscal year 2020, report FY2022, PDF page 86.
Reported 2043.0 USD millions. Workbook 2043.0 USD millions. none. Status reported.
data/raw/reports/originals/Microsoft_FY2022_10K.pdf
https://www.sec.gov/Archives/edgar/data/789019/000156459022026876/</x:t>
        </x:r>
      </x:text>
    </x:comment>
    <x:comment ref="I42" authorId="0">
      <x:text>
        <x:r>
          <x:t>Operating lease expense. notes source input. Match the fiscal period to the latest available comparative filing in source_crosswalk.csv. A missing disclosure is n.a., never a reported zero.
Source SRC-0521: Operating lease cost. Fiscal year 2021, report FY2023, PDF page 86.
Reported 2127.0 USD millions. Workbook 2127.0 USD millions. none. Status reported.
data/raw/reports/originals/Microsoft_FY2023_10K.pdf
https://www.sec.gov/Archives/edgar/data/789019/000095017023035122/</x:t>
        </x:r>
      </x:text>
    </x:comment>
    <x:comment ref="J42" authorId="0">
      <x:text>
        <x:r>
          <x:t>Operating lease expense. notes source input. Match the fiscal period to the latest available comparative filing in source_crosswalk.csv. A missing disclosure is n.a., never a reported zero.
Source SRC-0626: Operating lease cost. Fiscal year 2022, report FY2024, PDF page 85.
Reported 2461.0 USD millions. Workbook 2461.0 USD millions. none. Status reported.
data/raw/reports/originals/Microsoft_FY2024_10K.pdf
https://www.sec.gov/Archives/edgar/data/789019/000095017024087843/</x:t>
        </x:r>
      </x:text>
    </x:comment>
    <x:comment ref="K42" authorId="0">
      <x:text>
        <x:r>
          <x:t>Operating lease expense. notes source input. Match the fiscal period to the latest available comparative filing in source_crosswalk.csv. A missing disclosure is n.a., never a reported zero.
Source SRC-0731: Operating lease cost. Fiscal year 2023, report FY2025, PDF page 77.
Reported 2875.0 USD millions. Workbook 2875.0 USD millions. none. Status reported.
data/raw/reports/originals/Microsoft_FY2025_10K.pdf
https://www.sec.gov/Archives/edgar/data/789019/000095017025100235/</x:t>
        </x:r>
      </x:text>
    </x:comment>
    <x:comment ref="L42" authorId="0">
      <x:text>
        <x:r>
          <x:t>Operating lease expense. notes source input. Match the fiscal period to the latest available comparative filing in source_crosswalk.csv. A missing disclosure is n.a., never a reported zero.
Source SRC-0840: Operating lease cost. Fiscal year 2024, report FY2026, PDF page 77.
Reported 3555.0 USD millions. Workbook 3555.0 USD millions. none. Status reported.
data/raw/reports/originals/Microsoft_FY2026_10K.pdf
https://www.sec.gov/Archives/edgar/data/789019/000119312526323660/</x:t>
        </x:r>
      </x:text>
    </x:comment>
    <x:comment ref="M42" authorId="0">
      <x:text>
        <x:r>
          <x:t>Operating lease expense. notes source input. Match the fiscal period to the latest available comparative filing in source_crosswalk.csv. A missing disclosure is n.a., never a reported zero.
Source SRC-0949: Operating lease cost. Fiscal year 2025, report FY2026, PDF page 77.
Reported 5524.0 USD millions. Workbook 5524.0 USD millions. none. Status reported.
data/raw/reports/originals/Microsoft_FY2026_10K.pdf
https://www.sec.gov/Archives/edgar/data/789019/000119312526323660/</x:t>
        </x:r>
      </x:text>
    </x:comment>
    <x:comment ref="N42" authorId="0">
      <x:text>
        <x:r>
          <x:t>Operating lease expense. notes source input. Match the fiscal period to the latest available comparative filing in source_crosswalk.csv. A missing disclosure is n.a., never a reported zero.
Source SRC-1058: Operating lease cost. Fiscal year 2026, report FY2026, PDF page 77.
Reported 6968.0 USD millions. Workbook 6968.0 USD millions. none. Status reported.
data/raw/reports/originals/Microsoft_FY2026_10K.pdf
https://www.sec.gov/Archives/edgar/data/789019/000119312526323660/</x:t>
        </x:r>
      </x:text>
    </x:comment>
    <x:comment ref="C42" authorId="0">
      <x:text>
        <x:r>
          <x:t>notes source input. Match the fiscal period to the latest available comparative filing in source_crosswalk.csv. A missing disclosure is n.a., never a reported zero.</x:t>
        </x:r>
      </x:text>
    </x:comment>
    <x:comment ref="E43" authorId="0">
      <x:text>
        <x:r>
          <x:t>Debt principal outstanding. notes source input. Match the fiscal period to the latest available comparative filing in source_crosswalk.csv. A missing disclosure is n.a., never a reported zero.
Source DERIVED-34-2017: Debt principal outstanding. Fiscal year 2017, report FYunavailable, PDF page unavailable.
Reported  . Workbook n.a. USD millions. . Status unavailable_disclosure.
</x:t>
        </x:r>
      </x:text>
    </x:comment>
    <x:comment ref="F43" authorId="0">
      <x:text>
        <x:r>
          <x:t>Debt principal outstanding. notes source input. Match the fiscal period to the latest available comparative filing in source_crosswalk.csv. A missing disclosure is n.a., never a reported zero.
Source DERIVED-34-2018: Debt principal outstanding. Fiscal year 2018, report FYunavailable, PDF page unavailable.
Reported  . Workbook n.a. USD millions. . Status unavailable_disclosure.
</x:t>
        </x:r>
      </x:text>
    </x:comment>
    <x:comment ref="G43" authorId="0">
      <x:text>
        <x:r>
          <x:t>Debt principal outstanding. notes source input. Match the fiscal period to the latest available comparative filing in source_crosswalk.csv. A missing disclosure is n.a., never a reported zero.
Source DERIVED-34-2019: Debt principal outstanding. Fiscal year 2019, report FYunavailable, PDF page unavailable.
Reported  . Workbook n.a. USD millions. . Status unavailable_disclosure.
</x:t>
        </x:r>
      </x:text>
    </x:comment>
    <x:comment ref="H43" authorId="0">
      <x:text>
        <x:r>
          <x:t>Debt principal outstanding. notes source input. Match the fiscal period to the latest available comparative filing in source_crosswalk.csv. A missing disclosure is n.a., never a reported zero.
Source DERIVED-34-2020: Debt principal outstanding. Fiscal year 2020, report FYunavailable, PDF page unavailable.
Reported  . Workbook n.a. USD millions. . Status unavailable_disclosure.
</x:t>
        </x:r>
      </x:text>
    </x:comment>
    <x:comment ref="I43" authorId="0">
      <x:text>
        <x:r>
          <x:t>Debt principal outstanding. notes source input. Match the fiscal period to the latest available comparative filing in source_crosswalk.csv. A missing disclosure is n.a., never a reported zero.
Source DERIVED-34-2021: Debt principal outstanding. Fiscal year 2021, report FYunavailable, PDF page unavailable.
Reported  . Workbook n.a. USD millions. . Status unavailable_disclosure.
</x:t>
        </x:r>
      </x:text>
    </x:comment>
    <x:comment ref="J43" authorId="0">
      <x:text>
        <x:r>
          <x:t>Debt principal outstanding. notes source input. Match the fiscal period to the latest available comparative filing in source_crosswalk.csv. A missing disclosure is n.a., never a reported zero.
Source DERIVED-34-2022: Debt principal outstanding. Fiscal year 2022, report FYunavailable, PDF page unavailable.
Reported  . Workbook n.a. USD millions. . Status unavailable_disclosure.
</x:t>
        </x:r>
      </x:text>
    </x:comment>
    <x:comment ref="K43" authorId="0">
      <x:text>
        <x:r>
          <x:t>Debt principal outstanding. notes source input. Match the fiscal period to the latest available comparative filing in source_crosswalk.csv. A missing disclosure is n.a., never a reported zero.
Source DERIVED-34-2023: Debt principal outstanding. Fiscal year 2023, report FYunavailable, PDF page unavailable.
Reported  . Workbook n.a. USD millions. . Status unavailable_disclosure.
</x:t>
        </x:r>
      </x:text>
    </x:comment>
    <x:comment ref="L43" authorId="0">
      <x:text>
        <x:r>
          <x:t>Debt principal outstanding. notes source input. Match the fiscal period to the latest available comparative filing in source_crosswalk.csv. A missing disclosure is n.a., never a reported zero.
Source DERIVED-34-2024: Debt principal outstanding. Fiscal year 2024, report FYunavailable, PDF page unavailable.
Reported  . Workbook n.a. USD millions. . Status unavailable_disclosure.
</x:t>
        </x:r>
      </x:text>
    </x:comment>
    <x:comment ref="M43" authorId="0">
      <x:text>
        <x:r>
          <x:t>Debt principal outstanding. notes source input. Match the fiscal period to the latest available comparative filing in source_crosswalk.csv. A missing disclosure is n.a., never a reported zero.
Source DERIVED-34-2025: Debt principal outstanding. Fiscal year 2025, report FYunavailable, PDF page unavailable.
Reported  . Workbook n.a. USD millions. . Status unavailable_disclosure.
</x:t>
        </x:r>
      </x:text>
    </x:comment>
    <x:comment ref="N43" authorId="0">
      <x:text>
        <x:r>
          <x:t>Debt principal outstanding. notes source input. Match the fiscal period to the latest available comparative filing in source_crosswalk.csv. A missing disclosure is n.a., never a reported zero.
Source SRC-1071: Total face value. Fiscal year 2026, report FY2026, PDF page 72.
Reported 46136.0 USD millions. Workbook 46136 USD millions. none. Status reported.
data/raw/reports/originals/Microsoft_FY2026_10K.pdf
https://www.sec.gov/Archives/edgar/data/789019/000119312526323660/msft-20260630.htm</x:t>
        </x:r>
      </x:text>
    </x:comment>
    <x:comment ref="C43" authorId="0">
      <x:text>
        <x:r>
          <x:t>notes source input. Match the fiscal period to the latest available comparative filing in source_crosswalk.csv. A missing disclosure is n.a., never a reported zero.</x:t>
        </x:r>
      </x:text>
    </x:comment>
    <x:comment ref="E44" authorId="0">
      <x:text>
        <x:r>
          <x:t>Interest expense. notes source input. Match the fiscal period to the latest available comparative filing in source_crosswalk.csv. A missing disclosure is n.a., never a reported zero.
Source DERIVED-35-2017: Interest expense. Fiscal year 2017, report FYunavailable, PDF page unavailable.
Reported  . Workbook n.a. USD millions. . Status unavailable_disclosure.
</x:t>
        </x:r>
      </x:text>
    </x:comment>
    <x:comment ref="F44" authorId="0">
      <x:text>
        <x:r>
          <x:t>Interest expense. notes source input. Match the fiscal period to the latest available comparative filing in source_crosswalk.csv. A missing disclosure is n.a., never a reported zero.
Source DERIVED-35-2018: Interest expense. Fiscal year 2018, report FYunavailable, PDF page unavailable.
Reported  . Workbook n.a. USD millions. . Status unavailable_disclosure.
</x:t>
        </x:r>
      </x:text>
    </x:comment>
    <x:comment ref="G44" authorId="0">
      <x:text>
        <x:r>
          <x:t>Interest expense. notes source input. Match the fiscal period to the latest available comparative filing in source_crosswalk.csv. A missing disclosure is n.a., never a reported zero.
Source DERIVED-35-2019: Interest expense. Fiscal year 2019, report FYunavailable, PDF page unavailable.
Reported  . Workbook n.a. USD millions. . Status unavailable_disclosure.
</x:t>
        </x:r>
      </x:text>
    </x:comment>
    <x:comment ref="H44" authorId="0">
      <x:text>
        <x:r>
          <x:t>Interest expense. notes source input. Match the fiscal period to the latest available comparative filing in source_crosswalk.csv. A missing disclosure is n.a., never a reported zero.
Source DERIVED-35-2020: Interest expense. Fiscal year 2020, report FYunavailable, PDF page unavailable.
Reported  . Workbook n.a. USD millions. . Status unavailable_disclosure.
</x:t>
        </x:r>
      </x:text>
    </x:comment>
    <x:comment ref="I44" authorId="0">
      <x:text>
        <x:r>
          <x:t>Interest expense. notes source input. Match the fiscal period to the latest available comparative filing in source_crosswalk.csv. A missing disclosure is n.a., never a reported zero.
Source DERIVED-35-2021: Interest expense. Fiscal year 2021, report FYunavailable, PDF page unavailable.
Reported  . Workbook n.a. USD millions. . Status unavailable_disclosure.
</x:t>
        </x:r>
      </x:text>
    </x:comment>
    <x:comment ref="J44" authorId="0">
      <x:text>
        <x:r>
          <x:t>Interest expense. notes source input. Match the fiscal period to the latest available comparative filing in source_crosswalk.csv. A missing disclosure is n.a., never a reported zero.
Source DERIVED-35-2022: Interest expense. Fiscal year 2022, report FYunavailable, PDF page unavailable.
Reported  . Workbook n.a. USD millions. . Status unavailable_disclosure.
</x:t>
        </x:r>
      </x:text>
    </x:comment>
    <x:comment ref="K44" authorId="0">
      <x:text>
        <x:r>
          <x:t>Interest expense. notes source input. Match the fiscal period to the latest available comparative filing in source_crosswalk.csv. A missing disclosure is n.a., never a reported zero.
Source SRC-0732: interest expense. Fiscal year 2023, report FY2025, PDF page 62.
Reported -1968.0 USD millions. Workbook 1968.0 USD millions. absolute magnitude. Status reported_magnitude.
data/raw/reports/originals/Microsoft_FY2025_10K.pdf
https://www.sec.gov/Archives/edgar/data/789019/000095017025100235/</x:t>
        </x:r>
      </x:text>
    </x:comment>
    <x:comment ref="L44" authorId="0">
      <x:text>
        <x:r>
          <x:t>Interest expense. notes source input. Match the fiscal period to the latest available comparative filing in source_crosswalk.csv. A missing disclosure is n.a., never a reported zero.
Source SRC-0841: interest expense. Fiscal year 2024, report FY2026, PDF page 62.
Reported -2935.0 USD millions. Workbook 2935.0 USD millions. absolute magnitude. Status reported_magnitude.
data/raw/reports/originals/Microsoft_FY2026_10K.pdf
https://www.sec.gov/Archives/edgar/data/789019/000119312526323660/</x:t>
        </x:r>
      </x:text>
    </x:comment>
    <x:comment ref="M44" authorId="0">
      <x:text>
        <x:r>
          <x:t>Interest expense. notes source input. Match the fiscal period to the latest available comparative filing in source_crosswalk.csv. A missing disclosure is n.a., never a reported zero.
Source SRC-0950: interest expense. Fiscal year 2025, report FY2026, PDF page 62.
Reported -2385.0 USD millions. Workbook 2385.0 USD millions. absolute magnitude. Status reported_magnitude.
data/raw/reports/originals/Microsoft_FY2026_10K.pdf
https://www.sec.gov/Archives/edgar/data/789019/000119312526323660/</x:t>
        </x:r>
      </x:text>
    </x:comment>
    <x:comment ref="N44" authorId="0">
      <x:text>
        <x:r>
          <x:t>Interest expense. notes source input. Match the fiscal period to the latest available comparative filing in source_crosswalk.csv. A missing disclosure is n.a., never a reported zero.
Source SRC-1059: interest expense. Fiscal year 2026, report FY2026, PDF page 62.
Reported -3051.0 USD millions. Workbook 3051.0 USD millions. absolute magnitude. Status reported_magnitude.
data/raw/reports/originals/Microsoft_FY2026_10K.pdf
https://www.sec.gov/Archives/edgar/data/789019/000119312526323660/</x:t>
        </x:r>
      </x:text>
    </x:comment>
    <x:comment ref="C44" authorId="0">
      <x:text>
        <x:r>
          <x:t>notes source input. Match the fiscal period to the latest available comparative filing in source_crosswalk.csv. A missing disclosure is n.a., never a reported zero.</x:t>
        </x:r>
      </x:text>
    </x:comment>
    <x:comment ref="E45" authorId="0">
      <x:text>
        <x:r>
          <x:t>Land cost. notes source input. Match the fiscal period to the latest available comparative filing in source_crosswalk.csv. A missing disclosure is n.a., never a reported zero.
Source DERIVED-36-2017: Land cost. Fiscal year 2017, report FYunavailable, PDF page unavailable.
Reported  . Workbook n.a. USD millions. . Status unavailable_disclosure.
</x:t>
        </x:r>
      </x:text>
    </x:comment>
    <x:comment ref="F45" authorId="0">
      <x:text>
        <x:r>
          <x:t>Land cost. notes source input. Match the fiscal period to the latest available comparative filing in source_crosswalk.csv. A missing disclosure is n.a., never a reported zero.
Source DERIVED-36-2018: Land cost. Fiscal year 2018, report FYunavailable, PDF page unavailable.
Reported  . Workbook n.a. USD millions. . Status unavailable_disclosure.
</x:t>
        </x:r>
      </x:text>
    </x:comment>
    <x:comment ref="G45" authorId="0">
      <x:text>
        <x:r>
          <x:t>Land cost. notes source input. Match the fiscal period to the latest available comparative filing in source_crosswalk.csv. A missing disclosure is n.a., never a reported zero.
Source DERIVED-36-2019: Land cost. Fiscal year 2019, report FYunavailable, PDF page unavailable.
Reported  . Workbook n.a. USD millions. . Status unavailable_disclosure.
</x:t>
        </x:r>
      </x:text>
    </x:comment>
    <x:comment ref="H45" authorId="0">
      <x:text>
        <x:r>
          <x:t>Land cost. notes source input. Match the fiscal period to the latest available comparative filing in source_crosswalk.csv. A missing disclosure is n.a., never a reported zero.
Source DERIVED-36-2020: Land cost. Fiscal year 2020, report FYunavailable, PDF page unavailable.
Reported  . Workbook n.a. USD millions. . Status unavailable_disclosure.
</x:t>
        </x:r>
      </x:text>
    </x:comment>
    <x:comment ref="I45" authorId="0">
      <x:text>
        <x:r>
          <x:t>Land cost. notes source input. Match the fiscal period to the latest available comparative filing in source_crosswalk.csv. A missing disclosure is n.a., never a reported zero.
Source DERIVED-36-2021: Land cost. Fiscal year 2021, report FYunavailable, PDF page unavailable.
Reported  . Workbook n.a. USD millions. . Status unavailable_disclosure.
</x:t>
        </x:r>
      </x:text>
    </x:comment>
    <x:comment ref="J45" authorId="0">
      <x:text>
        <x:r>
          <x:t>Land cost. notes source input. Match the fiscal period to the latest available comparative filing in source_crosswalk.csv. A missing disclosure is n.a., never a reported zero.
Source DERIVED-36-2022: Land cost. Fiscal year 2022, report FYunavailable, PDF page unavailable.
Reported  . Workbook n.a. USD millions. . Status unavailable_disclosure.
</x:t>
        </x:r>
      </x:text>
    </x:comment>
    <x:comment ref="K45" authorId="0">
      <x:text>
        <x:r>
          <x:t>Land cost. notes source input. Match the fiscal period to the latest available comparative filing in source_crosswalk.csv. A missing disclosure is n.a., never a reported zero.
Source DERIVED-36-2023: Land cost. Fiscal year 2023, report FYunavailable, PDF page unavailable.
Reported  . Workbook n.a. USD millions. . Status unavailable_disclosure.
</x:t>
        </x:r>
      </x:text>
    </x:comment>
    <x:comment ref="L45" authorId="0">
      <x:text>
        <x:r>
          <x:t>Land cost. notes source input. Match the fiscal period to the latest available comparative filing in source_crosswalk.csv. A missing disclosure is n.a., never a reported zero.
Source DERIVED-36-2024: Land cost. Fiscal year 2024, report FYunavailable, PDF page unavailable.
Reported  . Workbook n.a. USD millions. . Status unavailable_disclosure.
</x:t>
        </x:r>
      </x:text>
    </x:comment>
    <x:comment ref="M45" authorId="0">
      <x:text>
        <x:r>
          <x:t>Land cost. notes source input. Match the fiscal period to the latest available comparative filing in source_crosswalk.csv. A missing disclosure is n.a., never a reported zero.
Source DERIVED-36-2025: Land cost. Fiscal year 2025, report FYunavailable, PDF page unavailable.
Reported  . Workbook n.a. USD millions. . Status unavailable_disclosure.
</x:t>
        </x:r>
      </x:text>
    </x:comment>
    <x:comment ref="N45" authorId="0">
      <x:text>
        <x:r>
          <x:t>Land cost. notes source input. Match the fiscal period to the latest available comparative filing in source_crosswalk.csv. A missing disclosure is n.a., never a reported zero.
Source SRC-1069: land. Fiscal year 2026, report FY2026, PDF page 69.
Reported 10546.0 USD millions. Workbook 10546 USD millions. none. Status reported.
data/raw/reports/originals/Microsoft_FY2026_10K.pdf
https://www.sec.gov/Archives/edgar/data/789019/000119312526323660/msft-20260630.htm</x:t>
        </x:r>
      </x:text>
    </x:comment>
    <x:comment ref="C45" authorId="0">
      <x:text>
        <x:r>
          <x:t>notes source input. Match the fiscal period to the latest available comparative filing in source_crosswalk.csv. A missing disclosure is n.a., never a reported zero.</x:t>
        </x:r>
      </x:text>
    </x:comment>
    <x:comment ref="E46" authorId="0">
      <x:text>
        <x:r>
          <x:t>Productivity and Business Processes revenue. segments source input. Match the fiscal period to the latest available comparative filing in source_crosswalk.csv. A missing disclosure is n.a., never a reported zero.
Source SRC-0100: Productivity and Business Processes revenue. Fiscal year 2017, report FY2019, PDF page 90.
Reported 29870.0 USD millions. Workbook 29870.0 USD millions. none. Status reported.
data/raw/reports/originals/Microsoft_FY2019_10K.pdf
https://www.microsoft.com/investor/reports/ar19/index.html</x:t>
        </x:r>
      </x:text>
    </x:comment>
    <x:comment ref="F46" authorId="0">
      <x:text>
        <x:r>
          <x:t>Productivity and Business Processes revenue. segments source input. Match the fiscal period to the latest available comparative filing in source_crosswalk.csv. A missing disclosure is n.a., never a reported zero.
Source SRC-0205: Productivity and Business Processes revenue. Fiscal year 2018, report FY2020, PDF page 91.
Reported 35865.0 USD millions. Workbook 35865.0 USD millions. none. Status reported.
data/raw/reports/originals/Microsoft_FY2020_10K.pdf
https://www.microsoft.com/investor/reports/ar20/index.html</x:t>
        </x:r>
      </x:text>
    </x:comment>
    <x:comment ref="G46" authorId="0">
      <x:text>
        <x:r>
          <x:t>Productivity and Business Processes revenue. segments source input. Match the fiscal period to the latest available comparative filing in source_crosswalk.csv. A missing disclosure is n.a., never a reported zero.
Source SRC-0310: Productivity and Business Processes revenue. Fiscal year 2019, report FY2021, PDF page 94.
Reported 41160.0 USD millions. Workbook 41160.0 USD millions. none. Status reported.
data/raw/reports/originals/Microsoft_FY2021_10K.pdf
https://www.microsoft.com/investor/reports/ar21/index.html</x:t>
        </x:r>
      </x:text>
    </x:comment>
    <x:comment ref="H46" authorId="0">
      <x:text>
        <x:r>
          <x:t>Productivity and Business Processes revenue. segments source input. Match the fiscal period to the latest available comparative filing in source_crosswalk.csv. A missing disclosure is n.a., never a reported zero.
Source SRC-0416: Productivity and Business Processes revenue. Fiscal year 2020, report FY2022, PDF page 94.
Reported 46398.0 USD millions. Workbook 46398.0 USD millions. none. Status reported.
data/raw/reports/originals/Microsoft_FY2022_10K.pdf
https://www.microsoft.com/investor/reports/ar22/index.html</x:t>
        </x:r>
      </x:text>
    </x:comment>
    <x:comment ref="I46" authorId="0">
      <x:text>
        <x:r>
          <x:t>Productivity and Business Processes revenue. segments source input. Match the fiscal period to the latest available comparative filing in source_crosswalk.csv. A missing disclosure is n.a., never a reported zero.
Source SRC-0522: Productivity and Business Processes revenue. Fiscal year 2021, report FY2023, PDF page 94.
Reported 53915.0 USD millions. Workbook 53915.0 USD millions. none. Status reported.
data/raw/reports/originals/Microsoft_FY2023_10K.pdf
https://www.microsoft.com/investor/reports/ar23/index.html</x:t>
        </x:r>
      </x:text>
    </x:comment>
    <x:comment ref="J46" authorId="0">
      <x:text>
        <x:r>
          <x:t>Productivity and Business Processes revenue. segments source input. Match the fiscal period to the latest available comparative filing in source_crosswalk.csv. A missing disclosure is n.a., never a reported zero.
Source SRC-0627: Productivity and Business Processes revenue. Fiscal year 2022, report FY2024, PDF page 92.
Reported 63364.0 USD millions. Workbook 63364.0 USD millions. none. Status reported.
data/raw/reports/originals/Microsoft_FY2024_10K.pdf
https://www.microsoft.com/investor/reports/ar24/index.html</x:t>
        </x:r>
      </x:text>
    </x:comment>
    <x:comment ref="K46" authorId="0">
      <x:text>
        <x:r>
          <x:t>Productivity and Business Processes revenue. segments source input. Match the fiscal period to the latest available comparative filing in source_crosswalk.csv. A missing disclosure is n.a., never a reported zero.
Source SRC-0733: Productivity and Business Processes revenue. Fiscal year 2023, report FY2025, PDF page 84.
Reported 94151.0 USD millions. Workbook 94151.0 USD millions. none. Status reported.
data/raw/reports/originals/Microsoft_FY2025_10K.pdf
https://www.microsoft.com/investor/reports/ar25/index.html</x:t>
        </x:r>
      </x:text>
    </x:comment>
    <x:comment ref="L46" authorId="0">
      <x:text>
        <x:r>
          <x:t>Productivity and Business Processes revenue. segments source input. Match the fiscal period to the latest available comparative filing in source_crosswalk.csv. A missing disclosure is n.a., never a reported zero.
Source SRC-0842: Productivity and Business Processes revenue. Fiscal year 2024, report FY2026, PDF page 84.
Reported 106820.0 USD millions. Workbook 106820.0 USD millions. none. Status reported.
data/raw/reports/originals/Microsoft_FY2026_10K.pdf
https://www.sec.gov/Archives/edgar/data/789019/000119312526323660/msft-20260630.htm</x:t>
        </x:r>
      </x:text>
    </x:comment>
    <x:comment ref="M46" authorId="0">
      <x:text>
        <x:r>
          <x:t>Productivity and Business Processes revenue. segments source input. Match the fiscal period to the latest available comparative filing in source_crosswalk.csv. A missing disclosure is n.a., never a reported zero.
Source SRC-0951: Productivity and Business Processes revenue. Fiscal year 2025, report FY2026, PDF page 84.
Reported 120810.0 USD millions. Workbook 120810.0 USD millions. none. Status reported.
data/raw/reports/originals/Microsoft_FY2026_10K.pdf
https://www.sec.gov/Archives/edgar/data/789019/000119312526323660/msft-20260630.htm</x:t>
        </x:r>
      </x:text>
    </x:comment>
    <x:comment ref="N46" authorId="0">
      <x:text>
        <x:r>
          <x:t>Productivity and Business Processes revenue. segments source input. Match the fiscal period to the latest available comparative filing in source_crosswalk.csv. A missing disclosure is n.a., never a reported zero.
Source SRC-1060: Productivity and Business Processes revenue. Fiscal year 2026, report FY2026, PDF page 84.
Reported 139996.0 USD millions. Workbook 139996.0 USD millions. none. Status reported.
data/raw/reports/originals/Microsoft_FY2026_10K.pdf
https://www.sec.gov/Archives/edgar/data/789019/000119312526323660/msft-20260630.htm</x:t>
        </x:r>
      </x:text>
    </x:comment>
    <x:comment ref="C46" authorId="0">
      <x:text>
        <x:r>
          <x:t>segments source input. Match the fiscal period to the latest available comparative filing in source_crosswalk.csv. A missing disclosure is n.a., never a reported zero.</x:t>
        </x:r>
      </x:text>
    </x:comment>
    <x:comment ref="E47" authorId="0">
      <x:text>
        <x:r>
          <x:t>Intelligent Cloud revenue. segments source input. Match the fiscal period to the latest available comparative filing in source_crosswalk.csv. A missing disclosure is n.a., never a reported zero.
Source SRC-0102: Intelligent Cloud revenue. Fiscal year 2017, report FY2019, PDF page 90.
Reported 27407.0 USD millions. Workbook 27407.0 USD millions. none. Status reported.
data/raw/reports/originals/Microsoft_FY2019_10K.pdf
https://www.microsoft.com/investor/reports/ar19/index.html</x:t>
        </x:r>
      </x:text>
    </x:comment>
    <x:comment ref="F47" authorId="0">
      <x:text>
        <x:r>
          <x:t>Intelligent Cloud revenue. segments source input. Match the fiscal period to the latest available comparative filing in source_crosswalk.csv. A missing disclosure is n.a., never a reported zero.
Source SRC-0207: Intelligent Cloud revenue. Fiscal year 2018, report FY2020, PDF page 91.
Reported 32219.0 USD millions. Workbook 32219.0 USD millions. none. Status reported.
data/raw/reports/originals/Microsoft_FY2020_10K.pdf
https://www.microsoft.com/investor/reports/ar20/index.html</x:t>
        </x:r>
      </x:text>
    </x:comment>
    <x:comment ref="G47" authorId="0">
      <x:text>
        <x:r>
          <x:t>Intelligent Cloud revenue. segments source input. Match the fiscal period to the latest available comparative filing in source_crosswalk.csv. A missing disclosure is n.a., never a reported zero.
Source SRC-0312: Intelligent Cloud revenue. Fiscal year 2019, report FY2021, PDF page 94.
Reported 38985.0 USD millions. Workbook 38985.0 USD millions. none. Status reported.
data/raw/reports/originals/Microsoft_FY2021_10K.pdf
https://www.microsoft.com/investor/reports/ar21/index.html</x:t>
        </x:r>
      </x:text>
    </x:comment>
    <x:comment ref="H47" authorId="0">
      <x:text>
        <x:r>
          <x:t>Intelligent Cloud revenue. segments source input. Match the fiscal period to the latest available comparative filing in source_crosswalk.csv. A missing disclosure is n.a., never a reported zero.
Source SRC-0418: Intelligent Cloud revenue. Fiscal year 2020, report FY2022, PDF page 94.
Reported 48366.0 USD millions. Workbook 48366.0 USD millions. none. Status reported.
data/raw/reports/originals/Microsoft_FY2022_10K.pdf
https://www.microsoft.com/investor/reports/ar22/index.html</x:t>
        </x:r>
      </x:text>
    </x:comment>
    <x:comment ref="I47" authorId="0">
      <x:text>
        <x:r>
          <x:t>Intelligent Cloud revenue. segments source input. Match the fiscal period to the latest available comparative filing in source_crosswalk.csv. A missing disclosure is n.a., never a reported zero.
Source SRC-0524: Intelligent Cloud revenue. Fiscal year 2021, report FY2023, PDF page 94.
Reported 59728.0 USD millions. Workbook 59728.0 USD millions. none. Status reported.
data/raw/reports/originals/Microsoft_FY2023_10K.pdf
https://www.microsoft.com/investor/reports/ar23/index.html</x:t>
        </x:r>
      </x:text>
    </x:comment>
    <x:comment ref="J47" authorId="0">
      <x:text>
        <x:r>
          <x:t>Intelligent Cloud revenue. segments source input. Match the fiscal period to the latest available comparative filing in source_crosswalk.csv. A missing disclosure is n.a., never a reported zero.
Source SRC-0629: Intelligent Cloud revenue. Fiscal year 2022, report FY2024, PDF page 92.
Reported 74965.0 USD millions. Workbook 74965.0 USD millions. none. Status reported.
data/raw/reports/originals/Microsoft_FY2024_10K.pdf
https://www.microsoft.com/investor/reports/ar24/index.html</x:t>
        </x:r>
      </x:text>
    </x:comment>
    <x:comment ref="K47" authorId="0">
      <x:text>
        <x:r>
          <x:t>Intelligent Cloud revenue. segments source input. Match the fiscal period to the latest available comparative filing in source_crosswalk.csv. A missing disclosure is n.a., never a reported zero.
Source SRC-0736: Intelligent Cloud revenue. Fiscal year 2023, report FY2025, PDF page 84.
Reported 72944.0 USD millions. Workbook 72944.0 USD millions. none. Status reported.
data/raw/reports/originals/Microsoft_FY2025_10K.pdf
https://www.microsoft.com/investor/reports/ar25/index.html</x:t>
        </x:r>
      </x:text>
    </x:comment>
    <x:comment ref="L47" authorId="0">
      <x:text>
        <x:r>
          <x:t>Intelligent Cloud revenue. segments source input. Match the fiscal period to the latest available comparative filing in source_crosswalk.csv. A missing disclosure is n.a., never a reported zero.
Source SRC-0845: Intelligent Cloud revenue. Fiscal year 2024, report FY2026, PDF page 84.
Reported 87464.0 USD millions. Workbook 87464.0 USD millions. none. Status reported.
data/raw/reports/originals/Microsoft_FY2026_10K.pdf
https://www.sec.gov/Archives/edgar/data/789019/000119312526323660/msft-20260630.htm</x:t>
        </x:r>
      </x:text>
    </x:comment>
    <x:comment ref="M47" authorId="0">
      <x:text>
        <x:r>
          <x:t>Intelligent Cloud revenue. segments source input. Match the fiscal period to the latest available comparative filing in source_crosswalk.csv. A missing disclosure is n.a., never a reported zero.
Source SRC-0954: Intelligent Cloud revenue. Fiscal year 2025, report FY2026, PDF page 84.
Reported 106265.0 USD millions. Workbook 106265.0 USD millions. none. Status reported.
data/raw/reports/originals/Microsoft_FY2026_10K.pdf
https://www.sec.gov/Archives/edgar/data/789019/000119312526323660/msft-20260630.htm</x:t>
        </x:r>
      </x:text>
    </x:comment>
    <x:comment ref="N47" authorId="0">
      <x:text>
        <x:r>
          <x:t>Intelligent Cloud revenue. segments source input. Match the fiscal period to the latest available comparative filing in source_crosswalk.csv. A missing disclosure is n.a., never a reported zero.
Source SRC-1063: Intelligent Cloud revenue. Fiscal year 2026, report FY2026, PDF page 84.
Reported 137791.0 USD millions. Workbook 137791.0 USD millions. none. Status reported.
data/raw/reports/originals/Microsoft_FY2026_10K.pdf
https://www.sec.gov/Archives/edgar/data/789019/000119312526323660/msft-20260630.htm</x:t>
        </x:r>
      </x:text>
    </x:comment>
    <x:comment ref="C47" authorId="0">
      <x:text>
        <x:r>
          <x:t>segments source input. Match the fiscal period to the latest available comparative filing in source_crosswalk.csv. A missing disclosure is n.a., never a reported zero.</x:t>
        </x:r>
      </x:text>
    </x:comment>
    <x:comment ref="E48" authorId="0">
      <x:text>
        <x:r>
          <x:t>More Personal Computing revenue. segments source input. Match the fiscal period to the latest available comparative filing in source_crosswalk.csv. A missing disclosure is n.a., never a reported zero.
Source SRC-0104: More Personal Computing revenue. Fiscal year 2017, report FY2019, PDF page 90.
Reported 39294.0 USD millions. Workbook 39294.0 USD millions. none. Status reported.
data/raw/reports/originals/Microsoft_FY2019_10K.pdf
https://www.microsoft.com/investor/reports/ar19/index.html</x:t>
        </x:r>
      </x:text>
    </x:comment>
    <x:comment ref="F48" authorId="0">
      <x:text>
        <x:r>
          <x:t>More Personal Computing revenue. segments source input. Match the fiscal period to the latest available comparative filing in source_crosswalk.csv. A missing disclosure is n.a., never a reported zero.
Source SRC-0209: More Personal Computing revenue. Fiscal year 2018, report FY2020, PDF page 91.
Reported 42276.0 USD millions. Workbook 42276.0 USD millions. none. Status reported.
data/raw/reports/originals/Microsoft_FY2020_10K.pdf
https://www.microsoft.com/investor/reports/ar20/index.html</x:t>
        </x:r>
      </x:text>
    </x:comment>
    <x:comment ref="G48" authorId="0">
      <x:text>
        <x:r>
          <x:t>More Personal Computing revenue. segments source input. Match the fiscal period to the latest available comparative filing in source_crosswalk.csv. A missing disclosure is n.a., never a reported zero.
Source SRC-0314: More Personal Computing revenue. Fiscal year 2019, report FY2021, PDF page 94.
Reported 45698.0 USD millions. Workbook 45698.0 USD millions. none. Status reported.
data/raw/reports/originals/Microsoft_FY2021_10K.pdf
https://www.microsoft.com/investor/reports/ar21/index.html</x:t>
        </x:r>
      </x:text>
    </x:comment>
    <x:comment ref="H48" authorId="0">
      <x:text>
        <x:r>
          <x:t>More Personal Computing revenue. segments source input. Match the fiscal period to the latest available comparative filing in source_crosswalk.csv. A missing disclosure is n.a., never a reported zero.
Source SRC-0420: More Personal Computing revenue. Fiscal year 2020, report FY2022, PDF page 94.
Reported 48251.0 USD millions. Workbook 48251.0 USD millions. none. Status reported.
data/raw/reports/originals/Microsoft_FY2022_10K.pdf
https://www.microsoft.com/investor/reports/ar22/index.html</x:t>
        </x:r>
      </x:text>
    </x:comment>
    <x:comment ref="I48" authorId="0">
      <x:text>
        <x:r>
          <x:t>More Personal Computing revenue. segments source input. Match the fiscal period to the latest available comparative filing in source_crosswalk.csv. A missing disclosure is n.a., never a reported zero.
Source SRC-0526: More Personal Computing revenue. Fiscal year 2021, report FY2023, PDF page 94.
Reported 54445.0 USD millions. Workbook 54445.0 USD millions. none. Status reported.
data/raw/reports/originals/Microsoft_FY2023_10K.pdf
https://www.microsoft.com/investor/reports/ar23/index.html</x:t>
        </x:r>
      </x:text>
    </x:comment>
    <x:comment ref="J48" authorId="0">
      <x:text>
        <x:r>
          <x:t>More Personal Computing revenue. segments source input. Match the fiscal period to the latest available comparative filing in source_crosswalk.csv. A missing disclosure is n.a., never a reported zero.
Source SRC-0631: More Personal Computing revenue. Fiscal year 2022, report FY2024, PDF page 92.
Reported 59941.0 USD millions. Workbook 59941.0 USD millions. none. Status reported.
data/raw/reports/originals/Microsoft_FY2024_10K.pdf
https://www.microsoft.com/investor/reports/ar24/index.html</x:t>
        </x:r>
      </x:text>
    </x:comment>
    <x:comment ref="K48" authorId="0">
      <x:text>
        <x:r>
          <x:t>More Personal Computing revenue. segments source input. Match the fiscal period to the latest available comparative filing in source_crosswalk.csv. A missing disclosure is n.a., never a reported zero.
Source SRC-0739: More Personal Computing revenue. Fiscal year 2023, report FY2025, PDF page 84.
Reported 44820.0 USD millions. Workbook 44820.0 USD millions. none. Status reported.
data/raw/reports/originals/Microsoft_FY2025_10K.pdf
https://www.microsoft.com/investor/reports/ar25/index.html</x:t>
        </x:r>
      </x:text>
    </x:comment>
    <x:comment ref="L48" authorId="0">
      <x:text>
        <x:r>
          <x:t>More Personal Computing revenue. segments source input. Match the fiscal period to the latest available comparative filing in source_crosswalk.csv. A missing disclosure is n.a., never a reported zero.
Source SRC-0848: More Personal Computing revenue. Fiscal year 2024, report FY2026, PDF page 84.
Reported 50838.0 USD millions. Workbook 50838.0 USD millions. none. Status reported.
data/raw/reports/originals/Microsoft_FY2026_10K.pdf
https://www.sec.gov/Archives/edgar/data/789019/000119312526323660/msft-20260630.htm</x:t>
        </x:r>
      </x:text>
    </x:comment>
    <x:comment ref="M48" authorId="0">
      <x:text>
        <x:r>
          <x:t>More Personal Computing revenue. segments source input. Match the fiscal period to the latest available comparative filing in source_crosswalk.csv. A missing disclosure is n.a., never a reported zero.
Source SRC-0957: More Personal Computing revenue. Fiscal year 2025, report FY2026, PDF page 84.
Reported 54649.0 USD millions. Workbook 54649.0 USD millions. none. Status reported.
data/raw/reports/originals/Microsoft_FY2026_10K.pdf
https://www.sec.gov/Archives/edgar/data/789019/000119312526323660/msft-20260630.htm</x:t>
        </x:r>
      </x:text>
    </x:comment>
    <x:comment ref="N48" authorId="0">
      <x:text>
        <x:r>
          <x:t>More Personal Computing revenue. segments source input. Match the fiscal period to the latest available comparative filing in source_crosswalk.csv. A missing disclosure is n.a., never a reported zero.
Source SRC-1066: More Personal Computing revenue. Fiscal year 2026, report FY2026, PDF page 84.
Reported 54052.0 USD millions. Workbook 54052.0 USD millions. none. Status reported.
data/raw/reports/originals/Microsoft_FY2026_10K.pdf
https://www.sec.gov/Archives/edgar/data/789019/000119312526323660/msft-20260630.htm</x:t>
        </x:r>
      </x:text>
    </x:comment>
    <x:comment ref="C48" authorId="0">
      <x:text>
        <x:r>
          <x:t>segments source input. Match the fiscal period to the latest available comparative filing in source_crosswalk.csv. A missing disclosure is n.a., never a reported zero.</x:t>
        </x:r>
      </x:text>
    </x:comment>
    <x:comment ref="E4" authorId="0">
      <x:text>
        <x:r>
          <x:t>Historical Inputs. Formula: =CHOOSE('DCF'!$E$5,"Base","Upside","Downside")
Review selected-case observations and Model Guide for definitions and held assumptions.</x:t>
        </x:r>
      </x:text>
    </x:comment>
    <x:comment ref="E53" authorId="0">
      <x:text>
        <x:r>
          <x:t>Historical Inputs. Formula: ="n.a."
Review selected-case observations and Model Guide for definitions and held assumptions.</x:t>
        </x:r>
      </x:text>
    </x:comment>
    <x:comment ref="E54" authorId="0">
      <x:text>
        <x:r>
          <x:t>Historical Inputs. Formula: =E10/E9
Review selected-case observations and Model Guide for definitions and held assumptions.</x:t>
        </x:r>
      </x:text>
    </x:comment>
    <x:comment ref="E55" authorId="0">
      <x:text>
        <x:r>
          <x:t>Historical Inputs. Formula: =E11/E12
Review selected-case observations and Model Guide for definitions and held assumptions.</x:t>
        </x:r>
      </x:text>
    </x:comment>
    <x:comment ref="E56" authorId="0">
      <x:text>
        <x:r>
          <x:t>Historical Inputs. Formula: =E16/E9
Review selected-case observations and Model Guide for definitions and held assumptions.</x:t>
        </x:r>
      </x:text>
    </x:comment>
    <x:comment ref="E57" authorId="0">
      <x:text>
        <x:r>
          <x:t>Historical Inputs. Formula: =SUM(E16,E17)
Review selected-case observations and Model Guide for definitions and held assumptions.</x:t>
        </x:r>
      </x:text>
    </x:comment>
    <x:comment ref="E58" authorId="0">
      <x:text>
        <x:r>
          <x:t>Historical Inputs. Formula: =E57-E18
Review selected-case observations and Model Guide for definitions and held assumptions.</x:t>
        </x:r>
      </x:text>
    </x:comment>
    <x:comment ref="E59" authorId="0">
      <x:text>
        <x:r>
          <x:t>Historical Inputs. Formula: =-E17/E9
Review selected-case observations and Model Guide for definitions and held assumptions.</x:t>
        </x:r>
      </x:text>
    </x:comment>
    <x:comment ref="E60" authorId="0">
      <x:text>
        <x:r>
          <x:t>Historical Inputs. Formula: =E36/E9
Review selected-case observations and Model Guide for definitions and held assumptions.</x:t>
        </x:r>
      </x:text>
    </x:comment>
    <x:comment ref="E61" authorId="0">
      <x:text>
        <x:r>
          <x:t>Historical Inputs. Formula: =E32/E9
Review selected-case observations and Model Guide for definitions and held assumptions.</x:t>
        </x:r>
      </x:text>
    </x:comment>
    <x:comment ref="E62" authorId="0">
      <x:text>
        <x:r>
          <x:t>Historical Inputs. Formula: ="n.a."
Review selected-case observations and Model Guide for definitions and held assumptions.</x:t>
        </x:r>
      </x:text>
    </x:comment>
    <x:comment ref="F53" authorId="0">
      <x:text>
        <x:r>
          <x:t>Historical Inputs. Formula: =F9/E9-1
Review selected-case observations and Model Guide for definitions and held assumptions.</x:t>
        </x:r>
      </x:text>
    </x:comment>
    <x:comment ref="F54" authorId="0">
      <x:text>
        <x:r>
          <x:t>Historical Inputs. Formula: =F10/F9
Review selected-case observations and Model Guide for definitions and held assumptions.</x:t>
        </x:r>
      </x:text>
    </x:comment>
    <x:comment ref="F55" authorId="0">
      <x:text>
        <x:r>
          <x:t>Historical Inputs. Formula: =F11/F12
Review selected-case observations and Model Guide for definitions and held assumptions.</x:t>
        </x:r>
      </x:text>
    </x:comment>
    <x:comment ref="F56" authorId="0">
      <x:text>
        <x:r>
          <x:t>Historical Inputs. Formula: =F16/F9
Review selected-case observations and Model Guide for definitions and held assumptions.</x:t>
        </x:r>
      </x:text>
    </x:comment>
    <x:comment ref="F57" authorId="0">
      <x:text>
        <x:r>
          <x:t>Historical Inputs. Formula: =SUM(F16,F17)
Review selected-case observations and Model Guide for definitions and held assumptions.</x:t>
        </x:r>
      </x:text>
    </x:comment>
    <x:comment ref="F58" authorId="0">
      <x:text>
        <x:r>
          <x:t>Historical Inputs. Formula: =F57-F18
Review selected-case observations and Model Guide for definitions and held assumptions.</x:t>
        </x:r>
      </x:text>
    </x:comment>
    <x:comment ref="F59" authorId="0">
      <x:text>
        <x:r>
          <x:t>Historical Inputs. Formula: =-F17/F9
Review selected-case observations and Model Guide for definitions and held assumptions.</x:t>
        </x:r>
      </x:text>
    </x:comment>
    <x:comment ref="F60" authorId="0">
      <x:text>
        <x:r>
          <x:t>Historical Inputs. Formula: =F36/F9
Review selected-case observations and Model Guide for definitions and held assumptions.</x:t>
        </x:r>
      </x:text>
    </x:comment>
    <x:comment ref="F61" authorId="0">
      <x:text>
        <x:r>
          <x:t>Historical Inputs. Formula: =F32/F9
Review selected-case observations and Model Guide for definitions and held assumptions.</x:t>
        </x:r>
      </x:text>
    </x:comment>
    <x:comment ref="F62" authorId="0">
      <x:text>
        <x:r>
          <x:t>Historical Inputs. Formula: ="n.a."
Review selected-case observations and Model Guide for definitions and held assumptions.</x:t>
        </x:r>
      </x:text>
    </x:comment>
    <x:comment ref="G53" authorId="0">
      <x:text>
        <x:r>
          <x:t>Historical Inputs. Formula: =G9/F9-1
Review selected-case observations and Model Guide for definitions and held assumptions.</x:t>
        </x:r>
      </x:text>
    </x:comment>
    <x:comment ref="G54" authorId="0">
      <x:text>
        <x:r>
          <x:t>Historical Inputs. Formula: =G10/G9
Review selected-case observations and Model Guide for definitions and held assumptions.</x:t>
        </x:r>
      </x:text>
    </x:comment>
    <x:comment ref="G55" authorId="0">
      <x:text>
        <x:r>
          <x:t>Historical Inputs. Formula: =G11/G12
Review selected-case observations and Model Guide for definitions and held assumptions.</x:t>
        </x:r>
      </x:text>
    </x:comment>
    <x:comment ref="G56" authorId="0">
      <x:text>
        <x:r>
          <x:t>Historical Inputs. Formula: =G16/G9
Review selected-case observations and Model Guide for definitions and held assumptions.</x:t>
        </x:r>
      </x:text>
    </x:comment>
    <x:comment ref="G57" authorId="0">
      <x:text>
        <x:r>
          <x:t>Historical Inputs. Formula: =SUM(G16,G17)
Review selected-case observations and Model Guide for definitions and held assumptions.</x:t>
        </x:r>
      </x:text>
    </x:comment>
    <x:comment ref="G58" authorId="0">
      <x:text>
        <x:r>
          <x:t>Historical Inputs. Formula: =G57-G18
Review selected-case observations and Model Guide for definitions and held assumptions.</x:t>
        </x:r>
      </x:text>
    </x:comment>
    <x:comment ref="G59" authorId="0">
      <x:text>
        <x:r>
          <x:t>Historical Inputs. Formula: =-G17/G9
Review selected-case observations and Model Guide for definitions and held assumptions.</x:t>
        </x:r>
      </x:text>
    </x:comment>
    <x:comment ref="G60" authorId="0">
      <x:text>
        <x:r>
          <x:t>Historical Inputs. Formula: =G36/G9
Review selected-case observations and Model Guide for definitions and held assumptions.</x:t>
        </x:r>
      </x:text>
    </x:comment>
    <x:comment ref="G61" authorId="0">
      <x:text>
        <x:r>
          <x:t>Historical Inputs. Formula: =G32/G9
Review selected-case observations and Model Guide for definitions and held assumptions.</x:t>
        </x:r>
      </x:text>
    </x:comment>
    <x:comment ref="G62" authorId="0">
      <x:text>
        <x:r>
          <x:t>Historical Inputs. Formula: ="n.a."
Review selected-case observations and Model Guide for definitions and held assumptions.</x:t>
        </x:r>
      </x:text>
    </x:comment>
    <x:comment ref="H53" authorId="0">
      <x:text>
        <x:r>
          <x:t>Historical Inputs. Formula: =H9/G9-1
Review selected-case observations and Model Guide for definitions and held assumptions.</x:t>
        </x:r>
      </x:text>
    </x:comment>
    <x:comment ref="H54" authorId="0">
      <x:text>
        <x:r>
          <x:t>Historical Inputs. Formula: =H10/H9
Review selected-case observations and Model Guide for definitions and held assumptions.</x:t>
        </x:r>
      </x:text>
    </x:comment>
    <x:comment ref="H55" authorId="0">
      <x:text>
        <x:r>
          <x:t>Historical Inputs. Formula: =H11/H12
Review selected-case observations and Model Guide for definitions and held assumptions.</x:t>
        </x:r>
      </x:text>
    </x:comment>
    <x:comment ref="H56" authorId="0">
      <x:text>
        <x:r>
          <x:t>Historical Inputs. Formula: =H16/H9
Review selected-case observations and Model Guide for definitions and held assumptions.</x:t>
        </x:r>
      </x:text>
    </x:comment>
    <x:comment ref="H57" authorId="0">
      <x:text>
        <x:r>
          <x:t>Historical Inputs. Formula: =SUM(H16,H17)
Review selected-case observations and Model Guide for definitions and held assumptions.</x:t>
        </x:r>
      </x:text>
    </x:comment>
    <x:comment ref="H58" authorId="0">
      <x:text>
        <x:r>
          <x:t>Historical Inputs. Formula: =H57-H18
Review selected-case observations and Model Guide for definitions and held assumptions.</x:t>
        </x:r>
      </x:text>
    </x:comment>
    <x:comment ref="H59" authorId="0">
      <x:text>
        <x:r>
          <x:t>Historical Inputs. Formula: =-H17/H9
Review selected-case observations and Model Guide for definitions and held assumptions.</x:t>
        </x:r>
      </x:text>
    </x:comment>
    <x:comment ref="H60" authorId="0">
      <x:text>
        <x:r>
          <x:t>Historical Inputs. Formula: =H36/H9
Review selected-case observations and Model Guide for definitions and held assumptions.</x:t>
        </x:r>
      </x:text>
    </x:comment>
    <x:comment ref="H61" authorId="0">
      <x:text>
        <x:r>
          <x:t>Historical Inputs. Formula: =H32/H9
Review selected-case observations and Model Guide for definitions and held assumptions.</x:t>
        </x:r>
      </x:text>
    </x:comment>
    <x:comment ref="H62" authorId="0">
      <x:text>
        <x:r>
          <x:t>Historical Inputs. Formula: ="n.a."
Review selected-case observations and Model Guide for definitions and held assumptions.</x:t>
        </x:r>
      </x:text>
    </x:comment>
    <x:comment ref="I53" authorId="0">
      <x:text>
        <x:r>
          <x:t>Historical Inputs. Formula: =I9/H9-1
Review selected-case observations and Model Guide for definitions and held assumptions.</x:t>
        </x:r>
      </x:text>
    </x:comment>
    <x:comment ref="I54" authorId="0">
      <x:text>
        <x:r>
          <x:t>Historical Inputs. Formula: =I10/I9
Review selected-case observations and Model Guide for definitions and held assumptions.</x:t>
        </x:r>
      </x:text>
    </x:comment>
    <x:comment ref="I55" authorId="0">
      <x:text>
        <x:r>
          <x:t>Historical Inputs. Formula: =I11/I12
Review selected-case observations and Model Guide for definitions and held assumptions.</x:t>
        </x:r>
      </x:text>
    </x:comment>
    <x:comment ref="I56" authorId="0">
      <x:text>
        <x:r>
          <x:t>Historical Inputs. Formula: =I16/I9
Review selected-case observations and Model Guide for definitions and held assumptions.</x:t>
        </x:r>
      </x:text>
    </x:comment>
    <x:comment ref="I57" authorId="0">
      <x:text>
        <x:r>
          <x:t>Historical Inputs. Formula: =SUM(I16,I17)
Review selected-case observations and Model Guide for definitions and held assumptions.</x:t>
        </x:r>
      </x:text>
    </x:comment>
    <x:comment ref="I58" authorId="0">
      <x:text>
        <x:r>
          <x:t>Historical Inputs. Formula: =I57-I18
Review selected-case observations and Model Guide for definitions and held assumptions.</x:t>
        </x:r>
      </x:text>
    </x:comment>
    <x:comment ref="I59" authorId="0">
      <x:text>
        <x:r>
          <x:t>Historical Inputs. Formula: =-I17/I9
Review selected-case observations and Model Guide for definitions and held assumptions.</x:t>
        </x:r>
      </x:text>
    </x:comment>
    <x:comment ref="I60" authorId="0">
      <x:text>
        <x:r>
          <x:t>Historical Inputs. Formula: =I36/I9
Review selected-case observations and Model Guide for definitions and held assumptions.</x:t>
        </x:r>
      </x:text>
    </x:comment>
    <x:comment ref="I61" authorId="0">
      <x:text>
        <x:r>
          <x:t>Historical Inputs. Formula: =I32/I9
Review selected-case observations and Model Guide for definitions and held assumptions.</x:t>
        </x:r>
      </x:text>
    </x:comment>
    <x:comment ref="I62" authorId="0">
      <x:text>
        <x:r>
          <x:t>Historical Inputs. Formula: ="n.a."
Review selected-case observations and Model Guide for definitions and held assumptions.</x:t>
        </x:r>
      </x:text>
    </x:comment>
    <x:comment ref="J53" authorId="0">
      <x:text>
        <x:r>
          <x:t>Historical Inputs. Formula: =J9/I9-1
Review selected-case observations and Model Guide for definitions and held assumptions.</x:t>
        </x:r>
      </x:text>
    </x:comment>
    <x:comment ref="J54" authorId="0">
      <x:text>
        <x:r>
          <x:t>Historical Inputs. Formula: =J10/J9
Review selected-case observations and Model Guide for definitions and held assumptions.</x:t>
        </x:r>
      </x:text>
    </x:comment>
    <x:comment ref="J55" authorId="0">
      <x:text>
        <x:r>
          <x:t>Historical Inputs. Formula: =J11/J12
Review selected-case observations and Model Guide for definitions and held assumptions.</x:t>
        </x:r>
      </x:text>
    </x:comment>
    <x:comment ref="J56" authorId="0">
      <x:text>
        <x:r>
          <x:t>Historical Inputs. Formula: =J16/J9
Review selected-case observations and Model Guide for definitions and held assumptions.</x:t>
        </x:r>
      </x:text>
    </x:comment>
    <x:comment ref="J57" authorId="0">
      <x:text>
        <x:r>
          <x:t>Historical Inputs. Formula: =SUM(J16,J17)
Review selected-case observations and Model Guide for definitions and held assumptions.</x:t>
        </x:r>
      </x:text>
    </x:comment>
    <x:comment ref="J58" authorId="0">
      <x:text>
        <x:r>
          <x:t>Historical Inputs. Formula: =J57-J18
Review selected-case observations and Model Guide for definitions and held assumptions.</x:t>
        </x:r>
      </x:text>
    </x:comment>
    <x:comment ref="J59" authorId="0">
      <x:text>
        <x:r>
          <x:t>Historical Inputs. Formula: =-J17/J9
Review selected-case observations and Model Guide for definitions and held assumptions.</x:t>
        </x:r>
      </x:text>
    </x:comment>
    <x:comment ref="J60" authorId="0">
      <x:text>
        <x:r>
          <x:t>Historical Inputs. Formula: =J36/J9
Review selected-case observations and Model Guide for definitions and held assumptions.</x:t>
        </x:r>
      </x:text>
    </x:comment>
    <x:comment ref="J61" authorId="0">
      <x:text>
        <x:r>
          <x:t>Historical Inputs. Formula: =J32/J9
Review selected-case observations and Model Guide for definitions and held assumptions.</x:t>
        </x:r>
      </x:text>
    </x:comment>
    <x:comment ref="J62" authorId="0">
      <x:text>
        <x:r>
          <x:t>Historical Inputs. Formula: ="n.a."
Review selected-case observations and Model Guide for definitions and held assumptions.</x:t>
        </x:r>
      </x:text>
    </x:comment>
    <x:comment ref="K53" authorId="0">
      <x:text>
        <x:r>
          <x:t>Historical Inputs. Formula: =K9/J9-1
Review selected-case observations and Model Guide for definitions and held assumptions.</x:t>
        </x:r>
      </x:text>
    </x:comment>
    <x:comment ref="K54" authorId="0">
      <x:text>
        <x:r>
          <x:t>Historical Inputs. Formula: =K10/K9
Review selected-case observations and Model Guide for definitions and held assumptions.</x:t>
        </x:r>
      </x:text>
    </x:comment>
    <x:comment ref="K55" authorId="0">
      <x:text>
        <x:r>
          <x:t>Historical Inputs. Formula: =K11/K12
Review selected-case observations and Model Guide for definitions and held assumptions.</x:t>
        </x:r>
      </x:text>
    </x:comment>
    <x:comment ref="K56" authorId="0">
      <x:text>
        <x:r>
          <x:t>Historical Inputs. Formula: =K16/K9
Review selected-case observations and Model Guide for definitions and held assumptions.</x:t>
        </x:r>
      </x:text>
    </x:comment>
    <x:comment ref="K57" authorId="0">
      <x:text>
        <x:r>
          <x:t>Historical Inputs. Formula: =SUM(K16,K17)
Review selected-case observations and Model Guide for definitions and held assumptions.</x:t>
        </x:r>
      </x:text>
    </x:comment>
    <x:comment ref="K58" authorId="0">
      <x:text>
        <x:r>
          <x:t>Historical Inputs. Formula: =K57-K18
Review selected-case observations and Model Guide for definitions and held assumptions.</x:t>
        </x:r>
      </x:text>
    </x:comment>
    <x:comment ref="K59" authorId="0">
      <x:text>
        <x:r>
          <x:t>Historical Inputs. Formula: =-K17/K9
Review selected-case observations and Model Guide for definitions and held assumptions.</x:t>
        </x:r>
      </x:text>
    </x:comment>
    <x:comment ref="K60" authorId="0">
      <x:text>
        <x:r>
          <x:t>Historical Inputs. Formula: =K36/K9
Review selected-case observations and Model Guide for definitions and held assumptions.</x:t>
        </x:r>
      </x:text>
    </x:comment>
    <x:comment ref="K61" authorId="0">
      <x:text>
        <x:r>
          <x:t>Historical Inputs. Formula: =K32/K9
Review selected-case observations and Model Guide for definitions and held assumptions.</x:t>
        </x:r>
      </x:text>
    </x:comment>
    <x:comment ref="K62" authorId="0">
      <x:text>
        <x:r>
          <x:t>Historical Inputs. Formula: ="n.a."
Review selected-case observations and Model Guide for definitions and held assumptions.</x:t>
        </x:r>
      </x:text>
    </x:comment>
    <x:comment ref="L53" authorId="0">
      <x:text>
        <x:r>
          <x:t>Historical Inputs. Formula: =L9/K9-1
Review selected-case observations and Model Guide for definitions and held assumptions.</x:t>
        </x:r>
      </x:text>
    </x:comment>
    <x:comment ref="L54" authorId="0">
      <x:text>
        <x:r>
          <x:t>Historical Inputs. Formula: =L10/L9
Review selected-case observations and Model Guide for definitions and held assumptions.</x:t>
        </x:r>
      </x:text>
    </x:comment>
    <x:comment ref="L55" authorId="0">
      <x:text>
        <x:r>
          <x:t>Historical Inputs. Formula: =L11/L12
Review selected-case observations and Model Guide for definitions and held assumptions.</x:t>
        </x:r>
      </x:text>
    </x:comment>
    <x:comment ref="L56" authorId="0">
      <x:text>
        <x:r>
          <x:t>Historical Inputs. Formula: =L16/L9
Review selected-case observations and Model Guide for definitions and held assumptions.</x:t>
        </x:r>
      </x:text>
    </x:comment>
    <x:comment ref="L57" authorId="0">
      <x:text>
        <x:r>
          <x:t>Historical Inputs. Formula: =SUM(L16,L17)
Review selected-case observations and Model Guide for definitions and held assumptions.</x:t>
        </x:r>
      </x:text>
    </x:comment>
    <x:comment ref="L58" authorId="0">
      <x:text>
        <x:r>
          <x:t>Historical Inputs. Formula: =L57-L18
Review selected-case observations and Model Guide for definitions and held assumptions.</x:t>
        </x:r>
      </x:text>
    </x:comment>
    <x:comment ref="L59" authorId="0">
      <x:text>
        <x:r>
          <x:t>Historical Inputs. Formula: =-L17/L9
Review selected-case observations and Model Guide for definitions and held assumptions.</x:t>
        </x:r>
      </x:text>
    </x:comment>
    <x:comment ref="L60" authorId="0">
      <x:text>
        <x:r>
          <x:t>Historical Inputs. Formula: =L36/L9
Review selected-case observations and Model Guide for definitions and held assumptions.</x:t>
        </x:r>
      </x:text>
    </x:comment>
    <x:comment ref="L61" authorId="0">
      <x:text>
        <x:r>
          <x:t>Historical Inputs. Formula: =L32/L9
Review selected-case observations and Model Guide for definitions and held assumptions.</x:t>
        </x:r>
      </x:text>
    </x:comment>
    <x:comment ref="L62" authorId="0">
      <x:text>
        <x:r>
          <x:t>Historical Inputs. Formula: ="n.a."
Review selected-case observations and Model Guide for definitions and held assumptions.</x:t>
        </x:r>
      </x:text>
    </x:comment>
    <x:comment ref="M53" authorId="0">
      <x:text>
        <x:r>
          <x:t>Historical Inputs. Formula: =M9/L9-1
Review selected-case observations and Model Guide for definitions and held assumptions.</x:t>
        </x:r>
      </x:text>
    </x:comment>
    <x:comment ref="M54" authorId="0">
      <x:text>
        <x:r>
          <x:t>Historical Inputs. Formula: =M10/M9
Review selected-case observations and Model Guide for definitions and held assumptions.</x:t>
        </x:r>
      </x:text>
    </x:comment>
    <x:comment ref="M55" authorId="0">
      <x:text>
        <x:r>
          <x:t>Historical Inputs. Formula: =M11/M12
Review selected-case observations and Model Guide for definitions and held assumptions.</x:t>
        </x:r>
      </x:text>
    </x:comment>
    <x:comment ref="M56" authorId="0">
      <x:text>
        <x:r>
          <x:t>Historical Inputs. Formula: =M16/M9
Review selected-case observations and Model Guide for definitions and held assumptions.</x:t>
        </x:r>
      </x:text>
    </x:comment>
    <x:comment ref="M57" authorId="0">
      <x:text>
        <x:r>
          <x:t>Historical Inputs. Formula: =SUM(M16,M17)
Review selected-case observations and Model Guide for definitions and held assumptions.</x:t>
        </x:r>
      </x:text>
    </x:comment>
    <x:comment ref="M58" authorId="0">
      <x:text>
        <x:r>
          <x:t>Historical Inputs. Formula: =M57-M18
Review selected-case observations and Model Guide for definitions and held assumptions.</x:t>
        </x:r>
      </x:text>
    </x:comment>
    <x:comment ref="M59" authorId="0">
      <x:text>
        <x:r>
          <x:t>Historical Inputs. Formula: =-M17/M9
Review selected-case observations and Model Guide for definitions and held assumptions.</x:t>
        </x:r>
      </x:text>
    </x:comment>
    <x:comment ref="M60" authorId="0">
      <x:text>
        <x:r>
          <x:t>Historical Inputs. Formula: =M36/M9
Review selected-case observations and Model Guide for definitions and held assumptions.</x:t>
        </x:r>
      </x:text>
    </x:comment>
    <x:comment ref="M61" authorId="0">
      <x:text>
        <x:r>
          <x:t>Historical Inputs. Formula: =M32/M9
Review selected-case observations and Model Guide for definitions and held assumptions.</x:t>
        </x:r>
      </x:text>
    </x:comment>
    <x:comment ref="M62" authorId="0">
      <x:text>
        <x:r>
          <x:t>Historical Inputs. Formula: ="n.a."
Review selected-case observations and Model Guide for definitions and held assumptions.</x:t>
        </x:r>
      </x:text>
    </x:comment>
    <x:comment ref="N53" authorId="0">
      <x:text>
        <x:r>
          <x:t>Historical Inputs. Formula: =N9/M9-1
Review selected-case observations and Model Guide for definitions and held assumptions.</x:t>
        </x:r>
      </x:text>
    </x:comment>
    <x:comment ref="N54" authorId="0">
      <x:text>
        <x:r>
          <x:t>Historical Inputs. Formula: =N10/N9
Review selected-case observations and Model Guide for definitions and held assumptions.</x:t>
        </x:r>
      </x:text>
    </x:comment>
    <x:comment ref="N55" authorId="0">
      <x:text>
        <x:r>
          <x:t>Historical Inputs. Formula: =N11/N12
Review selected-case observations and Model Guide for definitions and held assumptions.</x:t>
        </x:r>
      </x:text>
    </x:comment>
    <x:comment ref="N56" authorId="0">
      <x:text>
        <x:r>
          <x:t>Historical Inputs. Formula: =N16/N9
Review selected-case observations and Model Guide for definitions and held assumptions.</x:t>
        </x:r>
      </x:text>
    </x:comment>
    <x:comment ref="N57" authorId="0">
      <x:text>
        <x:r>
          <x:t>Historical Inputs. Formula: =SUM(N16,N17)
Review selected-case observations and Model Guide for definitions and held assumptions.</x:t>
        </x:r>
      </x:text>
    </x:comment>
    <x:comment ref="N58" authorId="0">
      <x:text>
        <x:r>
          <x:t>Historical Inputs. Formula: =N57-N18
Review selected-case observations and Model Guide for definitions and held assumptions.</x:t>
        </x:r>
      </x:text>
    </x:comment>
    <x:comment ref="N59" authorId="0">
      <x:text>
        <x:r>
          <x:t>Historical Inputs. Formula: =-N17/N9
Review selected-case observations and Model Guide for definitions and held assumptions.</x:t>
        </x:r>
      </x:text>
    </x:comment>
    <x:comment ref="N60" authorId="0">
      <x:text>
        <x:r>
          <x:t>Historical Inputs. Formula: =N36/N9
Review selected-case observations and Model Guide for definitions and held assumptions.</x:t>
        </x:r>
      </x:text>
    </x:comment>
    <x:comment ref="N61" authorId="0">
      <x:text>
        <x:r>
          <x:t>Historical Inputs. Formula: =N32/N9
Review selected-case observations and Model Guide for definitions and held assumptions.</x:t>
        </x:r>
      </x:text>
    </x:comment>
    <x:comment ref="N62" authorId="0">
      <x:text>
        <x:r>
          <x:t>Historical Inputs. Formula: =N22+N23+N24-N25+N38-N26-N27-N28+N39+N40
Review selected-case observations and Model Guide for definitions and held assumptions.</x:t>
        </x:r>
      </x:text>
    </x:comment>
    <x:comment ref="D69" authorId="0">
      <x:text>
        <x:r>
          <x:t>Historical Inputs. Formula: =E9
Review selected-case observations and Model Guide for definitions and held assumptions.</x:t>
        </x:r>
      </x:text>
    </x:comment>
    <x:comment ref="E69" authorId="0">
      <x:text>
        <x:r>
          <x:t>Historical Inputs. Formula: =E10
Review selected-case observations and Model Guide for definitions and held assumptions.</x:t>
        </x:r>
      </x:text>
    </x:comment>
    <x:comment ref="F69" authorId="0">
      <x:text>
        <x:r>
          <x:t>Historical Inputs. Formula: =E57
Review selected-case observations and Model Guide for definitions and held assumptions.</x:t>
        </x:r>
      </x:text>
    </x:comment>
    <x:comment ref="G69" authorId="0">
      <x:text>
        <x:r>
          <x:t>Historical Inputs. Formula: =E58
Review selected-case observations and Model Guide for definitions and held assumptions.</x:t>
        </x:r>
      </x:text>
    </x:comment>
    <x:comment ref="D70" authorId="0">
      <x:text>
        <x:r>
          <x:t>Historical Inputs. Formula: =F9
Review selected-case observations and Model Guide for definitions and held assumptions.</x:t>
        </x:r>
      </x:text>
    </x:comment>
    <x:comment ref="E70" authorId="0">
      <x:text>
        <x:r>
          <x:t>Historical Inputs. Formula: =F10
Review selected-case observations and Model Guide for definitions and held assumptions.</x:t>
        </x:r>
      </x:text>
    </x:comment>
    <x:comment ref="F70" authorId="0">
      <x:text>
        <x:r>
          <x:t>Historical Inputs. Formula: =F57
Review selected-case observations and Model Guide for definitions and held assumptions.</x:t>
        </x:r>
      </x:text>
    </x:comment>
    <x:comment ref="G70" authorId="0">
      <x:text>
        <x:r>
          <x:t>Historical Inputs. Formula: =F58
Review selected-case observations and Model Guide for definitions and held assumptions.</x:t>
        </x:r>
      </x:text>
    </x:comment>
    <x:comment ref="D71" authorId="0">
      <x:text>
        <x:r>
          <x:t>Historical Inputs. Formula: =G9
Review selected-case observations and Model Guide for definitions and held assumptions.</x:t>
        </x:r>
      </x:text>
    </x:comment>
    <x:comment ref="E71" authorId="0">
      <x:text>
        <x:r>
          <x:t>Historical Inputs. Formula: =G10
Review selected-case observations and Model Guide for definitions and held assumptions.</x:t>
        </x:r>
      </x:text>
    </x:comment>
    <x:comment ref="F71" authorId="0">
      <x:text>
        <x:r>
          <x:t>Historical Inputs. Formula: =G57
Review selected-case observations and Model Guide for definitions and held assumptions.</x:t>
        </x:r>
      </x:text>
    </x:comment>
    <x:comment ref="G71" authorId="0">
      <x:text>
        <x:r>
          <x:t>Historical Inputs. Formula: =G58
Review selected-case observations and Model Guide for definitions and held assumptions.</x:t>
        </x:r>
      </x:text>
    </x:comment>
    <x:comment ref="D72" authorId="0">
      <x:text>
        <x:r>
          <x:t>Historical Inputs. Formula: =H9
Review selected-case observations and Model Guide for definitions and held assumptions.</x:t>
        </x:r>
      </x:text>
    </x:comment>
    <x:comment ref="E72" authorId="0">
      <x:text>
        <x:r>
          <x:t>Historical Inputs. Formula: =H10
Review selected-case observations and Model Guide for definitions and held assumptions.</x:t>
        </x:r>
      </x:text>
    </x:comment>
    <x:comment ref="F72" authorId="0">
      <x:text>
        <x:r>
          <x:t>Historical Inputs. Formula: =H57
Review selected-case observations and Model Guide for definitions and held assumptions.</x:t>
        </x:r>
      </x:text>
    </x:comment>
    <x:comment ref="G72" authorId="0">
      <x:text>
        <x:r>
          <x:t>Historical Inputs. Formula: =H58
Review selected-case observations and Model Guide for definitions and held assumptions.</x:t>
        </x:r>
      </x:text>
    </x:comment>
    <x:comment ref="D73" authorId="0">
      <x:text>
        <x:r>
          <x:t>Historical Inputs. Formula: =I9
Review selected-case observations and Model Guide for definitions and held assumptions.</x:t>
        </x:r>
      </x:text>
    </x:comment>
    <x:comment ref="E73" authorId="0">
      <x:text>
        <x:r>
          <x:t>Historical Inputs. Formula: =I10
Review selected-case observations and Model Guide for definitions and held assumptions.</x:t>
        </x:r>
      </x:text>
    </x:comment>
    <x:comment ref="F73" authorId="0">
      <x:text>
        <x:r>
          <x:t>Historical Inputs. Formula: =I57
Review selected-case observations and Model Guide for definitions and held assumptions.</x:t>
        </x:r>
      </x:text>
    </x:comment>
    <x:comment ref="G73" authorId="0">
      <x:text>
        <x:r>
          <x:t>Historical Inputs. Formula: =I58
Review selected-case observations and Model Guide for definitions and held assumptions.</x:t>
        </x:r>
      </x:text>
    </x:comment>
    <x:comment ref="D74" authorId="0">
      <x:text>
        <x:r>
          <x:t>Historical Inputs. Formula: =J9
Review selected-case observations and Model Guide for definitions and held assumptions.</x:t>
        </x:r>
      </x:text>
    </x:comment>
    <x:comment ref="E74" authorId="0">
      <x:text>
        <x:r>
          <x:t>Historical Inputs. Formula: =J10
Review selected-case observations and Model Guide for definitions and held assumptions.</x:t>
        </x:r>
      </x:text>
    </x:comment>
    <x:comment ref="F74" authorId="0">
      <x:text>
        <x:r>
          <x:t>Historical Inputs. Formula: =J57
Review selected-case observations and Model Guide for definitions and held assumptions.</x:t>
        </x:r>
      </x:text>
    </x:comment>
    <x:comment ref="G74" authorId="0">
      <x:text>
        <x:r>
          <x:t>Historical Inputs. Formula: =J58
Review selected-case observations and Model Guide for definitions and held assumptions.</x:t>
        </x:r>
      </x:text>
    </x:comment>
    <x:comment ref="D75" authorId="0">
      <x:text>
        <x:r>
          <x:t>Historical Inputs. Formula: =K9
Review selected-case observations and Model Guide for definitions and held assumptions.</x:t>
        </x:r>
      </x:text>
    </x:comment>
    <x:comment ref="E75" authorId="0">
      <x:text>
        <x:r>
          <x:t>Historical Inputs. Formula: =K10
Review selected-case observations and Model Guide for definitions and held assumptions.</x:t>
        </x:r>
      </x:text>
    </x:comment>
    <x:comment ref="F75" authorId="0">
      <x:text>
        <x:r>
          <x:t>Historical Inputs. Formula: =K57
Review selected-case observations and Model Guide for definitions and held assumptions.</x:t>
        </x:r>
      </x:text>
    </x:comment>
    <x:comment ref="G75" authorId="0">
      <x:text>
        <x:r>
          <x:t>Historical Inputs. Formula: =K58
Review selected-case observations and Model Guide for definitions and held assumptions.</x:t>
        </x:r>
      </x:text>
    </x:comment>
    <x:comment ref="D76" authorId="0">
      <x:text>
        <x:r>
          <x:t>Historical Inputs. Formula: =L9
Review selected-case observations and Model Guide for definitions and held assumptions.</x:t>
        </x:r>
      </x:text>
    </x:comment>
    <x:comment ref="E76" authorId="0">
      <x:text>
        <x:r>
          <x:t>Historical Inputs. Formula: =L10
Review selected-case observations and Model Guide for definitions and held assumptions.</x:t>
        </x:r>
      </x:text>
    </x:comment>
    <x:comment ref="F76" authorId="0">
      <x:text>
        <x:r>
          <x:t>Historical Inputs. Formula: =L57
Review selected-case observations and Model Guide for definitions and held assumptions.</x:t>
        </x:r>
      </x:text>
    </x:comment>
    <x:comment ref="G76" authorId="0">
      <x:text>
        <x:r>
          <x:t>Historical Inputs. Formula: =L58
Review selected-case observations and Model Guide for definitions and held assumptions.</x:t>
        </x:r>
      </x:text>
    </x:comment>
    <x:comment ref="D77" authorId="0">
      <x:text>
        <x:r>
          <x:t>Historical Inputs. Formula: =M9
Review selected-case observations and Model Guide for definitions and held assumptions.</x:t>
        </x:r>
      </x:text>
    </x:comment>
    <x:comment ref="E77" authorId="0">
      <x:text>
        <x:r>
          <x:t>Historical Inputs. Formula: =M10
Review selected-case observations and Model Guide for definitions and held assumptions.</x:t>
        </x:r>
      </x:text>
    </x:comment>
    <x:comment ref="F77" authorId="0">
      <x:text>
        <x:r>
          <x:t>Historical Inputs. Formula: =M57
Review selected-case observations and Model Guide for definitions and held assumptions.</x:t>
        </x:r>
      </x:text>
    </x:comment>
    <x:comment ref="G77" authorId="0">
      <x:text>
        <x:r>
          <x:t>Historical Inputs. Formula: =M58
Review selected-case observations and Model Guide for definitions and held assumptions.</x:t>
        </x:r>
      </x:text>
    </x:comment>
    <x:comment ref="D78" authorId="0">
      <x:text>
        <x:r>
          <x:t>Historical Inputs. Formula: =N9
Review selected-case observations and Model Guide for definitions and held assumptions.</x:t>
        </x:r>
      </x:text>
    </x:comment>
    <x:comment ref="E78" authorId="0">
      <x:text>
        <x:r>
          <x:t>Historical Inputs. Formula: =N10
Review selected-case observations and Model Guide for definitions and held assumptions.</x:t>
        </x:r>
      </x:text>
    </x:comment>
    <x:comment ref="F78" authorId="0">
      <x:text>
        <x:r>
          <x:t>Historical Inputs. Formula: =N57
Review selected-case observations and Model Guide for definitions and held assumptions.</x:t>
        </x:r>
      </x:text>
    </x:comment>
    <x:comment ref="G78" authorId="0">
      <x:text>
        <x:r>
          <x:t>Historical Inputs. Formula: =N58
Review selected-case observations and Model Guide for definitions and held assumptions.</x:t>
        </x:r>
      </x:text>
    </x:comment>
    <x:comment ref="C82" authorId="0">
      <x:text>
        <x:r>
          <x:t>Historical Inputs. Formula: ="FY2026 revenue is USD "&amp;ROUND(N9/1000,1)&amp;"bn and operating margin "&amp;ROUND(N54*100,1)&amp;"%. "&amp;"The ten fiscal years are preserved from project 03 with exact comparative filing choices. Revenue, cash flow and segment recasts can come from different later reports; the source crosswalk identifies the selected presentation."
Review selected-case observations and Model Guide for definitions and held assumptions.</x:t>
        </x:r>
      </x:text>
    </x:comment>
  </x:commentList>
</x:comments>
</file>

<file path=xl/comments28.xml><?xml version="1.0" encoding="utf-8"?>
<x:comments xmlns:x="http://schemas.openxmlformats.org/spreadsheetml/2006/main">
  <x:authors>
    <x:author>Goran Brkich</x:author>
  </x:authors>
  <x:commentList>
    <x:comment ref="E8" authorId="0">
      <x:text>
        <x:r>
          <x:t>Valuation date. Fixed date approved by the owner. Market and financial information available after this date is excluded.</x:t>
        </x:r>
      </x:text>
    </x:comment>
    <x:comment ref="C8" authorId="0">
      <x:text>
        <x:r>
          <x:t>Fixed date approved by the owner. Market and financial information available after this date is excluded.</x:t>
        </x:r>
      </x:text>
    </x:comment>
    <x:comment ref="E9" authorId="0">
      <x:text>
        <x:r>
          <x:t>MSFT closing price. Unadjusted regular-session close on 8 October 2026, confirmed by the issuer linked historic lookup and Yahoo original market response.</x:t>
        </x:r>
      </x:text>
    </x:comment>
    <x:comment ref="C9" authorId="0">
      <x:text>
        <x:r>
          <x:t>Unadjusted regular-session close on 8 October 2026, confirmed by the issuer linked historic lookup and Yahoo original market response.</x:t>
        </x:r>
      </x:text>
    </x:comment>
    <x:comment ref="E10" authorId="0">
      <x:text>
        <x:r>
          <x:t>US Treasury 10 year yield. US Treasury par yield curve observation dated 8 October 2026. Nominal USD discount-rate anchor.</x:t>
        </x:r>
      </x:text>
    </x:comment>
    <x:comment ref="C10" authorId="0">
      <x:text>
        <x:r>
          <x:t>US Treasury par yield curve observation dated 8 October 2026. Nominal USD discount-rate anchor.</x:t>
        </x:r>
      </x:text>
    </x:comment>
    <x:comment ref="E11" authorId="0">
      <x:text>
        <x:r>
          <x:t>Point shares at 23 Jul 2026. FY2026 Form 10-K cover: 7,425,545,491 actual shares, divided by one million. Latest disclosed point count available at the cutoff.
Source DCF-SHARES: Shares outstanding as of July 23, 2026. Fiscal year 2026, report FY2026, PDF page 1.
Reported 7425545491 shares. Workbook 7425.545491 million shares. shares divided by 1000000. Status reported.
data/raw/reports/originals/Microsoft_FY2026_10K.pdf
https://www.sec.gov/Archives/edgar/data/789019/000119312526323660/msft-20260630.htm</x:t>
        </x:r>
      </x:text>
    </x:comment>
    <x:comment ref="C11" authorId="0">
      <x:text>
        <x:r>
          <x:t>FY2026 Form 10-K cover: 7,425,545,491 actual shares, divided by one million. Latest disclosed point count available at the cutoff.</x:t>
        </x:r>
      </x:text>
    </x:comment>
    <x:comment ref="E12" authorId="0">
      <x:text>
        <x:r>
          <x:t>Equity risk premium at 1 Oct. Damodaran explicitly dated October 1, 2026 author homepage: trailing twelve months with adjusted payout.</x:t>
        </x:r>
      </x:text>
    </x:comment>
    <x:comment ref="C12" authorId="0">
      <x:text>
        <x:r>
          <x:t>Damodaran explicitly dated October 1, 2026 author homepage: trailing twelve months with adjusted payout.</x:t>
        </x:r>
      </x:text>
    </x:comment>
    <x:comment ref="E13" authorId="0">
      <x:text>
        <x:r>
          <x:t>AAA synthetic debt spread. Damodaran large non-financial company spread table, January 2026. Historical 40 bp spread proxy, not an 8 October bond quote.</x:t>
        </x:r>
      </x:text>
    </x:comment>
    <x:comment ref="C13" authorId="0">
      <x:text>
        <x:r>
          <x:t>Damodaran large non-financial company spread table, January 2026. Historical 40 bp spread proxy, not an 8 October bond quote.</x:t>
        </x:r>
      </x:text>
    </x:comment>
    <x:comment ref="E14" authorId="0">
      <x:text>
        <x:r>
          <x:t>Disclosed debt fair value. FY2026 debt note, PDF page 72: $36.5 billion at 30 June 2026. Converted to USD millions.
Source DCF-DEBT-FV: Estimated fair value of long-term debt including current portion. Fiscal year 2026, report FY2026, PDF page 72.
Reported 36.5 USD billions. Workbook 36500.0 USD millions. USD billions multiplied by 1000. Status reported_billion_to_million.
data/raw/reports/originals/Microsoft_FY2026_10K.pdf
https://www.sec.gov/Archives/edgar/data/789019/000119312526323660/msft-20260630.htm</x:t>
        </x:r>
      </x:text>
    </x:comment>
    <x:comment ref="C14" authorId="0">
      <x:text>
        <x:r>
          <x:t>FY2026 debt note, PDF page 72: $36.5 billion at 30 June 2026. Converted to USD millions.</x:t>
        </x:r>
      </x:text>
    </x:comment>
    <x:comment ref="E15" authorId="0">
      <x:text>
        <x:r>
          <x:t>ERP publication date. Month-start ERP known before the valuation cutoff.</x:t>
        </x:r>
      </x:text>
    </x:comment>
    <x:comment ref="C15" authorId="0">
      <x:text>
        <x:r>
          <x:t>Month-start ERP known before the valuation cutoff.</x:t>
        </x:r>
      </x:text>
    </x:comment>
    <x:comment ref="E16" authorId="0">
      <x:text>
        <x:r>
          <x:t>Balance and debt observation date. The next quarterly results were not yet available on 8 October 2026.</x:t>
        </x:r>
      </x:text>
    </x:comment>
    <x:comment ref="C16" authorId="0">
      <x:text>
        <x:r>
          <x:t>The next quarterly results were not yet available on 8 October 2026.</x:t>
        </x:r>
      </x:text>
    </x:comment>
    <x:comment ref="E17" authorId="0">
      <x:text>
        <x:r>
          <x:t>Point shares observation date. 10-K cover shares date. The point count and diluted EPS share proxy have different dates and meanings.</x:t>
        </x:r>
      </x:text>
    </x:comment>
    <x:comment ref="C17" authorId="0">
      <x:text>
        <x:r>
          <x:t>10-K cover shares date. The point count and diluted EPS share proxy have different dates and meanings.</x:t>
        </x:r>
      </x:text>
    </x:comment>
    <x:comment ref="E18" authorId="0">
      <x:text>
        <x:r>
          <x:t>Provider full precision close. Original binary floating-point close in the market JSON. Valuation price is quoted to cents in E9.</x:t>
        </x:r>
      </x:text>
    </x:comment>
    <x:comment ref="C18" authorId="0">
      <x:text>
        <x:r>
          <x:t>Original binary floating-point close in the market JSON. Valuation price is quoted to cents in E9.</x:t>
        </x:r>
      </x:text>
    </x:comment>
    <x:comment ref="E19" authorId="0">
      <x:text>
        <x:r>
          <x:t>US Treasury 3 month yield. 8 October 2026 Treasury observation. The beta regression uses total market returns with an intercept, not a historical excess-return alpha.</x:t>
        </x:r>
      </x:text>
    </x:comment>
    <x:comment ref="C19" authorId="0">
      <x:text>
        <x:r>
          <x:t>8 October 2026 Treasury observation. The beta regression uses total market returns with an intercept, not a historical excess-return alpha.</x:t>
        </x:r>
      </x:text>
    </x:comment>
    <x:comment ref="E23" authorId="0">
      <x:text>
        <x:r>
          <x:t>https://microsoft.gcs-web.com/</x:t>
        </x:r>
      </x:text>
    </x:comment>
    <x:comment ref="E24" authorId="0">
      <x:text>
        <x:r>
          <x:t>https://home.treasury.gov/resource-center/data-chart-center/interest-rates/TextView?type=daily_treasury_yield_curve&amp;field_tdr_date_value=202610</x:t>
        </x:r>
      </x:text>
    </x:comment>
    <x:comment ref="E25" authorId="0">
      <x:text>
        <x:r>
          <x:t>https://pages.stern.nyu.edu/~adamodar/New_Home_Page/home.htm</x:t>
        </x:r>
      </x:text>
    </x:comment>
    <x:comment ref="E26" authorId="0">
      <x:text>
        <x:r>
          <x:t>https://pages.stern.nyu.edu/~adamodar/New_Home_Page/datafile/ratings.html</x:t>
        </x:r>
      </x:text>
    </x:comment>
    <x:comment ref="E4" authorId="0">
      <x:text>
        <x:r>
          <x:t>Market Inputs. Formula: =CHOOSE('DCF'!$E$5,"Base","Upside","Downside")
Review selected-case observations and Model Guide for definitions and held assumptions.</x:t>
        </x:r>
      </x:text>
    </x:comment>
    <x:comment ref="C30" authorId="0">
      <x:text>
        <x:r>
          <x:t>Market Inputs. Formula: ="Cutoff closing price is USD "&amp;ROUND(E9,2)&amp;"; nominal Treasury anchor "&amp;ROUND(E10*100,2)&amp;"%. "&amp;"The closing price is the regular-session quote on the valuation date. Beta uses dividend-adjusted returns; adjusted prices are not substituted for the observed valuation quote."
Review selected-case observations and Model Guide for definitions and held assumptions.</x:t>
        </x:r>
      </x:text>
    </x:comment>
  </x:commentList>
</x:comments>
</file>

<file path=xl/comments29.xml><?xml version="1.0" encoding="utf-8"?>
<x:comments xmlns:x="http://schemas.openxmlformats.org/spreadsheetml/2006/main">
  <x:authors>
    <x:author>Goran Brkich</x:author>
  </x:authors>
  <x:commentList>
    <x:comment ref="C8" authorId="0">
      <x:text>
        <x:r>
          <x:t>Trading date within the frozen cutoff.</x:t>
        </x:r>
      </x:text>
    </x:comment>
    <x:comment ref="D8" authorId="0">
      <x:text>
        <x:r>
          <x:t>Unadjusted regular-session MSFT close, USD.</x:t>
        </x:r>
      </x:text>
    </x:comment>
    <x:comment ref="E8" authorId="0">
      <x:text>
        <x:r>
          <x:t>Dividend-adjusted MSFT price. Only same-date return ratios are used; provider later backward adjustments cancel within the cutoff window.</x:t>
        </x:r>
      </x:text>
    </x:comment>
    <x:comment ref="F8" authorId="0">
      <x:text>
        <x:r>
          <x:t>Unadjusted SPY close, USD.</x:t>
        </x:r>
      </x:text>
    </x:comment>
    <x:comment ref="G8" authorId="0">
      <x:text>
        <x:r>
          <x:t>Dividend-adjusted SPY price, a total return proxy.</x:t>
        </x:r>
      </x:text>
    </x:comment>
    <x:comment ref="H8" authorId="0">
      <x:text>
        <x:r>
          <x:t>MSFT adjusted price divided by previous matched date minus one.</x:t>
        </x:r>
      </x:text>
    </x:comment>
    <x:comment ref="I8" authorId="0">
      <x:text>
        <x:r>
          <x:t>SPY adjusted price divided by previous matched date minus one.</x:t>
        </x:r>
      </x:text>
    </x:comment>
    <x:comment ref="J8" authorId="0">
      <x:text>
        <x:r>
          <x:t>OLS alpha plus OLS beta times market return.</x:t>
        </x:r>
      </x:text>
    </x:comment>
    <x:comment ref="K8" authorId="0">
      <x:text>
        <x:r>
          <x:t>Observed MSFT return less its OLS fitted return.</x:t>
        </x:r>
      </x:text>
    </x:comment>
    <x:comment ref="L8" authorId="0">
      <x:text>
        <x:r>
          <x:t>Market return less the sample market mean.</x:t>
        </x:r>
      </x:text>
    </x:comment>
    <x:comment ref="M8" authorId="0">
      <x:text>
        <x:r>
          <x:t>Leverage = 1/n + centered market return squared / centered market sum of squares.</x:t>
        </x:r>
      </x:text>
    </x:comment>
    <x:comment ref="N8" authorId="0">
      <x:text>
        <x:r>
          <x:t>HC3 scale = residual squared / (1 - leverage) squared.</x:t>
        </x:r>
      </x:text>
    </x:comment>
    <x:comment ref="O8" authorId="0">
      <x:text>
        <x:r>
          <x:t>Contribution to HC3 beta variance.</x:t>
        </x:r>
      </x:text>
    </x:comment>
    <x:comment ref="P8" authorId="0">
      <x:text>
        <x:r>
          <x:t>Contribution to HC3 intercept variance.</x:t>
        </x:r>
      </x:text>
    </x:comment>
    <x:comment ref="Q8" authorId="0">
      <x:text>
        <x:r>
          <x:t>Contribution to HC3 alpha-beta covariance.</x:t>
        </x:r>
      </x:text>
    </x:comment>
    <x:comment ref="R8" authorId="0">
      <x:text>
        <x:r>
          <x:t>Influence score used for HAC beta covariance.</x:t>
        </x:r>
      </x:text>
    </x:comment>
    <x:comment ref="S8" authorId="0">
      <x:text>
        <x:r>
          <x:t>Successive residual difference squared, for Durbin Watson.</x:t>
        </x:r>
      </x:text>
    </x:comment>
    <x:comment ref="T8" authorId="0">
      <x:text>
        <x:r>
          <x:t>MSFT adjusted-price growth index, first observation = 100.</x:t>
        </x:r>
      </x:text>
    </x:comment>
  </x:commentList>
</x:comments>
</file>

<file path=xl/comments30.xml><?xml version="1.0" encoding="utf-8"?>
<x:comments xmlns:x="http://schemas.openxmlformats.org/spreadsheetml/2006/main">
  <x:authors>
    <x:author>Goran Brkich</x:author>
  </x:authors>
  <x:commentList>
    <x:comment ref="D9" authorId="0">
      <x:text>
        <x:r>
          <x:t>Total revenue. https://www.microsoft.com/investor/reports/ar19/index.html
Original PDF: data/raw/reports/originals/Microsoft_FY2019_10K.pdf
One-based PDF page: 51
Source units: USD millions; conversion: none
Status: reported.</x:t>
        </x:r>
      </x:text>
    </x:comment>
    <x:comment ref="D10" authorId="0">
      <x:text>
        <x:r>
          <x:t>Total revenue. https://www.microsoft.com/investor/reports/ar20/index.html
Original PDF: data/raw/reports/originals/Microsoft_FY2020_10K.pdf
One-based PDF page: 55
Source units: USD millions; conversion: none
Status: reported.</x:t>
        </x:r>
      </x:text>
    </x:comment>
    <x:comment ref="D11" authorId="0">
      <x:text>
        <x:r>
          <x:t>Total revenue. https://www.microsoft.com/investor/reports/ar21/index.html
Original PDF: data/raw/reports/originals/Microsoft_FY2021_10K.pdf
One-based PDF page: 57
Source units: USD millions; conversion: none
Status: reported.</x:t>
        </x:r>
      </x:text>
    </x:comment>
    <x:comment ref="D12" authorId="0">
      <x:text>
        <x:r>
          <x:t>Total revenue. https://www.microsoft.com/investor/reports/ar22/index.html
Original PDF: data/raw/reports/originals/Microsoft_FY2022_10K.pdf
One-based PDF page: 57
Source units: USD millions; conversion: none
Status: reported.</x:t>
        </x:r>
      </x:text>
    </x:comment>
    <x:comment ref="D13" authorId="0">
      <x:text>
        <x:r>
          <x:t>Total revenue. https://www.microsoft.com/investor/reports/ar23/index.html
Original PDF: data/raw/reports/originals/Microsoft_FY2023_10K.pdf
One-based PDF page: 58
Source units: USD millions; conversion: none
Status: reported.</x:t>
        </x:r>
      </x:text>
    </x:comment>
    <x:comment ref="D14" authorId="0">
      <x:text>
        <x:r>
          <x:t>Total revenue. https://www.microsoft.com/investor/reports/ar24/index.html
Original PDF: data/raw/reports/originals/Microsoft_FY2024_10K.pdf
One-based PDF page: 56
Source units: USD millions; conversion: none
Status: reported.</x:t>
        </x:r>
      </x:text>
    </x:comment>
    <x:comment ref="D15" authorId="0">
      <x:text>
        <x:r>
          <x:t>Total revenue. https://www.microsoft.com/investor/reports/ar25/index.html
Original PDF: data/raw/reports/originals/Microsoft_FY2025_10K.pdf
One-based PDF page: 50
Source units: USD millions; conversion: none
Status: reported.</x:t>
        </x:r>
      </x:text>
    </x:comment>
    <x:comment ref="D16" authorId="0">
      <x:text>
        <x:r>
          <x:t>Total revenue. https://www.sec.gov/Archives/edgar/data/789019/000119312526323660/msft-20260630.htm
Original PDF: data/raw/reports/originals/Microsoft_FY2026_10K.pdf
One-based PDF page: 50
Source units: USD millions; conversion: none
Status: reported.</x:t>
        </x:r>
      </x:text>
    </x:comment>
    <x:comment ref="D17" authorId="0">
      <x:text>
        <x:r>
          <x:t>Total revenue. https://www.sec.gov/Archives/edgar/data/789019/000119312526323660/msft-20260630.htm
Original PDF: data/raw/reports/originals/Microsoft_FY2026_10K.pdf
One-based PDF page: 50
Source units: USD millions; conversion: none
Status: reported.</x:t>
        </x:r>
      </x:text>
    </x:comment>
    <x:comment ref="D18" authorId="0">
      <x:text>
        <x:r>
          <x:t>Total revenue. https://www.sec.gov/Archives/edgar/data/789019/000119312526323660/msft-20260630.htm
Original PDF: data/raw/reports/originals/Microsoft_FY2026_10K.pdf
One-based PDF page: 50
Source units: USD millions; conversion: none
Status: reported.</x:t>
        </x:r>
      </x:text>
    </x:comment>
    <x:comment ref="D19" authorId="0">
      <x:text>
        <x:r>
          <x:t>Operating income. https://www.microsoft.com/investor/reports/ar19/index.html
Original PDF: data/raw/reports/originals/Microsoft_FY2019_10K.pdf
One-based PDF page: 51
Source units: USD millions; conversion: none
Status: reported.</x:t>
        </x:r>
      </x:text>
    </x:comment>
    <x:comment ref="D20" authorId="0">
      <x:text>
        <x:r>
          <x:t>Operating income. https://www.microsoft.com/investor/reports/ar20/index.html
Original PDF: data/raw/reports/originals/Microsoft_FY2020_10K.pdf
One-based PDF page: 55
Source units: USD millions; conversion: none
Status: reported.</x:t>
        </x:r>
      </x:text>
    </x:comment>
    <x:comment ref="D21" authorId="0">
      <x:text>
        <x:r>
          <x:t>Operating income. https://www.microsoft.com/investor/reports/ar21/index.html
Original PDF: data/raw/reports/originals/Microsoft_FY2021_10K.pdf
One-based PDF page: 57
Source units: USD millions; conversion: none
Status: reported.</x:t>
        </x:r>
      </x:text>
    </x:comment>
    <x:comment ref="D22" authorId="0">
      <x:text>
        <x:r>
          <x:t>Operating income. https://www.microsoft.com/investor/reports/ar22/index.html
Original PDF: data/raw/reports/originals/Microsoft_FY2022_10K.pdf
One-based PDF page: 57
Source units: USD millions; conversion: none
Status: reported.</x:t>
        </x:r>
      </x:text>
    </x:comment>
    <x:comment ref="D23" authorId="0">
      <x:text>
        <x:r>
          <x:t>Operating income. https://www.microsoft.com/investor/reports/ar23/index.html
Original PDF: data/raw/reports/originals/Microsoft_FY2023_10K.pdf
One-based PDF page: 58
Source units: USD millions; conversion: none
Status: reported.</x:t>
        </x:r>
      </x:text>
    </x:comment>
    <x:comment ref="D24" authorId="0">
      <x:text>
        <x:r>
          <x:t>Operating income. https://www.microsoft.com/investor/reports/ar24/index.html
Original PDF: data/raw/reports/originals/Microsoft_FY2024_10K.pdf
One-based PDF page: 56
Source units: USD millions; conversion: none
Status: reported.</x:t>
        </x:r>
      </x:text>
    </x:comment>
    <x:comment ref="D25" authorId="0">
      <x:text>
        <x:r>
          <x:t>Operating income. https://www.microsoft.com/investor/reports/ar25/index.html
Original PDF: data/raw/reports/originals/Microsoft_FY2025_10K.pdf
One-based PDF page: 50
Source units: USD millions; conversion: none
Status: reported.</x:t>
        </x:r>
      </x:text>
    </x:comment>
    <x:comment ref="D26" authorId="0">
      <x:text>
        <x:r>
          <x:t>Operating income. https://www.sec.gov/Archives/edgar/data/789019/000119312526323660/msft-20260630.htm
Original PDF: data/raw/reports/originals/Microsoft_FY2026_10K.pdf
One-based PDF page: 50
Source units: USD millions; conversion: none
Status: reported.</x:t>
        </x:r>
      </x:text>
    </x:comment>
    <x:comment ref="D27" authorId="0">
      <x:text>
        <x:r>
          <x:t>Operating income. https://www.sec.gov/Archives/edgar/data/789019/000119312526323660/msft-20260630.htm
Original PDF: data/raw/reports/originals/Microsoft_FY2026_10K.pdf
One-based PDF page: 50
Source units: USD millions; conversion: none
Status: reported.</x:t>
        </x:r>
      </x:text>
    </x:comment>
    <x:comment ref="D28" authorId="0">
      <x:text>
        <x:r>
          <x:t>Operating income. https://www.sec.gov/Archives/edgar/data/789019/000119312526323660/msft-20260630.htm
Original PDF: data/raw/reports/originals/Microsoft_FY2026_10K.pdf
One-based PDF page: 50
Source units: USD millions; conversion: none
Status: reported.</x:t>
        </x:r>
      </x:text>
    </x:comment>
    <x:comment ref="D29" authorId="0">
      <x:text>
        <x:r>
          <x:t>Provision for income taxes. https://www.microsoft.com/investor/reports/ar19/index.html
Original PDF: data/raw/reports/originals/Microsoft_FY2019_10K.pdf
One-based PDF page: 51
Source units: USD millions; conversion: none
Status: reported.</x:t>
        </x:r>
      </x:text>
    </x:comment>
    <x:comment ref="D30" authorId="0">
      <x:text>
        <x:r>
          <x:t>Provision for income taxes. https://www.microsoft.com/investor/reports/ar20/index.html
Original PDF: data/raw/reports/originals/Microsoft_FY2020_10K.pdf
One-based PDF page: 55
Source units: USD millions; conversion: none
Status: reported.</x:t>
        </x:r>
      </x:text>
    </x:comment>
    <x:comment ref="D31" authorId="0">
      <x:text>
        <x:r>
          <x:t>Provision for income taxes. https://www.microsoft.com/investor/reports/ar21/index.html
Original PDF: data/raw/reports/originals/Microsoft_FY2021_10K.pdf
One-based PDF page: 57
Source units: USD millions; conversion: none
Status: reported.</x:t>
        </x:r>
      </x:text>
    </x:comment>
    <x:comment ref="D32" authorId="0">
      <x:text>
        <x:r>
          <x:t>Provision for income taxes. https://www.microsoft.com/investor/reports/ar22/index.html
Original PDF: data/raw/reports/originals/Microsoft_FY2022_10K.pdf
One-based PDF page: 57
Source units: USD millions; conversion: none
Status: reported.</x:t>
        </x:r>
      </x:text>
    </x:comment>
    <x:comment ref="D33" authorId="0">
      <x:text>
        <x:r>
          <x:t>Provision for income taxes. https://www.microsoft.com/investor/reports/ar23/index.html
Original PDF: data/raw/reports/originals/Microsoft_FY2023_10K.pdf
One-based PDF page: 58
Source units: USD millions; conversion: none
Status: reported.</x:t>
        </x:r>
      </x:text>
    </x:comment>
    <x:comment ref="D34" authorId="0">
      <x:text>
        <x:r>
          <x:t>Provision for income taxes. https://www.microsoft.com/investor/reports/ar24/index.html
Original PDF: data/raw/reports/originals/Microsoft_FY2024_10K.pdf
One-based PDF page: 56
Source units: USD millions; conversion: none
Status: reported.</x:t>
        </x:r>
      </x:text>
    </x:comment>
    <x:comment ref="D35" authorId="0">
      <x:text>
        <x:r>
          <x:t>Provision for income taxes. https://www.microsoft.com/investor/reports/ar25/index.html
Original PDF: data/raw/reports/originals/Microsoft_FY2025_10K.pdf
One-based PDF page: 50
Source units: USD millions; conversion: none
Status: reported.</x:t>
        </x:r>
      </x:text>
    </x:comment>
    <x:comment ref="D36" authorId="0">
      <x:text>
        <x:r>
          <x:t>Provision for income taxes. https://www.sec.gov/Archives/edgar/data/789019/000119312526323660/msft-20260630.htm
Original PDF: data/raw/reports/originals/Microsoft_FY2026_10K.pdf
One-based PDF page: 50
Source units: USD millions; conversion: none
Status: reported.</x:t>
        </x:r>
      </x:text>
    </x:comment>
    <x:comment ref="D37" authorId="0">
      <x:text>
        <x:r>
          <x:t>Provision for income taxes. https://www.sec.gov/Archives/edgar/data/789019/000119312526323660/msft-20260630.htm
Original PDF: data/raw/reports/originals/Microsoft_FY2026_10K.pdf
One-based PDF page: 50
Source units: USD millions; conversion: none
Status: reported.</x:t>
        </x:r>
      </x:text>
    </x:comment>
    <x:comment ref="D38" authorId="0">
      <x:text>
        <x:r>
          <x:t>Provision for income taxes. https://www.sec.gov/Archives/edgar/data/789019/000119312526323660/msft-20260630.htm
Original PDF: data/raw/reports/originals/Microsoft_FY2026_10K.pdf
One-based PDF page: 50
Source units: USD millions; conversion: none
Status: reported.</x:t>
        </x:r>
      </x:text>
    </x:comment>
    <x:comment ref="D39" authorId="0">
      <x:text>
        <x:r>
          <x:t>Income before income taxes. https://www.microsoft.com/investor/reports/ar19/index.html
Original PDF: data/raw/reports/originals/Microsoft_FY2019_10K.pdf
One-based PDF page: 51
Source units: USD millions; conversion: none
Status: reported.</x:t>
        </x:r>
      </x:text>
    </x:comment>
    <x:comment ref="D40" authorId="0">
      <x:text>
        <x:r>
          <x:t>Income before income taxes. https://www.microsoft.com/investor/reports/ar20/index.html
Original PDF: data/raw/reports/originals/Microsoft_FY2020_10K.pdf
One-based PDF page: 55
Source units: USD millions; conversion: none
Status: reported.</x:t>
        </x:r>
      </x:text>
    </x:comment>
    <x:comment ref="D41" authorId="0">
      <x:text>
        <x:r>
          <x:t>Income before income taxes. https://www.microsoft.com/investor/reports/ar21/index.html
Original PDF: data/raw/reports/originals/Microsoft_FY2021_10K.pdf
One-based PDF page: 57
Source units: USD millions; conversion: none
Status: reported.</x:t>
        </x:r>
      </x:text>
    </x:comment>
    <x:comment ref="D42" authorId="0">
      <x:text>
        <x:r>
          <x:t>Income before income taxes. https://www.microsoft.com/investor/reports/ar22/index.html
Original PDF: data/raw/reports/originals/Microsoft_FY2022_10K.pdf
One-based PDF page: 57
Source units: USD millions; conversion: none
Status: reported.</x:t>
        </x:r>
      </x:text>
    </x:comment>
    <x:comment ref="D43" authorId="0">
      <x:text>
        <x:r>
          <x:t>Income before income taxes. https://www.microsoft.com/investor/reports/ar23/index.html
Original PDF: data/raw/reports/originals/Microsoft_FY2023_10K.pdf
One-based PDF page: 58
Source units: USD millions; conversion: none
Status: reported.</x:t>
        </x:r>
      </x:text>
    </x:comment>
    <x:comment ref="D44" authorId="0">
      <x:text>
        <x:r>
          <x:t>Income before income taxes. https://www.microsoft.com/investor/reports/ar24/index.html
Original PDF: data/raw/reports/originals/Microsoft_FY2024_10K.pdf
One-based PDF page: 56
Source units: USD millions; conversion: none
Status: reported.</x:t>
        </x:r>
      </x:text>
    </x:comment>
    <x:comment ref="D45" authorId="0">
      <x:text>
        <x:r>
          <x:t>Income before income taxes. https://www.microsoft.com/investor/reports/ar25/index.html
Original PDF: data/raw/reports/originals/Microsoft_FY2025_10K.pdf
One-based PDF page: 50
Source units: USD millions; conversion: none
Status: reported.</x:t>
        </x:r>
      </x:text>
    </x:comment>
    <x:comment ref="D46" authorId="0">
      <x:text>
        <x:r>
          <x:t>Income before income taxes. https://www.sec.gov/Archives/edgar/data/789019/000119312526323660/msft-20260630.htm
Original PDF: data/raw/reports/originals/Microsoft_FY2026_10K.pdf
One-based PDF page: 50
Source units: USD millions; conversion: none
Status: reported.</x:t>
        </x:r>
      </x:text>
    </x:comment>
    <x:comment ref="D47" authorId="0">
      <x:text>
        <x:r>
          <x:t>Income before income taxes. https://www.sec.gov/Archives/edgar/data/789019/000119312526323660/msft-20260630.htm
Original PDF: data/raw/reports/originals/Microsoft_FY2026_10K.pdf
One-based PDF page: 50
Source units: USD millions; conversion: none
Status: reported.</x:t>
        </x:r>
      </x:text>
    </x:comment>
    <x:comment ref="D48" authorId="0">
      <x:text>
        <x:r>
          <x:t>Income before income taxes. https://www.sec.gov/Archives/edgar/data/789019/000119312526323660/msft-20260630.htm
Original PDF: data/raw/reports/originals/Microsoft_FY2026_10K.pdf
One-based PDF page: 50
Source units: USD millions; conversion: none
Status: reported.</x:t>
        </x:r>
      </x:text>
    </x:comment>
    <x:comment ref="D49" authorId="0">
      <x:text>
        <x:r>
          <x:t>Basic. https://www.microsoft.com/investor/reports/ar19/index.html
Original PDF: data/raw/reports/originals/Microsoft_FY2019_10K.pdf
One-based PDF page: 51
Source units: million shares; conversion: none
Status: reported.</x:t>
        </x:r>
      </x:text>
    </x:comment>
    <x:comment ref="D50" authorId="0">
      <x:text>
        <x:r>
          <x:t>Basic. https://www.microsoft.com/investor/reports/ar20/index.html
Original PDF: data/raw/reports/originals/Microsoft_FY2020_10K.pdf
One-based PDF page: 55
Source units: million shares; conversion: none
Status: reported.</x:t>
        </x:r>
      </x:text>
    </x:comment>
    <x:comment ref="D51" authorId="0">
      <x:text>
        <x:r>
          <x:t>Basic. https://www.microsoft.com/investor/reports/ar21/index.html
Original PDF: data/raw/reports/originals/Microsoft_FY2021_10K.pdf
One-based PDF page: 57
Source units: million shares; conversion: none
Status: reported.</x:t>
        </x:r>
      </x:text>
    </x:comment>
    <x:comment ref="D52" authorId="0">
      <x:text>
        <x:r>
          <x:t>Basic. https://www.microsoft.com/investor/reports/ar22/index.html
Original PDF: data/raw/reports/originals/Microsoft_FY2022_10K.pdf
One-based PDF page: 57
Source units: million shares; conversion: none
Status: reported.</x:t>
        </x:r>
      </x:text>
    </x:comment>
    <x:comment ref="D53" authorId="0">
      <x:text>
        <x:r>
          <x:t>Basic. https://www.microsoft.com/investor/reports/ar23/index.html
Original PDF: data/raw/reports/originals/Microsoft_FY2023_10K.pdf
One-based PDF page: 58
Source units: million shares; conversion: none
Status: reported.</x:t>
        </x:r>
      </x:text>
    </x:comment>
    <x:comment ref="D54" authorId="0">
      <x:text>
        <x:r>
          <x:t>Basic. https://www.microsoft.com/investor/reports/ar24/index.html
Original PDF: data/raw/reports/originals/Microsoft_FY2024_10K.pdf
One-based PDF page: 56
Source units: million shares; conversion: none
Status: reported.</x:t>
        </x:r>
      </x:text>
    </x:comment>
    <x:comment ref="D55" authorId="0">
      <x:text>
        <x:r>
          <x:t>Basic. https://www.microsoft.com/investor/reports/ar25/index.html
Original PDF: data/raw/reports/originals/Microsoft_FY2025_10K.pdf
One-based PDF page: 50
Source units: million shares; conversion: none
Status: reported.</x:t>
        </x:r>
      </x:text>
    </x:comment>
    <x:comment ref="D56" authorId="0">
      <x:text>
        <x:r>
          <x:t>Basic. https://www.sec.gov/Archives/edgar/data/789019/000119312526323660/msft-20260630.htm
Original PDF: data/raw/reports/originals/Microsoft_FY2026_10K.pdf
One-based PDF page: 50
Source units: million shares; conversion: none
Status: reported.</x:t>
        </x:r>
      </x:text>
    </x:comment>
    <x:comment ref="D57" authorId="0">
      <x:text>
        <x:r>
          <x:t>Basic. https://www.sec.gov/Archives/edgar/data/789019/000119312526323660/msft-20260630.htm
Original PDF: data/raw/reports/originals/Microsoft_FY2026_10K.pdf
One-based PDF page: 50
Source units: million shares; conversion: none
Status: reported.</x:t>
        </x:r>
      </x:text>
    </x:comment>
    <x:comment ref="D58" authorId="0">
      <x:text>
        <x:r>
          <x:t>Basic. https://www.sec.gov/Archives/edgar/data/789019/000119312526323660/msft-20260630.htm
Original PDF: data/raw/reports/originals/Microsoft_FY2026_10K.pdf
One-based PDF page: 50
Source units: million shares; conversion: none
Status: reported.</x:t>
        </x:r>
      </x:text>
    </x:comment>
    <x:comment ref="D59" authorId="0">
      <x:text>
        <x:r>
          <x:t>Diluted. https://www.microsoft.com/investor/reports/ar19/index.html
Original PDF: data/raw/reports/originals/Microsoft_FY2019_10K.pdf
One-based PDF page: 51
Source units: million shares; conversion: none
Status: reported.</x:t>
        </x:r>
      </x:text>
    </x:comment>
    <x:comment ref="D60" authorId="0">
      <x:text>
        <x:r>
          <x:t>Diluted. https://www.microsoft.com/investor/reports/ar20/index.html
Original PDF: data/raw/reports/originals/Microsoft_FY2020_10K.pdf
One-based PDF page: 55
Source units: million shares; conversion: none
Status: reported.</x:t>
        </x:r>
      </x:text>
    </x:comment>
    <x:comment ref="D61" authorId="0">
      <x:text>
        <x:r>
          <x:t>Diluted. https://www.microsoft.com/investor/reports/ar21/index.html
Original PDF: data/raw/reports/originals/Microsoft_FY2021_10K.pdf
One-based PDF page: 57
Source units: million shares; conversion: none
Status: reported.</x:t>
        </x:r>
      </x:text>
    </x:comment>
    <x:comment ref="D62" authorId="0">
      <x:text>
        <x:r>
          <x:t>Diluted. https://www.microsoft.com/investor/reports/ar22/index.html
Original PDF: data/raw/reports/originals/Microsoft_FY2022_10K.pdf
One-based PDF page: 57
Source units: million shares; conversion: none
Status: reported.</x:t>
        </x:r>
      </x:text>
    </x:comment>
    <x:comment ref="D63" authorId="0">
      <x:text>
        <x:r>
          <x:t>Diluted. https://www.microsoft.com/investor/reports/ar23/index.html
Original PDF: data/raw/reports/originals/Microsoft_FY2023_10K.pdf
One-based PDF page: 58
Source units: million shares; conversion: none
Status: reported.</x:t>
        </x:r>
      </x:text>
    </x:comment>
    <x:comment ref="D64" authorId="0">
      <x:text>
        <x:r>
          <x:t>Diluted. https://www.microsoft.com/investor/reports/ar24/index.html
Original PDF: data/raw/reports/originals/Microsoft_FY2024_10K.pdf
One-based PDF page: 56
Source units: million shares; conversion: none
Status: reported.</x:t>
        </x:r>
      </x:text>
    </x:comment>
    <x:comment ref="D65" authorId="0">
      <x:text>
        <x:r>
          <x:t>Diluted. https://www.microsoft.com/investor/reports/ar25/index.html
Original PDF: data/raw/reports/originals/Microsoft_FY2025_10K.pdf
One-based PDF page: 50
Source units: million shares; conversion: none
Status: reported.</x:t>
        </x:r>
      </x:text>
    </x:comment>
    <x:comment ref="D66" authorId="0">
      <x:text>
        <x:r>
          <x:t>Diluted. https://www.sec.gov/Archives/edgar/data/789019/000119312526323660/msft-20260630.htm
Original PDF: data/raw/reports/originals/Microsoft_FY2026_10K.pdf
One-based PDF page: 50
Source units: million shares; conversion: none
Status: reported.</x:t>
        </x:r>
      </x:text>
    </x:comment>
    <x:comment ref="D67" authorId="0">
      <x:text>
        <x:r>
          <x:t>Diluted. https://www.sec.gov/Archives/edgar/data/789019/000119312526323660/msft-20260630.htm
Original PDF: data/raw/reports/originals/Microsoft_FY2026_10K.pdf
One-based PDF page: 50
Source units: million shares; conversion: none
Status: reported.</x:t>
        </x:r>
      </x:text>
    </x:comment>
    <x:comment ref="D68" authorId="0">
      <x:text>
        <x:r>
          <x:t>Diluted. https://www.sec.gov/Archives/edgar/data/789019/000119312526323660/msft-20260630.htm
Original PDF: data/raw/reports/originals/Microsoft_FY2026_10K.pdf
One-based PDF page: 50
Source units: million shares; conversion: none
Status: reported.</x:t>
        </x:r>
      </x:text>
    </x:comment>
    <x:comment ref="D69" authorId="0">
      <x:text>
        <x:r>
          <x:t>Depreciation, amortization, and other. https://www.microsoft.com/investor/reports/ar19/index.html
Original PDF: data/raw/reports/originals/Microsoft_FY2019_10K.pdf
One-based PDF page: 54
Source units: USD millions; conversion: none
Status: reported.</x:t>
        </x:r>
      </x:text>
    </x:comment>
    <x:comment ref="D70" authorId="0">
      <x:text>
        <x:r>
          <x:t>Depreciation, amortization, and other. https://www.microsoft.com/investor/reports/ar20/index.html
Original PDF: data/raw/reports/originals/Microsoft_FY2020_10K.pdf
One-based PDF page: 58
Source units: USD millions; conversion: none
Status: reported.</x:t>
        </x:r>
      </x:text>
    </x:comment>
    <x:comment ref="D71" authorId="0">
      <x:text>
        <x:r>
          <x:t>Depreciation, amortization, and other. https://www.microsoft.com/investor/reports/ar21/index.html
Original PDF: data/raw/reports/originals/Microsoft_FY2021_10K.pdf
One-based PDF page: 60
Source units: USD millions; conversion: none
Status: reported.</x:t>
        </x:r>
      </x:text>
    </x:comment>
    <x:comment ref="D72" authorId="0">
      <x:text>
        <x:r>
          <x:t>Depreciation, amortization, and other. https://www.microsoft.com/investor/reports/ar22/index.html
Original PDF: data/raw/reports/originals/Microsoft_FY2022_10K.pdf
One-based PDF page: 60
Source units: USD millions; conversion: none
Status: reported.</x:t>
        </x:r>
      </x:text>
    </x:comment>
    <x:comment ref="D73" authorId="0">
      <x:text>
        <x:r>
          <x:t>Depreciation, amortization, and other. https://www.microsoft.com/investor/reports/ar23/index.html
Original PDF: data/raw/reports/originals/Microsoft_FY2023_10K.pdf
One-based PDF page: 61
Source units: USD millions; conversion: none
Status: reported.</x:t>
        </x:r>
      </x:text>
    </x:comment>
    <x:comment ref="D74" authorId="0">
      <x:text>
        <x:r>
          <x:t>Depreciation, amortization, and other. https://www.microsoft.com/investor/reports/ar24/index.html
Original PDF: data/raw/reports/originals/Microsoft_FY2024_10K.pdf
One-based PDF page: 59
Source units: USD millions; conversion: none
Status: reported.</x:t>
        </x:r>
      </x:text>
    </x:comment>
    <x:comment ref="D75" authorId="0">
      <x:text>
        <x:r>
          <x:t>Depreciation, amortization, and other. https://www.microsoft.com/investor/reports/ar25/index.html
Original PDF: data/raw/reports/originals/Microsoft_FY2025_10K.pdf
One-based PDF page: 53
Source units: USD millions; conversion: none
Status: reported.</x:t>
        </x:r>
      </x:text>
    </x:comment>
    <x:comment ref="D76" authorId="0">
      <x:text>
        <x:r>
          <x:t>Depreciation, amortization, and other. https://www.sec.gov/Archives/edgar/data/789019/000119312526323660/msft-20260630.htm
Original PDF: data/raw/reports/originals/Microsoft_FY2026_10K.pdf
One-based PDF page: 53
Source units: USD millions; conversion: none
Status: reported.</x:t>
        </x:r>
      </x:text>
    </x:comment>
    <x:comment ref="D77" authorId="0">
      <x:text>
        <x:r>
          <x:t>Depreciation, amortization, and other. https://www.sec.gov/Archives/edgar/data/789019/000119312526323660/msft-20260630.htm
Original PDF: data/raw/reports/originals/Microsoft_FY2026_10K.pdf
One-based PDF page: 53
Source units: USD millions; conversion: none
Status: reported.</x:t>
        </x:r>
      </x:text>
    </x:comment>
    <x:comment ref="D78" authorId="0">
      <x:text>
        <x:r>
          <x:t>Depreciation, amortization, and other. https://www.sec.gov/Archives/edgar/data/789019/000119312526323660/msft-20260630.htm
Original PDF: data/raw/reports/originals/Microsoft_FY2026_10K.pdf
One-based PDF page: 53
Source units: USD millions; conversion: none
Status: reported.</x:t>
        </x:r>
      </x:text>
    </x:comment>
    <x:comment ref="D79" authorId="0">
      <x:text>
        <x:r>
          <x:t>Net cash from operations. https://www.microsoft.com/investor/reports/ar19/index.html
Original PDF: data/raw/reports/originals/Microsoft_FY2019_10K.pdf
One-based PDF page: 54
Source units: USD millions; conversion: none
Status: reported.</x:t>
        </x:r>
      </x:text>
    </x:comment>
    <x:comment ref="D80" authorId="0">
      <x:text>
        <x:r>
          <x:t>Net cash from operations. https://www.microsoft.com/investor/reports/ar20/index.html
Original PDF: data/raw/reports/originals/Microsoft_FY2020_10K.pdf
One-based PDF page: 58
Source units: USD millions; conversion: none
Status: reported.</x:t>
        </x:r>
      </x:text>
    </x:comment>
    <x:comment ref="D81" authorId="0">
      <x:text>
        <x:r>
          <x:t>Net cash from operations. https://www.microsoft.com/investor/reports/ar21/index.html
Original PDF: data/raw/reports/originals/Microsoft_FY2021_10K.pdf
One-based PDF page: 60
Source units: USD millions; conversion: none
Status: reported.</x:t>
        </x:r>
      </x:text>
    </x:comment>
    <x:comment ref="D82" authorId="0">
      <x:text>
        <x:r>
          <x:t>Net cash from operations. https://www.microsoft.com/investor/reports/ar22/index.html
Original PDF: data/raw/reports/originals/Microsoft_FY2022_10K.pdf
One-based PDF page: 60
Source units: USD millions; conversion: none
Status: reported.</x:t>
        </x:r>
      </x:text>
    </x:comment>
    <x:comment ref="D83" authorId="0">
      <x:text>
        <x:r>
          <x:t>Net cash from operations. https://www.microsoft.com/investor/reports/ar23/index.html
Original PDF: data/raw/reports/originals/Microsoft_FY2023_10K.pdf
One-based PDF page: 61
Source units: USD millions; conversion: none
Status: reported.</x:t>
        </x:r>
      </x:text>
    </x:comment>
    <x:comment ref="D84" authorId="0">
      <x:text>
        <x:r>
          <x:t>Net cash from operations. https://www.microsoft.com/investor/reports/ar24/index.html
Original PDF: data/raw/reports/originals/Microsoft_FY2024_10K.pdf
One-based PDF page: 59
Source units: USD millions; conversion: none
Status: reported.</x:t>
        </x:r>
      </x:text>
    </x:comment>
    <x:comment ref="D85" authorId="0">
      <x:text>
        <x:r>
          <x:t>Net cash from operations. https://www.microsoft.com/investor/reports/ar25/index.html
Original PDF: data/raw/reports/originals/Microsoft_FY2025_10K.pdf
One-based PDF page: 53
Source units: USD millions; conversion: none
Status: reported.</x:t>
        </x:r>
      </x:text>
    </x:comment>
    <x:comment ref="D86" authorId="0">
      <x:text>
        <x:r>
          <x:t>Net cash from operations. https://www.sec.gov/Archives/edgar/data/789019/000119312526323660/msft-20260630.htm
Original PDF: data/raw/reports/originals/Microsoft_FY2026_10K.pdf
One-based PDF page: 53
Source units: USD millions; conversion: none
Status: reported.</x:t>
        </x:r>
      </x:text>
    </x:comment>
    <x:comment ref="D87" authorId="0">
      <x:text>
        <x:r>
          <x:t>Net cash from operations. https://www.sec.gov/Archives/edgar/data/789019/000119312526323660/msft-20260630.htm
Original PDF: data/raw/reports/originals/Microsoft_FY2026_10K.pdf
One-based PDF page: 53
Source units: USD millions; conversion: none
Status: reported.</x:t>
        </x:r>
      </x:text>
    </x:comment>
    <x:comment ref="D88" authorId="0">
      <x:text>
        <x:r>
          <x:t>Net cash from operations. https://www.sec.gov/Archives/edgar/data/789019/000119312526323660/msft-20260630.htm
Original PDF: data/raw/reports/originals/Microsoft_FY2026_10K.pdf
One-based PDF page: 53
Source units: USD millions; conversion: none
Status: reported.</x:t>
        </x:r>
      </x:text>
    </x:comment>
    <x:comment ref="D89" authorId="0">
      <x:text>
        <x:r>
          <x:t>Additions to property and equipment. https://www.microsoft.com/investor/reports/ar19/index.html
Original PDF: data/raw/reports/originals/Microsoft_FY2019_10K.pdf
One-based PDF page: 54
Source units: USD millions; conversion: none
Status: reported.</x:t>
        </x:r>
      </x:text>
    </x:comment>
    <x:comment ref="D90" authorId="0">
      <x:text>
        <x:r>
          <x:t>Additions to property and equipment. https://www.microsoft.com/investor/reports/ar20/index.html
Original PDF: data/raw/reports/originals/Microsoft_FY2020_10K.pdf
One-based PDF page: 58
Source units: USD millions; conversion: none
Status: reported.</x:t>
        </x:r>
      </x:text>
    </x:comment>
    <x:comment ref="D91" authorId="0">
      <x:text>
        <x:r>
          <x:t>Additions to property and equipment. https://www.microsoft.com/investor/reports/ar21/index.html
Original PDF: data/raw/reports/originals/Microsoft_FY2021_10K.pdf
One-based PDF page: 60
Source units: USD millions; conversion: none
Status: reported.</x:t>
        </x:r>
      </x:text>
    </x:comment>
    <x:comment ref="D92" authorId="0">
      <x:text>
        <x:r>
          <x:t>Additions to property and equipment. https://www.microsoft.com/investor/reports/ar22/index.html
Original PDF: data/raw/reports/originals/Microsoft_FY2022_10K.pdf
One-based PDF page: 60
Source units: USD millions; conversion: none
Status: reported.</x:t>
        </x:r>
      </x:text>
    </x:comment>
    <x:comment ref="D93" authorId="0">
      <x:text>
        <x:r>
          <x:t>Additions to property and equipment. https://www.microsoft.com/investor/reports/ar23/index.html
Original PDF: data/raw/reports/originals/Microsoft_FY2023_10K.pdf
One-based PDF page: 61
Source units: USD millions; conversion: none
Status: reported.</x:t>
        </x:r>
      </x:text>
    </x:comment>
    <x:comment ref="D94" authorId="0">
      <x:text>
        <x:r>
          <x:t>Additions to property and equipment. https://www.microsoft.com/investor/reports/ar24/index.html
Original PDF: data/raw/reports/originals/Microsoft_FY2024_10K.pdf
One-based PDF page: 59
Source units: USD millions; conversion: none
Status: reported.</x:t>
        </x:r>
      </x:text>
    </x:comment>
    <x:comment ref="D95" authorId="0">
      <x:text>
        <x:r>
          <x:t>Additions to property and equipment. https://www.microsoft.com/investor/reports/ar25/index.html
Original PDF: data/raw/reports/originals/Microsoft_FY2025_10K.pdf
One-based PDF page: 53
Source units: USD millions; conversion: none
Status: reported.</x:t>
        </x:r>
      </x:text>
    </x:comment>
    <x:comment ref="D96" authorId="0">
      <x:text>
        <x:r>
          <x:t>Additions to property and equipment. https://www.sec.gov/Archives/edgar/data/789019/000119312526323660/msft-20260630.htm
Original PDF: data/raw/reports/originals/Microsoft_FY2026_10K.pdf
One-based PDF page: 53
Source units: USD millions; conversion: none
Status: reported.</x:t>
        </x:r>
      </x:text>
    </x:comment>
    <x:comment ref="D97" authorId="0">
      <x:text>
        <x:r>
          <x:t>Additions to property and equipment. https://www.sec.gov/Archives/edgar/data/789019/000119312526323660/msft-20260630.htm
Original PDF: data/raw/reports/originals/Microsoft_FY2026_10K.pdf
One-based PDF page: 53
Source units: USD millions; conversion: none
Status: reported.</x:t>
        </x:r>
      </x:text>
    </x:comment>
    <x:comment ref="D98" authorId="0">
      <x:text>
        <x:r>
          <x:t>Additions to property and equipment. https://www.sec.gov/Archives/edgar/data/789019/000119312526323660/msft-20260630.htm
Original PDF: data/raw/reports/originals/Microsoft_FY2026_10K.pdf
One-based PDF page: 53
Source units: USD millions; conversion: none
Status: reported.</x:t>
        </x:r>
      </x:text>
    </x:comment>
    <x:comment ref="D99" authorId="0">
      <x:text>
        <x:r>
          <x:t>Stock-based compensation expense. https://www.microsoft.com/investor/reports/ar19/index.html
Original PDF: data/raw/reports/originals/Microsoft_FY2019_10K.pdf
One-based PDF page: 54
Source units: USD millions; conversion: none
Status: reported.</x:t>
        </x:r>
      </x:text>
    </x:comment>
    <x:comment ref="D100" authorId="0">
      <x:text>
        <x:r>
          <x:t>Stock-based compensation expense. https://www.microsoft.com/investor/reports/ar20/index.html
Original PDF: data/raw/reports/originals/Microsoft_FY2020_10K.pdf
One-based PDF page: 58
Source units: USD millions; conversion: none
Status: reported.</x:t>
        </x:r>
      </x:text>
    </x:comment>
    <x:comment ref="D101" authorId="0">
      <x:text>
        <x:r>
          <x:t>Stock-based compensation expense. https://www.microsoft.com/investor/reports/ar21/index.html
Original PDF: data/raw/reports/originals/Microsoft_FY2021_10K.pdf
One-based PDF page: 60
Source units: USD millions; conversion: none
Status: reported.</x:t>
        </x:r>
      </x:text>
    </x:comment>
    <x:comment ref="D102" authorId="0">
      <x:text>
        <x:r>
          <x:t>Stock-based compensation expense. https://www.microsoft.com/investor/reports/ar22/index.html
Original PDF: data/raw/reports/originals/Microsoft_FY2022_10K.pdf
One-based PDF page: 60
Source units: USD millions; conversion: none
Status: reported.</x:t>
        </x:r>
      </x:text>
    </x:comment>
    <x:comment ref="D103" authorId="0">
      <x:text>
        <x:r>
          <x:t>Stock-based compensation expense. https://www.microsoft.com/investor/reports/ar23/index.html
Original PDF: data/raw/reports/originals/Microsoft_FY2023_10K.pdf
One-based PDF page: 61
Source units: USD millions; conversion: none
Status: reported.</x:t>
        </x:r>
      </x:text>
    </x:comment>
    <x:comment ref="D104" authorId="0">
      <x:text>
        <x:r>
          <x:t>Stock-based compensation expense. https://www.microsoft.com/investor/reports/ar24/index.html
Original PDF: data/raw/reports/originals/Microsoft_FY2024_10K.pdf
One-based PDF page: 59
Source units: USD millions; conversion: none
Status: reported.</x:t>
        </x:r>
      </x:text>
    </x:comment>
    <x:comment ref="D105" authorId="0">
      <x:text>
        <x:r>
          <x:t>Stock-based compensation expense. https://www.microsoft.com/investor/reports/ar25/index.html
Original PDF: data/raw/reports/originals/Microsoft_FY2025_10K.pdf
One-based PDF page: 53
Source units: USD millions; conversion: none
Status: reported.</x:t>
        </x:r>
      </x:text>
    </x:comment>
    <x:comment ref="D106" authorId="0">
      <x:text>
        <x:r>
          <x:t>Stock-based compensation expense. https://www.sec.gov/Archives/edgar/data/789019/000119312526323660/msft-20260630.htm
Original PDF: data/raw/reports/originals/Microsoft_FY2026_10K.pdf
One-based PDF page: 53
Source units: USD millions; conversion: none
Status: reported.</x:t>
        </x:r>
      </x:text>
    </x:comment>
    <x:comment ref="D107" authorId="0">
      <x:text>
        <x:r>
          <x:t>Stock-based compensation expense. https://www.sec.gov/Archives/edgar/data/789019/000119312526323660/msft-20260630.htm
Original PDF: data/raw/reports/originals/Microsoft_FY2026_10K.pdf
One-based PDF page: 53
Source units: USD millions; conversion: none
Status: reported.</x:t>
        </x:r>
      </x:text>
    </x:comment>
    <x:comment ref="D108" authorId="0">
      <x:text>
        <x:r>
          <x:t>Stock-based compensation expense. https://www.sec.gov/Archives/edgar/data/789019/000119312526323660/msft-20260630.htm
Original PDF: data/raw/reports/originals/Microsoft_FY2026_10K.pdf
One-based PDF page: 53
Source units: USD millions; conversion: none
Status: reported.</x:t>
        </x:r>
      </x:text>
    </x:comment>
    <x:comment ref="D109" authorId="0">
      <x:text>
        <x:r>
          <x:t>Cash and cash equivalents. https://www.microsoft.com/investor/reports/ar18/index.html
Original PDF: data/raw/reports/originals/Microsoft_FY2018_10K.pdf
One-based PDF page: 53
Source units: USD millions; conversion: none
Status: reported.</x:t>
        </x:r>
      </x:text>
    </x:comment>
    <x:comment ref="D110" authorId="0">
      <x:text>
        <x:r>
          <x:t>Cash and cash equivalents. https://www.microsoft.com/investor/reports/ar19/index.html
Original PDF: data/raw/reports/originals/Microsoft_FY2019_10K.pdf
One-based PDF page: 53
Source units: USD millions; conversion: none
Status: reported.</x:t>
        </x:r>
      </x:text>
    </x:comment>
    <x:comment ref="D111" authorId="0">
      <x:text>
        <x:r>
          <x:t>Cash and cash equivalents. https://www.microsoft.com/investor/reports/ar20/index.html
Original PDF: data/raw/reports/originals/Microsoft_FY2020_10K.pdf
One-based PDF page: 57
Source units: USD millions; conversion: none
Status: reported.</x:t>
        </x:r>
      </x:text>
    </x:comment>
    <x:comment ref="D112" authorId="0">
      <x:text>
        <x:r>
          <x:t>Cash and cash equivalents. https://www.microsoft.com/investor/reports/ar21/index.html
Original PDF: data/raw/reports/originals/Microsoft_FY2021_10K.pdf
One-based PDF page: 59
Source units: USD millions; conversion: none
Status: reported.</x:t>
        </x:r>
      </x:text>
    </x:comment>
    <x:comment ref="D113" authorId="0">
      <x:text>
        <x:r>
          <x:t>Cash and cash equivalents. https://www.microsoft.com/investor/reports/ar22/index.html
Original PDF: data/raw/reports/originals/Microsoft_FY2022_10K.pdf
One-based PDF page: 59
Source units: USD millions; conversion: none
Status: reported.</x:t>
        </x:r>
      </x:text>
    </x:comment>
    <x:comment ref="D114" authorId="0">
      <x:text>
        <x:r>
          <x:t>Cash and cash equivalents. https://www.microsoft.com/investor/reports/ar23/index.html
Original PDF: data/raw/reports/originals/Microsoft_FY2023_10K.pdf
One-based PDF page: 60
Source units: USD millions; conversion: none
Status: reported.</x:t>
        </x:r>
      </x:text>
    </x:comment>
    <x:comment ref="D115" authorId="0">
      <x:text>
        <x:r>
          <x:t>Cash and cash equivalents. https://www.microsoft.com/investor/reports/ar24/index.html
Original PDF: data/raw/reports/originals/Microsoft_FY2024_10K.pdf
One-based PDF page: 58
Source units: USD millions; conversion: none
Status: reported.</x:t>
        </x:r>
      </x:text>
    </x:comment>
    <x:comment ref="D116" authorId="0">
      <x:text>
        <x:r>
          <x:t>Cash and cash equivalents. https://www.microsoft.com/investor/reports/ar25/index.html
Original PDF: data/raw/reports/originals/Microsoft_FY2025_10K.pdf
One-based PDF page: 52
Source units: USD millions; conversion: none
Status: reported.</x:t>
        </x:r>
      </x:text>
    </x:comment>
    <x:comment ref="D117" authorId="0">
      <x:text>
        <x:r>
          <x:t>Cash and cash equivalents. https://www.sec.gov/Archives/edgar/data/789019/000119312526323660/msft-20260630.htm
Original PDF: data/raw/reports/originals/Microsoft_FY2026_10K.pdf
One-based PDF page: 52
Source units: USD millions; conversion: none
Status: reported.</x:t>
        </x:r>
      </x:text>
    </x:comment>
    <x:comment ref="D118" authorId="0">
      <x:text>
        <x:r>
          <x:t>Cash and cash equivalents. https://www.sec.gov/Archives/edgar/data/789019/000119312526323660/msft-20260630.htm
Original PDF: data/raw/reports/originals/Microsoft_FY2026_10K.pdf
One-based PDF page: 52
Source units: USD millions; conversion: none
Status: reported.</x:t>
        </x:r>
      </x:text>
    </x:comment>
    <x:comment ref="D119" authorId="0">
      <x:text>
        <x:r>
          <x:t>Short-term investments. https://www.microsoft.com/investor/reports/ar18/index.html
Original PDF: data/raw/reports/originals/Microsoft_FY2018_10K.pdf
One-based PDF page: 53
Source units: USD millions; conversion: none
Status: reported.</x:t>
        </x:r>
      </x:text>
    </x:comment>
    <x:comment ref="D120" authorId="0">
      <x:text>
        <x:r>
          <x:t>Short-term investments. https://www.microsoft.com/investor/reports/ar19/index.html
Original PDF: data/raw/reports/originals/Microsoft_FY2019_10K.pdf
One-based PDF page: 53
Source units: USD millions; conversion: none
Status: reported.</x:t>
        </x:r>
      </x:text>
    </x:comment>
    <x:comment ref="D121" authorId="0">
      <x:text>
        <x:r>
          <x:t>Short-term investments. https://www.microsoft.com/investor/reports/ar20/index.html
Original PDF: data/raw/reports/originals/Microsoft_FY2020_10K.pdf
One-based PDF page: 57
Source units: USD millions; conversion: none
Status: reported.</x:t>
        </x:r>
      </x:text>
    </x:comment>
    <x:comment ref="D122" authorId="0">
      <x:text>
        <x:r>
          <x:t>Short-term investments. https://www.microsoft.com/investor/reports/ar21/index.html
Original PDF: data/raw/reports/originals/Microsoft_FY2021_10K.pdf
One-based PDF page: 59
Source units: USD millions; conversion: none
Status: reported.</x:t>
        </x:r>
      </x:text>
    </x:comment>
    <x:comment ref="D123" authorId="0">
      <x:text>
        <x:r>
          <x:t>Short-term investments. https://www.microsoft.com/investor/reports/ar22/index.html
Original PDF: data/raw/reports/originals/Microsoft_FY2022_10K.pdf
One-based PDF page: 59
Source units: USD millions; conversion: none
Status: reported.</x:t>
        </x:r>
      </x:text>
    </x:comment>
    <x:comment ref="D124" authorId="0">
      <x:text>
        <x:r>
          <x:t>Short-term investments. https://www.microsoft.com/investor/reports/ar23/index.html
Original PDF: data/raw/reports/originals/Microsoft_FY2023_10K.pdf
One-based PDF page: 60
Source units: USD millions; conversion: none
Status: reported.</x:t>
        </x:r>
      </x:text>
    </x:comment>
    <x:comment ref="D125" authorId="0">
      <x:text>
        <x:r>
          <x:t>Short-term investments. https://www.microsoft.com/investor/reports/ar24/index.html
Original PDF: data/raw/reports/originals/Microsoft_FY2024_10K.pdf
One-based PDF page: 58
Source units: USD millions; conversion: none
Status: reported.</x:t>
        </x:r>
      </x:text>
    </x:comment>
    <x:comment ref="D126" authorId="0">
      <x:text>
        <x:r>
          <x:t>Short-term investments. https://www.microsoft.com/investor/reports/ar25/index.html
Original PDF: data/raw/reports/originals/Microsoft_FY2025_10K.pdf
One-based PDF page: 52
Source units: USD millions; conversion: none
Status: reported.</x:t>
        </x:r>
      </x:text>
    </x:comment>
    <x:comment ref="D127" authorId="0">
      <x:text>
        <x:r>
          <x:t>Short-term investments. https://www.sec.gov/Archives/edgar/data/789019/000119312526323660/msft-20260630.htm
Original PDF: data/raw/reports/originals/Microsoft_FY2026_10K.pdf
One-based PDF page: 52
Source units: USD millions; conversion: none
Status: reported.</x:t>
        </x:r>
      </x:text>
    </x:comment>
    <x:comment ref="D128" authorId="0">
      <x:text>
        <x:r>
          <x:t>Short-term investments. https://www.sec.gov/Archives/edgar/data/789019/000119312526323660/msft-20260630.htm
Original PDF: data/raw/reports/originals/Microsoft_FY2026_10K.pdf
One-based PDF page: 52
Source units: USD millions; conversion: none
Status: reported.</x:t>
        </x:r>
      </x:text>
    </x:comment>
    <x:comment ref="D129" authorId="0">
      <x:text>
        <x:r>
          <x:t>Equity and other investments. https://www.microsoft.com/investor/reports/ar18/index.html
Original PDF: data/raw/reports/originals/Microsoft_FY2018_10K.pdf
One-based PDF page: 53
Source units: USD millions; conversion: none
Status: reported.</x:t>
        </x:r>
      </x:text>
    </x:comment>
    <x:comment ref="D130" authorId="0">
      <x:text>
        <x:r>
          <x:t>Equity investments. https://www.microsoft.com/investor/reports/ar19/index.html
Original PDF: data/raw/reports/originals/Microsoft_FY2019_10K.pdf
One-based PDF page: 53
Source units: USD millions; conversion: none
Status: reported.</x:t>
        </x:r>
      </x:text>
    </x:comment>
    <x:comment ref="D131" authorId="0">
      <x:text>
        <x:r>
          <x:t>Equity investments. https://www.microsoft.com/investor/reports/ar20/index.html
Original PDF: data/raw/reports/originals/Microsoft_FY2020_10K.pdf
One-based PDF page: 57
Source units: USD millions; conversion: none
Status: reported.</x:t>
        </x:r>
      </x:text>
    </x:comment>
    <x:comment ref="D132" authorId="0">
      <x:text>
        <x:r>
          <x:t>Equity investments. https://www.microsoft.com/investor/reports/ar21/index.html
Original PDF: data/raw/reports/originals/Microsoft_FY2021_10K.pdf
One-based PDF page: 59
Source units: USD millions; conversion: none
Status: reported.</x:t>
        </x:r>
      </x:text>
    </x:comment>
    <x:comment ref="D133" authorId="0">
      <x:text>
        <x:r>
          <x:t>Equity investments. https://www.microsoft.com/investor/reports/ar22/index.html
Original PDF: data/raw/reports/originals/Microsoft_FY2022_10K.pdf
One-based PDF page: 59
Source units: USD millions; conversion: none
Status: reported.</x:t>
        </x:r>
      </x:text>
    </x:comment>
    <x:comment ref="D134" authorId="0">
      <x:text>
        <x:r>
          <x:t>Equity investments. https://www.microsoft.com/investor/reports/ar23/index.html
Original PDF: data/raw/reports/originals/Microsoft_FY2023_10K.pdf
One-based PDF page: 60
Source units: USD millions; conversion: none
Status: reported.</x:t>
        </x:r>
      </x:text>
    </x:comment>
    <x:comment ref="D135" authorId="0">
      <x:text>
        <x:r>
          <x:t>Equity and other investments. https://www.microsoft.com/investor/reports/ar24/index.html
Original PDF: data/raw/reports/originals/Microsoft_FY2024_10K.pdf
One-based PDF page: 58
Source units: USD millions; conversion: none
Status: reported.</x:t>
        </x:r>
      </x:text>
    </x:comment>
    <x:comment ref="D136" authorId="0">
      <x:text>
        <x:r>
          <x:t>Equity and other investments. https://www.microsoft.com/investor/reports/ar25/index.html
Original PDF: data/raw/reports/originals/Microsoft_FY2025_10K.pdf
One-based PDF page: 52
Source units: USD millions; conversion: none
Status: reported.</x:t>
        </x:r>
      </x:text>
    </x:comment>
    <x:comment ref="D137" authorId="0">
      <x:text>
        <x:r>
          <x:t>Equity and other investments. https://www.sec.gov/Archives/edgar/data/789019/000119312526323660/msft-20260630.htm
Original PDF: data/raw/reports/originals/Microsoft_FY2026_10K.pdf
One-based PDF page: 52
Source units: USD millions; conversion: none
Status: reported.</x:t>
        </x:r>
      </x:text>
    </x:comment>
    <x:comment ref="D138" authorId="0">
      <x:text>
        <x:r>
          <x:t>Equity and other investments. https://www.sec.gov/Archives/edgar/data/789019/000119312526323660/msft-20260630.htm
Original PDF: data/raw/reports/originals/Microsoft_FY2026_10K.pdf
One-based PDF page: 52
Source units: USD millions; conversion: none
Status: reported.</x:t>
        </x:r>
      </x:text>
    </x:comment>
    <x:comment ref="D139" authorId="0">
      <x:text>
        <x:r>
          <x:t>Accounts receivable, net of allowance for doubtful accounts of $377 and $345. https://www.microsoft.com/investor/reports/ar18/index.html
Original PDF: data/raw/reports/originals/Microsoft_FY2018_10K.pdf
One-based PDF page: 53
Source units: USD millions; conversion: none
Status: reported.</x:t>
        </x:r>
      </x:text>
    </x:comment>
    <x:comment ref="D140" authorId="0">
      <x:text>
        <x:r>
          <x:t>Accounts receivable, net of allowance for doubtful accounts of $411 and $377. https://www.microsoft.com/investor/reports/ar19/index.html
Original PDF: data/raw/reports/originals/Microsoft_FY2019_10K.pdf
One-based PDF page: 53
Source units: USD millions; conversion: none
Status: reported.</x:t>
        </x:r>
      </x:text>
    </x:comment>
    <x:comment ref="D141" authorId="0">
      <x:text>
        <x:r>
          <x:t>Accounts receivable, net of allowance for doubtful accounts of $788 and $411. https://www.microsoft.com/investor/reports/ar20/index.html
Original PDF: data/raw/reports/originals/Microsoft_FY2020_10K.pdf
One-based PDF page: 57
Source units: USD millions; conversion: none
Status: reported.</x:t>
        </x:r>
      </x:text>
    </x:comment>
    <x:comment ref="D142" authorId="0">
      <x:text>
        <x:r>
          <x:t>Accounts receivable, net of allowance for doubtful accounts of $751 and $788. https://www.microsoft.com/investor/reports/ar21/index.html
Original PDF: data/raw/reports/originals/Microsoft_FY2021_10K.pdf
One-based PDF page: 59
Source units: USD millions; conversion: none
Status: reported.</x:t>
        </x:r>
      </x:text>
    </x:comment>
    <x:comment ref="D143" authorId="0">
      <x:text>
        <x:r>
          <x:t>Accounts receivable, net of allowance for doubtful accounts of $633 and $751. https://www.microsoft.com/investor/reports/ar22/index.html
Original PDF: data/raw/reports/originals/Microsoft_FY2022_10K.pdf
One-based PDF page: 59
Source units: USD millions; conversion: none
Status: reported.</x:t>
        </x:r>
      </x:text>
    </x:comment>
    <x:comment ref="D144" authorId="0">
      <x:text>
        <x:r>
          <x:t>Accounts receivable, net of allowance for doubtful accounts of $650 and $633. https://www.microsoft.com/investor/reports/ar23/index.html
Original PDF: data/raw/reports/originals/Microsoft_FY2023_10K.pdf
One-based PDF page: 60
Source units: USD millions; conversion: none
Status: reported.</x:t>
        </x:r>
      </x:text>
    </x:comment>
    <x:comment ref="D145" authorId="0">
      <x:text>
        <x:r>
          <x:t>Accounts receivable, net of allowance for doubtful accounts of $830 and $650. https://www.microsoft.com/investor/reports/ar24/index.html
Original PDF: data/raw/reports/originals/Microsoft_FY2024_10K.pdf
One-based PDF page: 58
Source units: USD millions; conversion: none
Status: reported.</x:t>
        </x:r>
      </x:text>
    </x:comment>
    <x:comment ref="D146" authorId="0">
      <x:text>
        <x:r>
          <x:t>Accounts receivable, net of allowance for doubtful accounts of $944 and $830. https://www.microsoft.com/investor/reports/ar25/index.html
Original PDF: data/raw/reports/originals/Microsoft_FY2025_10K.pdf
One-based PDF page: 52
Source units: USD millions; conversion: none
Status: reported.</x:t>
        </x:r>
      </x:text>
    </x:comment>
    <x:comment ref="D147" authorId="0">
      <x:text>
        <x:r>
          <x:t>Accounts receivable, net of allowance for doubtful accounts of $1,040 and $944. https://www.sec.gov/Archives/edgar/data/789019/000119312526323660/msft-20260630.htm
Original PDF: data/raw/reports/originals/Microsoft_FY2026_10K.pdf
One-based PDF page: 52
Source units: USD millions; conversion: none
Status: reported.</x:t>
        </x:r>
      </x:text>
    </x:comment>
    <x:comment ref="D148" authorId="0">
      <x:text>
        <x:r>
          <x:t>Accounts receivable, net of allowance for doubtful accounts of $1,040 and $944. https://www.sec.gov/Archives/edgar/data/789019/000119312526323660/msft-20260630.htm
Original PDF: data/raw/reports/originals/Microsoft_FY2026_10K.pdf
One-based PDF page: 52
Source units: USD millions; conversion: none
Status: reported.</x:t>
        </x:r>
      </x:text>
    </x:comment>
    <x:comment ref="D149" authorId="0">
      <x:text>
        <x:r>
          <x:t>Inventories. https://www.microsoft.com/investor/reports/ar18/index.html
Original PDF: data/raw/reports/originals/Microsoft_FY2018_10K.pdf
One-based PDF page: 53
Source units: USD millions; conversion: none
Status: reported.</x:t>
        </x:r>
      </x:text>
    </x:comment>
    <x:comment ref="D150" authorId="0">
      <x:text>
        <x:r>
          <x:t>Inventories. https://www.microsoft.com/investor/reports/ar19/index.html
Original PDF: data/raw/reports/originals/Microsoft_FY2019_10K.pdf
One-based PDF page: 53
Source units: USD millions; conversion: none
Status: reported.</x:t>
        </x:r>
      </x:text>
    </x:comment>
    <x:comment ref="D151" authorId="0">
      <x:text>
        <x:r>
          <x:t>Inventories. https://www.microsoft.com/investor/reports/ar20/index.html
Original PDF: data/raw/reports/originals/Microsoft_FY2020_10K.pdf
One-based PDF page: 57
Source units: USD millions; conversion: none
Status: reported.</x:t>
        </x:r>
      </x:text>
    </x:comment>
    <x:comment ref="D152" authorId="0">
      <x:text>
        <x:r>
          <x:t>Inventories. https://www.microsoft.com/investor/reports/ar21/index.html
Original PDF: data/raw/reports/originals/Microsoft_FY2021_10K.pdf
One-based PDF page: 59
Source units: USD millions; conversion: none
Status: reported.</x:t>
        </x:r>
      </x:text>
    </x:comment>
    <x:comment ref="D153" authorId="0">
      <x:text>
        <x:r>
          <x:t>Inventories. https://www.microsoft.com/investor/reports/ar22/index.html
Original PDF: data/raw/reports/originals/Microsoft_FY2022_10K.pdf
One-based PDF page: 59
Source units: USD millions; conversion: none
Status: reported.</x:t>
        </x:r>
      </x:text>
    </x:comment>
    <x:comment ref="D154" authorId="0">
      <x:text>
        <x:r>
          <x:t>Inventories. https://www.microsoft.com/investor/reports/ar23/index.html
Original PDF: data/raw/reports/originals/Microsoft_FY2023_10K.pdf
One-based PDF page: 60
Source units: USD millions; conversion: none
Status: reported.</x:t>
        </x:r>
      </x:text>
    </x:comment>
    <x:comment ref="D155" authorId="0">
      <x:text>
        <x:r>
          <x:t>Inventories. https://www.microsoft.com/investor/reports/ar24/index.html
Original PDF: data/raw/reports/originals/Microsoft_FY2024_10K.pdf
One-based PDF page: 58
Source units: USD millions; conversion: none
Status: reported.</x:t>
        </x:r>
      </x:text>
    </x:comment>
    <x:comment ref="D156" authorId="0">
      <x:text>
        <x:r>
          <x:t>Inventories. https://www.microsoft.com/investor/reports/ar25/index.html
Original PDF: data/raw/reports/originals/Microsoft_FY2025_10K.pdf
One-based PDF page: 52
Source units: USD millions; conversion: none
Status: reported.</x:t>
        </x:r>
      </x:text>
    </x:comment>
    <x:comment ref="D157" authorId="0">
      <x:text>
        <x:r>
          <x:t>Inventories. https://www.sec.gov/Archives/edgar/data/789019/000119312526323660/msft-20260630.htm
Original PDF: data/raw/reports/originals/Microsoft_FY2026_10K.pdf
One-based PDF page: 52
Source units: USD millions; conversion: none
Status: reported.</x:t>
        </x:r>
      </x:text>
    </x:comment>
    <x:comment ref="D158" authorId="0">
      <x:text>
        <x:r>
          <x:t>Inventories. https://www.sec.gov/Archives/edgar/data/789019/000119312526323660/msft-20260630.htm
Original PDF: data/raw/reports/originals/Microsoft_FY2026_10K.pdf
One-based PDF page: 52
Source units: USD millions; conversion: none
Status: reported.</x:t>
        </x:r>
      </x:text>
    </x:comment>
    <x:comment ref="D159" authorId="0">
      <x:text>
        <x:r>
          <x:t>Other. https://www.microsoft.com/investor/reports/ar18/index.html
Original PDF: data/raw/reports/originals/Microsoft_FY2018_10K.pdf
One-based PDF page: 53
Source units: USD millions; conversion: none
Status: reported.</x:t>
        </x:r>
      </x:text>
    </x:comment>
    <x:comment ref="D160" authorId="0">
      <x:text>
        <x:r>
          <x:t>Other. https://www.microsoft.com/investor/reports/ar19/index.html
Original PDF: data/raw/reports/originals/Microsoft_FY2019_10K.pdf
One-based PDF page: 53
Source units: USD millions; conversion: none
Status: reported.</x:t>
        </x:r>
      </x:text>
    </x:comment>
    <x:comment ref="D161" authorId="0">
      <x:text>
        <x:r>
          <x:t>Other current assets. https://www.microsoft.com/investor/reports/ar20/index.html
Original PDF: data/raw/reports/originals/Microsoft_FY2020_10K.pdf
One-based PDF page: 57
Source units: USD millions; conversion: none
Status: reported.</x:t>
        </x:r>
      </x:text>
    </x:comment>
    <x:comment ref="D162" authorId="0">
      <x:text>
        <x:r>
          <x:t>Other current assets. https://www.microsoft.com/investor/reports/ar21/index.html
Original PDF: data/raw/reports/originals/Microsoft_FY2021_10K.pdf
One-based PDF page: 59
Source units: USD millions; conversion: none
Status: reported.</x:t>
        </x:r>
      </x:text>
    </x:comment>
    <x:comment ref="D163" authorId="0">
      <x:text>
        <x:r>
          <x:t>Other current assets. https://www.microsoft.com/investor/reports/ar22/index.html
Original PDF: data/raw/reports/originals/Microsoft_FY2022_10K.pdf
One-based PDF page: 59
Source units: USD millions; conversion: none
Status: reported.</x:t>
        </x:r>
      </x:text>
    </x:comment>
    <x:comment ref="D164" authorId="0">
      <x:text>
        <x:r>
          <x:t>Other current assets. https://www.microsoft.com/investor/reports/ar23/index.html
Original PDF: data/raw/reports/originals/Microsoft_FY2023_10K.pdf
One-based PDF page: 60
Source units: USD millions; conversion: none
Status: reported.</x:t>
        </x:r>
      </x:text>
    </x:comment>
    <x:comment ref="D165" authorId="0">
      <x:text>
        <x:r>
          <x:t>Other current assets. https://www.microsoft.com/investor/reports/ar24/index.html
Original PDF: data/raw/reports/originals/Microsoft_FY2024_10K.pdf
One-based PDF page: 58
Source units: USD millions; conversion: none
Status: reported.</x:t>
        </x:r>
      </x:text>
    </x:comment>
    <x:comment ref="D166" authorId="0">
      <x:text>
        <x:r>
          <x:t>Other current assets. https://www.microsoft.com/investor/reports/ar25/index.html
Original PDF: data/raw/reports/originals/Microsoft_FY2025_10K.pdf
One-based PDF page: 52
Source units: USD millions; conversion: none
Status: reported.</x:t>
        </x:r>
      </x:text>
    </x:comment>
    <x:comment ref="D167" authorId="0">
      <x:text>
        <x:r>
          <x:t>Other current assets. https://www.sec.gov/Archives/edgar/data/789019/000119312526323660/msft-20260630.htm
Original PDF: data/raw/reports/originals/Microsoft_FY2026_10K.pdf
One-based PDF page: 52
Source units: USD millions; conversion: none
Status: reported.</x:t>
        </x:r>
      </x:text>
    </x:comment>
    <x:comment ref="D168" authorId="0">
      <x:text>
        <x:r>
          <x:t>Other current assets. https://www.sec.gov/Archives/edgar/data/789019/000119312526323660/msft-20260630.htm
Original PDF: data/raw/reports/originals/Microsoft_FY2026_10K.pdf
One-based PDF page: 52
Source units: USD millions; conversion: none
Status: reported.</x:t>
        </x:r>
      </x:text>
    </x:comment>
    <x:comment ref="D169" authorId="0">
      <x:text>
        <x:r>
          <x:t>Accounts payable. https://www.microsoft.com/investor/reports/ar18/index.html
Original PDF: data/raw/reports/originals/Microsoft_FY2018_10K.pdf
One-based PDF page: 53
Source units: USD millions; conversion: none
Status: reported.</x:t>
        </x:r>
      </x:text>
    </x:comment>
    <x:comment ref="D170" authorId="0">
      <x:text>
        <x:r>
          <x:t>Accounts payable. https://www.microsoft.com/investor/reports/ar19/index.html
Original PDF: data/raw/reports/originals/Microsoft_FY2019_10K.pdf
One-based PDF page: 53
Source units: USD millions; conversion: none
Status: reported.</x:t>
        </x:r>
      </x:text>
    </x:comment>
    <x:comment ref="D171" authorId="0">
      <x:text>
        <x:r>
          <x:t>Accounts payable. https://www.microsoft.com/investor/reports/ar20/index.html
Original PDF: data/raw/reports/originals/Microsoft_FY2020_10K.pdf
One-based PDF page: 57
Source units: USD millions; conversion: none
Status: reported.</x:t>
        </x:r>
      </x:text>
    </x:comment>
    <x:comment ref="D172" authorId="0">
      <x:text>
        <x:r>
          <x:t>Accounts payable. https://www.microsoft.com/investor/reports/ar21/index.html
Original PDF: data/raw/reports/originals/Microsoft_FY2021_10K.pdf
One-based PDF page: 59
Source units: USD millions; conversion: none
Status: reported.</x:t>
        </x:r>
      </x:text>
    </x:comment>
    <x:comment ref="D173" authorId="0">
      <x:text>
        <x:r>
          <x:t>Accounts payable. https://www.microsoft.com/investor/reports/ar22/index.html
Original PDF: data/raw/reports/originals/Microsoft_FY2022_10K.pdf
One-based PDF page: 59
Source units: USD millions; conversion: none
Status: reported.</x:t>
        </x:r>
      </x:text>
    </x:comment>
    <x:comment ref="D174" authorId="0">
      <x:text>
        <x:r>
          <x:t>Accounts payable. https://www.microsoft.com/investor/reports/ar23/index.html
Original PDF: data/raw/reports/originals/Microsoft_FY2023_10K.pdf
One-based PDF page: 60
Source units: USD millions; conversion: none
Status: reported.</x:t>
        </x:r>
      </x:text>
    </x:comment>
    <x:comment ref="D175" authorId="0">
      <x:text>
        <x:r>
          <x:t>Accounts payable. https://www.microsoft.com/investor/reports/ar24/index.html
Original PDF: data/raw/reports/originals/Microsoft_FY2024_10K.pdf
One-based PDF page: 58
Source units: USD millions; conversion: none
Status: reported.</x:t>
        </x:r>
      </x:text>
    </x:comment>
    <x:comment ref="D176" authorId="0">
      <x:text>
        <x:r>
          <x:t>Accounts payable. https://www.microsoft.com/investor/reports/ar25/index.html
Original PDF: data/raw/reports/originals/Microsoft_FY2025_10K.pdf
One-based PDF page: 52
Source units: USD millions; conversion: none
Status: reported.</x:t>
        </x:r>
      </x:text>
    </x:comment>
    <x:comment ref="D177" authorId="0">
      <x:text>
        <x:r>
          <x:t>Accounts payable. https://www.sec.gov/Archives/edgar/data/789019/000119312526323660/msft-20260630.htm
Original PDF: data/raw/reports/originals/Microsoft_FY2026_10K.pdf
One-based PDF page: 52
Source units: USD millions; conversion: none
Status: reported.</x:t>
        </x:r>
      </x:text>
    </x:comment>
    <x:comment ref="D178" authorId="0">
      <x:text>
        <x:r>
          <x:t>Accounts payable. https://www.sec.gov/Archives/edgar/data/789019/000119312526323660/msft-20260630.htm
Original PDF: data/raw/reports/originals/Microsoft_FY2026_10K.pdf
One-based PDF page: 52
Source units: USD millions; conversion: none
Status: reported.</x:t>
        </x:r>
      </x:text>
    </x:comment>
    <x:comment ref="D179" authorId="0">
      <x:text>
        <x:r>
          <x:t>Accrued compensation. https://www.microsoft.com/investor/reports/ar18/index.html
Original PDF: data/raw/reports/originals/Microsoft_FY2018_10K.pdf
One-based PDF page: 53
Source units: USD millions; conversion: none
Status: reported.</x:t>
        </x:r>
      </x:text>
    </x:comment>
    <x:comment ref="D180" authorId="0">
      <x:text>
        <x:r>
          <x:t>Accrued compensation. https://www.microsoft.com/investor/reports/ar19/index.html
Original PDF: data/raw/reports/originals/Microsoft_FY2019_10K.pdf
One-based PDF page: 53
Source units: USD millions; conversion: none
Status: reported.</x:t>
        </x:r>
      </x:text>
    </x:comment>
    <x:comment ref="D181" authorId="0">
      <x:text>
        <x:r>
          <x:t>Accrued compensation. https://www.microsoft.com/investor/reports/ar20/index.html
Original PDF: data/raw/reports/originals/Microsoft_FY2020_10K.pdf
One-based PDF page: 57
Source units: USD millions; conversion: none
Status: reported.</x:t>
        </x:r>
      </x:text>
    </x:comment>
    <x:comment ref="D182" authorId="0">
      <x:text>
        <x:r>
          <x:t>Accrued compensation. https://www.microsoft.com/investor/reports/ar21/index.html
Original PDF: data/raw/reports/originals/Microsoft_FY2021_10K.pdf
One-based PDF page: 59
Source units: USD millions; conversion: none
Status: reported.</x:t>
        </x:r>
      </x:text>
    </x:comment>
    <x:comment ref="D183" authorId="0">
      <x:text>
        <x:r>
          <x:t>Accrued compensation. https://www.microsoft.com/investor/reports/ar22/index.html
Original PDF: data/raw/reports/originals/Microsoft_FY2022_10K.pdf
One-based PDF page: 59
Source units: USD millions; conversion: none
Status: reported.</x:t>
        </x:r>
      </x:text>
    </x:comment>
    <x:comment ref="D184" authorId="0">
      <x:text>
        <x:r>
          <x:t>Accrued compensation. https://www.microsoft.com/investor/reports/ar23/index.html
Original PDF: data/raw/reports/originals/Microsoft_FY2023_10K.pdf
One-based PDF page: 60
Source units: USD millions; conversion: none
Status: reported.</x:t>
        </x:r>
      </x:text>
    </x:comment>
    <x:comment ref="D185" authorId="0">
      <x:text>
        <x:r>
          <x:t>Accrued compensation. https://www.microsoft.com/investor/reports/ar24/index.html
Original PDF: data/raw/reports/originals/Microsoft_FY2024_10K.pdf
One-based PDF page: 58
Source units: USD millions; conversion: none
Status: reported.</x:t>
        </x:r>
      </x:text>
    </x:comment>
    <x:comment ref="D186" authorId="0">
      <x:text>
        <x:r>
          <x:t>Accrued compensation. https://www.microsoft.com/investor/reports/ar25/index.html
Original PDF: data/raw/reports/originals/Microsoft_FY2025_10K.pdf
One-based PDF page: 52
Source units: USD millions; conversion: none
Status: reported.</x:t>
        </x:r>
      </x:text>
    </x:comment>
    <x:comment ref="D187" authorId="0">
      <x:text>
        <x:r>
          <x:t>Accrued compensation. https://www.sec.gov/Archives/edgar/data/789019/000119312526323660/msft-20260630.htm
Original PDF: data/raw/reports/originals/Microsoft_FY2026_10K.pdf
One-based PDF page: 52
Source units: USD millions; conversion: none
Status: reported.</x:t>
        </x:r>
      </x:text>
    </x:comment>
    <x:comment ref="D188" authorId="0">
      <x:text>
        <x:r>
          <x:t>Accrued compensation. https://www.sec.gov/Archives/edgar/data/789019/000119312526323660/msft-20260630.htm
Original PDF: data/raw/reports/originals/Microsoft_FY2026_10K.pdf
One-based PDF page: 52
Source units: USD millions; conversion: none
Status: reported.</x:t>
        </x:r>
      </x:text>
    </x:comment>
    <x:comment ref="D189" authorId="0">
      <x:text>
        <x:r>
          <x:t>Short-term unearned revenue. https://www.microsoft.com/investor/reports/ar18/index.html
Original PDF: data/raw/reports/originals/Microsoft_FY2018_10K.pdf
One-based PDF page: 53
Source units: USD millions; conversion: none
Status: reported.</x:t>
        </x:r>
      </x:text>
    </x:comment>
    <x:comment ref="D190" authorId="0">
      <x:text>
        <x:r>
          <x:t>Short-term unearned revenue. https://www.microsoft.com/investor/reports/ar19/index.html
Original PDF: data/raw/reports/originals/Microsoft_FY2019_10K.pdf
One-based PDF page: 53
Source units: USD millions; conversion: none
Status: reported.</x:t>
        </x:r>
      </x:text>
    </x:comment>
    <x:comment ref="D191" authorId="0">
      <x:text>
        <x:r>
          <x:t>Short-term unearned revenue. https://www.microsoft.com/investor/reports/ar20/index.html
Original PDF: data/raw/reports/originals/Microsoft_FY2020_10K.pdf
One-based PDF page: 57
Source units: USD millions; conversion: none
Status: reported.</x:t>
        </x:r>
      </x:text>
    </x:comment>
    <x:comment ref="D192" authorId="0">
      <x:text>
        <x:r>
          <x:t>Short-term unearned revenue. https://www.microsoft.com/investor/reports/ar21/index.html
Original PDF: data/raw/reports/originals/Microsoft_FY2021_10K.pdf
One-based PDF page: 59
Source units: USD millions; conversion: none
Status: reported.</x:t>
        </x:r>
      </x:text>
    </x:comment>
    <x:comment ref="D193" authorId="0">
      <x:text>
        <x:r>
          <x:t>Short-term unearned revenue. https://www.microsoft.com/investor/reports/ar22/index.html
Original PDF: data/raw/reports/originals/Microsoft_FY2022_10K.pdf
One-based PDF page: 59
Source units: USD millions; conversion: none
Status: reported.</x:t>
        </x:r>
      </x:text>
    </x:comment>
    <x:comment ref="D194" authorId="0">
      <x:text>
        <x:r>
          <x:t>Short-term unearned revenue. https://www.microsoft.com/investor/reports/ar23/index.html
Original PDF: data/raw/reports/originals/Microsoft_FY2023_10K.pdf
One-based PDF page: 60
Source units: USD millions; conversion: none
Status: reported.</x:t>
        </x:r>
      </x:text>
    </x:comment>
    <x:comment ref="D195" authorId="0">
      <x:text>
        <x:r>
          <x:t>Short-term unearned revenue. https://www.microsoft.com/investor/reports/ar24/index.html
Original PDF: data/raw/reports/originals/Microsoft_FY2024_10K.pdf
One-based PDF page: 58
Source units: USD millions; conversion: none
Status: reported.</x:t>
        </x:r>
      </x:text>
    </x:comment>
    <x:comment ref="D196" authorId="0">
      <x:text>
        <x:r>
          <x:t>Short-term unearned revenue. https://www.microsoft.com/investor/reports/ar25/index.html
Original PDF: data/raw/reports/originals/Microsoft_FY2025_10K.pdf
One-based PDF page: 52
Source units: USD millions; conversion: none
Status: reported.</x:t>
        </x:r>
      </x:text>
    </x:comment>
    <x:comment ref="D197" authorId="0">
      <x:text>
        <x:r>
          <x:t>Short-term unearned revenue. https://www.sec.gov/Archives/edgar/data/789019/000119312526323660/msft-20260630.htm
Original PDF: data/raw/reports/originals/Microsoft_FY2026_10K.pdf
One-based PDF page: 52
Source units: USD millions; conversion: none
Status: reported.</x:t>
        </x:r>
      </x:text>
    </x:comment>
    <x:comment ref="D198" authorId="0">
      <x:text>
        <x:r>
          <x:t>Short-term unearned revenue. https://www.sec.gov/Archives/edgar/data/789019/000119312526323660/msft-20260630.htm
Original PDF: data/raw/reports/originals/Microsoft_FY2026_10K.pdf
One-based PDF page: 52
Source units: USD millions; conversion: none
Status: reported.</x:t>
        </x:r>
      </x:text>
    </x:comment>
    <x:comment ref="D199" authorId="0">
      <x:text>
        <x:r>
          <x:t>Other. https://www.microsoft.com/investor/reports/ar18/index.html
Original PDF: data/raw/reports/originals/Microsoft_FY2018_10K.pdf
One-based PDF page: 53
Source units: USD millions; conversion: none
Status: reported.</x:t>
        </x:r>
      </x:text>
    </x:comment>
    <x:comment ref="D200" authorId="0">
      <x:text>
        <x:r>
          <x:t>Other. https://www.microsoft.com/investor/reports/ar19/index.html
Original PDF: data/raw/reports/originals/Microsoft_FY2019_10K.pdf
One-based PDF page: 53
Source units: USD millions; conversion: none
Status: reported.</x:t>
        </x:r>
      </x:text>
    </x:comment>
    <x:comment ref="D201" authorId="0">
      <x:text>
        <x:r>
          <x:t>Other current liabilities. https://www.microsoft.com/investor/reports/ar20/index.html
Original PDF: data/raw/reports/originals/Microsoft_FY2020_10K.pdf
One-based PDF page: 57
Source units: USD millions; conversion: none
Status: reported.</x:t>
        </x:r>
      </x:text>
    </x:comment>
    <x:comment ref="D202" authorId="0">
      <x:text>
        <x:r>
          <x:t>Other current liabilities. https://www.microsoft.com/investor/reports/ar21/index.html
Original PDF: data/raw/reports/originals/Microsoft_FY2021_10K.pdf
One-based PDF page: 59
Source units: USD millions; conversion: none
Status: reported.</x:t>
        </x:r>
      </x:text>
    </x:comment>
    <x:comment ref="D203" authorId="0">
      <x:text>
        <x:r>
          <x:t>Other current liabilities. https://www.microsoft.com/investor/reports/ar22/index.html
Original PDF: data/raw/reports/originals/Microsoft_FY2022_10K.pdf
One-based PDF page: 59
Source units: USD millions; conversion: none
Status: reported.</x:t>
        </x:r>
      </x:text>
    </x:comment>
    <x:comment ref="D204" authorId="0">
      <x:text>
        <x:r>
          <x:t>Other current liabilities. https://www.microsoft.com/investor/reports/ar23/index.html
Original PDF: data/raw/reports/originals/Microsoft_FY2023_10K.pdf
One-based PDF page: 60
Source units: USD millions; conversion: none
Status: reported.</x:t>
        </x:r>
      </x:text>
    </x:comment>
    <x:comment ref="D205" authorId="0">
      <x:text>
        <x:r>
          <x:t>Other current liabilities. https://www.microsoft.com/investor/reports/ar24/index.html
Original PDF: data/raw/reports/originals/Microsoft_FY2024_10K.pdf
One-based PDF page: 58
Source units: USD millions; conversion: none
Status: reported.</x:t>
        </x:r>
      </x:text>
    </x:comment>
    <x:comment ref="D206" authorId="0">
      <x:text>
        <x:r>
          <x:t>Other current liabilities. https://www.microsoft.com/investor/reports/ar25/index.html
Original PDF: data/raw/reports/originals/Microsoft_FY2025_10K.pdf
One-based PDF page: 52
Source units: USD millions; conversion: none
Status: reported.</x:t>
        </x:r>
      </x:text>
    </x:comment>
    <x:comment ref="D207" authorId="0">
      <x:text>
        <x:r>
          <x:t>Other current liabilities. https://www.sec.gov/Archives/edgar/data/789019/000119312526323660/msft-20260630.htm
Original PDF: data/raw/reports/originals/Microsoft_FY2026_10K.pdf
One-based PDF page: 52
Source units: USD millions; conversion: none
Status: reported.</x:t>
        </x:r>
      </x:text>
    </x:comment>
    <x:comment ref="D208" authorId="0">
      <x:text>
        <x:r>
          <x:t>Other current liabilities. https://www.sec.gov/Archives/edgar/data/789019/000119312526323660/msft-20260630.htm
Original PDF: data/raw/reports/originals/Microsoft_FY2026_10K.pdf
One-based PDF page: 52
Source units: USD millions; conversion: none
Status: reported.</x:t>
        </x:r>
      </x:text>
    </x:comment>
    <x:comment ref="D209" authorId="0">
      <x:text>
        <x:r>
          <x:t>Current portion of long-term debt. https://www.microsoft.com/investor/reports/ar18/index.html
Original PDF: data/raw/reports/originals/Microsoft_FY2018_10K.pdf
One-based PDF page: 53
Source units: USD millions; conversion: none
Status: reported.</x:t>
        </x:r>
      </x:text>
    </x:comment>
    <x:comment ref="D210" authorId="0">
      <x:text>
        <x:r>
          <x:t>Current portion of long-term debt. https://www.microsoft.com/investor/reports/ar19/index.html
Original PDF: data/raw/reports/originals/Microsoft_FY2019_10K.pdf
One-based PDF page: 53
Source units: USD millions; conversion: none
Status: reported.</x:t>
        </x:r>
      </x:text>
    </x:comment>
    <x:comment ref="D211" authorId="0">
      <x:text>
        <x:r>
          <x:t>Current portion of long-term debt. https://www.microsoft.com/investor/reports/ar20/index.html
Original PDF: data/raw/reports/originals/Microsoft_FY2020_10K.pdf
One-based PDF page: 57
Source units: USD millions; conversion: none
Status: reported.</x:t>
        </x:r>
      </x:text>
    </x:comment>
    <x:comment ref="D212" authorId="0">
      <x:text>
        <x:r>
          <x:t>Current portion of long-term debt. https://www.microsoft.com/investor/reports/ar21/index.html
Original PDF: data/raw/reports/originals/Microsoft_FY2021_10K.pdf
One-based PDF page: 59
Source units: USD millions; conversion: none
Status: reported.</x:t>
        </x:r>
      </x:text>
    </x:comment>
    <x:comment ref="D213" authorId="0">
      <x:text>
        <x:r>
          <x:t>Current portion of long-term debt. https://www.microsoft.com/investor/reports/ar22/index.html
Original PDF: data/raw/reports/originals/Microsoft_FY2022_10K.pdf
One-based PDF page: 59
Source units: USD millions; conversion: none
Status: reported.</x:t>
        </x:r>
      </x:text>
    </x:comment>
    <x:comment ref="D214" authorId="0">
      <x:text>
        <x:r>
          <x:t>Current portion of long-term debt. https://www.microsoft.com/investor/reports/ar23/index.html
Original PDF: data/raw/reports/originals/Microsoft_FY2023_10K.pdf
One-based PDF page: 60
Source units: USD millions; conversion: none
Status: reported.</x:t>
        </x:r>
      </x:text>
    </x:comment>
    <x:comment ref="D215" authorId="0">
      <x:text>
        <x:r>
          <x:t>Current portion of long-term debt. https://www.microsoft.com/investor/reports/ar24/index.html
Original PDF: data/raw/reports/originals/Microsoft_FY2024_10K.pdf
One-based PDF page: 58
Source units: USD millions; conversion: none
Status: reported.</x:t>
        </x:r>
      </x:text>
    </x:comment>
    <x:comment ref="D216" authorId="0">
      <x:text>
        <x:r>
          <x:t>Current portion of long-term debt. https://www.microsoft.com/investor/reports/ar25/index.html
Original PDF: data/raw/reports/originals/Microsoft_FY2025_10K.pdf
One-based PDF page: 52
Source units: USD millions; conversion: none
Status: reported.</x:t>
        </x:r>
      </x:text>
    </x:comment>
    <x:comment ref="D217" authorId="0">
      <x:text>
        <x:r>
          <x:t>Current portion of long-term debt. https://www.sec.gov/Archives/edgar/data/789019/000119312526323660/msft-20260630.htm
Original PDF: data/raw/reports/originals/Microsoft_FY2026_10K.pdf
One-based PDF page: 52
Source units: USD millions; conversion: none
Status: reported.</x:t>
        </x:r>
      </x:text>
    </x:comment>
    <x:comment ref="D218" authorId="0">
      <x:text>
        <x:r>
          <x:t>Current portion of long-term debt. https://www.sec.gov/Archives/edgar/data/789019/000119312526323660/msft-20260630.htm
Original PDF: data/raw/reports/originals/Microsoft_FY2026_10K.pdf
One-based PDF page: 52
Source units: USD millions; conversion: none
Status: reported.</x:t>
        </x:r>
      </x:text>
    </x:comment>
    <x:comment ref="D219" authorId="0">
      <x:text>
        <x:r>
          <x:t>Short-term debt. https://www.microsoft.com/investor/reports/ar18/index.html
Original PDF: data/raw/reports/originals/Microsoft_FY2018_10K.pdf
One-based PDF page: 53
Source units: USD millions; conversion: none
Status: reported.</x:t>
        </x:r>
      </x:text>
    </x:comment>
    <x:comment ref="D220" authorId="0">
      <x:text>
        <x:r>
          <x:t>st debt. https://www.microsoft.com/investor/reports/ar19/index.html
Original PDF: data/raw/reports/originals/Microsoft_FY2019_10K.pdf
One-based PDF page: 53
Source units: USD millions; conversion: normalized_absence
Status: normalized_absence.</x:t>
        </x:r>
      </x:text>
    </x:comment>
    <x:comment ref="D221" authorId="0">
      <x:text>
        <x:r>
          <x:t>st debt. https://www.microsoft.com/investor/reports/ar20/index.html
Original PDF: data/raw/reports/originals/Microsoft_FY2020_10K.pdf
One-based PDF page: 57
Source units: USD millions; conversion: normalized_absence
Status: normalized_absence.</x:t>
        </x:r>
      </x:text>
    </x:comment>
    <x:comment ref="D222" authorId="0">
      <x:text>
        <x:r>
          <x:t>st debt. https://www.microsoft.com/investor/reports/ar21/index.html
Original PDF: data/raw/reports/originals/Microsoft_FY2021_10K.pdf
One-based PDF page: 59
Source units: USD millions; conversion: normalized_absence
Status: normalized_absence.</x:t>
        </x:r>
      </x:text>
    </x:comment>
    <x:comment ref="D223" authorId="0">
      <x:text>
        <x:r>
          <x:t>st debt. https://www.microsoft.com/investor/reports/ar22/index.html
Original PDF: data/raw/reports/originals/Microsoft_FY2022_10K.pdf
One-based PDF page: 59
Source units: USD millions; conversion: normalized_absence
Status: normalized_absence.</x:t>
        </x:r>
      </x:text>
    </x:comment>
    <x:comment ref="D224" authorId="0">
      <x:text>
        <x:r>
          <x:t>st debt. https://www.microsoft.com/investor/reports/ar23/index.html
Original PDF: data/raw/reports/originals/Microsoft_FY2023_10K.pdf
One-based PDF page: 60
Source units: USD millions; conversion: normalized_absence
Status: normalized_absence.</x:t>
        </x:r>
      </x:text>
    </x:comment>
    <x:comment ref="D225" authorId="0">
      <x:text>
        <x:r>
          <x:t>Short-term debt. https://www.microsoft.com/investor/reports/ar24/index.html
Original PDF: data/raw/reports/originals/Microsoft_FY2024_10K.pdf
One-based PDF page: 58
Source units: USD millions; conversion: none
Status: reported.</x:t>
        </x:r>
      </x:text>
    </x:comment>
    <x:comment ref="D226" authorId="0">
      <x:text>
        <x:r>
          <x:t>Short-term debt. https://www.microsoft.com/investor/reports/ar25/index.html
Original PDF: data/raw/reports/originals/Microsoft_FY2025_10K.pdf
One-based PDF page: 52
Source units: USD millions; conversion: none
Status: reported.</x:t>
        </x:r>
      </x:text>
    </x:comment>
    <x:comment ref="D227" authorId="0">
      <x:text>
        <x:r>
          <x:t>st debt. https://www.sec.gov/Archives/edgar/data/789019/000119312526323660/msft-20260630.htm
Original PDF: data/raw/reports/originals/Microsoft_FY2026_10K.pdf
One-based PDF page: 52
Source units: USD millions; conversion: normalized_absence
Status: normalized_absence.</x:t>
        </x:r>
      </x:text>
    </x:comment>
    <x:comment ref="D228" authorId="0">
      <x:text>
        <x:r>
          <x:t>st debt. https://www.sec.gov/Archives/edgar/data/789019/000119312526323660/msft-20260630.htm
Original PDF: data/raw/reports/originals/Microsoft_FY2026_10K.pdf
One-based PDF page: 52
Source units: USD millions; conversion: normalized_absence
Status: normalized_absence.</x:t>
        </x:r>
      </x:text>
    </x:comment>
    <x:comment ref="D229" authorId="0">
      <x:text>
        <x:r>
          <x:t>Long-term debt. https://www.microsoft.com/investor/reports/ar18/index.html
Original PDF: data/raw/reports/originals/Microsoft_FY2018_10K.pdf
One-based PDF page: 53
Source units: USD millions; conversion: none
Status: reported.</x:t>
        </x:r>
      </x:text>
    </x:comment>
    <x:comment ref="D230" authorId="0">
      <x:text>
        <x:r>
          <x:t>Long-term debt. https://www.microsoft.com/investor/reports/ar19/index.html
Original PDF: data/raw/reports/originals/Microsoft_FY2019_10K.pdf
One-based PDF page: 53
Source units: USD millions; conversion: none
Status: reported.</x:t>
        </x:r>
      </x:text>
    </x:comment>
    <x:comment ref="D231" authorId="0">
      <x:text>
        <x:r>
          <x:t>Long-term debt. https://www.microsoft.com/investor/reports/ar20/index.html
Original PDF: data/raw/reports/originals/Microsoft_FY2020_10K.pdf
One-based PDF page: 57
Source units: USD millions; conversion: none
Status: reported.</x:t>
        </x:r>
      </x:text>
    </x:comment>
    <x:comment ref="D232" authorId="0">
      <x:text>
        <x:r>
          <x:t>Long-term debt. https://www.microsoft.com/investor/reports/ar21/index.html
Original PDF: data/raw/reports/originals/Microsoft_FY2021_10K.pdf
One-based PDF page: 59
Source units: USD millions; conversion: none
Status: reported.</x:t>
        </x:r>
      </x:text>
    </x:comment>
    <x:comment ref="D233" authorId="0">
      <x:text>
        <x:r>
          <x:t>Long-term debt. https://www.microsoft.com/investor/reports/ar22/index.html
Original PDF: data/raw/reports/originals/Microsoft_FY2022_10K.pdf
One-based PDF page: 59
Source units: USD millions; conversion: none
Status: reported.</x:t>
        </x:r>
      </x:text>
    </x:comment>
    <x:comment ref="D234" authorId="0">
      <x:text>
        <x:r>
          <x:t>Long-term debt. https://www.microsoft.com/investor/reports/ar23/index.html
Original PDF: data/raw/reports/originals/Microsoft_FY2023_10K.pdf
One-based PDF page: 60
Source units: USD millions; conversion: none
Status: reported.</x:t>
        </x:r>
      </x:text>
    </x:comment>
    <x:comment ref="D235" authorId="0">
      <x:text>
        <x:r>
          <x:t>Long-term debt. https://www.microsoft.com/investor/reports/ar24/index.html
Original PDF: data/raw/reports/originals/Microsoft_FY2024_10K.pdf
One-based PDF page: 58
Source units: USD millions; conversion: none
Status: reported.</x:t>
        </x:r>
      </x:text>
    </x:comment>
    <x:comment ref="D236" authorId="0">
      <x:text>
        <x:r>
          <x:t>Long-term debt. https://www.microsoft.com/investor/reports/ar25/index.html
Original PDF: data/raw/reports/originals/Microsoft_FY2025_10K.pdf
One-based PDF page: 52
Source units: USD millions; conversion: none
Status: reported.</x:t>
        </x:r>
      </x:text>
    </x:comment>
    <x:comment ref="D237" authorId="0">
      <x:text>
        <x:r>
          <x:t>Long-term debt. https://www.sec.gov/Archives/edgar/data/789019/000119312526323660/msft-20260630.htm
Original PDF: data/raw/reports/originals/Microsoft_FY2026_10K.pdf
One-based PDF page: 52
Source units: USD millions; conversion: none
Status: reported.</x:t>
        </x:r>
      </x:text>
    </x:comment>
    <x:comment ref="D238" authorId="0">
      <x:text>
        <x:r>
          <x:t>Long-term debt. https://www.sec.gov/Archives/edgar/data/789019/000119312526323660/msft-20260630.htm
Original PDF: data/raw/reports/originals/Microsoft_FY2026_10K.pdf
One-based PDF page: 52
Source units: USD millions; conversion: none
Status: reported.</x:t>
        </x:r>
      </x:text>
    </x:comment>
    <x:comment ref="D239" authorId="0">
      <x:text>
        <x:r>
          <x:t>Property and equipment, net of accumulated depreciation of $29,223 and $24,179. https://www.microsoft.com/investor/reports/ar18/index.html
Original PDF: data/raw/reports/originals/Microsoft_FY2018_10K.pdf
One-based PDF page: 53
Source units: USD millions; conversion: none
Status: reported.</x:t>
        </x:r>
      </x:text>
    </x:comment>
    <x:comment ref="D240" authorId="0">
      <x:text>
        <x:r>
          <x:t>Property and equipment, net of accumulated depreciation of $35,330 and $29,223. https://www.microsoft.com/investor/reports/ar19/index.html
Original PDF: data/raw/reports/originals/Microsoft_FY2019_10K.pdf
One-based PDF page: 53
Source units: USD millions; conversion: none
Status: reported.</x:t>
        </x:r>
      </x:text>
    </x:comment>
    <x:comment ref="D241" authorId="0">
      <x:text>
        <x:r>
          <x:t>Property and equipment, net of accumulated depreciation of $43,197 and $35,330. https://www.microsoft.com/investor/reports/ar20/index.html
Original PDF: data/raw/reports/originals/Microsoft_FY2020_10K.pdf
One-based PDF page: 57
Source units: USD millions; conversion: none
Status: reported.</x:t>
        </x:r>
      </x:text>
    </x:comment>
    <x:comment ref="D242" authorId="0">
      <x:text>
        <x:r>
          <x:t>Property and equipment, net of accumulated depreciation of $51,351 and $43,197. https://www.microsoft.com/investor/reports/ar21/index.html
Original PDF: data/raw/reports/originals/Microsoft_FY2021_10K.pdf
One-based PDF page: 59
Source units: USD millions; conversion: none
Status: reported.</x:t>
        </x:r>
      </x:text>
    </x:comment>
    <x:comment ref="D243" authorId="0">
      <x:text>
        <x:r>
          <x:t>Property and equipment, net of accumulated depreciation of $59,660 and $51,351. https://www.microsoft.com/investor/reports/ar22/index.html
Original PDF: data/raw/reports/originals/Microsoft_FY2022_10K.pdf
One-based PDF page: 59
Source units: USD millions; conversion: none
Status: reported.</x:t>
        </x:r>
      </x:text>
    </x:comment>
    <x:comment ref="D244" authorId="0">
      <x:text>
        <x:r>
          <x:t>Property and equipment, net of accumulated depreciation of $68,251 and $59,660. https://www.microsoft.com/investor/reports/ar23/index.html
Original PDF: data/raw/reports/originals/Microsoft_FY2023_10K.pdf
One-based PDF page: 60
Source units: USD millions; conversion: none
Status: reported.</x:t>
        </x:r>
      </x:text>
    </x:comment>
    <x:comment ref="D245" authorId="0">
      <x:text>
        <x:r>
          <x:t>Property and equipment, net of accumulated depreciation of $76,421 and $68,251. https://www.microsoft.com/investor/reports/ar24/index.html
Original PDF: data/raw/reports/originals/Microsoft_FY2024_10K.pdf
One-based PDF page: 58
Source units: USD millions; conversion: none
Status: reported.</x:t>
        </x:r>
      </x:text>
    </x:comment>
    <x:comment ref="D246" authorId="0">
      <x:text>
        <x:r>
          <x:t>Property and equipment, net of accumulated depreciation of $93,653 and $76,421. https://www.microsoft.com/investor/reports/ar25/index.html
Original PDF: data/raw/reports/originals/Microsoft_FY2025_10K.pdf
One-based PDF page: 52
Source units: USD millions; conversion: none
Status: reported.</x:t>
        </x:r>
      </x:text>
    </x:comment>
    <x:comment ref="D247" authorId="0">
      <x:text>
        <x:r>
          <x:t>Property and equipment, net of accumulated depreciation of $118,691 and $93,653. https://www.sec.gov/Archives/edgar/data/789019/000119312526323660/msft-20260630.htm
Original PDF: data/raw/reports/originals/Microsoft_FY2026_10K.pdf
One-based PDF page: 52
Source units: USD millions; conversion: none
Status: reported.</x:t>
        </x:r>
      </x:text>
    </x:comment>
    <x:comment ref="D248" authorId="0">
      <x:text>
        <x:r>
          <x:t>Property and equipment, net of accumulated depreciation of $118,691 and $93,653. https://www.sec.gov/Archives/edgar/data/789019/000119312526323660/msft-20260630.htm
Original PDF: data/raw/reports/originals/Microsoft_FY2026_10K.pdf
One-based PDF page: 52
Source units: USD millions; conversion: none
Status: reported.</x:t>
        </x:r>
      </x:text>
    </x:comment>
    <x:comment ref="D249" authorId="0">
      <x:text>
        <x:r>
          <x:t>Depreciation expense. https://www.sec.gov/Archives/edgar/data/789019/000156459019027952/
Original PDF: data/raw/reports/originals/Microsoft_FY2019_10K.pdf
One-based PDF page: 72
Source units: USD billions; conversion: multiply by 1000
Status: reported_billion_to_million.</x:t>
        </x:r>
      </x:text>
    </x:comment>
    <x:comment ref="D250" authorId="0">
      <x:text>
        <x:r>
          <x:t>Depreciation expense. https://www.sec.gov/Archives/edgar/data/789019/000156459020034944/
Original PDF: data/raw/reports/originals/Microsoft_FY2020_10K.pdf
One-based PDF page: 75
Source units: USD billions; conversion: multiply by 1000
Status: reported_billion_to_million.</x:t>
        </x:r>
      </x:text>
    </x:comment>
    <x:comment ref="D251" authorId="0">
      <x:text>
        <x:r>
          <x:t>Depreciation expense. https://www.sec.gov/Archives/edgar/data/789019/000156459021039151/
Original PDF: data/raw/reports/originals/Microsoft_FY2021_10K.pdf
One-based PDF page: 77
Source units: USD billions; conversion: multiply by 1000
Status: reported_billion_to_million.</x:t>
        </x:r>
      </x:text>
    </x:comment>
    <x:comment ref="D252" authorId="0">
      <x:text>
        <x:r>
          <x:t>Depreciation expense. https://www.sec.gov/Archives/edgar/data/789019/000156459022026876/
Original PDF: data/raw/reports/originals/Microsoft_FY2022_10K.pdf
One-based PDF page: 77
Source units: USD billions; conversion: multiply by 1000
Status: reported_billion_to_million.</x:t>
        </x:r>
      </x:text>
    </x:comment>
    <x:comment ref="D253" authorId="0">
      <x:text>
        <x:r>
          <x:t>Depreciation expense. https://www.sec.gov/Archives/edgar/data/789019/000095017023035122/
Original PDF: data/raw/reports/originals/Microsoft_FY2023_10K.pdf
One-based PDF page: 78
Source units: USD billions; conversion: multiply by 1000
Status: reported_billion_to_million.</x:t>
        </x:r>
      </x:text>
    </x:comment>
    <x:comment ref="D254" authorId="0">
      <x:text>
        <x:r>
          <x:t>Depreciation expense. https://www.sec.gov/Archives/edgar/data/789019/000095017024087843/
Original PDF: data/raw/reports/originals/Microsoft_FY2024_10K.pdf
One-based PDF page: 76
Source units: USD billions; conversion: multiply by 1000
Status: reported_billion_to_million.</x:t>
        </x:r>
      </x:text>
    </x:comment>
    <x:comment ref="D255" authorId="0">
      <x:text>
        <x:r>
          <x:t>Depreciation expense. https://www.sec.gov/Archives/edgar/data/789019/000095017025100235/
Original PDF: data/raw/reports/originals/Microsoft_FY2025_10K.pdf
One-based PDF page: 69
Source units: USD billions; conversion: multiply by 1000
Status: reported_billion_to_million.</x:t>
        </x:r>
      </x:text>
    </x:comment>
    <x:comment ref="D256" authorId="0">
      <x:text>
        <x:r>
          <x:t>Depreciation expense. https://www.sec.gov/Archives/edgar/data/789019/000119312526323660/
Original PDF: data/raw/reports/originals/Microsoft_FY2026_10K.pdf
One-based PDF page: 69
Source units: USD billions; conversion: multiply by 1000
Status: reported_billion_to_million.</x:t>
        </x:r>
      </x:text>
    </x:comment>
    <x:comment ref="D257" authorId="0">
      <x:text>
        <x:r>
          <x:t>Depreciation expense. https://www.sec.gov/Archives/edgar/data/789019/000119312526323660/
Original PDF: data/raw/reports/originals/Microsoft_FY2026_10K.pdf
One-based PDF page: 69
Source units: USD billions; conversion: multiply by 1000
Status: reported_billion_to_million.</x:t>
        </x:r>
      </x:text>
    </x:comment>
    <x:comment ref="D258" authorId="0">
      <x:text>
        <x:r>
          <x:t>Depreciation expense. https://www.sec.gov/Archives/edgar/data/789019/000119312526323660/
Original PDF: data/raw/reports/originals/Microsoft_FY2026_10K.pdf
One-based PDF page: 69
Source units: USD billions; conversion: multiply by 1000
Status: reported_billion_to_million.</x:t>
        </x:r>
      </x:text>
    </x:comment>
    <x:comment ref="D259" authorId="0">
      <x:text>
        <x:r>
          <x:t>Amortization expense. https://www.sec.gov/Archives/edgar/data/789019/000156459019027952/
Original PDF: data/raw/reports/originals/Microsoft_FY2019_10K.pdf
One-based PDF page: 76
Source units: USD billions; conversion: multiply by 1000
Status: reported_billion_to_million.</x:t>
        </x:r>
      </x:text>
    </x:comment>
    <x:comment ref="D260" authorId="0">
      <x:text>
        <x:r>
          <x:t>Amortization expense. https://www.sec.gov/Archives/edgar/data/789019/000156459020034944/
Original PDF: data/raw/reports/originals/Microsoft_FY2020_10K.pdf
One-based PDF page: 77
Source units: USD billions; conversion: multiply by 1000
Status: reported_billion_to_million.</x:t>
        </x:r>
      </x:text>
    </x:comment>
    <x:comment ref="D261" authorId="0">
      <x:text>
        <x:r>
          <x:t>Amortization expense. https://www.sec.gov/Archives/edgar/data/789019/000156459021039151/
Original PDF: data/raw/reports/originals/Microsoft_FY2021_10K.pdf
One-based PDF page: 80
Source units: USD billions; conversion: multiply by 1000
Status: reported_billion_to_million.</x:t>
        </x:r>
      </x:text>
    </x:comment>
    <x:comment ref="D262" authorId="0">
      <x:text>
        <x:r>
          <x:t>Amortization expense. https://www.sec.gov/Archives/edgar/data/789019/000156459022026876/
Original PDF: data/raw/reports/originals/Microsoft_FY2022_10K.pdf
One-based PDF page: 80
Source units: USD billions; conversion: multiply by 1000
Status: reported_billion_to_million.</x:t>
        </x:r>
      </x:text>
    </x:comment>
    <x:comment ref="D263" authorId="0">
      <x:text>
        <x:r>
          <x:t>Amortization expense. https://www.sec.gov/Archives/edgar/data/789019/000095017023035122/
Original PDF: data/raw/reports/originals/Microsoft_FY2023_10K.pdf
One-based PDF page: 80
Source units: USD billions; conversion: multiply by 1000
Status: reported_billion_to_million.</x:t>
        </x:r>
      </x:text>
    </x:comment>
    <x:comment ref="D264" authorId="0">
      <x:text>
        <x:r>
          <x:t>Amortization expense. https://www.sec.gov/Archives/edgar/data/789019/000095017024087843/
Original PDF: data/raw/reports/originals/Microsoft_FY2024_10K.pdf
One-based PDF page: 79
Source units: USD billions; conversion: multiply by 1000
Status: reported_billion_to_million.</x:t>
        </x:r>
      </x:text>
    </x:comment>
    <x:comment ref="D265" authorId="0">
      <x:text>
        <x:r>
          <x:t>Amortization expense. https://www.sec.gov/Archives/edgar/data/789019/000095017025100235/
Original PDF: data/raw/reports/originals/Microsoft_FY2025_10K.pdf
One-based PDF page: 72
Source units: USD billions; conversion: multiply by 1000
Status: reported_billion_to_million.</x:t>
        </x:r>
      </x:text>
    </x:comment>
    <x:comment ref="D266" authorId="0">
      <x:text>
        <x:r>
          <x:t>Amortization expense. https://www.sec.gov/Archives/edgar/data/789019/000119312526323660/
Original PDF: data/raw/reports/originals/Microsoft_FY2026_10K.pdf
One-based PDF page: 71
Source units: USD billions; conversion: multiply by 1000
Status: reported_billion_to_million.</x:t>
        </x:r>
      </x:text>
    </x:comment>
    <x:comment ref="D267" authorId="0">
      <x:text>
        <x:r>
          <x:t>Amortization expense. https://www.sec.gov/Archives/edgar/data/789019/000119312526323660/
Original PDF: data/raw/reports/originals/Microsoft_FY2026_10K.pdf
One-based PDF page: 71
Source units: USD billions; conversion: multiply by 1000
Status: reported_billion_to_million.</x:t>
        </x:r>
      </x:text>
    </x:comment>
    <x:comment ref="D268" authorId="0">
      <x:text>
        <x:r>
          <x:t>Amortization expense. https://www.sec.gov/Archives/edgar/data/789019/000119312526323660/
Original PDF: data/raw/reports/originals/Microsoft_FY2026_10K.pdf
One-based PDF page: 71
Source units: USD billions; conversion: multiply by 1000
Status: reported_billion_to_million.</x:t>
        </x:r>
      </x:text>
    </x:comment>
    <x:comment ref="D269" authorId="0">
      <x:text>
        <x:r>
          <x:t>finance lease liab. https://www.sec.gov/Archives/edgar/data/789019/000156459018019062/
Original PDF: data/raw/reports/originals/Microsoft_FY2018_10K.pdf
One-based PDF page: 87
Source units: USD millions; conversion: none
Status: reported.</x:t>
        </x:r>
      </x:text>
    </x:comment>
    <x:comment ref="D270" authorId="0">
      <x:text>
        <x:r>
          <x:t>finance lease liab. https://www.sec.gov/Archives/edgar/data/789019/000156459019027952/
Original PDF: data/raw/reports/originals/Microsoft_FY2019_10K.pdf
One-based PDF page: 83
Source units: USD millions; conversion: none
Status: reported.</x:t>
        </x:r>
      </x:text>
    </x:comment>
    <x:comment ref="D271" authorId="0">
      <x:text>
        <x:r>
          <x:t>finance lease liab. https://www.sec.gov/Archives/edgar/data/789019/000156459020034944/
Original PDF: data/raw/reports/originals/Microsoft_FY2020_10K.pdf
One-based PDF page: 84
Source units: USD millions; conversion: none
Status: reported.</x:t>
        </x:r>
      </x:text>
    </x:comment>
    <x:comment ref="D272" authorId="0">
      <x:text>
        <x:r>
          <x:t>finance lease liab. https://www.sec.gov/Archives/edgar/data/789019/000156459021039151/
Original PDF: data/raw/reports/originals/Microsoft_FY2021_10K.pdf
One-based PDF page: 87
Source units: USD millions; conversion: none
Status: reported.</x:t>
        </x:r>
      </x:text>
    </x:comment>
    <x:comment ref="D273" authorId="0">
      <x:text>
        <x:r>
          <x:t>finance lease liab. https://www.sec.gov/Archives/edgar/data/789019/000156459022026876/
Original PDF: data/raw/reports/originals/Microsoft_FY2022_10K.pdf
One-based PDF page: 87
Source units: USD millions; conversion: none
Status: reported.</x:t>
        </x:r>
      </x:text>
    </x:comment>
    <x:comment ref="D274" authorId="0">
      <x:text>
        <x:r>
          <x:t>finance lease liab. https://www.sec.gov/Archives/edgar/data/789019/000095017023035122/
Original PDF: data/raw/reports/originals/Microsoft_FY2023_10K.pdf
One-based PDF page: 87
Source units: USD millions; conversion: none
Status: reported.</x:t>
        </x:r>
      </x:text>
    </x:comment>
    <x:comment ref="D275" authorId="0">
      <x:text>
        <x:r>
          <x:t>finance lease liab. https://www.sec.gov/Archives/edgar/data/789019/000095017024087843/
Original PDF: data/raw/reports/originals/Microsoft_FY2024_10K.pdf
One-based PDF page: 85
Source units: USD millions; conversion: none
Status: reported.</x:t>
        </x:r>
      </x:text>
    </x:comment>
    <x:comment ref="D276" authorId="0">
      <x:text>
        <x:r>
          <x:t>finance lease liab. https://www.sec.gov/Archives/edgar/data/789019/000095017025100235/
Original PDF: data/raw/reports/originals/Microsoft_FY2025_10K.pdf
One-based PDF page: 78
Source units: USD millions; conversion: none
Status: reported.</x:t>
        </x:r>
      </x:text>
    </x:comment>
    <x:comment ref="D277" authorId="0">
      <x:text>
        <x:r>
          <x:t>finance lease liab. https://www.sec.gov/Archives/edgar/data/789019/000119312526323660/
Original PDF: data/raw/reports/originals/Microsoft_FY2026_10K.pdf
One-based PDF page: 78
Source units: USD millions; conversion: none
Status: reported.</x:t>
        </x:r>
      </x:text>
    </x:comment>
    <x:comment ref="D278" authorId="0">
      <x:text>
        <x:r>
          <x:t>finance lease liab. https://www.sec.gov/Archives/edgar/data/789019/000119312526323660/
Original PDF: data/raw/reports/originals/Microsoft_FY2026_10K.pdf
One-based PDF page: 78
Source units: USD millions; conversion: none
Status: reported.</x:t>
        </x:r>
      </x:text>
    </x:comment>
    <x:comment ref="D279" authorId="0">
      <x:text>
        <x:r>
          <x:t>finance lease additions. https://www.sec.gov/Archives/edgar/data/789019/000156459019027952/
Original PDF: data/raw/reports/originals/Microsoft_FY2019_10K.pdf
One-based PDF page: 83
Source units: USD millions; conversion: none
Status: reported.</x:t>
        </x:r>
      </x:text>
    </x:comment>
    <x:comment ref="D280" authorId="0">
      <x:text>
        <x:r>
          <x:t>finance lease additions. https://www.sec.gov/Archives/edgar/data/789019/000156459020034944/
Original PDF: data/raw/reports/originals/Microsoft_FY2020_10K.pdf
One-based PDF page: 83
Source units: USD millions; conversion: none
Status: reported.</x:t>
        </x:r>
      </x:text>
    </x:comment>
    <x:comment ref="D281" authorId="0">
      <x:text>
        <x:r>
          <x:t>finance lease additions. https://www.sec.gov/Archives/edgar/data/789019/000156459021039151/
Original PDF: data/raw/reports/originals/Microsoft_FY2021_10K.pdf
One-based PDF page: 86
Source units: USD millions; conversion: none
Status: reported.</x:t>
        </x:r>
      </x:text>
    </x:comment>
    <x:comment ref="D282" authorId="0">
      <x:text>
        <x:r>
          <x:t>finance lease additions. https://www.sec.gov/Archives/edgar/data/789019/000156459022026876/
Original PDF: data/raw/reports/originals/Microsoft_FY2022_10K.pdf
One-based PDF page: 86
Source units: USD millions; conversion: none
Status: reported.</x:t>
        </x:r>
      </x:text>
    </x:comment>
    <x:comment ref="D283" authorId="0">
      <x:text>
        <x:r>
          <x:t>finance lease additions. https://www.sec.gov/Archives/edgar/data/789019/000095017023035122/
Original PDF: data/raw/reports/originals/Microsoft_FY2023_10K.pdf
One-based PDF page: 86
Source units: USD millions; conversion: none
Status: reported.</x:t>
        </x:r>
      </x:text>
    </x:comment>
    <x:comment ref="D284" authorId="0">
      <x:text>
        <x:r>
          <x:t>finance lease additions. https://www.sec.gov/Archives/edgar/data/789019/000095017024087843/
Original PDF: data/raw/reports/originals/Microsoft_FY2024_10K.pdf
One-based PDF page: 85
Source units: USD millions; conversion: none
Status: reported.</x:t>
        </x:r>
      </x:text>
    </x:comment>
    <x:comment ref="D285" authorId="0">
      <x:text>
        <x:r>
          <x:t>finance lease additions. https://www.sec.gov/Archives/edgar/data/789019/000095017025100235/
Original PDF: data/raw/reports/originals/Microsoft_FY2025_10K.pdf
One-based PDF page: 77
Source units: USD millions; conversion: none
Status: reported.</x:t>
        </x:r>
      </x:text>
    </x:comment>
    <x:comment ref="D286" authorId="0">
      <x:text>
        <x:r>
          <x:t>finance lease additions. https://www.sec.gov/Archives/edgar/data/789019/000119312526323660/
Original PDF: data/raw/reports/originals/Microsoft_FY2026_10K.pdf
One-based PDF page: 78
Source units: USD millions; conversion: none
Status: reported.</x:t>
        </x:r>
      </x:text>
    </x:comment>
    <x:comment ref="D287" authorId="0">
      <x:text>
        <x:r>
          <x:t>finance lease additions. https://www.sec.gov/Archives/edgar/data/789019/000119312526323660/
Original PDF: data/raw/reports/originals/Microsoft_FY2026_10K.pdf
One-based PDF page: 78
Source units: USD millions; conversion: none
Status: reported.</x:t>
        </x:r>
      </x:text>
    </x:comment>
    <x:comment ref="D288" authorId="0">
      <x:text>
        <x:r>
          <x:t>finance lease additions. https://www.sec.gov/Archives/edgar/data/789019/000119312526323660/
Original PDF: data/raw/reports/originals/Microsoft_FY2026_10K.pdf
One-based PDF page: 78
Source units: USD millions; conversion: none
Status: reported.</x:t>
        </x:r>
      </x:text>
    </x:comment>
    <x:comment ref="D289" authorId="0">
      <x:text>
        <x:r>
          <x:t>Financing cash flows from finance leases. https://www.sec.gov/Archives/edgar/data/789019/000156459019027952/
Original PDF: data/raw/reports/originals/Microsoft_FY2019_10K.pdf
One-based PDF page: 83
Source units: USD millions; conversion: none
Status: reported.</x:t>
        </x:r>
      </x:text>
    </x:comment>
    <x:comment ref="D290" authorId="0">
      <x:text>
        <x:r>
          <x:t>Financing cash flows from finance leases. https://www.sec.gov/Archives/edgar/data/789019/000156459020034944/
Original PDF: data/raw/reports/originals/Microsoft_FY2020_10K.pdf
One-based PDF page: 83
Source units: USD millions; conversion: none
Status: reported.</x:t>
        </x:r>
      </x:text>
    </x:comment>
    <x:comment ref="D291" authorId="0">
      <x:text>
        <x:r>
          <x:t>Financing cash flows from finance leases. https://www.sec.gov/Archives/edgar/data/789019/000156459021039151/
Original PDF: data/raw/reports/originals/Microsoft_FY2021_10K.pdf
One-based PDF page: 86
Source units: USD millions; conversion: none
Status: reported.</x:t>
        </x:r>
      </x:text>
    </x:comment>
    <x:comment ref="D292" authorId="0">
      <x:text>
        <x:r>
          <x:t>Financing cash flows from finance leases. https://www.sec.gov/Archives/edgar/data/789019/000156459022026876/
Original PDF: data/raw/reports/originals/Microsoft_FY2022_10K.pdf
One-based PDF page: 86
Source units: USD millions; conversion: none
Status: reported.</x:t>
        </x:r>
      </x:text>
    </x:comment>
    <x:comment ref="D293" authorId="0">
      <x:text>
        <x:r>
          <x:t>Financing cash flows from finance leases. https://www.sec.gov/Archives/edgar/data/789019/000095017023035122/
Original PDF: data/raw/reports/originals/Microsoft_FY2023_10K.pdf
One-based PDF page: 86
Source units: USD millions; conversion: none
Status: reported.</x:t>
        </x:r>
      </x:text>
    </x:comment>
    <x:comment ref="D294" authorId="0">
      <x:text>
        <x:r>
          <x:t>Financing cash flows from finance leases. https://www.sec.gov/Archives/edgar/data/789019/000095017024087843/
Original PDF: data/raw/reports/originals/Microsoft_FY2024_10K.pdf
One-based PDF page: 85
Source units: USD millions; conversion: none
Status: reported.</x:t>
        </x:r>
      </x:text>
    </x:comment>
    <x:comment ref="D295" authorId="0">
      <x:text>
        <x:r>
          <x:t>Financing cash flows from finance leases. https://www.sec.gov/Archives/edgar/data/789019/000095017025100235/
Original PDF: data/raw/reports/originals/Microsoft_FY2025_10K.pdf
One-based PDF page: 77
Source units: USD millions; conversion: none
Status: reported.</x:t>
        </x:r>
      </x:text>
    </x:comment>
    <x:comment ref="D296" authorId="0">
      <x:text>
        <x:r>
          <x:t>Financing cash flows from finance leases. https://www.sec.gov/Archives/edgar/data/789019/000119312526323660/
Original PDF: data/raw/reports/originals/Microsoft_FY2026_10K.pdf
One-based PDF page: 78
Source units: USD millions; conversion: none
Status: reported.</x:t>
        </x:r>
      </x:text>
    </x:comment>
    <x:comment ref="D297" authorId="0">
      <x:text>
        <x:r>
          <x:t>Financing cash flows from finance leases. https://www.sec.gov/Archives/edgar/data/789019/000119312526323660/
Original PDF: data/raw/reports/originals/Microsoft_FY2026_10K.pdf
One-based PDF page: 78
Source units: USD millions; conversion: none
Status: reported.</x:t>
        </x:r>
      </x:text>
    </x:comment>
    <x:comment ref="D298" authorId="0">
      <x:text>
        <x:r>
          <x:t>Financing cash flows from finance leases. https://www.sec.gov/Archives/edgar/data/789019/000119312526323660/
Original PDF: data/raw/reports/originals/Microsoft_FY2026_10K.pdf
One-based PDF page: 78
Source units: USD millions; conversion: none
Status: reported.</x:t>
        </x:r>
      </x:text>
    </x:comment>
    <x:comment ref="D299" authorId="0">
      <x:text>
        <x:r>
          <x:t>Capital expenditure payables. 
Original PDF: 
One-based PDF page: unavailable
Source units: ; conversion: 
Status: unavailable_disclosure.</x:t>
        </x:r>
      </x:text>
    </x:comment>
    <x:comment ref="D300" authorId="0">
      <x:text>
        <x:r>
          <x:t>Capital expenditure payables. 
Original PDF: 
One-based PDF page: unavailable
Source units: ; conversion: 
Status: unavailable_disclosure.</x:t>
        </x:r>
      </x:text>
    </x:comment>
    <x:comment ref="D301" authorId="0">
      <x:text>
        <x:r>
          <x:t>Capital expenditure payables. 
Original PDF: 
One-based PDF page: unavailable
Source units: ; conversion: 
Status: unavailable_disclosure.</x:t>
        </x:r>
      </x:text>
    </x:comment>
    <x:comment ref="D302" authorId="0">
      <x:text>
        <x:r>
          <x:t>Capital expenditure payables. 
Original PDF: 
One-based PDF page: unavailable
Source units: ; conversion: 
Status: unavailable_disclosure.</x:t>
        </x:r>
      </x:text>
    </x:comment>
    <x:comment ref="D303" authorId="0">
      <x:text>
        <x:r>
          <x:t>Capital expenditure payables. 
Original PDF: 
One-based PDF page: unavailable
Source units: ; conversion: 
Status: unavailable_disclosure.</x:t>
        </x:r>
      </x:text>
    </x:comment>
    <x:comment ref="D304" authorId="0">
      <x:text>
        <x:r>
          <x:t>Capital expenditure payables. 
Original PDF: 
One-based PDF page: unavailable
Source units: ; conversion: 
Status: unavailable_disclosure.</x:t>
        </x:r>
      </x:text>
    </x:comment>
    <x:comment ref="D305" authorId="0">
      <x:text>
        <x:r>
          <x:t>Capital expenditure payables. 
Original PDF: 
One-based PDF page: unavailable
Source units: ; conversion: 
Status: unavailable_disclosure.</x:t>
        </x:r>
      </x:text>
    </x:comment>
    <x:comment ref="D306" authorId="0">
      <x:text>
        <x:r>
          <x:t>Capital expenditure payables. 
Original PDF: 
One-based PDF page: unavailable
Source units: ; conversion: 
Status: unavailable_disclosure.</x:t>
        </x:r>
      </x:text>
    </x:comment>
    <x:comment ref="D307" authorId="0">
      <x:text>
        <x:r>
          <x:t>Capital expenditure payables. 
Original PDF: 
One-based PDF page: unavailable
Source units: ; conversion: 
Status: unavailable_disclosure.</x:t>
        </x:r>
      </x:text>
    </x:comment>
    <x:comment ref="D308" authorId="0">
      <x:text>
        <x:r>
          <x:t>capex payables. https://www.sec.gov/Archives/edgar/data/789019/000119312526323660/msft-20260630.htm
Original PDF: data/raw/reports/originals/Microsoft_FY2026_10K.pdf
One-based PDF page: 69
Source units: USD billions; conversion: multiply by 1000
Status: reported_billion_to_million.</x:t>
        </x:r>
      </x:text>
    </x:comment>
    <x:comment ref="D309" authorId="0">
      <x:text>
        <x:r>
          <x:t>Current operating lease liability. 
Original PDF: 
One-based PDF page: unavailable
Source units: ; conversion: 
Status: unavailable_disclosure.</x:t>
        </x:r>
      </x:text>
    </x:comment>
    <x:comment ref="D310" authorId="0">
      <x:text>
        <x:r>
          <x:t>Current operating lease liability. 
Original PDF: 
One-based PDF page: unavailable
Source units: ; conversion: 
Status: unavailable_disclosure.</x:t>
        </x:r>
      </x:text>
    </x:comment>
    <x:comment ref="D311" authorId="0">
      <x:text>
        <x:r>
          <x:t>Current operating lease liability. 
Original PDF: 
One-based PDF page: unavailable
Source units: ; conversion: 
Status: unavailable_disclosure.</x:t>
        </x:r>
      </x:text>
    </x:comment>
    <x:comment ref="D312" authorId="0">
      <x:text>
        <x:r>
          <x:t>Current operating lease liability. 
Original PDF: 
One-based PDF page: unavailable
Source units: ; conversion: 
Status: unavailable_disclosure.</x:t>
        </x:r>
      </x:text>
    </x:comment>
    <x:comment ref="D313" authorId="0">
      <x:text>
        <x:r>
          <x:t>Current operating lease liability. 
Original PDF: 
One-based PDF page: unavailable
Source units: ; conversion: 
Status: unavailable_disclosure.</x:t>
        </x:r>
      </x:text>
    </x:comment>
    <x:comment ref="D314" authorId="0">
      <x:text>
        <x:r>
          <x:t>Current operating lease liability. 
Original PDF: 
One-based PDF page: unavailable
Source units: ; conversion: 
Status: unavailable_disclosure.</x:t>
        </x:r>
      </x:text>
    </x:comment>
    <x:comment ref="D315" authorId="0">
      <x:text>
        <x:r>
          <x:t>Current operating lease liability. 
Original PDF: 
One-based PDF page: unavailable
Source units: ; conversion: 
Status: unavailable_disclosure.</x:t>
        </x:r>
      </x:text>
    </x:comment>
    <x:comment ref="D316" authorId="0">
      <x:text>
        <x:r>
          <x:t>Current operating lease liability. 
Original PDF: 
One-based PDF page: unavailable
Source units: ; conversion: 
Status: unavailable_disclosure.</x:t>
        </x:r>
      </x:text>
    </x:comment>
    <x:comment ref="D317" authorId="0">
      <x:text>
        <x:r>
          <x:t>Current operating lease liability. 
Original PDF: 
One-based PDF page: unavailable
Source units: ; conversion: 
Status: unavailable_disclosure.</x:t>
        </x:r>
      </x:text>
    </x:comment>
    <x:comment ref="D318" authorId="0">
      <x:text>
        <x:r>
          <x:t>op lease current. https://www.sec.gov/Archives/edgar/data/789019/000119312526323660/msft-20260630.htm
Original PDF: data/raw/reports/originals/Microsoft_FY2026_10K.pdf
One-based PDF page: 78
Source units: USD millions; conversion: none
Status: reported.</x:t>
        </x:r>
      </x:text>
    </x:comment>
    <x:comment ref="D319" authorId="0">
      <x:text>
        <x:r>
          <x:t>Current finance lease liability. 
Original PDF: 
One-based PDF page: unavailable
Source units: ; conversion: 
Status: unavailable_disclosure.</x:t>
        </x:r>
      </x:text>
    </x:comment>
    <x:comment ref="D320" authorId="0">
      <x:text>
        <x:r>
          <x:t>Current finance lease liability. 
Original PDF: 
One-based PDF page: unavailable
Source units: ; conversion: 
Status: unavailable_disclosure.</x:t>
        </x:r>
      </x:text>
    </x:comment>
    <x:comment ref="D321" authorId="0">
      <x:text>
        <x:r>
          <x:t>Current finance lease liability. 
Original PDF: 
One-based PDF page: unavailable
Source units: ; conversion: 
Status: unavailable_disclosure.</x:t>
        </x:r>
      </x:text>
    </x:comment>
    <x:comment ref="D322" authorId="0">
      <x:text>
        <x:r>
          <x:t>Current finance lease liability. 
Original PDF: 
One-based PDF page: unavailable
Source units: ; conversion: 
Status: unavailable_disclosure.</x:t>
        </x:r>
      </x:text>
    </x:comment>
    <x:comment ref="D323" authorId="0">
      <x:text>
        <x:r>
          <x:t>Current finance lease liability. 
Original PDF: 
One-based PDF page: unavailable
Source units: ; conversion: 
Status: unavailable_disclosure.</x:t>
        </x:r>
      </x:text>
    </x:comment>
    <x:comment ref="D324" authorId="0">
      <x:text>
        <x:r>
          <x:t>Current finance lease liability. 
Original PDF: 
One-based PDF page: unavailable
Source units: ; conversion: 
Status: unavailable_disclosure.</x:t>
        </x:r>
      </x:text>
    </x:comment>
    <x:comment ref="D325" authorId="0">
      <x:text>
        <x:r>
          <x:t>Current finance lease liability. 
Original PDF: 
One-based PDF page: unavailable
Source units: ; conversion: 
Status: unavailable_disclosure.</x:t>
        </x:r>
      </x:text>
    </x:comment>
    <x:comment ref="D326" authorId="0">
      <x:text>
        <x:r>
          <x:t>Current finance lease liability. 
Original PDF: 
One-based PDF page: unavailable
Source units: ; conversion: 
Status: unavailable_disclosure.</x:t>
        </x:r>
      </x:text>
    </x:comment>
    <x:comment ref="D327" authorId="0">
      <x:text>
        <x:r>
          <x:t>Current finance lease liability. 
Original PDF: 
One-based PDF page: unavailable
Source units: ; conversion: 
Status: unavailable_disclosure.</x:t>
        </x:r>
      </x:text>
    </x:comment>
    <x:comment ref="D328" authorId="0">
      <x:text>
        <x:r>
          <x:t>finance lease current. https://www.sec.gov/Archives/edgar/data/789019/000119312526323660/msft-20260630.htm
Original PDF: data/raw/reports/originals/Microsoft_FY2026_10K.pdf
One-based PDF page: 78
Source units: USD millions; conversion: none
Status: reported.</x:t>
        </x:r>
      </x:text>
    </x:comment>
    <x:comment ref="D329" authorId="0">
      <x:text>
        <x:r>
          <x:t>operating lease liab. https://www.sec.gov/Archives/edgar/data/789019/000156459018019062/
Original PDF: data/raw/reports/originals/Microsoft_FY2018_10K.pdf
One-based PDF page: 87
Source units: USD millions; conversion: none
Status: reported.</x:t>
        </x:r>
      </x:text>
    </x:comment>
    <x:comment ref="D330" authorId="0">
      <x:text>
        <x:r>
          <x:t>operating lease liab. https://www.sec.gov/Archives/edgar/data/789019/000156459019027952/
Original PDF: data/raw/reports/originals/Microsoft_FY2019_10K.pdf
One-based PDF page: 83
Source units: USD millions; conversion: none
Status: reported.</x:t>
        </x:r>
      </x:text>
    </x:comment>
    <x:comment ref="D331" authorId="0">
      <x:text>
        <x:r>
          <x:t>operating lease liab. https://www.sec.gov/Archives/edgar/data/789019/000156459020034944/
Original PDF: data/raw/reports/originals/Microsoft_FY2020_10K.pdf
One-based PDF page: 84
Source units: USD millions; conversion: none
Status: reported.</x:t>
        </x:r>
      </x:text>
    </x:comment>
    <x:comment ref="D332" authorId="0">
      <x:text>
        <x:r>
          <x:t>operating lease liab. https://www.sec.gov/Archives/edgar/data/789019/000156459021039151/
Original PDF: data/raw/reports/originals/Microsoft_FY2021_10K.pdf
One-based PDF page: 87
Source units: USD millions; conversion: none
Status: reported.</x:t>
        </x:r>
      </x:text>
    </x:comment>
    <x:comment ref="D333" authorId="0">
      <x:text>
        <x:r>
          <x:t>operating lease liab. https://www.sec.gov/Archives/edgar/data/789019/000156459022026876/
Original PDF: data/raw/reports/originals/Microsoft_FY2022_10K.pdf
One-based PDF page: 87
Source units: USD millions; conversion: none
Status: reported.</x:t>
        </x:r>
      </x:text>
    </x:comment>
    <x:comment ref="D334" authorId="0">
      <x:text>
        <x:r>
          <x:t>operating lease liab. https://www.sec.gov/Archives/edgar/data/789019/000095017023035122/
Original PDF: data/raw/reports/originals/Microsoft_FY2023_10K.pdf
One-based PDF page: 87
Source units: USD millions; conversion: none
Status: reported.</x:t>
        </x:r>
      </x:text>
    </x:comment>
    <x:comment ref="D335" authorId="0">
      <x:text>
        <x:r>
          <x:t>operating lease liab. https://www.sec.gov/Archives/edgar/data/789019/000095017024087843/
Original PDF: data/raw/reports/originals/Microsoft_FY2024_10K.pdf
One-based PDF page: 85
Source units: USD millions; conversion: none
Status: reported.</x:t>
        </x:r>
      </x:text>
    </x:comment>
    <x:comment ref="D336" authorId="0">
      <x:text>
        <x:r>
          <x:t>operating lease liab. https://www.sec.gov/Archives/edgar/data/789019/000095017025100235/
Original PDF: data/raw/reports/originals/Microsoft_FY2025_10K.pdf
One-based PDF page: 78
Source units: USD millions; conversion: none
Status: reported.</x:t>
        </x:r>
      </x:text>
    </x:comment>
    <x:comment ref="D337" authorId="0">
      <x:text>
        <x:r>
          <x:t>operating lease liab. https://www.sec.gov/Archives/edgar/data/789019/000119312526323660/
Original PDF: data/raw/reports/originals/Microsoft_FY2026_10K.pdf
One-based PDF page: 78
Source units: USD millions; conversion: none
Status: reported.</x:t>
        </x:r>
      </x:text>
    </x:comment>
    <x:comment ref="D338" authorId="0">
      <x:text>
        <x:r>
          <x:t>operating lease liab. https://www.sec.gov/Archives/edgar/data/789019/000119312526323660/
Original PDF: data/raw/reports/originals/Microsoft_FY2026_10K.pdf
One-based PDF page: 78
Source units: USD millions; conversion: none
Status: reported.</x:t>
        </x:r>
      </x:text>
    </x:comment>
    <x:comment ref="D339" authorId="0">
      <x:text>
        <x:r>
          <x:t>Operating lease cost. https://www.sec.gov/Archives/edgar/data/789019/000156459019027952/
Original PDF: data/raw/reports/originals/Microsoft_FY2019_10K.pdf
One-based PDF page: 82
Source units: USD millions; conversion: none
Status: reported.</x:t>
        </x:r>
      </x:text>
    </x:comment>
    <x:comment ref="D340" authorId="0">
      <x:text>
        <x:r>
          <x:t>Operating lease cost. https://www.sec.gov/Archives/edgar/data/789019/000156459020034944/
Original PDF: data/raw/reports/originals/Microsoft_FY2020_10K.pdf
One-based PDF page: 83
Source units: USD millions; conversion: none
Status: reported.</x:t>
        </x:r>
      </x:text>
    </x:comment>
    <x:comment ref="D341" authorId="0">
      <x:text>
        <x:r>
          <x:t>Operating lease cost. https://www.sec.gov/Archives/edgar/data/789019/000156459021039151/
Original PDF: data/raw/reports/originals/Microsoft_FY2021_10K.pdf
One-based PDF page: 86
Source units: USD millions; conversion: none
Status: reported.</x:t>
        </x:r>
      </x:text>
    </x:comment>
    <x:comment ref="D342" authorId="0">
      <x:text>
        <x:r>
          <x:t>Operating lease cost. https://www.sec.gov/Archives/edgar/data/789019/000156459022026876/
Original PDF: data/raw/reports/originals/Microsoft_FY2022_10K.pdf
One-based PDF page: 86
Source units: USD millions; conversion: none
Status: reported.</x:t>
        </x:r>
      </x:text>
    </x:comment>
    <x:comment ref="D343" authorId="0">
      <x:text>
        <x:r>
          <x:t>Operating lease cost. https://www.sec.gov/Archives/edgar/data/789019/000095017023035122/
Original PDF: data/raw/reports/originals/Microsoft_FY2023_10K.pdf
One-based PDF page: 86
Source units: USD millions; conversion: none
Status: reported.</x:t>
        </x:r>
      </x:text>
    </x:comment>
    <x:comment ref="D344" authorId="0">
      <x:text>
        <x:r>
          <x:t>Operating lease cost. https://www.sec.gov/Archives/edgar/data/789019/000095017024087843/
Original PDF: data/raw/reports/originals/Microsoft_FY2024_10K.pdf
One-based PDF page: 85
Source units: USD millions; conversion: none
Status: reported.</x:t>
        </x:r>
      </x:text>
    </x:comment>
    <x:comment ref="D345" authorId="0">
      <x:text>
        <x:r>
          <x:t>Operating lease cost. https://www.sec.gov/Archives/edgar/data/789019/000095017025100235/
Original PDF: data/raw/reports/originals/Microsoft_FY2025_10K.pdf
One-based PDF page: 77
Source units: USD millions; conversion: none
Status: reported.</x:t>
        </x:r>
      </x:text>
    </x:comment>
    <x:comment ref="D346" authorId="0">
      <x:text>
        <x:r>
          <x:t>Operating lease cost. https://www.sec.gov/Archives/edgar/data/789019/000119312526323660/
Original PDF: data/raw/reports/originals/Microsoft_FY2026_10K.pdf
One-based PDF page: 77
Source units: USD millions; conversion: none
Status: reported.</x:t>
        </x:r>
      </x:text>
    </x:comment>
    <x:comment ref="D347" authorId="0">
      <x:text>
        <x:r>
          <x:t>Operating lease cost. https://www.sec.gov/Archives/edgar/data/789019/000119312526323660/
Original PDF: data/raw/reports/originals/Microsoft_FY2026_10K.pdf
One-based PDF page: 77
Source units: USD millions; conversion: none
Status: reported.</x:t>
        </x:r>
      </x:text>
    </x:comment>
    <x:comment ref="D348" authorId="0">
      <x:text>
        <x:r>
          <x:t>Operating lease cost. https://www.sec.gov/Archives/edgar/data/789019/000119312526323660/
Original PDF: data/raw/reports/originals/Microsoft_FY2026_10K.pdf
One-based PDF page: 77
Source units: USD millions; conversion: none
Status: reported.</x:t>
        </x:r>
      </x:text>
    </x:comment>
    <x:comment ref="D349" authorId="0">
      <x:text>
        <x:r>
          <x:t>Debt principal outstanding. 
Original PDF: 
One-based PDF page: unavailable
Source units: ; conversion: 
Status: unavailable_disclosure.</x:t>
        </x:r>
      </x:text>
    </x:comment>
    <x:comment ref="D350" authorId="0">
      <x:text>
        <x:r>
          <x:t>Debt principal outstanding. 
Original PDF: 
One-based PDF page: unavailable
Source units: ; conversion: 
Status: unavailable_disclosure.</x:t>
        </x:r>
      </x:text>
    </x:comment>
    <x:comment ref="D351" authorId="0">
      <x:text>
        <x:r>
          <x:t>Debt principal outstanding. 
Original PDF: 
One-based PDF page: unavailable
Source units: ; conversion: 
Status: unavailable_disclosure.</x:t>
        </x:r>
      </x:text>
    </x:comment>
    <x:comment ref="D352" authorId="0">
      <x:text>
        <x:r>
          <x:t>Debt principal outstanding. 
Original PDF: 
One-based PDF page: unavailable
Source units: ; conversion: 
Status: unavailable_disclosure.</x:t>
        </x:r>
      </x:text>
    </x:comment>
    <x:comment ref="D353" authorId="0">
      <x:text>
        <x:r>
          <x:t>Debt principal outstanding. 
Original PDF: 
One-based PDF page: unavailable
Source units: ; conversion: 
Status: unavailable_disclosure.</x:t>
        </x:r>
      </x:text>
    </x:comment>
    <x:comment ref="D354" authorId="0">
      <x:text>
        <x:r>
          <x:t>Debt principal outstanding. 
Original PDF: 
One-based PDF page: unavailable
Source units: ; conversion: 
Status: unavailable_disclosure.</x:t>
        </x:r>
      </x:text>
    </x:comment>
    <x:comment ref="D355" authorId="0">
      <x:text>
        <x:r>
          <x:t>Debt principal outstanding. 
Original PDF: 
One-based PDF page: unavailable
Source units: ; conversion: 
Status: unavailable_disclosure.</x:t>
        </x:r>
      </x:text>
    </x:comment>
    <x:comment ref="D356" authorId="0">
      <x:text>
        <x:r>
          <x:t>Debt principal outstanding. 
Original PDF: 
One-based PDF page: unavailable
Source units: ; conversion: 
Status: unavailable_disclosure.</x:t>
        </x:r>
      </x:text>
    </x:comment>
    <x:comment ref="D357" authorId="0">
      <x:text>
        <x:r>
          <x:t>Debt principal outstanding. 
Original PDF: 
One-based PDF page: unavailable
Source units: ; conversion: 
Status: unavailable_disclosure.</x:t>
        </x:r>
      </x:text>
    </x:comment>
    <x:comment ref="D358" authorId="0">
      <x:text>
        <x:r>
          <x:t>Total face value. https://www.sec.gov/Archives/edgar/data/789019/000119312526323660/msft-20260630.htm
Original PDF: data/raw/reports/originals/Microsoft_FY2026_10K.pdf
One-based PDF page: 72
Source units: USD millions; conversion: none
Status: reported.</x:t>
        </x:r>
      </x:text>
    </x:comment>
    <x:comment ref="D359" authorId="0">
      <x:text>
        <x:r>
          <x:t>Interest expense. 
Original PDF: 
One-based PDF page: unavailable
Source units: ; conversion: 
Status: unavailable_disclosure.</x:t>
        </x:r>
      </x:text>
    </x:comment>
    <x:comment ref="D360" authorId="0">
      <x:text>
        <x:r>
          <x:t>Interest expense. 
Original PDF: 
One-based PDF page: unavailable
Source units: ; conversion: 
Status: unavailable_disclosure.</x:t>
        </x:r>
      </x:text>
    </x:comment>
    <x:comment ref="D361" authorId="0">
      <x:text>
        <x:r>
          <x:t>Interest expense. 
Original PDF: 
One-based PDF page: unavailable
Source units: ; conversion: 
Status: unavailable_disclosure.</x:t>
        </x:r>
      </x:text>
    </x:comment>
    <x:comment ref="D362" authorId="0">
      <x:text>
        <x:r>
          <x:t>Interest expense. 
Original PDF: 
One-based PDF page: unavailable
Source units: ; conversion: 
Status: unavailable_disclosure.</x:t>
        </x:r>
      </x:text>
    </x:comment>
    <x:comment ref="D363" authorId="0">
      <x:text>
        <x:r>
          <x:t>Interest expense. 
Original PDF: 
One-based PDF page: unavailable
Source units: ; conversion: 
Status: unavailable_disclosure.</x:t>
        </x:r>
      </x:text>
    </x:comment>
    <x:comment ref="D364" authorId="0">
      <x:text>
        <x:r>
          <x:t>Interest expense. 
Original PDF: 
One-based PDF page: unavailable
Source units: ; conversion: 
Status: unavailable_disclosure.</x:t>
        </x:r>
      </x:text>
    </x:comment>
    <x:comment ref="D365" authorId="0">
      <x:text>
        <x:r>
          <x:t>interest expense. https://www.sec.gov/Archives/edgar/data/789019/000095017025100235/
Original PDF: data/raw/reports/originals/Microsoft_FY2025_10K.pdf
One-based PDF page: 62
Source units: USD millions; conversion: absolute magnitude
Status: reported_magnitude.</x:t>
        </x:r>
      </x:text>
    </x:comment>
    <x:comment ref="D366" authorId="0">
      <x:text>
        <x:r>
          <x:t>interest expense. https://www.sec.gov/Archives/edgar/data/789019/000119312526323660/
Original PDF: data/raw/reports/originals/Microsoft_FY2026_10K.pdf
One-based PDF page: 62
Source units: USD millions; conversion: absolute magnitude
Status: reported_magnitude.</x:t>
        </x:r>
      </x:text>
    </x:comment>
    <x:comment ref="D367" authorId="0">
      <x:text>
        <x:r>
          <x:t>interest expense. https://www.sec.gov/Archives/edgar/data/789019/000119312526323660/
Original PDF: data/raw/reports/originals/Microsoft_FY2026_10K.pdf
One-based PDF page: 62
Source units: USD millions; conversion: absolute magnitude
Status: reported_magnitude.</x:t>
        </x:r>
      </x:text>
    </x:comment>
    <x:comment ref="D368" authorId="0">
      <x:text>
        <x:r>
          <x:t>interest expense. https://www.sec.gov/Archives/edgar/data/789019/000119312526323660/
Original PDF: data/raw/reports/originals/Microsoft_FY2026_10K.pdf
One-based PDF page: 62
Source units: USD millions; conversion: absolute magnitude
Status: reported_magnitude.</x:t>
        </x:r>
      </x:text>
    </x:comment>
    <x:comment ref="D369" authorId="0">
      <x:text>
        <x:r>
          <x:t>Land cost. 
Original PDF: 
One-based PDF page: unavailable
Source units: ; conversion: 
Status: unavailable_disclosure.</x:t>
        </x:r>
      </x:text>
    </x:comment>
    <x:comment ref="D370" authorId="0">
      <x:text>
        <x:r>
          <x:t>Land cost. 
Original PDF: 
One-based PDF page: unavailable
Source units: ; conversion: 
Status: unavailable_disclosure.</x:t>
        </x:r>
      </x:text>
    </x:comment>
    <x:comment ref="D371" authorId="0">
      <x:text>
        <x:r>
          <x:t>Land cost. 
Original PDF: 
One-based PDF page: unavailable
Source units: ; conversion: 
Status: unavailable_disclosure.</x:t>
        </x:r>
      </x:text>
    </x:comment>
    <x:comment ref="D372" authorId="0">
      <x:text>
        <x:r>
          <x:t>Land cost. 
Original PDF: 
One-based PDF page: unavailable
Source units: ; conversion: 
Status: unavailable_disclosure.</x:t>
        </x:r>
      </x:text>
    </x:comment>
    <x:comment ref="D373" authorId="0">
      <x:text>
        <x:r>
          <x:t>Land cost. 
Original PDF: 
One-based PDF page: unavailable
Source units: ; conversion: 
Status: unavailable_disclosure.</x:t>
        </x:r>
      </x:text>
    </x:comment>
    <x:comment ref="D374" authorId="0">
      <x:text>
        <x:r>
          <x:t>Land cost. 
Original PDF: 
One-based PDF page: unavailable
Source units: ; conversion: 
Status: unavailable_disclosure.</x:t>
        </x:r>
      </x:text>
    </x:comment>
    <x:comment ref="D375" authorId="0">
      <x:text>
        <x:r>
          <x:t>Land cost. 
Original PDF: 
One-based PDF page: unavailable
Source units: ; conversion: 
Status: unavailable_disclosure.</x:t>
        </x:r>
      </x:text>
    </x:comment>
    <x:comment ref="D376" authorId="0">
      <x:text>
        <x:r>
          <x:t>Land cost. 
Original PDF: 
One-based PDF page: unavailable
Source units: ; conversion: 
Status: unavailable_disclosure.</x:t>
        </x:r>
      </x:text>
    </x:comment>
    <x:comment ref="D377" authorId="0">
      <x:text>
        <x:r>
          <x:t>Land cost. 
Original PDF: 
One-based PDF page: unavailable
Source units: ; conversion: 
Status: unavailable_disclosure.</x:t>
        </x:r>
      </x:text>
    </x:comment>
    <x:comment ref="D378" authorId="0">
      <x:text>
        <x:r>
          <x:t>land. https://www.sec.gov/Archives/edgar/data/789019/000119312526323660/msft-20260630.htm
Original PDF: data/raw/reports/originals/Microsoft_FY2026_10K.pdf
One-based PDF page: 69
Source units: USD millions; conversion: none
Status: reported.</x:t>
        </x:r>
      </x:text>
    </x:comment>
    <x:comment ref="D379" authorId="0">
      <x:text>
        <x:r>
          <x:t>Productivity and Business Processes revenue. https://www.microsoft.com/investor/reports/ar19/index.html
Original PDF: data/raw/reports/originals/Microsoft_FY2019_10K.pdf
One-based PDF page: 90
Source units: USD millions; conversion: none
Status: reported.</x:t>
        </x:r>
      </x:text>
    </x:comment>
    <x:comment ref="D380" authorId="0">
      <x:text>
        <x:r>
          <x:t>Productivity and Business Processes revenue. https://www.microsoft.com/investor/reports/ar20/index.html
Original PDF: data/raw/reports/originals/Microsoft_FY2020_10K.pdf
One-based PDF page: 91
Source units: USD millions; conversion: none
Status: reported.</x:t>
        </x:r>
      </x:text>
    </x:comment>
    <x:comment ref="D381" authorId="0">
      <x:text>
        <x:r>
          <x:t>Productivity and Business Processes revenue. https://www.microsoft.com/investor/reports/ar21/index.html
Original PDF: data/raw/reports/originals/Microsoft_FY2021_10K.pdf
One-based PDF page: 94
Source units: USD millions; conversion: none
Status: reported.</x:t>
        </x:r>
      </x:text>
    </x:comment>
    <x:comment ref="D382" authorId="0">
      <x:text>
        <x:r>
          <x:t>Productivity and Business Processes revenue. https://www.microsoft.com/investor/reports/ar22/index.html
Original PDF: data/raw/reports/originals/Microsoft_FY2022_10K.pdf
One-based PDF page: 94
Source units: USD millions; conversion: none
Status: reported.</x:t>
        </x:r>
      </x:text>
    </x:comment>
    <x:comment ref="D383" authorId="0">
      <x:text>
        <x:r>
          <x:t>Productivity and Business Processes revenue. https://www.microsoft.com/investor/reports/ar23/index.html
Original PDF: data/raw/reports/originals/Microsoft_FY2023_10K.pdf
One-based PDF page: 94
Source units: USD millions; conversion: none
Status: reported.</x:t>
        </x:r>
      </x:text>
    </x:comment>
    <x:comment ref="D384" authorId="0">
      <x:text>
        <x:r>
          <x:t>Productivity and Business Processes revenue. https://www.microsoft.com/investor/reports/ar24/index.html
Original PDF: data/raw/reports/originals/Microsoft_FY2024_10K.pdf
One-based PDF page: 92
Source units: USD millions; conversion: none
Status: reported.</x:t>
        </x:r>
      </x:text>
    </x:comment>
    <x:comment ref="D385" authorId="0">
      <x:text>
        <x:r>
          <x:t>Productivity and Business Processes revenue. https://www.microsoft.com/investor/reports/ar25/index.html
Original PDF: data/raw/reports/originals/Microsoft_FY2025_10K.pdf
One-based PDF page: 84
Source units: USD millions; conversion: none
Status: reported.</x:t>
        </x:r>
      </x:text>
    </x:comment>
    <x:comment ref="D386" authorId="0">
      <x:text>
        <x:r>
          <x:t>Productivity and Business Processes revenue. https://www.sec.gov/Archives/edgar/data/789019/000119312526323660/msft-20260630.htm
Original PDF: data/raw/reports/originals/Microsoft_FY2026_10K.pdf
One-based PDF page: 84
Source units: USD millions; conversion: none
Status: reported.</x:t>
        </x:r>
      </x:text>
    </x:comment>
    <x:comment ref="D387" authorId="0">
      <x:text>
        <x:r>
          <x:t>Productivity and Business Processes revenue. https://www.sec.gov/Archives/edgar/data/789019/000119312526323660/msft-20260630.htm
Original PDF: data/raw/reports/originals/Microsoft_FY2026_10K.pdf
One-based PDF page: 84
Source units: USD millions; conversion: none
Status: reported.</x:t>
        </x:r>
      </x:text>
    </x:comment>
    <x:comment ref="D388" authorId="0">
      <x:text>
        <x:r>
          <x:t>Productivity and Business Processes revenue. https://www.sec.gov/Archives/edgar/data/789019/000119312526323660/msft-20260630.htm
Original PDF: data/raw/reports/originals/Microsoft_FY2026_10K.pdf
One-based PDF page: 84
Source units: USD millions; conversion: none
Status: reported.</x:t>
        </x:r>
      </x:text>
    </x:comment>
    <x:comment ref="D389" authorId="0">
      <x:text>
        <x:r>
          <x:t>Intelligent Cloud revenue. https://www.microsoft.com/investor/reports/ar19/index.html
Original PDF: data/raw/reports/originals/Microsoft_FY2019_10K.pdf
One-based PDF page: 90
Source units: USD millions; conversion: none
Status: reported.</x:t>
        </x:r>
      </x:text>
    </x:comment>
    <x:comment ref="D390" authorId="0">
      <x:text>
        <x:r>
          <x:t>Intelligent Cloud revenue. https://www.microsoft.com/investor/reports/ar20/index.html
Original PDF: data/raw/reports/originals/Microsoft_FY2020_10K.pdf
One-based PDF page: 91
Source units: USD millions; conversion: none
Status: reported.</x:t>
        </x:r>
      </x:text>
    </x:comment>
    <x:comment ref="D391" authorId="0">
      <x:text>
        <x:r>
          <x:t>Intelligent Cloud revenue. https://www.microsoft.com/investor/reports/ar21/index.html
Original PDF: data/raw/reports/originals/Microsoft_FY2021_10K.pdf
One-based PDF page: 94
Source units: USD millions; conversion: none
Status: reported.</x:t>
        </x:r>
      </x:text>
    </x:comment>
    <x:comment ref="D392" authorId="0">
      <x:text>
        <x:r>
          <x:t>Intelligent Cloud revenue. https://www.microsoft.com/investor/reports/ar22/index.html
Original PDF: data/raw/reports/originals/Microsoft_FY2022_10K.pdf
One-based PDF page: 94
Source units: USD millions; conversion: none
Status: reported.</x:t>
        </x:r>
      </x:text>
    </x:comment>
    <x:comment ref="D393" authorId="0">
      <x:text>
        <x:r>
          <x:t>Intelligent Cloud revenue. https://www.microsoft.com/investor/reports/ar23/index.html
Original PDF: data/raw/reports/originals/Microsoft_FY2023_10K.pdf
One-based PDF page: 94
Source units: USD millions; conversion: none
Status: reported.</x:t>
        </x:r>
      </x:text>
    </x:comment>
    <x:comment ref="D394" authorId="0">
      <x:text>
        <x:r>
          <x:t>Intelligent Cloud revenue. https://www.microsoft.com/investor/reports/ar24/index.html
Original PDF: data/raw/reports/originals/Microsoft_FY2024_10K.pdf
One-based PDF page: 92
Source units: USD millions; conversion: none
Status: reported.</x:t>
        </x:r>
      </x:text>
    </x:comment>
    <x:comment ref="D395" authorId="0">
      <x:text>
        <x:r>
          <x:t>Intelligent Cloud revenue. https://www.microsoft.com/investor/reports/ar25/index.html
Original PDF: data/raw/reports/originals/Microsoft_FY2025_10K.pdf
One-based PDF page: 84
Source units: USD millions; conversion: none
Status: reported.</x:t>
        </x:r>
      </x:text>
    </x:comment>
    <x:comment ref="D396" authorId="0">
      <x:text>
        <x:r>
          <x:t>Intelligent Cloud revenue. https://www.sec.gov/Archives/edgar/data/789019/000119312526323660/msft-20260630.htm
Original PDF: data/raw/reports/originals/Microsoft_FY2026_10K.pdf
One-based PDF page: 84
Source units: USD millions; conversion: none
Status: reported.</x:t>
        </x:r>
      </x:text>
    </x:comment>
    <x:comment ref="D397" authorId="0">
      <x:text>
        <x:r>
          <x:t>Intelligent Cloud revenue. https://www.sec.gov/Archives/edgar/data/789019/000119312526323660/msft-20260630.htm
Original PDF: data/raw/reports/originals/Microsoft_FY2026_10K.pdf
One-based PDF page: 84
Source units: USD millions; conversion: none
Status: reported.</x:t>
        </x:r>
      </x:text>
    </x:comment>
    <x:comment ref="D398" authorId="0">
      <x:text>
        <x:r>
          <x:t>Intelligent Cloud revenue. https://www.sec.gov/Archives/edgar/data/789019/000119312526323660/msft-20260630.htm
Original PDF: data/raw/reports/originals/Microsoft_FY2026_10K.pdf
One-based PDF page: 84
Source units: USD millions; conversion: none
Status: reported.</x:t>
        </x:r>
      </x:text>
    </x:comment>
    <x:comment ref="D399" authorId="0">
      <x:text>
        <x:r>
          <x:t>More Personal Computing revenue. https://www.microsoft.com/investor/reports/ar19/index.html
Original PDF: data/raw/reports/originals/Microsoft_FY2019_10K.pdf
One-based PDF page: 90
Source units: USD millions; conversion: none
Status: reported.</x:t>
        </x:r>
      </x:text>
    </x:comment>
    <x:comment ref="D400" authorId="0">
      <x:text>
        <x:r>
          <x:t>More Personal Computing revenue. https://www.microsoft.com/investor/reports/ar20/index.html
Original PDF: data/raw/reports/originals/Microsoft_FY2020_10K.pdf
One-based PDF page: 91
Source units: USD millions; conversion: none
Status: reported.</x:t>
        </x:r>
      </x:text>
    </x:comment>
    <x:comment ref="D401" authorId="0">
      <x:text>
        <x:r>
          <x:t>More Personal Computing revenue. https://www.microsoft.com/investor/reports/ar21/index.html
Original PDF: data/raw/reports/originals/Microsoft_FY2021_10K.pdf
One-based PDF page: 94
Source units: USD millions; conversion: none
Status: reported.</x:t>
        </x:r>
      </x:text>
    </x:comment>
    <x:comment ref="D402" authorId="0">
      <x:text>
        <x:r>
          <x:t>More Personal Computing revenue. https://www.microsoft.com/investor/reports/ar22/index.html
Original PDF: data/raw/reports/originals/Microsoft_FY2022_10K.pdf
One-based PDF page: 94
Source units: USD millions; conversion: none
Status: reported.</x:t>
        </x:r>
      </x:text>
    </x:comment>
    <x:comment ref="D403" authorId="0">
      <x:text>
        <x:r>
          <x:t>More Personal Computing revenue. https://www.microsoft.com/investor/reports/ar23/index.html
Original PDF: data/raw/reports/originals/Microsoft_FY2023_10K.pdf
One-based PDF page: 94
Source units: USD millions; conversion: none
Status: reported.</x:t>
        </x:r>
      </x:text>
    </x:comment>
    <x:comment ref="D404" authorId="0">
      <x:text>
        <x:r>
          <x:t>More Personal Computing revenue. https://www.microsoft.com/investor/reports/ar24/index.html
Original PDF: data/raw/reports/originals/Microsoft_FY2024_10K.pdf
One-based PDF page: 92
Source units: USD millions; conversion: none
Status: reported.</x:t>
        </x:r>
      </x:text>
    </x:comment>
    <x:comment ref="D405" authorId="0">
      <x:text>
        <x:r>
          <x:t>More Personal Computing revenue. https://www.microsoft.com/investor/reports/ar25/index.html
Original PDF: data/raw/reports/originals/Microsoft_FY2025_10K.pdf
One-based PDF page: 84
Source units: USD millions; conversion: none
Status: reported.</x:t>
        </x:r>
      </x:text>
    </x:comment>
    <x:comment ref="D406" authorId="0">
      <x:text>
        <x:r>
          <x:t>More Personal Computing revenue. https://www.sec.gov/Archives/edgar/data/789019/000119312526323660/msft-20260630.htm
Original PDF: data/raw/reports/originals/Microsoft_FY2026_10K.pdf
One-based PDF page: 84
Source units: USD millions; conversion: none
Status: reported.</x:t>
        </x:r>
      </x:text>
    </x:comment>
    <x:comment ref="D407" authorId="0">
      <x:text>
        <x:r>
          <x:t>More Personal Computing revenue. https://www.sec.gov/Archives/edgar/data/789019/000119312526323660/msft-20260630.htm
Original PDF: data/raw/reports/originals/Microsoft_FY2026_10K.pdf
One-based PDF page: 84
Source units: USD millions; conversion: none
Status: reported.</x:t>
        </x:r>
      </x:text>
    </x:comment>
    <x:comment ref="D408" authorId="0">
      <x:text>
        <x:r>
          <x:t>More Personal Computing revenue. https://www.sec.gov/Archives/edgar/data/789019/000119312526323660/msft-20260630.htm
Original PDF: data/raw/reports/originals/Microsoft_FY2026_10K.pdf
One-based PDF page: 84
Source units: USD millions; conversion: none
Status: reported.</x:t>
        </x:r>
      </x:text>
    </x:comment>
    <x:comment ref="D409" authorId="0">
      <x:text>
        <x:r>
          <x:t>Shares outstanding as of July 23, 2026. https://www.sec.gov/Archives/edgar/data/789019/000119312526323660/msft-20260630.htm
Original PDF: data/raw/reports/originals/Microsoft_FY2026_10K.pdf
One-based PDF page: 1
Source units: shares; conversion: shares divided by 1000000
Status: reported.</x:t>
        </x:r>
      </x:text>
    </x:comment>
    <x:comment ref="D410" authorId="0">
      <x:text>
        <x:r>
          <x:t>Estimated fair value of long-term debt including current portion. https://www.sec.gov/Archives/edgar/data/789019/000119312526323660/msft-20260630.htm
Original PDF: data/raw/reports/originals/Microsoft_FY2026_10K.pdf
One-based PDF page: 72
Source units: USD billions; conversion: USD billions multiplied by 1000
Status: reported_billion_to_million.</x:t>
        </x:r>
      </x:text>
    </x:comment>
  </x:commentList>
</x:comments>
</file>

<file path=xl/comments31.xml><?xml version="1.0" encoding="utf-8"?>
<x:comments xmlns:x="http://schemas.openxmlformats.org/spreadsheetml/2006/main">
  <x:authors>
    <x:author>Goran Brkich</x:author>
  </x:authors>
  <x:commentList>
    <x:comment ref="C9" authorId="0">
      <x:text>
        <x:r>
          <x:t>Independent Python comparisons refer to the frozen delivery baseline. Editing assumptions intentionally changes them; re-run Python and compare the edited case. Business outputs never reference this Audit sheet.</x:t>
        </x:r>
      </x:text>
    </x:comment>
    <x:comment ref="C10" authorId="0">
      <x:text>
        <x:r>
          <x:t>Independent Python comparisons refer to the frozen delivery baseline. Editing assumptions intentionally changes them; re-run Python and compare the edited case. Business outputs never reference this Audit sheet.</x:t>
        </x:r>
      </x:text>
    </x:comment>
    <x:comment ref="C11" authorId="0">
      <x:text>
        <x:r>
          <x:t>Independent Python comparisons refer to the frozen delivery baseline. Editing assumptions intentionally changes them; re-run Python and compare the edited case. Business outputs never reference this Audit sheet.</x:t>
        </x:r>
      </x:text>
    </x:comment>
    <x:comment ref="C12" authorId="0">
      <x:text>
        <x:r>
          <x:t>Independent Python comparisons refer to the frozen delivery baseline. Editing assumptions intentionally changes them; re-run Python and compare the edited case. Business outputs never reference this Audit sheet.</x:t>
        </x:r>
      </x:text>
    </x:comment>
    <x:comment ref="C13" authorId="0">
      <x:text>
        <x:r>
          <x:t>Independent Python comparisons refer to the frozen delivery baseline. Editing assumptions intentionally changes them; re-run Python and compare the edited case. Business outputs never reference this Audit sheet.</x:t>
        </x:r>
      </x:text>
    </x:comment>
    <x:comment ref="C14" authorId="0">
      <x:text>
        <x:r>
          <x:t>Independent Python comparisons refer to the frozen delivery baseline. Editing assumptions intentionally changes them; re-run Python and compare the edited case. Business outputs never reference this Audit sheet.</x:t>
        </x:r>
      </x:text>
    </x:comment>
    <x:comment ref="C15" authorId="0">
      <x:text>
        <x:r>
          <x:t>Independent Python comparisons refer to the frozen delivery baseline. Editing assumptions intentionally changes them; re-run Python and compare the edited case. Business outputs never reference this Audit sheet.</x:t>
        </x:r>
      </x:text>
    </x:comment>
    <x:comment ref="C16" authorId="0">
      <x:text>
        <x:r>
          <x:t>Independent Python comparisons refer to the frozen delivery baseline. Editing assumptions intentionally changes them; re-run Python and compare the edited case. Business outputs never reference this Audit sheet.</x:t>
        </x:r>
      </x:text>
    </x:comment>
    <x:comment ref="C17" authorId="0">
      <x:text>
        <x:r>
          <x:t>Independent Python comparisons refer to the frozen delivery baseline. Editing assumptions intentionally changes them; re-run Python and compare the edited case. Business outputs never reference this Audit sheet.</x:t>
        </x:r>
      </x:text>
    </x:comment>
    <x:comment ref="C18" authorId="0">
      <x:text>
        <x:r>
          <x:t>Independent Python comparisons refer to the frozen delivery baseline. Editing assumptions intentionally changes them; re-run Python and compare the edited case. Business outputs never reference this Audit sheet.</x:t>
        </x:r>
      </x:text>
    </x:comment>
    <x:comment ref="C19" authorId="0">
      <x:text>
        <x:r>
          <x:t>Independent Python comparisons refer to the frozen delivery baseline. Editing assumptions intentionally changes them; re-run Python and compare the edited case. Business outputs never reference this Audit sheet.</x:t>
        </x:r>
      </x:text>
    </x:comment>
    <x:comment ref="C20" authorId="0">
      <x:text>
        <x:r>
          <x:t>Independent Python comparisons refer to the frozen delivery baseline. Editing assumptions intentionally changes them; re-run Python and compare the edited case. Business outputs never reference this Audit sheet.</x:t>
        </x:r>
      </x:text>
    </x:comment>
    <x:comment ref="C21" authorId="0">
      <x:text>
        <x:r>
          <x:t>Independent Python comparisons refer to the frozen delivery baseline. Editing assumptions intentionally changes them; re-run Python and compare the edited case. Business outputs never reference this Audit sheet.</x:t>
        </x:r>
      </x:text>
    </x:comment>
    <x:comment ref="C22" authorId="0">
      <x:text>
        <x:r>
          <x:t>Independent Python comparisons refer to the frozen delivery baseline. Editing assumptions intentionally changes them; re-run Python and compare the edited case. Business outputs never reference this Audit sheet.</x:t>
        </x:r>
      </x:text>
    </x:comment>
    <x:comment ref="C23" authorId="0">
      <x:text>
        <x:r>
          <x:t>Independent Python comparisons refer to the frozen delivery baseline. Editing assumptions intentionally changes them; re-run Python and compare the edited case. Business outputs never reference this Audit sheet.</x:t>
        </x:r>
      </x:text>
    </x:comment>
    <x:comment ref="C24" authorId="0">
      <x:text>
        <x:r>
          <x:t>Independent Python comparisons refer to the frozen delivery baseline. Editing assumptions intentionally changes them; re-run Python and compare the edited case. Business outputs never reference this Audit sheet.</x:t>
        </x:r>
      </x:text>
    </x:comment>
    <x:comment ref="C25" authorId="0">
      <x:text>
        <x:r>
          <x:t>Independent Python comparisons refer to the frozen delivery baseline. Editing assumptions intentionally changes them; re-run Python and compare the edited case. Business outputs never reference this Audit sheet.</x:t>
        </x:r>
      </x:text>
    </x:comment>
    <x:comment ref="C26" authorId="0">
      <x:text>
        <x:r>
          <x:t>Independent Python comparisons refer to the frozen delivery baseline. Editing assumptions intentionally changes them; re-run Python and compare the edited case. Business outputs never reference this Audit sheet.</x:t>
        </x:r>
      </x:text>
    </x:comment>
    <x:comment ref="C27" authorId="0">
      <x:text>
        <x:r>
          <x:t>Independent Python comparisons refer to the frozen delivery baseline. Editing assumptions intentionally changes them; re-run Python and compare the edited case. Business outputs never reference this Audit sheet.</x:t>
        </x:r>
      </x:text>
    </x:comment>
    <x:comment ref="C31" authorId="0">
      <x:text>
        <x:r>
          <x:t>Reported source records</x:t>
        </x:r>
      </x:text>
    </x:comment>
    <x:comment ref="E32" authorId="0">
      <x:text>
        <x:r>
          <x:t>Unavailable prior disclosures. Explicit missing component records. No reported values are fabricated or replaced with zero.</x:t>
        </x:r>
      </x:text>
    </x:comment>
    <x:comment ref="C32" authorId="0">
      <x:text>
        <x:r>
          <x:t>Explicit missing component records. No reported values are fabricated or replaced with zero.</x:t>
        </x:r>
      </x:text>
    </x:comment>
    <x:comment ref="C33" authorId="0">
      <x:text>
        <x:r>
          <x:t>Valid terminal economics</x:t>
        </x:r>
      </x:text>
    </x:comment>
    <x:comment ref="C34" authorId="0">
      <x:text>
        <x:r>
          <x:t>Model data last observation</x:t>
        </x:r>
      </x:text>
    </x:comment>
    <x:comment ref="E4" authorId="0">
      <x:text>
        <x:r>
          <x:t>Audit. Formula: =CHOOSE('DCF'!$E$5,"Base","Upside","Downside")
Review selected-case observations and Model Guide for definitions and held assumptions.</x:t>
        </x:r>
      </x:text>
    </x:comment>
    <x:comment ref="D9" authorId="0">
      <x:text>
        <x:r>
          <x:t>Audit. Formula: =SUM('Historical Inputs'!N46,'Historical Inputs'!N47,'Historical Inputs'!N48)-'Historical Inputs'!N9
Review selected-case observations and Model Guide for definitions and held assumptions.</x:t>
        </x:r>
      </x:text>
    </x:comment>
    <x:comment ref="E9" authorId="0">
      <x:text>
        <x:r>
          <x:t>Audit. Formula: =IF(ABS(D9)&lt;=1e-8,"PASS","CHECK")
Review selected-case observations and Model Guide for definitions and held assumptions.</x:t>
        </x:r>
      </x:text>
    </x:comment>
    <x:comment ref="D10" authorId="0">
      <x:text>
        <x:r>
          <x:t>Audit. Formula: ='DCF'!E26-'DCF'!E24-'Equity Bridge'!E17
Review selected-case observations and Model Guide for definitions and held assumptions.</x:t>
        </x:r>
      </x:text>
    </x:comment>
    <x:comment ref="E10" authorId="0">
      <x:text>
        <x:r>
          <x:t>Audit. Formula: =IF(ABS(D10)&lt;=1e-8,"PASS","CHECK")
Review selected-case observations and Model Guide for definitions and held assumptions.</x:t>
        </x:r>
      </x:text>
    </x:comment>
    <x:comment ref="D11" authorId="0">
      <x:text>
        <x:r>
          <x:t>Audit. Formula: ='DCF'!I44-'DCF'!E28
Review selected-case observations and Model Guide for definitions and held assumptions.</x:t>
        </x:r>
      </x:text>
    </x:comment>
    <x:comment ref="E11" authorId="0">
      <x:text>
        <x:r>
          <x:t>Audit. Formula: =IF(ABS(D11)&lt;=1e-7,"PASS","CHECK")
Review selected-case observations and Model Guide for definitions and held assumptions.</x:t>
        </x:r>
      </x:text>
    </x:comment>
    <x:comment ref="D12" authorId="0">
      <x:text>
        <x:r>
          <x:t>Audit. Formula: ='DCF'!F53-286.3522546915523
Review selected-case observations and Model Guide for definitions and held assumptions.</x:t>
        </x:r>
      </x:text>
    </x:comment>
    <x:comment ref="E12" authorId="0">
      <x:text>
        <x:r>
          <x:t>Audit. Formula: =IF(ABS(D12)&lt;=0.000001,"PASS","CHECK")
Review selected-case observations and Model Guide for definitions and held assumptions.</x:t>
        </x:r>
      </x:text>
    </x:comment>
    <x:comment ref="D13" authorId="0">
      <x:text>
        <x:r>
          <x:t>Audit. Formula: ='DCF'!G54-390.99452467720823
Review selected-case observations and Model Guide for definitions and held assumptions.</x:t>
        </x:r>
      </x:text>
    </x:comment>
    <x:comment ref="E13" authorId="0">
      <x:text>
        <x:r>
          <x:t>Audit. Formula: =IF(ABS(D13)&lt;=0.000001,"PASS","CHECK")
Review selected-case observations and Model Guide for definitions and held assumptions.</x:t>
        </x:r>
      </x:text>
    </x:comment>
    <x:comment ref="D14" authorId="0">
      <x:text>
        <x:r>
          <x:t>Audit. Formula: ='DCF'!H55-169.91140129916607
Review selected-case observations and Model Guide for definitions and held assumptions.</x:t>
        </x:r>
      </x:text>
    </x:comment>
    <x:comment ref="E14" authorId="0">
      <x:text>
        <x:r>
          <x:t>Audit. Formula: =IF(ABS(D14)&lt;=0.000001,"PASS","CHECK")
Review selected-case observations and Model Guide for definitions and held assumptions.</x:t>
        </x:r>
      </x:text>
    </x:comment>
    <x:comment ref="D15" authorId="0">
      <x:text>
        <x:r>
          <x:t>Audit. Formula: ='Beta HC3'!E12-1.1278117341104905
Review selected-case observations and Model Guide for definitions and held assumptions.</x:t>
        </x:r>
      </x:text>
    </x:comment>
    <x:comment ref="E15" authorId="0">
      <x:text>
        <x:r>
          <x:t>Audit. Formula: =IF(ABS(D15)&lt;=1e-9,"PASS","CHECK")
Review selected-case observations and Model Guide for definitions and held assumptions.</x:t>
        </x:r>
      </x:text>
    </x:comment>
    <x:comment ref="D16" authorId="0">
      <x:text>
        <x:r>
          <x:t>Audit. Formula: ='Beta HC3'!E19-0.039593033765066454
Review selected-case observations and Model Guide for definitions and held assumptions.</x:t>
        </x:r>
      </x:text>
    </x:comment>
    <x:comment ref="E16" authorId="0">
      <x:text>
        <x:r>
          <x:t>Audit. Formula: =IF(ABS(D16)&lt;=1e-9,"PASS","CHECK")
Review selected-case observations and Model Guide for definitions and held assumptions.</x:t>
        </x:r>
      </x:text>
    </x:comment>
    <x:comment ref="D17" authorId="0">
      <x:text>
        <x:r>
          <x:t>Audit. Formula: ='Beta HC3'!E29-0.05019281738109273
Review selected-case observations and Model Guide for definitions and held assumptions.</x:t>
        </x:r>
      </x:text>
    </x:comment>
    <x:comment ref="E17" authorId="0">
      <x:text>
        <x:r>
          <x:t>Audit. Formula: =IF(ABS(D17)&lt;=1e-9,"PASS","CHECK")
Review selected-case observations and Model Guide for definitions and held assumptions.</x:t>
        </x:r>
      </x:text>
    </x:comment>
    <x:comment ref="D18" authorId="0">
      <x:text>
        <x:r>
          <x:t>Audit. Formula: ='Reverse Growth'!E18
Review selected-case observations and Model Guide for definitions and held assumptions.</x:t>
        </x:r>
      </x:text>
    </x:comment>
    <x:comment ref="E18" authorId="0">
      <x:text>
        <x:r>
          <x:t>Audit. Formula: =IF(ABS(D18)&lt;=0.00001,"PASS","CHECK")
Review selected-case observations and Model Guide for definitions and held assumptions.</x:t>
        </x:r>
      </x:text>
    </x:comment>
    <x:comment ref="D19" authorId="0">
      <x:text>
        <x:r>
          <x:t>Audit. Formula: ='Reverse WACC'!E18
Review selected-case observations and Model Guide for definitions and held assumptions.</x:t>
        </x:r>
      </x:text>
    </x:comment>
    <x:comment ref="E19" authorId="0">
      <x:text>
        <x:r>
          <x:t>Audit. Formula: =IF(ABS(D19)&lt;=0.00001,"PASS","CHECK")
Review selected-case observations and Model Guide for definitions and held assumptions.</x:t>
        </x:r>
      </x:text>
    </x:comment>
    <x:comment ref="D20" authorId="0">
      <x:text>
        <x:r>
          <x:t>Audit. Formula: ='Reverse Terminal g'!E18
Review selected-case observations and Model Guide for definitions and held assumptions.</x:t>
        </x:r>
      </x:text>
    </x:comment>
    <x:comment ref="E20" authorId="0">
      <x:text>
        <x:r>
          <x:t>Audit. Formula: =IF(ABS(D20)&lt;=0.00001,"PASS","CHECK")
Review selected-case observations and Model Guide for definitions and held assumptions.</x:t>
        </x:r>
      </x:text>
    </x:comment>
    <x:comment ref="D21" authorId="0">
      <x:text>
        <x:r>
          <x:t>Audit. Formula: ='Reverse Margin'!E8+'Reverse Margin'!E11*'Reverse Margin'!E12-'Reverse Margin'!E9
Review selected-case observations and Model Guide for definitions and held assumptions.</x:t>
        </x:r>
      </x:text>
    </x:comment>
    <x:comment ref="E21" authorId="0">
      <x:text>
        <x:r>
          <x:t>Audit. Formula: =IF(ABS(D21)&lt;=0.00001,"PASS","CHECK")
Review selected-case observations and Model Guide for definitions and held assumptions.</x:t>
        </x:r>
      </x:text>
    </x:comment>
    <x:comment ref="D22" authorId="0">
      <x:text>
        <x:r>
          <x:t>Audit. Formula: ='Reverse Capex'!E17
Review selected-case observations and Model Guide for definitions and held assumptions.</x:t>
        </x:r>
      </x:text>
    </x:comment>
    <x:comment ref="E22" authorId="0">
      <x:text>
        <x:r>
          <x:t>Audit. Formula: =IF(ABS(D22)&lt;=0.00001,"PASS","CHECK")
Review selected-case observations and Model Guide for definitions and held assumptions.</x:t>
        </x:r>
      </x:text>
    </x:comment>
    <x:comment ref="D23" authorId="0">
      <x:text>
        <x:r>
          <x:t>Audit. Formula: ='Reverse NWC'!E17
Review selected-case observations and Model Guide for definitions and held assumptions.</x:t>
        </x:r>
      </x:text>
    </x:comment>
    <x:comment ref="E23" authorId="0">
      <x:text>
        <x:r>
          <x:t>Audit. Formula: =IF(ABS(D23)&lt;=0.00001,"PASS","CHECK")
Review selected-case observations and Model Guide for definitions and held assumptions.</x:t>
        </x:r>
      </x:text>
    </x:comment>
    <x:comment ref="D24" authorId="0">
      <x:text>
        <x:r>
          <x:t>Audit. Formula: ='Reverse Tax'!E17
Review selected-case observations and Model Guide for definitions and held assumptions.</x:t>
        </x:r>
      </x:text>
    </x:comment>
    <x:comment ref="E24" authorId="0">
      <x:text>
        <x:r>
          <x:t>Audit. Formula: =IF(ABS(D24)&lt;=0.00001,"PASS","CHECK")
Review selected-case observations and Model Guide for definitions and held assumptions.</x:t>
        </x:r>
      </x:text>
    </x:comment>
    <x:comment ref="D25" authorId="0">
      <x:text>
        <x:r>
          <x:t>Audit. Formula: ='Reverse Leases'!E17
Review selected-case observations and Model Guide for definitions and held assumptions.</x:t>
        </x:r>
      </x:text>
    </x:comment>
    <x:comment ref="E25" authorId="0">
      <x:text>
        <x:r>
          <x:t>Audit. Formula: =IF(ABS(D25)&lt;=0.00001,"PASS","CHECK")
Review selected-case observations and Model Guide for definitions and held assumptions.</x:t>
        </x:r>
      </x:text>
    </x:comment>
    <x:comment ref="D26" authorId="0">
      <x:text>
        <x:r>
          <x:t>Audit. Formula: ='Monte Carlo'!K32-288.55845493933157
Review selected-case observations and Model Guide for definitions and held assumptions.</x:t>
        </x:r>
      </x:text>
    </x:comment>
    <x:comment ref="E26" authorId="0">
      <x:text>
        <x:r>
          <x:t>Audit. Formula: =IF(ABS(D26)&lt;=0.000001,"PASS","CHECK")
Review selected-case observations and Model Guide for definitions and held assumptions.</x:t>
        </x:r>
      </x:text>
    </x:comment>
    <x:comment ref="D27" authorId="0">
      <x:text>
        <x:r>
          <x:t>Audit. Formula: ='Monte Carlo'!E21-283.9161011835868
Review selected-case observations and Model Guide for definitions and held assumptions.</x:t>
        </x:r>
      </x:text>
    </x:comment>
    <x:comment ref="E27" authorId="0">
      <x:text>
        <x:r>
          <x:t>Audit. Formula: =IF(ABS(D27)&lt;=0.000001,"PASS","CHECK")
Review selected-case observations and Model Guide for definitions and held assumptions.</x:t>
        </x:r>
      </x:text>
    </x:comment>
    <x:comment ref="E33" authorId="0">
      <x:text>
        <x:r>
          <x:t>Audit. Formula: =IF(AND('DCF'!E6&gt;'DCF'!E7,'Terminal Value'!E12&gt;'DCF'!E7),"PASS","INVALID INPUTS")
Review selected-case observations and Model Guide for definitions and held assumptions.</x:t>
        </x:r>
      </x:text>
    </x:comment>
  </x:commentList>
</x:comments>
</file>

<file path=xl/comments32.xml><?xml version="1.0" encoding="utf-8"?>
<x:comments xmlns:x="http://schemas.openxmlformats.org/spreadsheetml/2006/main">
  <x:authors>
    <x:author>Goran Brkich</x:author>
  </x:authors>
  <x:commentList>
    <x:comment ref="C10" authorId="0">
      <x:text>
        <x:r>
          <x:t>Plain Python source, not embedded execution. Copy the entire single-column range including empty lines. NumPy and SciPy are required; the script loads the frozen project data and mapped editable Excel drivers.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0">
    <x:numFmt numFmtId="200" formatCode="mm/dd/yy"/>
    <x:numFmt numFmtId="201" formatCode="$0.00;($0.00);&quot;-&quot;"/>
    <x:numFmt numFmtId="202" formatCode="0.00%;(0.00%);&quot;-&quot;"/>
    <x:numFmt numFmtId="203" formatCode="#,##0.000"/>
    <x:numFmt numFmtId="204" formatCode="#,##0;(#,##0);&quot;-&quot;"/>
    <x:numFmt numFmtId="205" formatCode="0.000000"/>
    <x:numFmt numFmtId="206" formatCode="#,##0.0"/>
    <x:numFmt numFmtId="207" formatCode="0.0%;(0.0%);&quot;-&quot;"/>
    <x:numFmt numFmtId="208" formatCode="0"/>
    <x:numFmt numFmtId="209" formatCode="0.000"/>
    <x:numFmt numFmtId="210" formatCode="0.0000"/>
    <x:numFmt numFmtId="211" formatCode="0.00&quot;x&quot;"/>
    <x:numFmt numFmtId="212" formatCode="0.0"/>
    <x:numFmt numFmtId="213" formatCode="0.00"/>
    <x:numFmt numFmtId="214" formatCode="General"/>
    <x:numFmt numFmtId="215" formatCode="0.0&quot; days&quot;"/>
    <x:numFmt numFmtId="216" formatCode="$0.00;[Red]($0.00);&quot;-&quot;"/>
    <x:numFmt numFmtId="217" formatCode="0.0%;[Red](0.0%);&quot;-&quot;"/>
    <x:numFmt numFmtId="218" formatCode="0.00%;[Red](0.00%);&quot;-&quot;"/>
    <x:numFmt numFmtId="219" formatCode="#,##0;[Red](#,##0);&quot;-&quot;"/>
    <x:numFmt numFmtId="220" formatCode="0;[Red](0);&quot;-&quot;"/>
    <x:numFmt numFmtId="221" formatCode="0.000;[Red](0.000);&quot;-&quot;"/>
    <x:numFmt numFmtId="222" formatCode="#,##0.0;[Red](#,##0.0);&quot;-&quot;"/>
    <x:numFmt numFmtId="223" formatCode="0.0000;[Red](0.0000);&quot;-&quot;"/>
    <x:numFmt numFmtId="224" formatCode="#,##0.000;[Red](#,##0.000);&quot;-&quot;"/>
    <x:numFmt numFmtId="225" formatCode="0.00&quot;x&quot;;[Red](0.00&quot;x&quot;);&quot;-&quot;"/>
    <x:numFmt numFmtId="226" formatCode="0.00;[Red](0.00);&quot;-&quot;"/>
    <x:numFmt numFmtId="227" formatCode="0.000000;[Red](0.000000);&quot;-&quot;"/>
    <x:numFmt numFmtId="228" formatCode="0.0&quot; days&quot;;[Red](0.0&quot; days&quot;);&quot;-&quot;"/>
    <x:numFmt numFmtId="229" formatCode="0.0;[Red](0.0);&quot;-&quot;"/>
  </x:numFmts>
  <x:fonts count="30">
    <x:font>
      <x:sz val="11"/>
      <x:name val="Carlito"/>
    </x:font>
    <x:font>
      <x:sz val="10"/>
      <x:color rgb="FF152C45"/>
      <x:name val="Arial"/>
    </x:font>
    <x:font>
      <x:b/>
      <x:sz val="15"/>
      <x:color rgb="FF152C45"/>
      <x:name val="Arial"/>
    </x:font>
    <x:font>
      <x:i/>
      <x:sz val="10"/>
      <x:color rgb="FF152C45"/>
      <x:name val="Arial"/>
    </x:font>
    <x:font>
      <x:sz val="10"/>
      <x:color rgb="FF008000"/>
      <x:name val="Arial"/>
    </x:font>
    <x:font>
      <x:b/>
      <x:sz val="10"/>
      <x:color rgb="FF008000"/>
      <x:name val="Arial"/>
    </x:font>
    <x:font>
      <x:sz val="10"/>
      <x:color rgb="FF52647A"/>
      <x:name val="Arial"/>
    </x:font>
    <x:font>
      <x:sz val="10"/>
      <x:color rgb="FF0000FF"/>
      <x:name val="Arial"/>
    </x:font>
    <x:font>
      <x:i/>
      <x:sz val="10"/>
      <x:color rgb="FF0000FF"/>
      <x:name val="Arial"/>
    </x:font>
    <x:font>
      <x:b/>
      <x:sz val="10"/>
      <x:color rgb="FF152C45"/>
      <x:name val="Arial"/>
    </x:font>
    <x:font>
      <x:sz val="10"/>
      <x:color rgb="FF000000"/>
      <x:name val="Arial"/>
    </x:font>
    <x:font>
      <x:b/>
      <x:sz val="10"/>
      <x:color rgb="FFFFFFFF"/>
      <x:name val="Arial"/>
    </x:font>
    <x:font>
      <x:i/>
      <x:sz val="10"/>
      <x:color rgb="FF52647A"/>
      <x:name val="Arial"/>
    </x:font>
    <x:font>
      <x:b/>
      <x:sz val="10"/>
      <x:color rgb="FF000000"/>
      <x:name val="Arial"/>
    </x:font>
    <x:font>
      <x:i/>
      <x:sz val="10"/>
      <x:color rgb="FF008000"/>
      <x:name val="Arial"/>
    </x:font>
    <x:font>
      <x:i/>
      <x:sz val="10"/>
      <x:color rgb="FF000000"/>
      <x:name val="Arial"/>
    </x:font>
    <x:font>
      <x:b/>
      <x:i/>
      <x:sz val="10"/>
      <x:color rgb="FF152C45"/>
      <x:name val="Arial"/>
    </x:font>
    <x:font>
      <x:b/>
      <x:i/>
      <x:sz val="10"/>
      <x:color rgb="FF000000"/>
      <x:name val="Arial"/>
    </x:font>
    <x:font>
      <x:b/>
      <x:i/>
      <x:sz val="10"/>
      <x:color rgb="FF008000"/>
      <x:name val="Arial"/>
    </x:font>
    <x:font>
      <x:sz val="11"/>
      <x:color rgb="FF152C45"/>
      <x:name val="Carlito"/>
    </x:font>
    <x:font>
      <x:sz val="11"/>
      <x:color rgb="FF000000"/>
      <x:name val="Carlito"/>
    </x:font>
    <x:font>
      <x:sz val="10"/>
      <x:color rgb="FF172C44"/>
      <x:name val="Consolas"/>
    </x:font>
    <x:font>
      <x:sz val="10"/>
      <x:color rgb="FF000000"/>
      <x:name val="Arial"/>
    </x:font>
    <x:font>
      <x:b/>
      <x:sz val="10"/>
      <x:color rgb="FF000000"/>
      <x:name val="Arial"/>
    </x:font>
    <x:font>
      <x:i/>
      <x:sz val="10"/>
      <x:color rgb="FF000000"/>
      <x:name val="Arial"/>
    </x:font>
    <x:font>
      <x:b/>
      <x:sz val="10"/>
      <x:color rgb="FFFFFFFF"/>
      <x:name val="Arial"/>
    </x:font>
    <x:font>
      <x:b/>
      <x:sz val="11"/>
      <x:color rgb="FF000000"/>
      <x:name val="Arial"/>
    </x:font>
    <x:font>
      <x:sz val="10"/>
      <x:color rgb="FF0000FF"/>
      <x:name val="Arial"/>
    </x:font>
    <x:font>
      <x:i/>
      <x:sz val="10"/>
      <x:color rgb="FF0000FF"/>
      <x:name val="Arial"/>
    </x:font>
    <x:font>
      <x:sz val="10"/>
      <x:color rgb="FF000000"/>
      <x:name val="Consolas"/>
    </x:font>
  </x:fonts>
  <x:fills count="8">
    <x:fill>
      <x:patternFill patternType="none"/>
    </x:fill>
    <x:fill>
      <x:patternFill patternType="gray125"/>
    </x:fill>
    <x:fill>
      <x:patternFill patternType="solid">
        <x:fgColor rgb="FFEAF0F7"/>
      </x:patternFill>
    </x:fill>
    <x:fill>
      <x:patternFill patternType="solid">
        <x:fgColor rgb="FF20364F"/>
      </x:patternFill>
    </x:fill>
    <x:fill>
      <x:patternFill patternType="solid">
        <x:fgColor rgb="FF002060"/>
      </x:patternFill>
    </x:fill>
    <x:fill>
      <x:patternFill patternType="solid">
        <x:fgColor rgb="FFD9D9D9"/>
      </x:patternFill>
    </x:fill>
    <x:fill>
      <x:patternFill patternType="solid">
        <x:fgColor rgb="FFBFBFBF"/>
      </x:patternFill>
    </x:fill>
    <x:fill>
      <x:patternFill patternType="solid">
        <x:fgColor rgb="FFD1D1D1"/>
      </x:patternFill>
    </x:fill>
  </x:fills>
  <x:borders count="18">
    <x:border>
      <x:left/>
      <x:right/>
      <x:top/>
      <x:bottom/>
      <x:diagonal/>
    </x:border>
    <x:border>
      <x:left/>
      <x:right/>
      <x:top/>
      <x:bottom style="thin">
        <x:color rgb="FFA5B5C7"/>
      </x:bottom>
      <x:diagonal/>
    </x:border>
    <x:border>
      <x:left style="dashed">
        <x:color rgb="FF8897A7"/>
      </x:left>
      <x:right/>
      <x:top style="dashed">
        <x:color rgb="FF8897A7"/>
      </x:top>
      <x:bottom style="dashed">
        <x:color rgb="FF8897A7"/>
      </x:bottom>
      <x:diagonal/>
    </x:border>
    <x:border>
      <x:left/>
      <x:right style="dashed">
        <x:color rgb="FF8897A7"/>
      </x:right>
      <x:top style="dashed">
        <x:color rgb="FF8897A7"/>
      </x:top>
      <x:bottom style="dashed">
        <x:color rgb="FF8897A7"/>
      </x:bottom>
      <x:diagonal/>
    </x:border>
    <x:border>
      <x:left style="thin">
        <x:color rgb="FFCBD5E1"/>
      </x:left>
      <x:right/>
      <x:top style="thin">
        <x:color rgb="FFCBD5E1"/>
      </x:top>
      <x:bottom style="thin">
        <x:color rgb="FFCBD5E1"/>
      </x:bottom>
      <x:diagonal/>
    </x:border>
    <x:border>
      <x:left/>
      <x:right/>
      <x:top style="thin">
        <x:color rgb="FFCBD5E1"/>
      </x:top>
      <x:bottom style="thin">
        <x:color rgb="FFCBD5E1"/>
      </x:bottom>
      <x:diagonal/>
    </x:border>
    <x:border>
      <x:left/>
      <x:right style="thin">
        <x:color rgb="FFCBD5E1"/>
      </x:right>
      <x:top style="thin">
        <x:color rgb="FFCBD5E1"/>
      </x:top>
      <x:bottom style="thin">
        <x:color rgb="FFCBD5E1"/>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thin">
        <x:color rgb="FF20364F"/>
      </x:top>
      <x:bottom/>
      <x:diagonal/>
    </x:border>
    <x:border>
      <x:left/>
      <x:right/>
      <x:top/>
      <x:bottom style="thin">
        <x:color rgb="FF000000"/>
      </x:bottom>
      <x:diagonal/>
    </x:border>
    <x:border>
      <x:left style="dashed">
        <x:color rgb="FF000000"/>
      </x:left>
      <x:right/>
      <x:top style="dashed">
        <x:color rgb="FF000000"/>
      </x:top>
      <x:bottom style="dashed">
        <x:color rgb="FF000000"/>
      </x:bottom>
      <x:diagonal/>
    </x:border>
    <x:border>
      <x:left/>
      <x:right style="dashed">
        <x:color rgb="FF000000"/>
      </x:right>
      <x:top style="dashed">
        <x:color rgb="FF000000"/>
      </x:top>
      <x:bottom style="dashed">
        <x:color rgb="FF000000"/>
      </x:bottom>
      <x:diagonal/>
    </x:border>
    <x:border>
      <x:left/>
      <x:right/>
      <x:top style="thin">
        <x:color rgb="FF000000"/>
      </x:top>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s>
  <x:cellStyleXfs count="1">
    <x:xf numFmtId="0" fontId="0" fillId="0" borderId="0"/>
  </x:cellStyleXfs>
  <x:cellXfs count="28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2" xfId="0" applyNumberFormat="1" applyFont="1" applyFill="1" applyBorder="1" applyAlignment="1">
      <x:alignment vertical="center"/>
    </x:xf>
    <x:xf numFmtId="0" fontId="5" fillId="0" borderId="3"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7" fillId="0" borderId="0" xfId="0" applyNumberFormat="1" applyFont="1" applyFill="1" applyBorder="1" applyAlignment="1">
      <x:alignment vertical="center"/>
    </x:xf>
    <x:xf numFmtId="202" fontId="8"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7"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9" fillId="2" borderId="0" xfId="0" applyNumberFormat="1" applyFont="1" applyFill="1" applyBorder="1" applyAlignment="1">
      <x:alignment vertical="center"/>
    </x:xf>
    <x:xf numFmtId="0" fontId="9" fillId="2" borderId="4" xfId="0" applyNumberFormat="1" applyFont="1" applyFill="1" applyBorder="1" applyAlignment="1">
      <x:alignment vertical="center"/>
    </x:xf>
    <x:xf numFmtId="0" fontId="9" fillId="2" borderId="5" xfId="0" applyNumberFormat="1" applyFont="1" applyFill="1" applyBorder="1" applyAlignment="1">
      <x:alignment vertical="center"/>
    </x:xf>
    <x:xf numFmtId="0" fontId="9" fillId="2" borderId="6" xfId="0" applyNumberFormat="1" applyFont="1" applyFill="1" applyBorder="1" applyAlignment="1">
      <x:alignment vertical="center"/>
    </x:xf>
    <x:xf numFmtId="0" fontId="10"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11" fillId="3" borderId="0" xfId="0" applyNumberFormat="1" applyFont="1" applyFill="1" applyBorder="1" applyAlignment="1">
      <x:alignment vertical="center"/>
    </x:xf>
    <x:xf numFmtId="0" fontId="11" fillId="3" borderId="7" xfId="0" applyNumberFormat="1" applyFont="1" applyFill="1" applyBorder="1" applyAlignment="1">
      <x:alignment vertical="center"/>
    </x:xf>
    <x:xf numFmtId="0" fontId="11" fillId="3" borderId="8" xfId="0" applyNumberFormat="1" applyFont="1" applyFill="1" applyBorder="1" applyAlignment="1">
      <x:alignment vertical="center"/>
    </x:xf>
    <x:xf numFmtId="0" fontId="11" fillId="3" borderId="9" xfId="0" applyNumberFormat="1" applyFont="1" applyFill="1" applyBorder="1" applyAlignment="1">
      <x:alignment vertical="center"/>
    </x:xf>
    <x:xf numFmtId="0" fontId="11" fillId="3" borderId="7" xfId="0" applyNumberFormat="1" applyFont="1" applyFill="1" applyBorder="1" applyAlignment="1">
      <x:alignment horizontal="center" vertical="center"/>
    </x:xf>
    <x:xf numFmtId="0" fontId="11" fillId="3" borderId="8" xfId="0" applyNumberFormat="1" applyFont="1" applyFill="1" applyBorder="1" applyAlignment="1">
      <x:alignment horizontal="center" vertical="center"/>
    </x:xf>
    <x:xf numFmtId="0" fontId="11" fillId="3" borderId="9" xfId="0" applyNumberFormat="1" applyFont="1" applyFill="1" applyBorder="1" applyAlignment="1">
      <x:alignment horizontal="center" vertical="center"/>
    </x:xf>
    <x:xf numFmtId="206" fontId="1" fillId="0" borderId="0" xfId="0" applyNumberFormat="1" applyFont="1" applyFill="1" applyBorder="1" applyAlignment="1">
      <x:alignment vertical="center"/>
    </x:xf>
    <x:xf numFmtId="206" fontId="7" fillId="0" borderId="0" xfId="0" applyNumberFormat="1" applyFont="1" applyFill="1" applyBorder="1" applyAlignment="1">
      <x:alignment vertical="center"/>
    </x:xf>
    <x:xf numFmtId="204" fontId="6" fillId="0" borderId="0" xfId="0" applyNumberFormat="1" applyFont="1" applyFill="1" applyBorder="1" applyAlignment="1">
      <x:alignment vertical="center"/>
    </x:xf>
    <x:xf numFmtId="207" fontId="1" fillId="0" borderId="0" xfId="0" applyNumberFormat="1" applyFont="1" applyFill="1" applyBorder="1" applyAlignment="1">
      <x:alignment vertical="center"/>
    </x:xf>
    <x:xf numFmtId="207" fontId="10" fillId="0" borderId="0" xfId="0" applyNumberFormat="1" applyFont="1" applyFill="1" applyBorder="1" applyAlignment="1">
      <x:alignment vertical="center"/>
    </x:xf>
    <x:xf numFmtId="204" fontId="10" fillId="0" borderId="0" xfId="0" applyNumberFormat="1" applyFont="1" applyFill="1" applyBorder="1" applyAlignment="1">
      <x:alignment vertical="center"/>
    </x:xf>
    <x:xf numFmtId="208" fontId="1" fillId="0" borderId="0" xfId="0" applyNumberFormat="1" applyFont="1" applyFill="1" applyBorder="1" applyAlignment="1">
      <x:alignment vertical="center"/>
    </x:xf>
    <x:xf numFmtId="208" fontId="7" fillId="0" borderId="0" xfId="0" applyNumberFormat="1" applyFont="1" applyFill="1" applyBorder="1" applyAlignment="1">
      <x:alignment vertical="center"/>
    </x:xf>
    <x:xf numFmtId="209" fontId="1" fillId="0" borderId="0" xfId="0" applyNumberFormat="1" applyFont="1" applyFill="1" applyBorder="1" applyAlignment="1">
      <x:alignment vertical="center"/>
    </x:xf>
    <x:xf numFmtId="209" fontId="7" fillId="0" borderId="0" xfId="0" applyNumberFormat="1" applyFont="1" applyFill="1" applyBorder="1" applyAlignment="1">
      <x:alignment vertical="center"/>
    </x:xf>
    <x:xf numFmtId="207" fontId="7" fillId="0" borderId="0" xfId="0" applyNumberFormat="1" applyFont="1" applyFill="1" applyBorder="1" applyAlignment="1">
      <x:alignment vertical="center"/>
    </x:xf>
    <x:xf numFmtId="207" fontId="8"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202" fontId="12" fillId="0" borderId="0" xfId="0" applyNumberFormat="1" applyFont="1" applyFill="1" applyBorder="1" applyAlignment="1">
      <x:alignment vertical="center"/>
    </x:xf>
    <x:xf numFmtId="202" fontId="3" fillId="0" borderId="0" xfId="0" applyNumberFormat="1" applyFont="1" applyFill="1" applyBorder="1" applyAlignment="1">
      <x:alignment vertical="center"/>
    </x:xf>
    <x:xf numFmtId="210" fontId="1" fillId="0" borderId="0" xfId="0" applyNumberFormat="1" applyFont="1" applyFill="1" applyBorder="1" applyAlignment="1">
      <x:alignment vertical="center"/>
    </x:xf>
    <x:xf numFmtId="210" fontId="4" fillId="0" borderId="0" xfId="0" applyNumberFormat="1" applyFont="1" applyFill="1" applyBorder="1" applyAlignment="1">
      <x:alignment vertical="center"/>
    </x:xf>
    <x:xf numFmtId="207" fontId="9" fillId="2" borderId="5" xfId="0" applyNumberFormat="1" applyFont="1" applyFill="1" applyBorder="1" applyAlignment="1">
      <x:alignment vertical="center"/>
    </x:xf>
    <x:xf numFmtId="207" fontId="5" fillId="2" borderId="5" xfId="0" applyNumberFormat="1" applyFont="1" applyFill="1" applyBorder="1" applyAlignment="1">
      <x:alignment vertical="center"/>
    </x:xf>
    <x:xf numFmtId="207" fontId="9" fillId="2" borderId="6" xfId="0" applyNumberFormat="1" applyFont="1" applyFill="1" applyBorder="1" applyAlignment="1">
      <x:alignment vertical="center"/>
    </x:xf>
    <x:xf numFmtId="207" fontId="5" fillId="2" borderId="6" xfId="0" applyNumberFormat="1" applyFont="1" applyFill="1" applyBorder="1" applyAlignment="1">
      <x:alignment vertical="center"/>
    </x:xf>
    <x:xf numFmtId="204" fontId="4" fillId="0" borderId="0" xfId="0" applyNumberFormat="1" applyFont="1" applyFill="1" applyBorder="1" applyAlignment="1">
      <x:alignment vertical="center"/>
    </x:xf>
    <x:xf numFmtId="207" fontId="4" fillId="0" borderId="0" xfId="0" applyNumberFormat="1" applyFont="1" applyFill="1" applyBorder="1" applyAlignment="1">
      <x:alignment vertical="center"/>
    </x:xf>
    <x:xf numFmtId="0" fontId="9" fillId="0" borderId="0" xfId="0" applyNumberFormat="1" applyFont="1" applyFill="1" applyBorder="1" applyAlignment="1">
      <x:alignment vertical="center"/>
    </x:xf>
    <x:xf numFmtId="204" fontId="13" fillId="0" borderId="0" xfId="0" applyNumberFormat="1" applyFont="1" applyFill="1" applyBorder="1" applyAlignment="1">
      <x:alignment vertical="center"/>
    </x:xf>
    <x:xf numFmtId="0" fontId="9" fillId="0" borderId="10" xfId="0" applyNumberFormat="1" applyFont="1" applyFill="1" applyBorder="1" applyAlignment="1">
      <x:alignment vertical="center"/>
    </x:xf>
    <x:xf numFmtId="204" fontId="13" fillId="0" borderId="10" xfId="0" applyNumberFormat="1" applyFont="1" applyFill="1" applyBorder="1" applyAlignment="1">
      <x:alignment vertical="center"/>
    </x:xf>
    <x:xf numFmtId="207" fontId="14" fillId="0" borderId="0" xfId="0" applyNumberFormat="1" applyFont="1" applyFill="1" applyBorder="1" applyAlignment="1">
      <x:alignment vertical="center"/>
    </x:xf>
    <x:xf numFmtId="207" fontId="15" fillId="0" borderId="0" xfId="0" applyNumberFormat="1" applyFont="1" applyFill="1" applyBorder="1" applyAlignment="1">
      <x:alignment vertical="center"/>
    </x:xf>
    <x:xf numFmtId="202" fontId="4" fillId="0" borderId="0" xfId="0" applyNumberFormat="1" applyFont="1" applyFill="1" applyBorder="1" applyAlignment="1">
      <x:alignment vertical="center"/>
    </x:xf>
    <x:xf numFmtId="202" fontId="14" fillId="0" borderId="0" xfId="0" applyNumberFormat="1" applyFont="1" applyFill="1" applyBorder="1" applyAlignment="1">
      <x:alignment vertical="center"/>
    </x:xf>
    <x:xf numFmtId="211" fontId="1" fillId="0" borderId="0" xfId="0" applyNumberFormat="1" applyFont="1" applyFill="1" applyBorder="1" applyAlignment="1">
      <x:alignment vertical="center"/>
    </x:xf>
    <x:xf numFmtId="211"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3" fontId="4" fillId="0" borderId="0" xfId="0" applyNumberFormat="1" applyFont="1" applyFill="1" applyBorder="1" applyAlignment="1">
      <x:alignment vertical="center"/>
    </x:xf>
    <x:xf numFmtId="206" fontId="4"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201" fontId="13" fillId="0" borderId="0" xfId="0" applyNumberFormat="1" applyFont="1" applyFill="1" applyBorder="1" applyAlignment="1">
      <x:alignment vertical="center"/>
    </x:xf>
    <x:xf numFmtId="201" fontId="13" fillId="0" borderId="10" xfId="0" applyNumberFormat="1" applyFont="1" applyFill="1" applyBorder="1" applyAlignment="1">
      <x:alignment vertical="center"/>
    </x:xf>
    <x:xf numFmtId="208" fontId="4" fillId="0" borderId="0" xfId="0" applyNumberFormat="1" applyFont="1" applyFill="1" applyBorder="1" applyAlignment="1">
      <x:alignment vertical="center"/>
    </x:xf>
    <x:xf numFmtId="205" fontId="4" fillId="0" borderId="0" xfId="0" applyNumberFormat="1" applyFont="1" applyFill="1" applyBorder="1" applyAlignment="1">
      <x:alignment vertical="center"/>
    </x:xf>
    <x:xf numFmtId="209" fontId="4" fillId="0" borderId="0" xfId="0" applyNumberFormat="1" applyFont="1" applyFill="1" applyBorder="1" applyAlignment="1">
      <x:alignment vertical="center"/>
    </x:xf>
    <x:xf numFmtId="202" fontId="10" fillId="0" borderId="0" xfId="0" applyNumberFormat="1" applyFont="1" applyFill="1" applyBorder="1" applyAlignment="1">
      <x:alignment vertical="center"/>
    </x:xf>
    <x:xf numFmtId="202" fontId="15" fillId="0" borderId="0" xfId="0" applyNumberFormat="1" applyFont="1" applyFill="1" applyBorder="1" applyAlignment="1">
      <x:alignment vertical="center"/>
    </x:xf>
    <x:xf numFmtId="208" fontId="10" fillId="0" borderId="0" xfId="0" applyNumberFormat="1" applyFont="1" applyFill="1" applyBorder="1" applyAlignment="1">
      <x:alignment vertical="center"/>
    </x:xf>
    <x:xf numFmtId="210" fontId="10" fillId="0" borderId="0" xfId="0" applyNumberFormat="1" applyFont="1" applyFill="1" applyBorder="1" applyAlignment="1">
      <x:alignment vertical="center"/>
    </x:xf>
    <x:xf numFmtId="209" fontId="10" fillId="0" borderId="0" xfId="0" applyNumberFormat="1" applyFont="1" applyFill="1" applyBorder="1" applyAlignment="1">
      <x:alignment vertical="center"/>
    </x:xf>
    <x:xf numFmtId="0" fontId="9" fillId="0" borderId="1" xfId="0" applyNumberFormat="1" applyFont="1" applyFill="1" applyBorder="1" applyAlignment="1">
      <x:alignment vertical="center"/>
    </x:xf>
    <x:xf numFmtId="0" fontId="9" fillId="0" borderId="2" xfId="0" applyNumberFormat="1" applyFont="1" applyFill="1" applyBorder="1" applyAlignment="1">
      <x:alignment horizontal="center" vertical="center"/>
    </x:xf>
    <x:xf numFmtId="0" fontId="9" fillId="0" borderId="3" xfId="0" applyNumberFormat="1" applyFont="1" applyFill="1" applyBorder="1" applyAlignment="1">
      <x:alignment horizontal="center" vertical="center"/>
    </x:xf>
    <x:xf numFmtId="212" fontId="1" fillId="0" borderId="0" xfId="0" applyNumberFormat="1" applyFont="1" applyFill="1" applyBorder="1" applyAlignment="1">
      <x:alignment vertical="center"/>
    </x:xf>
    <x:xf numFmtId="0" fontId="16" fillId="0" borderId="0" xfId="0" applyNumberFormat="1" applyFont="1" applyFill="1" applyBorder="1" applyAlignment="1">
      <x:alignment vertical="center"/>
    </x:xf>
    <x:xf numFmtId="202" fontId="17" fillId="0" borderId="0" xfId="0" applyNumberFormat="1" applyFont="1" applyFill="1" applyBorder="1" applyAlignment="1">
      <x:alignment vertical="center"/>
    </x:xf>
    <x:xf numFmtId="0" fontId="16" fillId="0" borderId="10" xfId="0" applyNumberFormat="1" applyFont="1" applyFill="1" applyBorder="1" applyAlignment="1">
      <x:alignment vertical="center"/>
    </x:xf>
    <x:xf numFmtId="202" fontId="17" fillId="0" borderId="10" xfId="0" applyNumberFormat="1" applyFont="1" applyFill="1" applyBorder="1" applyAlignment="1">
      <x:alignment vertical="center"/>
    </x:xf>
    <x:xf numFmtId="202" fontId="18" fillId="0" borderId="0" xfId="0" applyNumberFormat="1" applyFont="1" applyFill="1" applyBorder="1" applyAlignment="1">
      <x:alignment vertical="center"/>
    </x:xf>
    <x:xf numFmtId="202" fontId="18" fillId="0" borderId="10" xfId="0" applyNumberFormat="1" applyFont="1" applyFill="1" applyBorder="1" applyAlignment="1">
      <x:alignment vertical="center"/>
    </x:xf>
    <x:xf numFmtId="213" fontId="1" fillId="0" borderId="0" xfId="0" applyNumberFormat="1" applyFont="1" applyFill="1" applyBorder="1" applyAlignment="1">
      <x:alignment vertical="center"/>
    </x:xf>
    <x:xf numFmtId="213" fontId="10" fillId="0" borderId="0" xfId="0" applyNumberFormat="1" applyFont="1" applyFill="1" applyBorder="1" applyAlignment="1">
      <x:alignment vertical="center"/>
    </x:xf>
    <x:xf numFmtId="214" fontId="1" fillId="0" borderId="0" xfId="0" applyNumberFormat="1" applyFont="1" applyFill="1" applyBorder="1" applyAlignment="1">
      <x:alignment vertical="center"/>
    </x:xf>
    <x:xf numFmtId="214" fontId="10" fillId="0" borderId="0" xfId="0" applyNumberFormat="1" applyFont="1" applyFill="1" applyBorder="1" applyAlignment="1">
      <x:alignment vertical="center"/>
    </x:xf>
    <x:xf numFmtId="214" fontId="4" fillId="0" borderId="0" xfId="0" applyNumberFormat="1" applyFont="1" applyFill="1" applyBorder="1" applyAlignment="1">
      <x:alignment vertical="center"/>
    </x:xf>
    <x:xf numFmtId="211" fontId="10" fillId="0" borderId="0" xfId="0" applyNumberFormat="1" applyFont="1" applyFill="1" applyBorder="1" applyAlignment="1">
      <x:alignment vertical="center"/>
    </x:xf>
    <x:xf numFmtId="211" fontId="7" fillId="0" borderId="0" xfId="0" applyNumberFormat="1" applyFont="1" applyFill="1" applyBorder="1" applyAlignment="1">
      <x:alignment vertical="center"/>
    </x:xf>
    <x:xf numFmtId="215" fontId="1" fillId="0" borderId="0" xfId="0" applyNumberFormat="1" applyFont="1" applyFill="1" applyBorder="1" applyAlignment="1">
      <x:alignment vertical="center"/>
    </x:xf>
    <x:xf numFmtId="215" fontId="10" fillId="0" borderId="0" xfId="0" applyNumberFormat="1" applyFont="1" applyFill="1" applyBorder="1" applyAlignment="1">
      <x:alignment vertical="center"/>
    </x:xf>
    <x:xf numFmtId="214" fontId="6" fillId="0" borderId="0" xfId="0" applyNumberFormat="1" applyFont="1" applyFill="1" applyBorder="1" applyAlignment="1">
      <x:alignment vertical="center"/>
    </x:xf>
    <x:xf numFmtId="0" fontId="0" fillId="3" borderId="0" xfId="0" applyNumberFormat="1" applyFont="1" applyFill="1" applyBorder="1"/>
    <x:xf numFmtId="0" fontId="11" fillId="3" borderId="0" xfId="0" applyNumberFormat="1" applyFont="1" applyFill="1" applyBorder="1"/>
    <x:xf numFmtId="0" fontId="11" fillId="3" borderId="8" xfId="0" applyNumberFormat="1" applyFont="1" applyFill="1" applyBorder="1"/>
    <x:xf numFmtId="0" fontId="11" fillId="3" borderId="9" xfId="0" applyNumberFormat="1" applyFont="1" applyFill="1" applyBorder="1"/>
    <x:xf numFmtId="0" fontId="11" fillId="3" borderId="8" xfId="0" applyNumberFormat="1" applyFont="1" applyFill="1" applyBorder="1" applyAlignment="1">
      <x:alignment horizontal="center"/>
    </x:xf>
    <x:xf numFmtId="0" fontId="11" fillId="3" borderId="9" xfId="0" applyNumberFormat="1" applyFont="1" applyFill="1" applyBorder="1" applyAlignment="1">
      <x:alignment horizontal="center"/>
    </x:xf>
    <x:xf numFmtId="205" fontId="0" fillId="0" borderId="0" xfId="0" applyNumberFormat="1" applyFont="1" applyFill="1" applyBorder="1"/>
    <x:xf numFmtId="207" fontId="0" fillId="0" borderId="0" xfId="0" applyNumberFormat="1" applyFont="1" applyFill="1" applyBorder="1"/>
    <x:xf numFmtId="211" fontId="0" fillId="0" borderId="0" xfId="0" applyNumberFormat="1" applyFont="1" applyFill="1" applyBorder="1"/>
    <x:xf numFmtId="204" fontId="0" fillId="0" borderId="0" xfId="0" applyNumberFormat="1" applyFont="1" applyFill="1" applyBorder="1"/>
    <x:xf numFmtId="201" fontId="0" fillId="0" borderId="0" xfId="0" applyNumberFormat="1" applyFont="1" applyFill="1" applyBorder="1"/>
    <x:xf numFmtId="0" fontId="19" fillId="0" borderId="0" xfId="0" applyNumberFormat="1" applyFont="1" applyFill="1" applyBorder="1"/>
    <x:xf numFmtId="0" fontId="19" fillId="2" borderId="0" xfId="0" applyNumberFormat="1" applyFont="1" applyFill="1" applyBorder="1"/>
    <x:xf numFmtId="0" fontId="0" fillId="2" borderId="0" xfId="0" applyNumberFormat="1" applyFont="1" applyFill="1" applyBorder="1"/>
    <x:xf numFmtId="0" fontId="9" fillId="2" borderId="0" xfId="0" applyNumberFormat="1" applyFont="1" applyFill="1" applyBorder="1"/>
    <x:xf numFmtId="0" fontId="9" fillId="2" borderId="4" xfId="0" applyNumberFormat="1" applyFont="1" applyFill="1" applyBorder="1"/>
    <x:xf numFmtId="0" fontId="9" fillId="2" borderId="5" xfId="0" applyNumberFormat="1" applyFont="1" applyFill="1" applyBorder="1"/>
    <x:xf numFmtId="0" fontId="9" fillId="2" borderId="6" xfId="0" applyNumberFormat="1" applyFont="1" applyFill="1" applyBorder="1"/>
    <x:xf numFmtId="0" fontId="1" fillId="0" borderId="0" xfId="0" applyNumberFormat="1" applyFont="1" applyFill="1" applyBorder="1" applyAlignment="1">
      <x:alignment wrapText="1"/>
    </x:xf>
    <x:xf numFmtId="201" fontId="5" fillId="0" borderId="0" xfId="0" applyNumberFormat="1" applyFont="1" applyFill="1" applyBorder="1" applyAlignment="1">
      <x:alignment vertical="center"/>
    </x:xf>
    <x:xf numFmtId="201" fontId="5" fillId="0" borderId="10" xfId="0" applyNumberFormat="1" applyFont="1" applyFill="1" applyBorder="1" applyAlignment="1">
      <x:alignment vertical="center"/>
    </x:xf>
    <x:xf numFmtId="203" fontId="0" fillId="0" borderId="0" xfId="0" applyNumberFormat="1" applyFont="1" applyFill="1" applyBorder="1"/>
    <x:xf numFmtId="0" fontId="20" fillId="0" borderId="0" xfId="0" applyNumberFormat="1" applyFont="1" applyFill="1" applyBorder="1"/>
    <x:xf numFmtId="0" fontId="21" fillId="0" borderId="0" xfId="0" applyNumberFormat="1" applyFont="1" applyFill="1" applyBorder="1" applyAlignment="1">
      <x:alignment vertical="center"/>
    </x:xf>
    <x:xf numFmtId="0" fontId="21" fillId="0" borderId="0" xfId="0" applyNumberFormat="1" applyFont="1" applyFill="1" applyBorder="1"/>
    <x:xf numFmtId="0" fontId="21" fillId="0" borderId="0" xfId="0" applyNumberFormat="1" applyFont="1" applyFill="1" applyBorder="1" applyAlignment="1">
      <x:alignment vertical="center" wrapText="0"/>
    </x:xf>
    <x:xf numFmtId="0" fontId="21" fillId="0" borderId="0" xfId="0" applyNumberFormat="1" applyFont="1" applyFill="1" applyBorder="1" applyAlignment="1">
      <x:alignment wrapText="0"/>
    </x:xf>
    <x:xf numFmtId="0" fontId="22" fillId="0" borderId="0" xfId="0" applyNumberFormat="1" applyFont="1" applyFill="1" applyBorder="1" applyAlignment="1">
      <x:alignment vertical="center"/>
    </x:xf>
    <x:xf numFmtId="0" fontId="23" fillId="0" borderId="1" xfId="0" applyNumberFormat="1" applyFont="1" applyFill="1" applyBorder="1" applyAlignment="1">
      <x:alignment vertical="center"/>
    </x:xf>
    <x:xf numFmtId="0" fontId="23" fillId="0" borderId="11" xfId="0" applyNumberFormat="1" applyFont="1" applyFill="1" applyBorder="1" applyAlignment="1">
      <x:alignment vertical="center"/>
    </x:xf>
    <x:xf numFmtId="0" fontId="24" fillId="0" borderId="0" xfId="0" applyNumberFormat="1" applyFont="1" applyFill="1" applyBorder="1" applyAlignment="1">
      <x:alignment vertical="center"/>
    </x:xf>
    <x:xf numFmtId="0" fontId="23" fillId="0" borderId="2" xfId="0" applyNumberFormat="1" applyFont="1" applyFill="1" applyBorder="1" applyAlignment="1">
      <x:alignment horizontal="center" vertical="center"/>
    </x:xf>
    <x:xf numFmtId="0" fontId="23" fillId="0" borderId="12" xfId="0" applyNumberFormat="1" applyFont="1" applyFill="1" applyBorder="1" applyAlignment="1">
      <x:alignment horizontal="center" vertical="center"/>
    </x:xf>
    <x:xf numFmtId="0" fontId="23" fillId="0" borderId="3" xfId="0" applyNumberFormat="1" applyFont="1" applyFill="1" applyBorder="1" applyAlignment="1">
      <x:alignment horizontal="center" vertical="center"/>
    </x:xf>
    <x:xf numFmtId="0" fontId="23" fillId="0" borderId="13" xfId="0" applyNumberFormat="1" applyFont="1" applyFill="1" applyBorder="1" applyAlignment="1">
      <x:alignment horizontal="center" vertical="center"/>
    </x:xf>
    <x:xf numFmtId="201" fontId="22" fillId="0" borderId="0" xfId="0" applyNumberFormat="1" applyFont="1" applyFill="1" applyBorder="1" applyAlignment="1">
      <x:alignment vertical="center"/>
    </x:xf>
    <x:xf numFmtId="216" fontId="22" fillId="0" borderId="0" xfId="0" applyNumberFormat="1" applyFont="1" applyFill="1" applyBorder="1" applyAlignment="1">
      <x:alignment vertical="center"/>
    </x:xf>
    <x:xf numFmtId="0" fontId="23" fillId="0" borderId="10" xfId="0" applyNumberFormat="1" applyFont="1" applyFill="1" applyBorder="1" applyAlignment="1">
      <x:alignment vertical="center"/>
    </x:xf>
    <x:xf numFmtId="0" fontId="23" fillId="0" borderId="14" xfId="0" applyNumberFormat="1" applyFont="1" applyFill="1" applyBorder="1" applyAlignment="1">
      <x:alignment vertical="center"/>
    </x:xf>
    <x:xf numFmtId="201" fontId="23" fillId="0" borderId="10" xfId="0" applyNumberFormat="1" applyFont="1" applyFill="1" applyBorder="1" applyAlignment="1">
      <x:alignment vertical="center"/>
    </x:xf>
    <x:xf numFmtId="201" fontId="23" fillId="0" borderId="14" xfId="0" applyNumberFormat="1" applyFont="1" applyFill="1" applyBorder="1" applyAlignment="1">
      <x:alignment vertical="center"/>
    </x:xf>
    <x:xf numFmtId="216" fontId="23" fillId="0" borderId="14" xfId="0" applyNumberFormat="1" applyFont="1" applyFill="1" applyBorder="1" applyAlignment="1">
      <x:alignment vertical="center"/>
    </x:xf>
    <x:xf numFmtId="207" fontId="24" fillId="0" borderId="0" xfId="0" applyNumberFormat="1" applyFont="1" applyFill="1" applyBorder="1" applyAlignment="1">
      <x:alignment vertical="center"/>
    </x:xf>
    <x:xf numFmtId="217" fontId="24" fillId="0" borderId="0" xfId="0" applyNumberFormat="1" applyFont="1" applyFill="1" applyBorder="1" applyAlignment="1">
      <x:alignment vertical="center"/>
    </x:xf>
    <x:xf numFmtId="202" fontId="24" fillId="0" borderId="0" xfId="0" applyNumberFormat="1" applyFont="1" applyFill="1" applyBorder="1" applyAlignment="1">
      <x:alignment vertical="center"/>
    </x:xf>
    <x:xf numFmtId="218" fontId="24" fillId="0" borderId="0" xfId="0" applyNumberFormat="1" applyFont="1" applyFill="1" applyBorder="1" applyAlignment="1">
      <x:alignment vertical="center"/>
    </x:xf>
    <x:xf numFmtId="0" fontId="11" fillId="4" borderId="7" xfId="0" applyNumberFormat="1" applyFont="1" applyFill="1" applyBorder="1" applyAlignment="1">
      <x:alignment horizontal="center" vertical="center"/>
    </x:xf>
    <x:xf numFmtId="0" fontId="25" fillId="4" borderId="7" xfId="0" applyNumberFormat="1" applyFont="1" applyFill="1" applyBorder="1" applyAlignment="1">
      <x:alignment horizontal="center" vertical="center"/>
    </x:xf>
    <x:xf numFmtId="0" fontId="11" fillId="4" borderId="8" xfId="0" applyNumberFormat="1" applyFont="1" applyFill="1" applyBorder="1" applyAlignment="1">
      <x:alignment horizontal="center" vertical="center"/>
    </x:xf>
    <x:xf numFmtId="0" fontId="25" fillId="4" borderId="8" xfId="0" applyNumberFormat="1" applyFont="1" applyFill="1" applyBorder="1" applyAlignment="1">
      <x:alignment horizontal="center" vertical="center"/>
    </x:xf>
    <x:xf numFmtId="0" fontId="11" fillId="4" borderId="9" xfId="0" applyNumberFormat="1" applyFont="1" applyFill="1" applyBorder="1" applyAlignment="1">
      <x:alignment horizontal="center" vertical="center"/>
    </x:xf>
    <x:xf numFmtId="0" fontId="25" fillId="4" borderId="9" xfId="0" applyNumberFormat="1" applyFont="1" applyFill="1" applyBorder="1" applyAlignment="1">
      <x:alignment horizontal="center" vertical="center"/>
    </x:xf>
    <x:xf numFmtId="207" fontId="22" fillId="0" borderId="0" xfId="0" applyNumberFormat="1" applyFont="1" applyFill="1" applyBorder="1" applyAlignment="1">
      <x:alignment vertical="center"/>
    </x:xf>
    <x:xf numFmtId="217" fontId="22" fillId="0" borderId="0" xfId="0" applyNumberFormat="1" applyFont="1" applyFill="1" applyBorder="1" applyAlignment="1">
      <x:alignment vertical="center"/>
    </x:xf>
    <x:xf numFmtId="204" fontId="22" fillId="0" borderId="0" xfId="0" applyNumberFormat="1" applyFont="1" applyFill="1" applyBorder="1" applyAlignment="1">
      <x:alignment vertical="center"/>
    </x:xf>
    <x:xf numFmtId="219" fontId="22" fillId="0" borderId="0" xfId="0" applyNumberFormat="1" applyFont="1" applyFill="1" applyBorder="1" applyAlignment="1">
      <x:alignment vertical="center"/>
    </x:xf>
    <x:xf numFmtId="0" fontId="9" fillId="5" borderId="4" xfId="0" applyNumberFormat="1" applyFont="1" applyFill="1" applyBorder="1" applyAlignment="1">
      <x:alignment vertical="center"/>
    </x:xf>
    <x:xf numFmtId="0" fontId="23" fillId="5" borderId="4" xfId="0" applyNumberFormat="1" applyFont="1" applyFill="1" applyBorder="1" applyAlignment="1">
      <x:alignment vertical="center"/>
    </x:xf>
    <x:xf numFmtId="0" fontId="23" fillId="5" borderId="15" xfId="0" applyNumberFormat="1" applyFont="1" applyFill="1" applyBorder="1" applyAlignment="1">
      <x:alignment vertical="center"/>
    </x:xf>
    <x:xf numFmtId="0" fontId="9" fillId="5" borderId="5" xfId="0" applyNumberFormat="1" applyFont="1" applyFill="1" applyBorder="1" applyAlignment="1">
      <x:alignment vertical="center"/>
    </x:xf>
    <x:xf numFmtId="0" fontId="23" fillId="5" borderId="5" xfId="0" applyNumberFormat="1" applyFont="1" applyFill="1" applyBorder="1" applyAlignment="1">
      <x:alignment vertical="center"/>
    </x:xf>
    <x:xf numFmtId="0" fontId="23" fillId="5" borderId="16" xfId="0" applyNumberFormat="1" applyFont="1" applyFill="1" applyBorder="1" applyAlignment="1">
      <x:alignment vertical="center"/>
    </x:xf>
    <x:xf numFmtId="0" fontId="9" fillId="5" borderId="6" xfId="0" applyNumberFormat="1" applyFont="1" applyFill="1" applyBorder="1" applyAlignment="1">
      <x:alignment vertical="center"/>
    </x:xf>
    <x:xf numFmtId="0" fontId="23" fillId="5" borderId="6" xfId="0" applyNumberFormat="1" applyFont="1" applyFill="1" applyBorder="1" applyAlignment="1">
      <x:alignment vertical="center"/>
    </x:xf>
    <x:xf numFmtId="0" fontId="23" fillId="5" borderId="17" xfId="0" applyNumberFormat="1" applyFont="1" applyFill="1" applyBorder="1" applyAlignment="1">
      <x:alignment vertical="center"/>
    </x:xf>
    <x:xf numFmtId="0" fontId="22" fillId="0" borderId="0" xfId="0" applyNumberFormat="1" applyFont="1" applyFill="1" applyBorder="1" applyAlignment="1">
      <x:alignment vertical="center" wrapText="1"/>
    </x:xf>
    <x:xf numFmtId="0" fontId="23" fillId="6" borderId="14" xfId="0" applyNumberFormat="1" applyFont="1" applyFill="1" applyBorder="1" applyAlignment="1">
      <x:alignment vertical="center"/>
    </x:xf>
    <x:xf numFmtId="216" fontId="23" fillId="6" borderId="14" xfId="0" applyNumberFormat="1" applyFont="1" applyFill="1" applyBorder="1" applyAlignment="1">
      <x:alignment vertical="center"/>
    </x:xf>
    <x:xf numFmtId="0" fontId="23" fillId="6" borderId="16" xfId="0" applyNumberFormat="1" applyFont="1" applyFill="1" applyBorder="1" applyAlignment="1">
      <x:alignment vertical="center"/>
    </x:xf>
    <x:xf numFmtId="216" fontId="23" fillId="6" borderId="16" xfId="0" applyNumberFormat="1" applyFont="1" applyFill="1" applyBorder="1" applyAlignment="1">
      <x:alignment vertical="center"/>
    </x:xf>
    <x:xf numFmtId="0" fontId="26" fillId="0" borderId="11" xfId="0" applyNumberFormat="1" applyFont="1" applyFill="1" applyBorder="1" applyAlignment="1">
      <x:alignment vertical="center"/>
    </x:xf>
    <x:xf numFmtId="208" fontId="27" fillId="0" borderId="0" xfId="0" applyNumberFormat="1" applyFont="1" applyFill="1" applyBorder="1" applyAlignment="1">
      <x:alignment vertical="center"/>
    </x:xf>
    <x:xf numFmtId="220" fontId="27" fillId="0" borderId="0" xfId="0" applyNumberFormat="1" applyFont="1" applyFill="1" applyBorder="1" applyAlignment="1">
      <x:alignment vertical="center"/>
    </x:xf>
    <x:xf numFmtId="209" fontId="27" fillId="0" borderId="0" xfId="0" applyNumberFormat="1" applyFont="1" applyFill="1" applyBorder="1" applyAlignment="1">
      <x:alignment vertical="center"/>
    </x:xf>
    <x:xf numFmtId="221" fontId="27" fillId="0" borderId="0" xfId="0" applyNumberFormat="1" applyFont="1" applyFill="1" applyBorder="1" applyAlignment="1">
      <x:alignment vertical="center"/>
    </x:xf>
    <x:xf numFmtId="206" fontId="27" fillId="0" borderId="0" xfId="0" applyNumberFormat="1" applyFont="1" applyFill="1" applyBorder="1" applyAlignment="1">
      <x:alignment vertical="center"/>
    </x:xf>
    <x:xf numFmtId="222" fontId="27" fillId="0" borderId="0" xfId="0" applyNumberFormat="1" applyFont="1" applyFill="1" applyBorder="1" applyAlignment="1">
      <x:alignment vertical="center"/>
    </x:xf>
    <x:xf numFmtId="204" fontId="27" fillId="0" borderId="0" xfId="0" applyNumberFormat="1" applyFont="1" applyFill="1" applyBorder="1" applyAlignment="1">
      <x:alignment vertical="center"/>
    </x:xf>
    <x:xf numFmtId="219" fontId="27" fillId="0" borderId="0" xfId="0" applyNumberFormat="1" applyFont="1" applyFill="1" applyBorder="1" applyAlignment="1">
      <x:alignment vertical="center"/>
    </x:xf>
    <x:xf numFmtId="207" fontId="28" fillId="0" borderId="0" xfId="0" applyNumberFormat="1" applyFont="1" applyFill="1" applyBorder="1" applyAlignment="1">
      <x:alignment vertical="center"/>
    </x:xf>
    <x:xf numFmtId="217" fontId="28" fillId="0" borderId="0" xfId="0" applyNumberFormat="1" applyFont="1" applyFill="1" applyBorder="1" applyAlignment="1">
      <x:alignment vertical="center"/>
    </x:xf>
    <x:xf numFmtId="210" fontId="22" fillId="0" borderId="0" xfId="0" applyNumberFormat="1" applyFont="1" applyFill="1" applyBorder="1" applyAlignment="1">
      <x:alignment vertical="center"/>
    </x:xf>
    <x:xf numFmtId="223" fontId="22" fillId="0" borderId="0" xfId="0" applyNumberFormat="1" applyFont="1" applyFill="1" applyBorder="1" applyAlignment="1">
      <x:alignment vertical="center"/>
    </x:xf>
    <x:xf numFmtId="207" fontId="5" fillId="5" borderId="5" xfId="0" applyNumberFormat="1" applyFont="1" applyFill="1" applyBorder="1" applyAlignment="1">
      <x:alignment vertical="center"/>
    </x:xf>
    <x:xf numFmtId="207" fontId="23" fillId="5" borderId="5" xfId="0" applyNumberFormat="1" applyFont="1" applyFill="1" applyBorder="1" applyAlignment="1">
      <x:alignment vertical="center"/>
    </x:xf>
    <x:xf numFmtId="207" fontId="23" fillId="5" borderId="16" xfId="0" applyNumberFormat="1" applyFont="1" applyFill="1" applyBorder="1" applyAlignment="1">
      <x:alignment vertical="center"/>
    </x:xf>
    <x:xf numFmtId="217" fontId="23" fillId="5" borderId="16" xfId="0" applyNumberFormat="1" applyFont="1" applyFill="1" applyBorder="1" applyAlignment="1">
      <x:alignment vertical="center"/>
    </x:xf>
    <x:xf numFmtId="207" fontId="5" fillId="5" borderId="6" xfId="0" applyNumberFormat="1" applyFont="1" applyFill="1" applyBorder="1" applyAlignment="1">
      <x:alignment vertical="center"/>
    </x:xf>
    <x:xf numFmtId="207" fontId="23" fillId="5" borderId="6" xfId="0" applyNumberFormat="1" applyFont="1" applyFill="1" applyBorder="1" applyAlignment="1">
      <x:alignment vertical="center"/>
    </x:xf>
    <x:xf numFmtId="207" fontId="23" fillId="5" borderId="17" xfId="0" applyNumberFormat="1" applyFont="1" applyFill="1" applyBorder="1" applyAlignment="1">
      <x:alignment vertical="center"/>
    </x:xf>
    <x:xf numFmtId="217" fontId="23" fillId="5" borderId="17" xfId="0" applyNumberFormat="1" applyFont="1" applyFill="1" applyBorder="1" applyAlignment="1">
      <x:alignment vertical="center"/>
    </x:xf>
    <x:xf numFmtId="207" fontId="27" fillId="0" borderId="0" xfId="0" applyNumberFormat="1" applyFont="1" applyFill="1" applyBorder="1" applyAlignment="1">
      <x:alignment vertical="center"/>
    </x:xf>
    <x:xf numFmtId="217" fontId="27" fillId="0" borderId="0" xfId="0" applyNumberFormat="1" applyFont="1" applyFill="1" applyBorder="1" applyAlignment="1">
      <x:alignment vertical="center"/>
    </x:xf>
    <x:xf numFmtId="204" fontId="23" fillId="0" borderId="10" xfId="0" applyNumberFormat="1" applyFont="1" applyFill="1" applyBorder="1" applyAlignment="1">
      <x:alignment vertical="center"/>
    </x:xf>
    <x:xf numFmtId="204" fontId="23" fillId="0" borderId="14" xfId="0" applyNumberFormat="1" applyFont="1" applyFill="1" applyBorder="1" applyAlignment="1">
      <x:alignment vertical="center"/>
    </x:xf>
    <x:xf numFmtId="219" fontId="23" fillId="0" borderId="14" xfId="0" applyNumberFormat="1" applyFont="1" applyFill="1" applyBorder="1" applyAlignment="1">
      <x:alignment vertical="center"/>
    </x:xf>
    <x:xf numFmtId="203" fontId="22" fillId="0" borderId="0" xfId="0" applyNumberFormat="1" applyFont="1" applyFill="1" applyBorder="1" applyAlignment="1">
      <x:alignment vertical="center"/>
    </x:xf>
    <x:xf numFmtId="224" fontId="22" fillId="0" borderId="0" xfId="0" applyNumberFormat="1" applyFont="1" applyFill="1" applyBorder="1" applyAlignment="1">
      <x:alignment vertical="center"/>
    </x:xf>
    <x:xf numFmtId="202" fontId="22" fillId="0" borderId="0" xfId="0" applyNumberFormat="1" applyFont="1" applyFill="1" applyBorder="1" applyAlignment="1">
      <x:alignment vertical="center"/>
    </x:xf>
    <x:xf numFmtId="218" fontId="22" fillId="0" borderId="0" xfId="0" applyNumberFormat="1" applyFont="1" applyFill="1" applyBorder="1" applyAlignment="1">
      <x:alignment vertical="center"/>
    </x:xf>
    <x:xf numFmtId="220" fontId="27" fillId="7" borderId="0" xfId="0" applyNumberFormat="1" applyFont="1" applyFill="1" applyBorder="1" applyAlignment="1">
      <x:alignment vertical="center"/>
    </x:xf>
    <x:xf numFmtId="219" fontId="22" fillId="7" borderId="0" xfId="0" applyNumberFormat="1" applyFont="1" applyFill="1" applyBorder="1" applyAlignment="1">
      <x:alignment vertical="center"/>
    </x:xf>
    <x:xf numFmtId="223" fontId="22" fillId="7" borderId="0" xfId="0" applyNumberFormat="1" applyFont="1" applyFill="1" applyBorder="1" applyAlignment="1">
      <x:alignment vertical="center"/>
    </x:xf>
    <x:xf numFmtId="219" fontId="23" fillId="7" borderId="14" xfId="0" applyNumberFormat="1" applyFont="1" applyFill="1" applyBorder="1" applyAlignment="1">
      <x:alignment vertical="center"/>
    </x:xf>
    <x:xf numFmtId="224" fontId="22" fillId="7" borderId="0" xfId="0" applyNumberFormat="1" applyFont="1" applyFill="1" applyBorder="1" applyAlignment="1">
      <x:alignment vertical="center"/>
    </x:xf>
    <x:xf numFmtId="216" fontId="23" fillId="7" borderId="14" xfId="0" applyNumberFormat="1" applyFont="1" applyFill="1" applyBorder="1" applyAlignment="1">
      <x:alignment vertical="center"/>
    </x:xf>
    <x:xf numFmtId="216" fontId="22" fillId="7" borderId="0" xfId="0" applyNumberFormat="1" applyFont="1" applyFill="1" applyBorder="1" applyAlignment="1">
      <x:alignment vertical="center"/>
    </x:xf>
    <x:xf numFmtId="217" fontId="24" fillId="7" borderId="0" xfId="0" applyNumberFormat="1" applyFont="1" applyFill="1" applyBorder="1" applyAlignment="1">
      <x:alignment vertical="center"/>
    </x:xf>
    <x:xf numFmtId="218" fontId="22" fillId="7" borderId="0" xfId="0" applyNumberFormat="1" applyFont="1" applyFill="1" applyBorder="1" applyAlignment="1">
      <x:alignment vertical="center"/>
    </x:xf>
    <x:xf numFmtId="217" fontId="22" fillId="7" borderId="0" xfId="0" applyNumberFormat="1" applyFont="1" applyFill="1" applyBorder="1" applyAlignment="1">
      <x:alignment vertical="center"/>
    </x:xf>
    <x:xf numFmtId="219" fontId="23" fillId="6" borderId="14" xfId="0" applyNumberFormat="1" applyFont="1" applyFill="1" applyBorder="1" applyAlignment="1">
      <x:alignment vertical="center"/>
    </x:xf>
    <x:xf numFmtId="219" fontId="23" fillId="6" borderId="16" xfId="0" applyNumberFormat="1" applyFont="1" applyFill="1" applyBorder="1" applyAlignment="1">
      <x:alignment vertical="center"/>
    </x:xf>
    <x:xf numFmtId="211" fontId="22" fillId="0" borderId="0" xfId="0" applyNumberFormat="1" applyFont="1" applyFill="1" applyBorder="1" applyAlignment="1">
      <x:alignment vertical="center"/>
    </x:xf>
    <x:xf numFmtId="225" fontId="22" fillId="0" borderId="0" xfId="0" applyNumberFormat="1" applyFont="1" applyFill="1" applyBorder="1" applyAlignment="1">
      <x:alignment vertical="center"/>
    </x:xf>
    <x:xf numFmtId="206" fontId="22" fillId="0" borderId="0" xfId="0" applyNumberFormat="1" applyFont="1" applyFill="1" applyBorder="1" applyAlignment="1">
      <x:alignment vertical="center"/>
    </x:xf>
    <x:xf numFmtId="222" fontId="22" fillId="0" borderId="0" xfId="0" applyNumberFormat="1" applyFont="1" applyFill="1" applyBorder="1" applyAlignment="1">
      <x:alignment vertical="center"/>
    </x:xf>
    <x:xf numFmtId="209" fontId="22" fillId="0" borderId="0" xfId="0" applyNumberFormat="1" applyFont="1" applyFill="1" applyBorder="1" applyAlignment="1">
      <x:alignment vertical="center"/>
    </x:xf>
    <x:xf numFmtId="221" fontId="22" fillId="0" borderId="0" xfId="0" applyNumberFormat="1" applyFont="1" applyFill="1" applyBorder="1" applyAlignment="1">
      <x:alignment vertical="center"/>
    </x:xf>
    <x:xf numFmtId="0" fontId="17" fillId="0" borderId="10" xfId="0" applyNumberFormat="1" applyFont="1" applyFill="1" applyBorder="1" applyAlignment="1">
      <x:alignment vertical="center"/>
    </x:xf>
    <x:xf numFmtId="0" fontId="17" fillId="0" borderId="14" xfId="0" applyNumberFormat="1" applyFont="1" applyFill="1" applyBorder="1" applyAlignment="1">
      <x:alignment vertical="center"/>
    </x:xf>
    <x:xf numFmtId="202" fontId="17" fillId="0" borderId="14" xfId="0" applyNumberFormat="1" applyFont="1" applyFill="1" applyBorder="1" applyAlignment="1">
      <x:alignment vertical="center"/>
    </x:xf>
    <x:xf numFmtId="218" fontId="17" fillId="0" borderId="14" xfId="0" applyNumberFormat="1" applyFont="1" applyFill="1" applyBorder="1" applyAlignment="1">
      <x:alignment vertical="center"/>
    </x:xf>
    <x:xf numFmtId="213" fontId="22" fillId="0" borderId="0" xfId="0" applyNumberFormat="1" applyFont="1" applyFill="1" applyBorder="1" applyAlignment="1">
      <x:alignment vertical="center"/>
    </x:xf>
    <x:xf numFmtId="226" fontId="22" fillId="0" borderId="0" xfId="0" applyNumberFormat="1" applyFont="1" applyFill="1" applyBorder="1" applyAlignment="1">
      <x:alignment vertical="center"/>
    </x:xf>
    <x:xf numFmtId="0" fontId="17" fillId="6" borderId="14" xfId="0" applyNumberFormat="1" applyFont="1" applyFill="1" applyBorder="1" applyAlignment="1">
      <x:alignment vertical="center"/>
    </x:xf>
    <x:xf numFmtId="218" fontId="17" fillId="6" borderId="14" xfId="0" applyNumberFormat="1" applyFont="1" applyFill="1" applyBorder="1" applyAlignment="1">
      <x:alignment vertical="center"/>
    </x:xf>
    <x:xf numFmtId="0" fontId="17" fillId="6" borderId="16" xfId="0" applyNumberFormat="1" applyFont="1" applyFill="1" applyBorder="1" applyAlignment="1">
      <x:alignment vertical="center"/>
    </x:xf>
    <x:xf numFmtId="218" fontId="17" fillId="6" borderId="16" xfId="0" applyNumberFormat="1" applyFont="1" applyFill="1" applyBorder="1" applyAlignment="1">
      <x:alignment vertical="center"/>
    </x:xf>
    <x:xf numFmtId="208" fontId="22" fillId="0" borderId="0" xfId="0" applyNumberFormat="1" applyFont="1" applyFill="1" applyBorder="1" applyAlignment="1">
      <x:alignment vertical="center"/>
    </x:xf>
    <x:xf numFmtId="220" fontId="22" fillId="0" borderId="0" xfId="0" applyNumberFormat="1" applyFont="1" applyFill="1" applyBorder="1" applyAlignment="1">
      <x:alignment vertical="center"/>
    </x:xf>
    <x:xf numFmtId="205" fontId="22" fillId="0" borderId="0" xfId="0" applyNumberFormat="1" applyFont="1" applyFill="1" applyBorder="1" applyAlignment="1">
      <x:alignment vertical="center"/>
    </x:xf>
    <x:xf numFmtId="227" fontId="22" fillId="0" borderId="0" xfId="0" applyNumberFormat="1" applyFont="1" applyFill="1" applyBorder="1" applyAlignment="1">
      <x:alignment vertical="center"/>
    </x:xf>
    <x:xf numFmtId="211" fontId="27" fillId="0" borderId="0" xfId="0" applyNumberFormat="1" applyFont="1" applyFill="1" applyBorder="1" applyAlignment="1">
      <x:alignment vertical="center"/>
    </x:xf>
    <x:xf numFmtId="225" fontId="27" fillId="0" borderId="0" xfId="0" applyNumberFormat="1" applyFont="1" applyFill="1" applyBorder="1" applyAlignment="1">
      <x:alignment vertical="center"/>
    </x:xf>
    <x:xf numFmtId="214" fontId="22" fillId="0" borderId="0" xfId="0" applyNumberFormat="1" applyFont="1" applyFill="1" applyBorder="1" applyAlignment="1">
      <x:alignment vertical="center"/>
    </x:xf>
    <x:xf numFmtId="215" fontId="22" fillId="0" borderId="0" xfId="0" applyNumberFormat="1" applyFont="1" applyFill="1" applyBorder="1" applyAlignment="1">
      <x:alignment vertical="center"/>
    </x:xf>
    <x:xf numFmtId="228" fontId="22" fillId="0" borderId="0" xfId="0" applyNumberFormat="1" applyFont="1" applyFill="1" applyBorder="1" applyAlignment="1">
      <x:alignment vertical="center"/>
    </x:xf>
    <x:xf numFmtId="202" fontId="28" fillId="0" borderId="0" xfId="0" applyNumberFormat="1" applyFont="1" applyFill="1" applyBorder="1" applyAlignment="1">
      <x:alignment vertical="center"/>
    </x:xf>
    <x:xf numFmtId="218" fontId="28" fillId="0" borderId="0" xfId="0" applyNumberFormat="1" applyFont="1" applyFill="1" applyBorder="1" applyAlignment="1">
      <x:alignment vertical="center"/>
    </x:xf>
    <x:xf numFmtId="201" fontId="27" fillId="0" borderId="0" xfId="0" applyNumberFormat="1" applyFont="1" applyFill="1" applyBorder="1" applyAlignment="1">
      <x:alignment vertical="center"/>
    </x:xf>
    <x:xf numFmtId="216" fontId="27" fillId="0" borderId="0" xfId="0" applyNumberFormat="1" applyFont="1" applyFill="1" applyBorder="1" applyAlignment="1">
      <x:alignment vertical="center"/>
    </x:xf>
    <x:xf numFmtId="0" fontId="11" fillId="4" borderId="8" xfId="0" applyNumberFormat="1" applyFont="1" applyFill="1" applyBorder="1" applyAlignment="1">
      <x:alignment horizontal="center"/>
    </x:xf>
    <x:xf numFmtId="0" fontId="25" fillId="4" borderId="8" xfId="0" applyNumberFormat="1" applyFont="1" applyFill="1" applyBorder="1" applyAlignment="1">
      <x:alignment horizontal="center"/>
    </x:xf>
    <x:xf numFmtId="0" fontId="11" fillId="4" borderId="9" xfId="0" applyNumberFormat="1" applyFont="1" applyFill="1" applyBorder="1" applyAlignment="1">
      <x:alignment horizontal="center"/>
    </x:xf>
    <x:xf numFmtId="0" fontId="25" fillId="4" borderId="9" xfId="0" applyNumberFormat="1" applyFont="1" applyFill="1" applyBorder="1" applyAlignment="1">
      <x:alignment horizontal="center"/>
    </x:xf>
    <x:xf numFmtId="205" fontId="22" fillId="0" borderId="0" xfId="0" applyNumberFormat="1" applyFont="1" applyFill="1" applyBorder="1"/>
    <x:xf numFmtId="227" fontId="22" fillId="0" borderId="0" xfId="0" applyNumberFormat="1" applyFont="1" applyFill="1" applyBorder="1"/>
    <x:xf numFmtId="0" fontId="22" fillId="0" borderId="0" xfId="0" applyNumberFormat="1" applyFont="1" applyFill="1" applyBorder="1"/>
    <x:xf numFmtId="207" fontId="22" fillId="0" borderId="0" xfId="0" applyNumberFormat="1" applyFont="1" applyFill="1" applyBorder="1"/>
    <x:xf numFmtId="217" fontId="22" fillId="0" borderId="0" xfId="0" applyNumberFormat="1" applyFont="1" applyFill="1" applyBorder="1"/>
    <x:xf numFmtId="211" fontId="22" fillId="0" borderId="0" xfId="0" applyNumberFormat="1" applyFont="1" applyFill="1" applyBorder="1"/>
    <x:xf numFmtId="225" fontId="22" fillId="0" borderId="0" xfId="0" applyNumberFormat="1" applyFont="1" applyFill="1" applyBorder="1"/>
    <x:xf numFmtId="204" fontId="22" fillId="0" borderId="0" xfId="0" applyNumberFormat="1" applyFont="1" applyFill="1" applyBorder="1"/>
    <x:xf numFmtId="219" fontId="22" fillId="0" borderId="0" xfId="0" applyNumberFormat="1" applyFont="1" applyFill="1" applyBorder="1"/>
    <x:xf numFmtId="201" fontId="22" fillId="0" borderId="0" xfId="0" applyNumberFormat="1" applyFont="1" applyFill="1" applyBorder="1"/>
    <x:xf numFmtId="216" fontId="22" fillId="0" borderId="0" xfId="0" applyNumberFormat="1" applyFont="1" applyFill="1" applyBorder="1"/>
    <x:xf numFmtId="0" fontId="9" fillId="5" borderId="4" xfId="0" applyNumberFormat="1" applyFont="1" applyFill="1" applyBorder="1"/>
    <x:xf numFmtId="0" fontId="23" fillId="5" borderId="4" xfId="0" applyNumberFormat="1" applyFont="1" applyFill="1" applyBorder="1"/>
    <x:xf numFmtId="0" fontId="23" fillId="5" borderId="15" xfId="0" applyNumberFormat="1" applyFont="1" applyFill="1" applyBorder="1"/>
    <x:xf numFmtId="0" fontId="9" fillId="5" borderId="5" xfId="0" applyNumberFormat="1" applyFont="1" applyFill="1" applyBorder="1"/>
    <x:xf numFmtId="0" fontId="23" fillId="5" borderId="5" xfId="0" applyNumberFormat="1" applyFont="1" applyFill="1" applyBorder="1"/>
    <x:xf numFmtId="0" fontId="23" fillId="5" borderId="16" xfId="0" applyNumberFormat="1" applyFont="1" applyFill="1" applyBorder="1"/>
    <x:xf numFmtId="0" fontId="9" fillId="5" borderId="6" xfId="0" applyNumberFormat="1" applyFont="1" applyFill="1" applyBorder="1"/>
    <x:xf numFmtId="0" fontId="23" fillId="5" borderId="6" xfId="0" applyNumberFormat="1" applyFont="1" applyFill="1" applyBorder="1"/>
    <x:xf numFmtId="0" fontId="23" fillId="5" borderId="17" xfId="0" applyNumberFormat="1" applyFont="1" applyFill="1" applyBorder="1"/>
    <x:xf numFmtId="200" fontId="22" fillId="0" borderId="0" xfId="0" applyNumberFormat="1" applyFont="1" applyFill="1" applyBorder="1" applyAlignment="1">
      <x:alignment vertical="center"/>
    </x:xf>
    <x:xf numFmtId="203" fontId="27" fillId="0" borderId="0" xfId="0" applyNumberFormat="1" applyFont="1" applyFill="1" applyBorder="1" applyAlignment="1">
      <x:alignment vertical="center"/>
    </x:xf>
    <x:xf numFmtId="224" fontId="27" fillId="0" borderId="0" xfId="0" applyNumberFormat="1" applyFont="1" applyFill="1" applyBorder="1" applyAlignment="1">
      <x:alignment vertical="center"/>
    </x:xf>
    <x:xf numFmtId="205" fontId="27" fillId="0" borderId="0" xfId="0" applyNumberFormat="1" applyFont="1" applyFill="1" applyBorder="1" applyAlignment="1">
      <x:alignment vertical="center"/>
    </x:xf>
    <x:xf numFmtId="227" fontId="27" fillId="0" borderId="0" xfId="0" applyNumberFormat="1" applyFont="1" applyFill="1" applyBorder="1" applyAlignment="1">
      <x:alignment vertical="center"/>
    </x:xf>
    <x:xf numFmtId="212" fontId="22" fillId="0" borderId="0" xfId="0" applyNumberFormat="1" applyFont="1" applyFill="1" applyBorder="1" applyAlignment="1">
      <x:alignment vertical="center"/>
    </x:xf>
    <x:xf numFmtId="229" fontId="22" fillId="0" borderId="0" xfId="0" applyNumberFormat="1" applyFont="1" applyFill="1" applyBorder="1" applyAlignment="1">
      <x:alignment vertical="center"/>
    </x:xf>
    <x:xf numFmtId="203" fontId="22" fillId="0" borderId="0" xfId="0" applyNumberFormat="1" applyFont="1" applyFill="1" applyBorder="1"/>
    <x:xf numFmtId="224" fontId="22" fillId="0" borderId="0" xfId="0" applyNumberFormat="1" applyFont="1" applyFill="1" applyBorder="1"/>
    <x:xf numFmtId="0" fontId="29" fillId="0" borderId="0" xfId="0" applyNumberFormat="1" applyFont="1" applyFill="1" applyBorder="1" applyAlignment="1">
      <x:alignment vertical="center" wrapText="0"/>
    </x:xf>
    <x:xf numFmtId="0" fontId="29"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96163807754ee1" /><Relationship Type="http://schemas.openxmlformats.org/officeDocument/2006/relationships/theme" Target="/xl/theme/theme1.xml" Id="Re50c33c3bee24ec6" /><Relationship Type="http://schemas.openxmlformats.org/officeDocument/2006/relationships/sharedStrings" Target="/xl/sharedStrings.xml" Id="Rc3528736d56d44ee" /><Relationship Type="http://schemas.openxmlformats.org/officeDocument/2006/relationships/worksheet" Target="/xl/worksheets/sheet1.xml" Id="Reed8e67f2a2f4fea" /><Relationship Type="http://schemas.openxmlformats.org/officeDocument/2006/relationships/worksheet" Target="/xl/worksheets/sheet2.xml" Id="R26cf34b01b874657" /><Relationship Type="http://schemas.openxmlformats.org/officeDocument/2006/relationships/worksheet" Target="/xl/worksheets/sheet3.xml" Id="R4ffb560653324a21" /><Relationship Type="http://schemas.openxmlformats.org/officeDocument/2006/relationships/worksheet" Target="/xl/worksheets/sheet4.xml" Id="Rf2f4ac1e7fb14a74" /><Relationship Type="http://schemas.openxmlformats.org/officeDocument/2006/relationships/worksheet" Target="/xl/worksheets/sheet5.xml" Id="Ra87d97e4303e4b47" /><Relationship Type="http://schemas.openxmlformats.org/officeDocument/2006/relationships/worksheet" Target="/xl/worksheets/sheet6.xml" Id="Rf2166ed870da4070" /><Relationship Type="http://schemas.openxmlformats.org/officeDocument/2006/relationships/worksheet" Target="/xl/worksheets/sheet7.xml" Id="Rf375cd29cf7240f0" /><Relationship Type="http://schemas.openxmlformats.org/officeDocument/2006/relationships/worksheet" Target="/xl/worksheets/sheet8.xml" Id="Re2d2ebf07e604af6" /><Relationship Type="http://schemas.openxmlformats.org/officeDocument/2006/relationships/worksheet" Target="/xl/worksheets/sheet9.xml" Id="R34d44400a2634532" /><Relationship Type="http://schemas.openxmlformats.org/officeDocument/2006/relationships/worksheet" Target="/xl/worksheets/sheet10.xml" Id="R71c8837e8a1d43c4" /><Relationship Type="http://schemas.openxmlformats.org/officeDocument/2006/relationships/worksheet" Target="/xl/worksheets/sheet11.xml" Id="R9522ff60f49e4387" /><Relationship Type="http://schemas.openxmlformats.org/officeDocument/2006/relationships/worksheet" Target="/xl/worksheets/sheet12.xml" Id="Rd15befdd19d14333" /><Relationship Type="http://schemas.openxmlformats.org/officeDocument/2006/relationships/worksheet" Target="/xl/worksheets/sheet13.xml" Id="Rf390eb1c60b044bd" /><Relationship Type="http://schemas.openxmlformats.org/officeDocument/2006/relationships/worksheet" Target="/xl/worksheets/sheet14.xml" Id="R343932f653ea4e1f" /><Relationship Type="http://schemas.openxmlformats.org/officeDocument/2006/relationships/worksheet" Target="/xl/worksheets/sheet15.xml" Id="Rc53d35389cb8462a" /><Relationship Type="http://schemas.openxmlformats.org/officeDocument/2006/relationships/worksheet" Target="/xl/worksheets/sheet16.xml" Id="R238a6d4b7008491b" /><Relationship Type="http://schemas.openxmlformats.org/officeDocument/2006/relationships/worksheet" Target="/xl/worksheets/sheet17.xml" Id="R20ec7defb9ad4170" /><Relationship Type="http://schemas.openxmlformats.org/officeDocument/2006/relationships/worksheet" Target="/xl/worksheets/sheet18.xml" Id="R48f13aa78595470d" /><Relationship Type="http://schemas.openxmlformats.org/officeDocument/2006/relationships/worksheet" Target="/xl/worksheets/sheet19.xml" Id="R5a640cddd45d4032" /><Relationship Type="http://schemas.openxmlformats.org/officeDocument/2006/relationships/worksheet" Target="/xl/worksheets/sheet20.xml" Id="Rc4902d9ae80146f5" /><Relationship Type="http://schemas.openxmlformats.org/officeDocument/2006/relationships/worksheet" Target="/xl/worksheets/sheet21.xml" Id="R6d3781db27f4416e" /><Relationship Type="http://schemas.openxmlformats.org/officeDocument/2006/relationships/worksheet" Target="/xl/worksheets/sheet22.xml" Id="R5ad26bd40c9f4566" /><Relationship Type="http://schemas.openxmlformats.org/officeDocument/2006/relationships/worksheet" Target="/xl/worksheets/sheet23.xml" Id="R2c886c2538cf4afb" /><Relationship Type="http://schemas.openxmlformats.org/officeDocument/2006/relationships/worksheet" Target="/xl/worksheets/sheet24.xml" Id="R41131c6e6e2c4f23" /><Relationship Type="http://schemas.openxmlformats.org/officeDocument/2006/relationships/worksheet" Target="/xl/worksheets/sheet25.xml" Id="R503ed5d12712427d" /><Relationship Type="http://schemas.openxmlformats.org/officeDocument/2006/relationships/worksheet" Target="/xl/worksheets/sheet26.xml" Id="R5f027337b3cb4fe1" /><Relationship Type="http://schemas.openxmlformats.org/officeDocument/2006/relationships/worksheet" Target="/xl/worksheets/sheet27.xml" Id="R745883dd72c34913" /><Relationship Type="http://schemas.openxmlformats.org/officeDocument/2006/relationships/worksheet" Target="/xl/worksheets/sheet28.xml" Id="R584d7b398a5b44d3" /><Relationship Type="http://schemas.openxmlformats.org/officeDocument/2006/relationships/worksheet" Target="/xl/worksheets/sheet29.xml" Id="R7036d1fbc2344c8f" /><Relationship Type="http://schemas.openxmlformats.org/officeDocument/2006/relationships/worksheet" Target="/xl/worksheets/sheet30.xml" Id="R396c51f42d344393" /><Relationship Type="http://schemas.openxmlformats.org/officeDocument/2006/relationships/worksheet" Target="/xl/worksheets/sheet31.xml" Id="R25f1741e77cf4afc" /><Relationship Type="http://schemas.openxmlformats.org/officeDocument/2006/relationships/worksheet" Target="/xl/worksheets/sheet32.xml" Id="R5ae5bc105dd040ca" /><Relationship Type="http://schemas.openxmlformats.org/officeDocument/2006/relationships/worksheet" Target="/xl/worksheets/sheet33.xml" Id="R25c341a4c1b3485c" /><Relationship Type="http://schemas.openxmlformats.org/officeDocument/2006/relationships/worksheet" Target="/xl/worksheets/sheet34.xml" Id="Rac34c2b0d2fe4958" /><Relationship Type="http://schemas.microsoft.com/office/2017/10/relationships/person" Target="/xl/persons/person.xml" Id="Rd06c5e3947ab43d3" /></Relationships>
</file>

<file path=xl/drawings/_rels/drawing1.xml.rels>&#65279;<?xml version="1.0" encoding="utf-8"?><Relationships xmlns="http://schemas.openxmlformats.org/package/2006/relationships"><Relationship Type="http://schemas.openxmlformats.org/officeDocument/2006/relationships/chart" Target="/xl/drawings/charts/chart1.xml" Id="R1b568a5e91064fd9" /><Relationship Type="http://schemas.openxmlformats.org/officeDocument/2006/relationships/chart" Target="/xl/drawings/charts/chart2.xml" Id="R6cc67a53037542d5" /></Relationships>
</file>

<file path=xl/drawings/_rels/drawing2.xml.rels>&#65279;<?xml version="1.0" encoding="utf-8"?><Relationships xmlns="http://schemas.openxmlformats.org/package/2006/relationships"><Relationship Type="http://schemas.openxmlformats.org/officeDocument/2006/relationships/chart" Target="/xl/drawings/charts/chart3.xml" Id="R90f7cbb36512401a" /></Relationships>
</file>

<file path=xl/drawings/_rels/drawing3.xml.rels>&#65279;<?xml version="1.0" encoding="utf-8"?><Relationships xmlns="http://schemas.openxmlformats.org/package/2006/relationships"><Relationship Type="http://schemas.openxmlformats.org/officeDocument/2006/relationships/chart" Target="/xl/drawings/charts/chart4.xml" Id="R227c7787137e44c8" /><Relationship Type="http://schemas.openxmlformats.org/officeDocument/2006/relationships/chart" Target="/xl/drawings/charts/chart5.xml" Id="R296c71fd9bfd44fa" /></Relationships>
</file>

<file path=xl/drawings/_rels/drawing4.xml.rels>&#65279;<?xml version="1.0" encoding="utf-8"?><Relationships xmlns="http://schemas.openxmlformats.org/package/2006/relationships"><Relationship Type="http://schemas.openxmlformats.org/officeDocument/2006/relationships/chart" Target="/xl/drawings/charts/chart6.xml" Id="Re33d6af468754b15" /></Relationships>
</file>

<file path=xl/drawings/_rels/drawing5.xml.rels>&#65279;<?xml version="1.0" encoding="utf-8"?><Relationships xmlns="http://schemas.openxmlformats.org/package/2006/relationships"><Relationship Type="http://schemas.openxmlformats.org/officeDocument/2006/relationships/chart" Target="/xl/drawings/charts/chart7.xml" Id="Reb71c6e3a1c54ab3" /></Relationships>
</file>

<file path=xl/drawings/_rels/drawing6.xml.rels>&#65279;<?xml version="1.0" encoding="utf-8"?><Relationships xmlns="http://schemas.openxmlformats.org/package/2006/relationships"><Relationship Type="http://schemas.openxmlformats.org/officeDocument/2006/relationships/chart" Target="/xl/drawings/charts/chart8.xml" Id="Rc5a6014935564d30" /></Relationships>
</file>

<file path=xl/drawings/_rels/drawing7.xml.rels>&#65279;<?xml version="1.0" encoding="utf-8"?><Relationships xmlns="http://schemas.openxmlformats.org/package/2006/relationships"><Relationship Type="http://schemas.openxmlformats.org/officeDocument/2006/relationships/chart" Target="/xl/drawings/charts/chart9.xml" Id="R98e30658c2dc4a06" /></Relationships>
</file>

<file path=xl/drawings/_rels/drawing8.xml.rels>&#65279;<?xml version="1.0" encoding="utf-8"?><Relationships xmlns="http://schemas.openxmlformats.org/package/2006/relationships"><Relationship Type="http://schemas.openxmlformats.org/officeDocument/2006/relationships/chart" Target="/xl/drawings/charts/chart10.xml" Id="Rb7fb3f6c224345a7" /></Relationships>
</file>

<file path=xl/drawings/_rels/drawing9.xml.rels>&#65279;<?xml version="1.0" encoding="utf-8"?><Relationships xmlns="http://schemas.openxmlformats.org/package/2006/relationships"><Relationship Type="http://schemas.openxmlformats.org/officeDocument/2006/relationships/chart" Target="/xl/drawings/charts/chart11.xml" Id="R971b81ab44b44ae1" /><Relationship Type="http://schemas.openxmlformats.org/officeDocument/2006/relationships/chart" Target="/xl/drawings/charts/chart12.xml" Id="Ra767b96de79f4d2f" /></Relationships>
</file>

<file path=xl/drawings/_rels/drawing10.xml.rels>&#65279;<?xml version="1.0" encoding="utf-8"?><Relationships xmlns="http://schemas.openxmlformats.org/package/2006/relationships"><Relationship Type="http://schemas.openxmlformats.org/officeDocument/2006/relationships/chart" Target="/xl/drawings/charts/chart13.xml" Id="R9c02183944064d43" /><Relationship Type="http://schemas.openxmlformats.org/officeDocument/2006/relationships/chart" Target="/xl/drawings/charts/chart14.xml" Id="R0f973e1eaac142d1" /></Relationships>
</file>

<file path=xl/drawings/_rels/drawing11.xml.rels>&#65279;<?xml version="1.0" encoding="utf-8"?><Relationships xmlns="http://schemas.openxmlformats.org/package/2006/relationships"><Relationship Type="http://schemas.openxmlformats.org/officeDocument/2006/relationships/chart" Target="/xl/drawings/charts/chart15.xml" Id="R45b712d71a224d5d" /></Relationships>
</file>

<file path=xl/drawings/_rels/drawing12.xml.rels>&#65279;<?xml version="1.0" encoding="utf-8"?><Relationships xmlns="http://schemas.openxmlformats.org/package/2006/relationships"><Relationship Type="http://schemas.openxmlformats.org/officeDocument/2006/relationships/chart" Target="/xl/drawings/charts/chart16.xml" Id="R92e2587382d5451d" /></Relationships>
</file>

<file path=xl/drawings/_rels/drawing13.xml.rels>&#65279;<?xml version="1.0" encoding="utf-8"?><Relationships xmlns="http://schemas.openxmlformats.org/package/2006/relationships"><Relationship Type="http://schemas.openxmlformats.org/officeDocument/2006/relationships/chart" Target="/xl/drawings/charts/chart17.xml" Id="R645b9e596ef449cd" /></Relationships>
</file>

<file path=xl/drawings/_rels/drawing14.xml.rels>&#65279;<?xml version="1.0" encoding="utf-8"?><Relationships xmlns="http://schemas.openxmlformats.org/package/2006/relationships"><Relationship Type="http://schemas.openxmlformats.org/officeDocument/2006/relationships/chart" Target="/xl/drawings/charts/chart18.xml" Id="Ra373d363407044f6" /></Relationships>
</file>

<file path=xl/drawings/_rels/drawing15.xml.rels>&#65279;<?xml version="1.0" encoding="utf-8"?><Relationships xmlns="http://schemas.openxmlformats.org/package/2006/relationships"><Relationship Type="http://schemas.openxmlformats.org/officeDocument/2006/relationships/chart" Target="/xl/drawings/charts/chart19.xml" Id="Rc20d395467614c86" /></Relationships>
</file>

<file path=xl/drawings/_rels/drawing16.xml.rels>&#65279;<?xml version="1.0" encoding="utf-8"?><Relationships xmlns="http://schemas.openxmlformats.org/package/2006/relationships"><Relationship Type="http://schemas.openxmlformats.org/officeDocument/2006/relationships/chart" Target="/xl/drawings/charts/chart20.xml" Id="R06ece6e251064be3" /></Relationships>
</file>

<file path=xl/drawings/_rels/drawing17.xml.rels>&#65279;<?xml version="1.0" encoding="utf-8"?><Relationships xmlns="http://schemas.openxmlformats.org/package/2006/relationships"><Relationship Type="http://schemas.openxmlformats.org/officeDocument/2006/relationships/chart" Target="/xl/drawings/charts/chart21.xml" Id="R0ec45e9d673e4bff" /></Relationships>
</file>

<file path=xl/drawings/_rels/drawing18.xml.rels>&#65279;<?xml version="1.0" encoding="utf-8"?><Relationships xmlns="http://schemas.openxmlformats.org/package/2006/relationships"><Relationship Type="http://schemas.openxmlformats.org/officeDocument/2006/relationships/chart" Target="/xl/drawings/charts/chart22.xml" Id="Rac9c164cdb8e4fd4" /></Relationships>
</file>

<file path=xl/drawings/_rels/drawing19.xml.rels>&#65279;<?xml version="1.0" encoding="utf-8"?><Relationships xmlns="http://schemas.openxmlformats.org/package/2006/relationships"><Relationship Type="http://schemas.openxmlformats.org/officeDocument/2006/relationships/chart" Target="/xl/drawings/charts/chart23.xml" Id="R2c031d09aa1c4e30" /></Relationships>
</file>

<file path=xl/drawings/_rels/drawing20.xml.rels>&#65279;<?xml version="1.0" encoding="utf-8"?><Relationships xmlns="http://schemas.openxmlformats.org/package/2006/relationships"><Relationship Type="http://schemas.openxmlformats.org/officeDocument/2006/relationships/chart" Target="/xl/drawings/charts/chart24.xml" Id="R148343bebdcc4301" /></Relationships>
</file>

<file path=xl/drawings/_rels/drawing21.xml.rels>&#65279;<?xml version="1.0" encoding="utf-8"?><Relationships xmlns="http://schemas.openxmlformats.org/package/2006/relationships"><Relationship Type="http://schemas.openxmlformats.org/officeDocument/2006/relationships/chart" Target="/xl/drawings/charts/chart25.xml" Id="R28c0096e4bf54475" /></Relationships>
</file>

<file path=xl/drawings/_rels/drawing22.xml.rels>&#65279;<?xml version="1.0" encoding="utf-8"?><Relationships xmlns="http://schemas.openxmlformats.org/package/2006/relationships"><Relationship Type="http://schemas.openxmlformats.org/officeDocument/2006/relationships/chart" Target="/xl/drawings/charts/chart26.xml" Id="Rb51d7afe078a4219" /></Relationships>
</file>

<file path=xl/drawings/_rels/drawing23.xml.rels>&#65279;<?xml version="1.0" encoding="utf-8"?><Relationships xmlns="http://schemas.openxmlformats.org/package/2006/relationships"><Relationship Type="http://schemas.openxmlformats.org/officeDocument/2006/relationships/chart" Target="/xl/drawings/charts/chart27.xml" Id="R89b9c9e87b36435e" /></Relationships>
</file>

<file path=xl/drawings/_rels/drawing24.xml.rels>&#65279;<?xml version="1.0" encoding="utf-8"?><Relationships xmlns="http://schemas.openxmlformats.org/package/2006/relationships"><Relationship Type="http://schemas.openxmlformats.org/officeDocument/2006/relationships/chart" Target="/xl/drawings/charts/chart28.xml" Id="Rb17cdc2b0af64e38" /></Relationships>
</file>

<file path=xl/drawings/_rels/drawing25.xml.rels>&#65279;<?xml version="1.0" encoding="utf-8"?><Relationships xmlns="http://schemas.openxmlformats.org/package/2006/relationships"><Relationship Type="http://schemas.openxmlformats.org/officeDocument/2006/relationships/chart" Target="/xl/drawings/charts/chart29.xml" Id="Rb6f23d79145f4109" /></Relationships>
</file>

<file path=xl/drawings/_rels/drawing26.xml.rels>&#65279;<?xml version="1.0" encoding="utf-8"?><Relationships xmlns="http://schemas.openxmlformats.org/package/2006/relationships"><Relationship Type="http://schemas.openxmlformats.org/officeDocument/2006/relationships/chart" Target="/xl/drawings/charts/chart30.xml" Id="R12bfec5c689e4079" /><Relationship Type="http://schemas.openxmlformats.org/officeDocument/2006/relationships/chart" Target="/xl/drawings/charts/chart31.xml" Id="Rb5de31866f1d42b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Live five year case valuations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Price per share</c:v>
          </c:tx>
          <c:spPr>
            <a:solidFill xmlns:a="http://schemas.openxmlformats.org/drawingml/2006/main">
              <a:srgbClr val="002060"/>
            </a:solidFill>
          </c:spPr>
          <c:cat>
            <c:strRef>
              <c:f>'Overview'!$C$24:$C$26</c:f>
              <c:strCache>
                <c:ptCount val="0"/>
              </c:strCache>
            </c:strRef>
          </c:cat>
          <c:val>
            <c:numRef>
              <c:f>'Overview'!$D$24:$D$26</c:f>
              <c:numCache>
                <c:formatCode>$0.00;($0.00);"-"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path and owner cash flow</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Revenue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'Overview'!$C$30:$C$34</c:f>
              <c:strCache>
                <c:ptCount val="0"/>
              </c:strCache>
            </c:strRef>
          </c:cat>
          <c:val>
            <c:numRef>
              <c:f>'Overview'!$D$30:$D$34</c:f>
              <c:numCache>
                <c:formatCode>#,##0;(#,##0);"-"</c:formatCode>
                <c:ptCount val="0"/>
              </c:numCache>
            </c:numRef>
          </c:val>
          <c:smooth val="0"/>
        </c:ser>
        <c:ser>
          <c:idx val="1"/>
          <c:order val="1"/>
          <c:tx>
            <c:v>FCFF</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'Overview'!$C$30:$C$34</c:f>
              <c:strCache>
                <c:ptCount val="0"/>
              </c:strCache>
            </c:strRef>
          </c:cat>
          <c:val>
            <c:numRef>
              <c:f>'Overview'!$E$30:$E$34</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Enterprise value components (USD m)</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USD millions</c:v>
          </c:tx>
          <c:spPr>
            <a:solidFill xmlns:a="http://schemas.openxmlformats.org/drawingml/2006/main">
              <a:srgbClr val="002060"/>
            </a:solidFill>
          </c:spPr>
          <c:cat>
            <c:strRef>
              <c:f>'DCF'!$C$60:$C$61</c:f>
              <c:strCache>
                <c:ptCount val="0"/>
              </c:strCache>
            </c:strRef>
          </c:cat>
          <c:val>
            <c:numRef>
              <c:f>'DCF'!$D$60:$D$61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growth and cash flow (USD m)</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Revenue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'Forecast'!$C$32:$C$36</c:f>
              <c:strCache>
                <c:ptCount val="0"/>
              </c:strCache>
            </c:strRef>
          </c:cat>
          <c:val>
            <c:numRef>
              <c:f>'Forecast'!$D$32:$D$36</c:f>
              <c:numCache>
                <c:formatCode>#,##0;(#,##0);"-"</c:formatCode>
                <c:ptCount val="0"/>
              </c:numCache>
            </c:numRef>
          </c:val>
          <c:smooth val="0"/>
        </c:ser>
        <c:ser>
          <c:idx val="1"/>
          <c:order val="1"/>
          <c:tx>
            <c:v>NOPAT</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'Forecast'!$C$32:$C$36</c:f>
              <c:strCache>
                <c:ptCount val="0"/>
              </c:strCache>
            </c:strRef>
          </c:cat>
          <c:val>
            <c:numRef>
              <c:f>'Forecast'!$E$32:$E$36</c:f>
              <c:numCache>
                <c:formatCode>#,##0;(#,##0);"-"</c:formatCode>
                <c:ptCount val="0"/>
              </c:numCache>
            </c:numRef>
          </c:val>
          <c:smooth val="0"/>
        </c:ser>
        <c:ser>
          <c:idx val="2"/>
          <c:order val="2"/>
          <c:tx>
            <c:v>FCFF</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'Forecast'!$C$32:$C$36</c:f>
              <c:strCache>
                <c:ptCount val="0"/>
              </c:strCache>
            </c:strRef>
          </c:cat>
          <c:val>
            <c:numRef>
              <c:f>'Forecast'!$F$32:$F$36</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Unlevered free cash flow (USD m)</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FCFF</c:v>
          </c:tx>
          <c:spPr>
            <a:solidFill xmlns:a="http://schemas.openxmlformats.org/drawingml/2006/main">
              <a:srgbClr val="002060"/>
            </a:solidFill>
          </c:spPr>
          <c:cat>
            <c:strRef>
              <c:f>'Forecast'!$C$32:$C$36</c:f>
              <c:strCache>
                <c:ptCount val="0"/>
              </c:strCache>
            </c:strRef>
          </c:cat>
          <c:val>
            <c:numRef>
              <c:f>'Forecast'!$F$32:$F$36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working capital (USD m)</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Closing NWC</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'Working Capital'!$C$19:$C$23</c:f>
              <c:strCache>
                <c:ptCount val="0"/>
              </c:strCache>
            </c:strRef>
          </c:cat>
          <c:val>
            <c:numRef>
              <c:f>'Working Capital'!$D$19:$D$23</c:f>
              <c:numCache>
                <c:formatCode>#,##0;(#,##0);"-"</c:formatCode>
                <c:ptCount val="0"/>
              </c:numCache>
            </c:numRef>
          </c:val>
          <c:smooth val="0"/>
        </c:ser>
        <c:ser>
          <c:idx val="1"/>
          <c:order val="1"/>
          <c:tx>
            <c:v>Change in NWC</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'Working Capital'!$C$19:$C$23</c:f>
              <c:strCache>
                <c:ptCount val="0"/>
              </c:strCache>
            </c:strRef>
          </c:cat>
          <c:val>
            <c:numRef>
              <c:f>'Working Capital'!$E$19:$E$23</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Cash and economic capital spending (USD m)</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Cash capex</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'Capital Spending'!$C$22:$C$26</c:f>
              <c:strCache>
                <c:ptCount val="0"/>
              </c:strCache>
            </c:strRef>
          </c:cat>
          <c:val>
            <c:numRef>
              <c:f>'Capital Spending'!$D$22:$D$26</c:f>
              <c:numCache>
                <c:formatCode>#,##0;(#,##0);"-"</c:formatCode>
                <c:ptCount val="0"/>
              </c:numCache>
            </c:numRef>
          </c:val>
          <c:smooth val="0"/>
        </c:ser>
        <c:ser>
          <c:idx val="1"/>
          <c:order val="1"/>
          <c:tx>
            <c:v>Finance additions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'Capital Spending'!$C$22:$C$26</c:f>
              <c:strCache>
                <c:ptCount val="0"/>
              </c:strCache>
            </c:strRef>
          </c:cat>
          <c:val>
            <c:numRef>
              <c:f>'Capital Spending'!$E$22:$E$26</c:f>
              <c:numCache>
                <c:formatCode>#,##0;(#,##0);"-"</c:formatCode>
                <c:ptCount val="0"/>
              </c:numCache>
            </c:numRef>
          </c:val>
          <c:smooth val="0"/>
        </c:ser>
        <c:ser>
          <c:idx val="2"/>
          <c:order val="2"/>
          <c:tx>
            <c:v>Economic capex</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'Capital Spending'!$C$22:$C$26</c:f>
              <c:strCache>
                <c:ptCount val="0"/>
              </c:strCache>
            </c:strRef>
          </c:cat>
          <c:val>
            <c:numRef>
              <c:f>'Capital Spending'!$F$22:$F$26</c:f>
              <c:numCache>
                <c:formatCode>#,##0;(#,##0);"-"</c:formatCode>
                <c:ptCount val="0"/>
              </c:numCache>
            </c:numRef>
          </c:val>
          <c:smooth val="0"/>
        </c:ser>
        <c:ser>
          <c:idx val="3"/>
          <c:order val="3"/>
          <c:tx>
            <c:v>D&amp;A</c:v>
          </c:tx>
          <c:spPr>
            <a:solidFill xmlns:a="http://schemas.openxmlformats.org/drawingml/2006/main">
              <a:srgbClr val="000000"/>
            </a:solidFill>
            <a:ln xmlns:a="http://schemas.openxmlformats.org/drawingml/2006/main" w="19050">
              <a:solidFill>
                <a:srgbClr val="000000"/>
              </a:solidFill>
              <a:prstDash val="solid"/>
            </a:ln>
          </c:spPr>
          <c:marker>
            <c:symbol val="none"/>
          </c:marker>
          <c:cat>
            <c:strRef>
              <c:f>'Capital Spending'!$C$22:$C$26</c:f>
              <c:strCache>
                <c:ptCount val="0"/>
              </c:strCache>
            </c:strRef>
          </c:cat>
          <c:val>
            <c:numRef>
              <c:f>'Capital Spending'!$G$22:$G$26</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Stable ROIC and fair value (USD/share)</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'Terminal Value'!$C$25:$C$33</c:f>
              <c:strCache>
                <c:ptCount val="0"/>
              </c:strCache>
            </c:strRef>
          </c:cat>
          <c:val>
            <c:numRef>
              <c:f>'Terminal Value'!$E$25:$E$33</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Non-operating assets and financing claims (USD m)</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USD millions</c:v>
          </c:tx>
          <c:spPr>
            <a:solidFill xmlns:a="http://schemas.openxmlformats.org/drawingml/2006/main">
              <a:srgbClr val="002060"/>
            </a:solidFill>
          </c:spPr>
          <c:cat>
            <c:strRef>
              <c:f>'Equity Bridge'!$C$31:$C$34</c:f>
              <c:strCache>
                <c:ptCount val="0"/>
              </c:strCache>
            </c:strRef>
          </c:cat>
          <c:val>
            <c:numRef>
              <c:f>'Equity Bridge'!$D$31:$D$34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Beta and fair value (USD/share)</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'WACC'!$C$29:$C$37</c:f>
              <c:strCache>
                <c:ptCount val="0"/>
              </c:strCache>
            </c:strRef>
          </c:cat>
          <c:val>
            <c:numRef>
              <c:f>'WACC'!$E$29:$E$37</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Beta estimation alternatives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Beta</c:v>
          </c:tx>
          <c:spPr>
            <a:solidFill xmlns:a="http://schemas.openxmlformats.org/drawingml/2006/main">
              <a:srgbClr val="002060"/>
            </a:solidFill>
          </c:spPr>
          <c:cat>
            <c:strRef>
              <c:f>'Beta HC3'!$C$40:$C$42</c:f>
              <c:strCache>
                <c:ptCount val="0"/>
              </c:strCache>
            </c:strRef>
          </c:cat>
          <c:val>
            <c:numRef>
              <c:f>'Beta HC3'!$D$40:$D$42</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Beta inference and serial dependence</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Standard error</c:v>
          </c:tx>
          <c:spPr>
            <a:solidFill xmlns:a="http://schemas.openxmlformats.org/drawingml/2006/main">
              <a:srgbClr val="002060"/>
            </a:solidFill>
          </c:spPr>
          <c:cat>
            <c:strRef>
              <c:f>'Beta HC3'!$C$47:$C$49</c:f>
              <c:strCache>
                <c:ptCount val="0"/>
              </c:strCache>
            </c:strRef>
          </c:cat>
          <c:val>
            <c:numRef>
              <c:f>'Beta HC3'!$D$47:$D$49</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WACC sensitivity at selected growth</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At selected g</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'Sensitivity'!$C$29:$C$35</c:f>
              <c:strCache>
                <c:ptCount val="0"/>
              </c:strCache>
            </c:strRef>
          </c:cat>
          <c:val>
            <c:numRef>
              <c:f>'Sensitivity'!$D$29:$D$35</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Live scenario comparison</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At own stable g</c:v>
          </c:tx>
          <c:spPr>
            <a:solidFill xmlns:a="http://schemas.openxmlformats.org/drawingml/2006/main">
              <a:srgbClr val="002060"/>
            </a:solidFill>
          </c:spPr>
          <c:cat>
            <c:strRef>
              <c:f>'Sensitivity'!$C$22:$C$24</c:f>
              <c:strCache>
                <c:ptCount val="0"/>
              </c:strCache>
            </c:strRef>
          </c:cat>
          <c:val>
            <c:numRef>
              <c:f>'Sensitivity'!$D$22:$D$24</c:f>
              <c:numCache>
                <c:formatCode>$0.00;($0.00);"-"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Exit valuation crosscheck</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'Exit Multiple'!$C$22:$C$30</c:f>
              <c:strCache>
                <c:ptCount val="0"/>
              </c:strCache>
            </c:strRef>
          </c:cat>
          <c:val>
            <c:numRef>
              <c:f>'Exit Multiple'!$D$22:$D$30</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Market price and model boundaries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Price per share</c:v>
          </c:tx>
          <c:spPr>
            <a:solidFill xmlns:a="http://schemas.openxmlformats.org/drawingml/2006/main">
              <a:srgbClr val="002060"/>
            </a:solidFill>
          </c:spPr>
          <c:cat>
            <c:strRef>
              <c:f>'Reverse Summary'!$C$25:$C$27</c:f>
              <c:strCache>
                <c:ptCount val="0"/>
              </c:strCache>
            </c:strRef>
          </c:cat>
          <c:val>
            <c:numRef>
              <c:f>'Reverse Summary'!$D$25:$D$27</c:f>
              <c:numCache>
                <c:formatCode>$0.00;($0.00);"-"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Price versus revenue CAGR</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Growth'!$C$87:$C$95</c:f>
              <c:strCache>
                <c:ptCount val="0"/>
              </c:strCache>
            </c:strRef>
          </c:cat>
          <c:val>
            <c:numRef>
              <c:f>'Reverse Growth'!$D$87:$D$95</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margin requirement and value</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Margin'!$C$28:$C$36</c:f>
              <c:strCache>
                <c:ptCount val="0"/>
              </c:strCache>
            </c:strRef>
          </c:cat>
          <c:val>
            <c:numRef>
              <c:f>'Reverse Margin'!$D$28:$D$36</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Required cash capex multiplier and valuation</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Capex'!$C$22:$C$30</c:f>
              <c:strCache>
                <c:ptCount val="0"/>
              </c:strCache>
            </c:strRef>
          </c:cat>
          <c:val>
            <c:numRef>
              <c:f>'Reverse Capex'!$D$22:$D$30</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Required NWC / revenue shift and valuation</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NWC'!$C$22:$C$30</c:f>
              <c:strCache>
                <c:ptCount val="0"/>
              </c:strCache>
            </c:strRef>
          </c:cat>
          <c:val>
            <c:numRef>
              <c:f>'Reverse NWC'!$D$22:$D$30</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Price versus WACC</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WACC'!$C$87:$C$95</c:f>
              <c:strCache>
                <c:ptCount val="0"/>
              </c:strCache>
            </c:strRef>
          </c:cat>
          <c:val>
            <c:numRef>
              <c:f>'Reverse WACC'!$D$87:$D$95</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Price versus stable growth</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Terminal g'!$C$87:$C$95</c:f>
              <c:strCache>
                <c:ptCount val="0"/>
              </c:strCache>
            </c:strRef>
          </c:cat>
          <c:val>
            <c:numRef>
              <c:f>'Reverse Terminal g'!$D$87:$D$95</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ROIC and cash-flow ceiling</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ROIC'!$C$23:$C$31</c:f>
              <c:strCache>
                <c:ptCount val="0"/>
              </c:strCache>
            </c:strRef>
          </c:cat>
          <c:val>
            <c:numRef>
              <c:f>'Reverse ROIC'!$D$23:$D$31</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Required operating tax rate shift and valuation</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Tax'!$C$22:$C$30</c:f>
              <c:strCache>
                <c:ptCount val="0"/>
              </c:strCache>
            </c:strRef>
          </c:cat>
          <c:val>
            <c:numRef>
              <c:f>'Reverse Tax'!$D$22:$D$30</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Required finance asset additions multiplier and valuation</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Leases'!$C$22:$C$30</c:f>
              <c:strCache>
                <c:ptCount val="0"/>
              </c:strCache>
            </c:strRef>
          </c:cat>
          <c:val>
            <c:numRef>
              <c:f>'Reverse Leases'!$D$22:$D$30</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Normalized stable cash flow requirement</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USD millions</c:v>
          </c:tx>
          <c:spPr>
            <a:solidFill xmlns:a="http://schemas.openxmlformats.org/drawingml/2006/main">
              <a:srgbClr val="002060"/>
            </a:solidFill>
          </c:spPr>
          <c:cat>
            <c:strRef>
              <c:f>'Reverse FCF'!$C$22:$C$23</c:f>
              <c:strCache>
                <c:ptCount val="0"/>
              </c:strCache>
            </c:strRef>
          </c:cat>
          <c:val>
            <c:numRef>
              <c:f>'Reverse FCF'!$D$22:$D$23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Exit multiple and equity value</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Fair price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'Reverse Multiple'!$C$22:$C$30</c:f>
              <c:strCache>
                <c:ptCount val="0"/>
              </c:strCache>
            </c:strRef>
          </c:cat>
          <c:val>
            <c:numRef>
              <c:f>'Reverse Multiple'!$D$22:$D$30</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Share-denominator conventions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Value per share</c:v>
          </c:tx>
          <c:spPr>
            <a:solidFill xmlns:a="http://schemas.openxmlformats.org/drawingml/2006/main">
              <a:srgbClr val="002060"/>
            </a:solidFill>
          </c:spPr>
          <c:cat>
            <c:strRef>
              <c:f>'Ownership'!$C$24:$C$26</c:f>
              <c:strCache>
                <c:ptCount val="0"/>
              </c:strCache>
            </c:strRef>
          </c:cat>
          <c:val>
            <c:numRef>
              <c:f>'Ownership'!$E$24:$E$26</c:f>
              <c:numCache>
                <c:formatCode>$0.00;($0.00);"-"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0.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Conditional triangular draws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barChart>
        <c:barDir val="col"/>
        <c:varyColors val="0"/>
        <c:ser>
          <c:idx val="0"/>
          <c:order val="0"/>
          <c:tx>
            <c:v>Draw count</c:v>
          </c:tx>
          <c:spPr>
            <a:solidFill xmlns:a="http://schemas.openxmlformats.org/drawingml/2006/main">
              <a:srgbClr val="002060"/>
            </a:solidFill>
          </c:spPr>
          <c:cat>
            <c:strRef>
              <c:f>'Monte Carlo'!$O$28:$O$37</c:f>
              <c:strCache>
                <c:ptCount val="0"/>
              </c:strCache>
            </c:strRef>
          </c:cat>
          <c:val>
            <c:numRef>
              <c:f>'Monte Carlo'!$P$28:$P$37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Revenue and operating income (USD m)</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Revenue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'Historical Inputs'!$C$69:$C$78</c:f>
              <c:strCache>
                <c:ptCount val="0"/>
              </c:strCache>
            </c:strRef>
          </c:cat>
          <c:val>
            <c:numRef>
              <c:f>'Historical Inputs'!$D$69:$D$78</c:f>
              <c:numCache>
                <c:formatCode>#,##0;(#,##0);"-"</c:formatCode>
                <c:ptCount val="0"/>
              </c:numCache>
            </c:numRef>
          </c:val>
          <c:smooth val="0"/>
        </c:ser>
        <c:ser>
          <c:idx val="1"/>
          <c:order val="1"/>
          <c:tx>
            <c:v>Operating income</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'Historical Inputs'!$C$69:$C$78</c:f>
              <c:strCache>
                <c:ptCount val="0"/>
              </c:strCache>
            </c:strRef>
          </c:cat>
          <c:val>
            <c:numRef>
              <c:f>'Historical Inputs'!$E$69:$E$78</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Reported cash conversion (USD m)</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Cash FCF</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'Historical Inputs'!$C$69:$C$78</c:f>
              <c:strCache>
                <c:ptCount val="0"/>
              </c:strCache>
            </c:strRef>
          </c:cat>
          <c:val>
            <c:numRef>
              <c:f>'Historical Inputs'!$F$69:$F$78</c:f>
              <c:numCache>
                <c:formatCode>#,##0;(#,##0);"-"</c:formatCode>
                <c:ptCount val="0"/>
              </c:numCache>
            </c:numRef>
          </c:val>
          <c:smooth val="0"/>
        </c:ser>
        <c:ser>
          <c:idx val="1"/>
          <c:order val="1"/>
          <c:tx>
            <c:v>FCF less SBC</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'Historical Inputs'!$C$69:$C$78</c:f>
              <c:strCache>
                <c:ptCount val="0"/>
              </c:strCache>
            </c:strRef>
          </c:cat>
          <c:val>
            <c:numRef>
              <c:f>'Historical Inputs'!$G$69:$G$78</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568a5e91064fd9"/>
        </a:graphicData>
      </a:graphic>
    </xdr:graphicFrame>
    <xdr:clientData/>
  </xdr:twoCellAnchor>
  <xdr:twoCellAnchor>
    <xdr:from>
      <xdr:col>14</xdr:col>
      <xdr:colOff>0</xdr:colOff>
      <xdr:row>27</xdr:row>
      <xdr:rowOff>0</xdr:rowOff>
    </xdr:from>
    <xdr:to>
      <xdr:col>25</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c67a53037542d5"/>
        </a:graphicData>
      </a:graphic>
    </xdr:graphicFrame>
    <xdr:clientData/>
  </xdr:twoCellAnchor>
</xdr:wsDr>
</file>

<file path=xl/drawings/drawing2.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f7cbb36512401a"/>
        </a:graphicData>
      </a:graphic>
    </xdr:graphicFrame>
    <xdr:clientData/>
  </xdr:twoCellAnchor>
</xdr:wsDr>
</file>

<file path=xl/drawings/drawing3.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7c7787137e44c8"/>
        </a:graphicData>
      </a:graphic>
    </xdr:graphicFrame>
    <xdr:clientData/>
  </xdr:twoCellAnchor>
  <xdr:twoCellAnchor>
    <xdr:from>
      <xdr:col>14</xdr:col>
      <xdr:colOff>0</xdr:colOff>
      <xdr:row>27</xdr:row>
      <xdr:rowOff>0</xdr:rowOff>
    </xdr:from>
    <xdr:to>
      <xdr:col>25</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6c71fd9bfd44fa"/>
        </a:graphicData>
      </a:graphic>
    </xdr:graphicFrame>
    <xdr:clientData/>
  </xdr:twoCellAnchor>
</xdr:wsDr>
</file>

<file path=xl/drawings/drawing4.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3d6af468754b15"/>
        </a:graphicData>
      </a:graphic>
    </xdr:graphicFrame>
    <xdr:clientData/>
  </xdr:twoCellAnchor>
</xdr:wsDr>
</file>

<file path=xl/drawings/drawing5.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71c6e3a1c54ab3"/>
        </a:graphicData>
      </a:graphic>
    </xdr:graphicFrame>
    <xdr:clientData/>
  </xdr:twoCellAnchor>
</xdr:wsDr>
</file>

<file path=xl/drawings/drawing6.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5a6014935564d30"/>
        </a:graphicData>
      </a:graphic>
    </xdr:graphicFrame>
    <xdr:clientData/>
  </xdr:twoCellAnchor>
</xdr:wsDr>
</file>

<file path=xl/drawings/drawing7.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e30658c2dc4a06"/>
        </a:graphicData>
      </a:graphic>
    </xdr:graphicFrame>
    <xdr:clientData/>
  </xdr:twoCellAnchor>
</xdr:wsDr>
</file>

<file path=xl/drawings/drawing8.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fb3f6c224345a7"/>
        </a:graphicData>
      </a:graphic>
    </xdr:graphicFrame>
    <xdr:clientData/>
  </xdr:twoCellAnchor>
</xdr:wsDr>
</file>

<file path=xl/drawings/drawing9.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1b81ab44b44ae1"/>
        </a:graphicData>
      </a:graphic>
    </xdr:graphicFrame>
    <xdr:clientData/>
  </xdr:twoCellAnchor>
  <xdr:twoCellAnchor>
    <xdr:from>
      <xdr:col>14</xdr:col>
      <xdr:colOff>0</xdr:colOff>
      <xdr:row>27</xdr:row>
      <xdr:rowOff>0</xdr:rowOff>
    </xdr:from>
    <xdr:to>
      <xdr:col>25</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67b96de79f4d2f"/>
        </a:graphicData>
      </a:graphic>
    </xdr:graphicFrame>
    <xdr:clientData/>
  </xdr:twoCellAnchor>
</xdr:wsDr>
</file>

<file path=xl/drawings/drawing10.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02183944064d43"/>
        </a:graphicData>
      </a:graphic>
    </xdr:graphicFrame>
    <xdr:clientData/>
  </xdr:twoCellAnchor>
  <xdr:twoCellAnchor>
    <xdr:from>
      <xdr:col>14</xdr:col>
      <xdr:colOff>0</xdr:colOff>
      <xdr:row>27</xdr:row>
      <xdr:rowOff>0</xdr:rowOff>
    </xdr:from>
    <xdr:to>
      <xdr:col>25</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973e1eaac142d1"/>
        </a:graphicData>
      </a:graphic>
    </xdr:graphicFrame>
    <xdr:clientData/>
  </xdr:twoCellAnchor>
</xdr:wsDr>
</file>

<file path=xl/drawings/drawing11.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b712d71a224d5d"/>
        </a:graphicData>
      </a:graphic>
    </xdr:graphicFrame>
    <xdr:clientData/>
  </xdr:twoCellAnchor>
</xdr:wsDr>
</file>

<file path=xl/drawings/drawing12.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e2587382d5451d"/>
        </a:graphicData>
      </a:graphic>
    </xdr:graphicFrame>
    <xdr:clientData/>
  </xdr:twoCellAnchor>
</xdr:wsDr>
</file>

<file path=xl/drawings/drawing13.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5b9e596ef449cd"/>
        </a:graphicData>
      </a:graphic>
    </xdr:graphicFrame>
    <xdr:clientData/>
  </xdr:twoCellAnchor>
</xdr:wsDr>
</file>

<file path=xl/drawings/drawing14.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73d363407044f6"/>
        </a:graphicData>
      </a:graphic>
    </xdr:graphicFrame>
    <xdr:clientData/>
  </xdr:twoCellAnchor>
</xdr:wsDr>
</file>

<file path=xl/drawings/drawing15.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0d395467614c86"/>
        </a:graphicData>
      </a:graphic>
    </xdr:graphicFrame>
    <xdr:clientData/>
  </xdr:twoCellAnchor>
</xdr:wsDr>
</file>

<file path=xl/drawings/drawing16.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ece6e251064be3"/>
        </a:graphicData>
      </a:graphic>
    </xdr:graphicFrame>
    <xdr:clientData/>
  </xdr:twoCellAnchor>
</xdr:wsDr>
</file>

<file path=xl/drawings/drawing17.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c45e9d673e4bff"/>
        </a:graphicData>
      </a:graphic>
    </xdr:graphicFrame>
    <xdr:clientData/>
  </xdr:twoCellAnchor>
</xdr:wsDr>
</file>

<file path=xl/drawings/drawing18.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9c164cdb8e4fd4"/>
        </a:graphicData>
      </a:graphic>
    </xdr:graphicFrame>
    <xdr:clientData/>
  </xdr:twoCellAnchor>
</xdr:wsDr>
</file>

<file path=xl/drawings/drawing19.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c031d09aa1c4e30"/>
        </a:graphicData>
      </a:graphic>
    </xdr:graphicFrame>
    <xdr:clientData/>
  </xdr:twoCellAnchor>
</xdr:wsDr>
</file>

<file path=xl/drawings/drawing20.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8343bebdcc4301"/>
        </a:graphicData>
      </a:graphic>
    </xdr:graphicFrame>
    <xdr:clientData/>
  </xdr:twoCellAnchor>
</xdr:wsDr>
</file>

<file path=xl/drawings/drawing21.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c0096e4bf54475"/>
        </a:graphicData>
      </a:graphic>
    </xdr:graphicFrame>
    <xdr:clientData/>
  </xdr:twoCellAnchor>
</xdr:wsDr>
</file>

<file path=xl/drawings/drawing22.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1d7afe078a4219"/>
        </a:graphicData>
      </a:graphic>
    </xdr:graphicFrame>
    <xdr:clientData/>
  </xdr:twoCellAnchor>
</xdr:wsDr>
</file>

<file path=xl/drawings/drawing23.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b9c9e87b36435e"/>
        </a:graphicData>
      </a:graphic>
    </xdr:graphicFrame>
    <xdr:clientData/>
  </xdr:twoCellAnchor>
</xdr:wsDr>
</file>

<file path=xl/drawings/drawing24.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7cdc2b0af64e38"/>
        </a:graphicData>
      </a:graphic>
    </xdr:graphicFrame>
    <xdr:clientData/>
  </xdr:twoCellAnchor>
</xdr:wsDr>
</file>

<file path=xl/drawings/drawing25.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f23d79145f4109"/>
        </a:graphicData>
      </a:graphic>
    </xdr:graphicFrame>
    <xdr:clientData/>
  </xdr:twoCellAnchor>
</xdr:wsDr>
</file>

<file path=xl/drawings/drawing26.xml><?xml version="1.0" encoding="utf-8"?>
<xdr:wsDr xmlns:xdr="http://schemas.openxmlformats.org/drawingml/2006/spreadsheetDrawing">
  <xdr:twoCellAnchor>
    <xdr:from>
      <xdr:col>14</xdr:col>
      <xdr:colOff>0</xdr:colOff>
      <xdr:row>7</xdr:row>
      <xdr:rowOff>0</xdr:rowOff>
    </xdr:from>
    <xdr:to>
      <xdr:col>25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bfec5c689e4079"/>
        </a:graphicData>
      </a:graphic>
    </xdr:graphicFrame>
    <xdr:clientData/>
  </xdr:twoCellAnchor>
  <xdr:twoCellAnchor>
    <xdr:from>
      <xdr:col>14</xdr:col>
      <xdr:colOff>0</xdr:colOff>
      <xdr:row>27</xdr:row>
      <xdr:rowOff>0</xdr:rowOff>
    </xdr:from>
    <xdr:to>
      <xdr:col>25</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de31866f1d42b6"/>
        </a:graphicData>
      </a:graphic>
    </xdr:graphicFrame>
    <xdr:clientData/>
  </xdr:twoCellAnchor>
</xdr:wsDr>
</file>

<file path=xl/persons/person.xml><?xml version="1.0" encoding="utf-8"?>
<xltc:personList xmlns:xltc="http://schemas.microsoft.com/office/spreadsheetml/2018/threadedcomments">
  <xltc:person displayName="Goran Brkich" id="{A9D7F780-FEE4-40E5-9B17-829F1CC1A6AD}"/>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fa5ac0e12e0452f" /><Relationship Type="http://schemas.openxmlformats.org/officeDocument/2006/relationships/vmlDrawing" Target="/xl/drawings/vmldrawing.vml" Id="R050f7860338f4821" /><Relationship Type="http://schemas.openxmlformats.org/officeDocument/2006/relationships/drawing" Target="/xl/drawings/drawing1.xml" Id="R6ff8406047e34ade" /></Relationships>
</file>

<file path=xl/worksheets/_rels/sheet2.xml.rels>&#65279;<?xml version="1.0" encoding="utf-8"?><Relationships xmlns="http://schemas.openxmlformats.org/package/2006/relationships"><Relationship Type="http://schemas.openxmlformats.org/officeDocument/2006/relationships/comments" Target="/xl/comments2.xml" Id="Ra6d54ebe8c87404d" /><Relationship Type="http://schemas.openxmlformats.org/officeDocument/2006/relationships/vmlDrawing" Target="/xl/drawings/vmldrawing2.vml" Id="R98645d28ed1d4a80" /></Relationships>
</file>

<file path=xl/worksheets/_rels/sheet3.xml.rels>&#65279;<?xml version="1.0" encoding="utf-8"?><Relationships xmlns="http://schemas.openxmlformats.org/package/2006/relationships"><Relationship Type="http://schemas.openxmlformats.org/officeDocument/2006/relationships/comments" Target="/xl/comments3.xml" Id="R0c23fe3ffdc44a4c" /><Relationship Type="http://schemas.openxmlformats.org/officeDocument/2006/relationships/vmlDrawing" Target="/xl/drawings/vmldrawing3.vml" Id="R65c8d142bce54a0e" /><Relationship Type="http://schemas.openxmlformats.org/officeDocument/2006/relationships/drawing" Target="/xl/drawings/drawing2.xml" Id="R2f04b4ae910a4af7" /></Relationships>
</file>

<file path=xl/worksheets/_rels/sheet4.xml.rels>&#65279;<?xml version="1.0" encoding="utf-8"?><Relationships xmlns="http://schemas.openxmlformats.org/package/2006/relationships"><Relationship Type="http://schemas.openxmlformats.org/officeDocument/2006/relationships/comments" Target="/xl/comments4.xml" Id="R43db16ca3a9642ed" /><Relationship Type="http://schemas.openxmlformats.org/officeDocument/2006/relationships/vmlDrawing" Target="/xl/drawings/vmldrawing4.vml" Id="R1dfd6face66140bb" /><Relationship Type="http://schemas.openxmlformats.org/officeDocument/2006/relationships/drawing" Target="/xl/drawings/drawing3.xml" Id="Rd67f05ea71e64060" /></Relationships>
</file>

<file path=xl/worksheets/_rels/sheet5.xml.rels>&#65279;<?xml version="1.0" encoding="utf-8"?><Relationships xmlns="http://schemas.openxmlformats.org/package/2006/relationships"><Relationship Type="http://schemas.openxmlformats.org/officeDocument/2006/relationships/comments" Target="/xl/comments5.xml" Id="R68ec2589c99b41c9" /><Relationship Type="http://schemas.openxmlformats.org/officeDocument/2006/relationships/vmlDrawing" Target="/xl/drawings/vmldrawing5.vml" Id="R77ae2af9f7b849ea" /><Relationship Type="http://schemas.openxmlformats.org/officeDocument/2006/relationships/drawing" Target="/xl/drawings/drawing4.xml" Id="Rbf2b974fbe134fd8" /></Relationships>
</file>

<file path=xl/worksheets/_rels/sheet6.xml.rels>&#65279;<?xml version="1.0" encoding="utf-8"?><Relationships xmlns="http://schemas.openxmlformats.org/package/2006/relationships"><Relationship Type="http://schemas.openxmlformats.org/officeDocument/2006/relationships/comments" Target="/xl/comments6.xml" Id="Ra9d0ce5aa4d14895" /><Relationship Type="http://schemas.openxmlformats.org/officeDocument/2006/relationships/vmlDrawing" Target="/xl/drawings/vmldrawing6.vml" Id="R733ceba20ab544df" /><Relationship Type="http://schemas.openxmlformats.org/officeDocument/2006/relationships/drawing" Target="/xl/drawings/drawing5.xml" Id="Re39bdf46ab9946df" /></Relationships>
</file>

<file path=xl/worksheets/_rels/sheet7.xml.rels>&#65279;<?xml version="1.0" encoding="utf-8"?><Relationships xmlns="http://schemas.openxmlformats.org/package/2006/relationships"><Relationship Type="http://schemas.openxmlformats.org/officeDocument/2006/relationships/comments" Target="/xl/comments7.xml" Id="R205a16d570ef44de" /><Relationship Type="http://schemas.openxmlformats.org/officeDocument/2006/relationships/vmlDrawing" Target="/xl/drawings/vmldrawing7.vml" Id="R1267ea795c944635" /><Relationship Type="http://schemas.openxmlformats.org/officeDocument/2006/relationships/drawing" Target="/xl/drawings/drawing6.xml" Id="Rf17e353e8536488b" /></Relationships>
</file>

<file path=xl/worksheets/_rels/sheet8.xml.rels>&#65279;<?xml version="1.0" encoding="utf-8"?><Relationships xmlns="http://schemas.openxmlformats.org/package/2006/relationships"><Relationship Type="http://schemas.openxmlformats.org/officeDocument/2006/relationships/comments" Target="/xl/comments8.xml" Id="R12903ee491f14909" /><Relationship Type="http://schemas.openxmlformats.org/officeDocument/2006/relationships/vmlDrawing" Target="/xl/drawings/vmldrawing8.vml" Id="R9c15e7dd4bc0407b" /><Relationship Type="http://schemas.openxmlformats.org/officeDocument/2006/relationships/drawing" Target="/xl/drawings/drawing7.xml" Id="R77c8c997458742f1" /></Relationships>
</file>

<file path=xl/worksheets/_rels/sheet9.xml.rels>&#65279;<?xml version="1.0" encoding="utf-8"?><Relationships xmlns="http://schemas.openxmlformats.org/package/2006/relationships"><Relationship Type="http://schemas.openxmlformats.org/officeDocument/2006/relationships/comments" Target="/xl/comments9.xml" Id="Rd7f0a128ad684e08" /><Relationship Type="http://schemas.openxmlformats.org/officeDocument/2006/relationships/vmlDrawing" Target="/xl/drawings/vmldrawing9.vml" Id="Rb3cad686191c4211" /><Relationship Type="http://schemas.openxmlformats.org/officeDocument/2006/relationships/drawing" Target="/xl/drawings/drawing8.xml" Id="R3e36322a81934d0d" /></Relationships>
</file>

<file path=xl/worksheets/_rels/sheet10.xml.rels>&#65279;<?xml version="1.0" encoding="utf-8"?><Relationships xmlns="http://schemas.openxmlformats.org/package/2006/relationships"><Relationship Type="http://schemas.openxmlformats.org/officeDocument/2006/relationships/comments" Target="/xl/comments10.xml" Id="Rf65398513bff442b" /><Relationship Type="http://schemas.openxmlformats.org/officeDocument/2006/relationships/vmlDrawing" Target="/xl/drawings/vmldrawing10.vml" Id="R992041f65db0492d" /><Relationship Type="http://schemas.openxmlformats.org/officeDocument/2006/relationships/drawing" Target="/xl/drawings/drawing9.xml" Id="R947f42e9a8f046a9" /></Relationships>
</file>

<file path=xl/worksheets/_rels/sheet11.xml.rels>&#65279;<?xml version="1.0" encoding="utf-8"?><Relationships xmlns="http://schemas.openxmlformats.org/package/2006/relationships"><Relationship Type="http://schemas.openxmlformats.org/officeDocument/2006/relationships/comments" Target="/xl/comments11.xml" Id="R14e56b8817544f87" /><Relationship Type="http://schemas.openxmlformats.org/officeDocument/2006/relationships/vmlDrawing" Target="/xl/drawings/vmldrawing11.vml" Id="R3d7982a032374508" /><Relationship Type="http://schemas.openxmlformats.org/officeDocument/2006/relationships/drawing" Target="/xl/drawings/drawing10.xml" Id="R1c98de3286a74eef" /></Relationships>
</file>

<file path=xl/worksheets/_rels/sheet12.xml.rels>&#65279;<?xml version="1.0" encoding="utf-8"?><Relationships xmlns="http://schemas.openxmlformats.org/package/2006/relationships"><Relationship Type="http://schemas.openxmlformats.org/officeDocument/2006/relationships/comments" Target="/xl/comments12.xml" Id="Ra913abee082747d9" /><Relationship Type="http://schemas.openxmlformats.org/officeDocument/2006/relationships/vmlDrawing" Target="/xl/drawings/vmldrawing12.vml" Id="R526f43d1dd174ffe" /><Relationship Type="http://schemas.openxmlformats.org/officeDocument/2006/relationships/drawing" Target="/xl/drawings/drawing11.xml" Id="Rbd857d55a4a54683" /></Relationships>
</file>

<file path=xl/worksheets/_rels/sheet13.xml.rels>&#65279;<?xml version="1.0" encoding="utf-8"?><Relationships xmlns="http://schemas.openxmlformats.org/package/2006/relationships"><Relationship Type="http://schemas.openxmlformats.org/officeDocument/2006/relationships/comments" Target="/xl/comments13.xml" Id="R5f5a63d9dc6b41ce" /><Relationship Type="http://schemas.openxmlformats.org/officeDocument/2006/relationships/vmlDrawing" Target="/xl/drawings/vmldrawing13.vml" Id="R25a3d6ca0b864d43" /><Relationship Type="http://schemas.openxmlformats.org/officeDocument/2006/relationships/drawing" Target="/xl/drawings/drawing12.xml" Id="Rc0239326f3e8446d" /></Relationships>
</file>

<file path=xl/worksheets/_rels/sheet14.xml.rels>&#65279;<?xml version="1.0" encoding="utf-8"?><Relationships xmlns="http://schemas.openxmlformats.org/package/2006/relationships"><Relationship Type="http://schemas.openxmlformats.org/officeDocument/2006/relationships/comments" Target="/xl/comments14.xml" Id="R1190f9655da84963" /><Relationship Type="http://schemas.openxmlformats.org/officeDocument/2006/relationships/vmlDrawing" Target="/xl/drawings/vmldrawing14.vml" Id="Rbbd08738742b45a3" /><Relationship Type="http://schemas.openxmlformats.org/officeDocument/2006/relationships/drawing" Target="/xl/drawings/drawing13.xml" Id="Rb41fa3e09c9c480d" /></Relationships>
</file>

<file path=xl/worksheets/_rels/sheet15.xml.rels>&#65279;<?xml version="1.0" encoding="utf-8"?><Relationships xmlns="http://schemas.openxmlformats.org/package/2006/relationships"><Relationship Type="http://schemas.openxmlformats.org/officeDocument/2006/relationships/comments" Target="/xl/comments15.xml" Id="R1f2936709b424ff3" /><Relationship Type="http://schemas.openxmlformats.org/officeDocument/2006/relationships/vmlDrawing" Target="/xl/drawings/vmldrawing15.vml" Id="R8dea414bbb21470f" /><Relationship Type="http://schemas.openxmlformats.org/officeDocument/2006/relationships/drawing" Target="/xl/drawings/drawing14.xml" Id="R60f29d3e349b4201" /></Relationships>
</file>

<file path=xl/worksheets/_rels/sheet16.xml.rels>&#65279;<?xml version="1.0" encoding="utf-8"?><Relationships xmlns="http://schemas.openxmlformats.org/package/2006/relationships"><Relationship Type="http://schemas.openxmlformats.org/officeDocument/2006/relationships/comments" Target="/xl/comments16.xml" Id="Raac43b2a6b73487a" /><Relationship Type="http://schemas.openxmlformats.org/officeDocument/2006/relationships/vmlDrawing" Target="/xl/drawings/vmldrawing16.vml" Id="R16b36421633a41c4" /><Relationship Type="http://schemas.openxmlformats.org/officeDocument/2006/relationships/drawing" Target="/xl/drawings/drawing15.xml" Id="R731ff968c9864f04" /></Relationships>
</file>

<file path=xl/worksheets/_rels/sheet17.xml.rels>&#65279;<?xml version="1.0" encoding="utf-8"?><Relationships xmlns="http://schemas.openxmlformats.org/package/2006/relationships"><Relationship Type="http://schemas.openxmlformats.org/officeDocument/2006/relationships/comments" Target="/xl/comments17.xml" Id="R78d3000756824caa" /><Relationship Type="http://schemas.openxmlformats.org/officeDocument/2006/relationships/vmlDrawing" Target="/xl/drawings/vmldrawing17.vml" Id="Rab53b097aa4c4a49" /><Relationship Type="http://schemas.openxmlformats.org/officeDocument/2006/relationships/drawing" Target="/xl/drawings/drawing16.xml" Id="Rbf9baac245a44382" /></Relationships>
</file>

<file path=xl/worksheets/_rels/sheet18.xml.rels>&#65279;<?xml version="1.0" encoding="utf-8"?><Relationships xmlns="http://schemas.openxmlformats.org/package/2006/relationships"><Relationship Type="http://schemas.openxmlformats.org/officeDocument/2006/relationships/comments" Target="/xl/comments18.xml" Id="Rd46308af0dad488f" /><Relationship Type="http://schemas.openxmlformats.org/officeDocument/2006/relationships/vmlDrawing" Target="/xl/drawings/vmldrawing18.vml" Id="R7e9a91fa53c54b6c" /><Relationship Type="http://schemas.openxmlformats.org/officeDocument/2006/relationships/drawing" Target="/xl/drawings/drawing17.xml" Id="R58dbaf1347d54343" /></Relationships>
</file>

<file path=xl/worksheets/_rels/sheet19.xml.rels>&#65279;<?xml version="1.0" encoding="utf-8"?><Relationships xmlns="http://schemas.openxmlformats.org/package/2006/relationships"><Relationship Type="http://schemas.openxmlformats.org/officeDocument/2006/relationships/comments" Target="/xl/comments19.xml" Id="R853397db3bd4423d" /><Relationship Type="http://schemas.openxmlformats.org/officeDocument/2006/relationships/vmlDrawing" Target="/xl/drawings/vmldrawing19.vml" Id="R04f24e9b3379455d" /><Relationship Type="http://schemas.openxmlformats.org/officeDocument/2006/relationships/drawing" Target="/xl/drawings/drawing18.xml" Id="R4986153b32e742b3" /></Relationships>
</file>

<file path=xl/worksheets/_rels/sheet20.xml.rels>&#65279;<?xml version="1.0" encoding="utf-8"?><Relationships xmlns="http://schemas.openxmlformats.org/package/2006/relationships"><Relationship Type="http://schemas.openxmlformats.org/officeDocument/2006/relationships/comments" Target="/xl/comments20.xml" Id="R164ea08b5cb14bdd" /><Relationship Type="http://schemas.openxmlformats.org/officeDocument/2006/relationships/vmlDrawing" Target="/xl/drawings/vmldrawing20.vml" Id="R71c79da947164a38" /><Relationship Type="http://schemas.openxmlformats.org/officeDocument/2006/relationships/drawing" Target="/xl/drawings/drawing19.xml" Id="R7c87c404a813403a" /></Relationships>
</file>

<file path=xl/worksheets/_rels/sheet21.xml.rels>&#65279;<?xml version="1.0" encoding="utf-8"?><Relationships xmlns="http://schemas.openxmlformats.org/package/2006/relationships"><Relationship Type="http://schemas.openxmlformats.org/officeDocument/2006/relationships/comments" Target="/xl/comments21.xml" Id="R33bc2bfdc36648d6" /><Relationship Type="http://schemas.openxmlformats.org/officeDocument/2006/relationships/vmlDrawing" Target="/xl/drawings/vmldrawing21.vml" Id="Ra37d50fbdba14adf" /><Relationship Type="http://schemas.openxmlformats.org/officeDocument/2006/relationships/drawing" Target="/xl/drawings/drawing20.xml" Id="R088ff5291f644ed4" /></Relationships>
</file>

<file path=xl/worksheets/_rels/sheet22.xml.rels>&#65279;<?xml version="1.0" encoding="utf-8"?><Relationships xmlns="http://schemas.openxmlformats.org/package/2006/relationships"><Relationship Type="http://schemas.openxmlformats.org/officeDocument/2006/relationships/comments" Target="/xl/comments22.xml" Id="R49a1f845a6284608" /><Relationship Type="http://schemas.openxmlformats.org/officeDocument/2006/relationships/vmlDrawing" Target="/xl/drawings/vmldrawing22.vml" Id="R9bd4ea06fdaa43fd" /><Relationship Type="http://schemas.openxmlformats.org/officeDocument/2006/relationships/drawing" Target="/xl/drawings/drawing21.xml" Id="Rdee40c01a0f149a9" /></Relationships>
</file>

<file path=xl/worksheets/_rels/sheet23.xml.rels>&#65279;<?xml version="1.0" encoding="utf-8"?><Relationships xmlns="http://schemas.openxmlformats.org/package/2006/relationships"><Relationship Type="http://schemas.openxmlformats.org/officeDocument/2006/relationships/comments" Target="/xl/comments23.xml" Id="R07d07774d0d74343" /><Relationship Type="http://schemas.openxmlformats.org/officeDocument/2006/relationships/vmlDrawing" Target="/xl/drawings/vmldrawing23.vml" Id="R26a42d34584a4d8d" /><Relationship Type="http://schemas.openxmlformats.org/officeDocument/2006/relationships/drawing" Target="/xl/drawings/drawing22.xml" Id="Rf711479223ba47d6" /></Relationships>
</file>

<file path=xl/worksheets/_rels/sheet24.xml.rels>&#65279;<?xml version="1.0" encoding="utf-8"?><Relationships xmlns="http://schemas.openxmlformats.org/package/2006/relationships"><Relationship Type="http://schemas.openxmlformats.org/officeDocument/2006/relationships/comments" Target="/xl/comments24.xml" Id="Rc5cf5e625f314d9c" /><Relationship Type="http://schemas.openxmlformats.org/officeDocument/2006/relationships/vmlDrawing" Target="/xl/drawings/vmldrawing24.vml" Id="Ra284148611234fa0" /><Relationship Type="http://schemas.openxmlformats.org/officeDocument/2006/relationships/drawing" Target="/xl/drawings/drawing23.xml" Id="R2f618f2ffbf343a6" /></Relationships>
</file>

<file path=xl/worksheets/_rels/sheet25.xml.rels>&#65279;<?xml version="1.0" encoding="utf-8"?><Relationships xmlns="http://schemas.openxmlformats.org/package/2006/relationships"><Relationship Type="http://schemas.openxmlformats.org/officeDocument/2006/relationships/comments" Target="/xl/comments25.xml" Id="R3c43813adb7e4f78" /><Relationship Type="http://schemas.openxmlformats.org/officeDocument/2006/relationships/vmlDrawing" Target="/xl/drawings/vmldrawing25.vml" Id="R6a60bf184b1a4923" /><Relationship Type="http://schemas.openxmlformats.org/officeDocument/2006/relationships/drawing" Target="/xl/drawings/drawing24.xml" Id="R031ea61510cd4d58" /></Relationships>
</file>

<file path=xl/worksheets/_rels/sheet26.xml.rels>&#65279;<?xml version="1.0" encoding="utf-8"?><Relationships xmlns="http://schemas.openxmlformats.org/package/2006/relationships"><Relationship Type="http://schemas.openxmlformats.org/officeDocument/2006/relationships/comments" Target="/xl/comments26.xml" Id="R953964b158fa433b" /><Relationship Type="http://schemas.openxmlformats.org/officeDocument/2006/relationships/vmlDrawing" Target="/xl/drawings/vmldrawing26.vml" Id="R476cd4f14d9345ce" /><Relationship Type="http://schemas.openxmlformats.org/officeDocument/2006/relationships/drawing" Target="/xl/drawings/drawing25.xml" Id="Rbf0aa08e038a4cd8" /></Relationships>
</file>

<file path=xl/worksheets/_rels/sheet28.xml.rels>&#65279;<?xml version="1.0" encoding="utf-8"?><Relationships xmlns="http://schemas.openxmlformats.org/package/2006/relationships"><Relationship Type="http://schemas.openxmlformats.org/officeDocument/2006/relationships/comments" Target="/xl/comments27.xml" Id="R66b2731a910543b4" /><Relationship Type="http://schemas.openxmlformats.org/officeDocument/2006/relationships/vmlDrawing" Target="/xl/drawings/vmldrawing27.vml" Id="R14e557c550d5445f" /><Relationship Type="http://schemas.openxmlformats.org/officeDocument/2006/relationships/drawing" Target="/xl/drawings/drawing26.xml" Id="R5ba1564d9e364491" /></Relationships>
</file>

<file path=xl/worksheets/_rels/sheet29.xml.rels>&#65279;<?xml version="1.0" encoding="utf-8"?><Relationships xmlns="http://schemas.openxmlformats.org/package/2006/relationships"><Relationship Type="http://schemas.openxmlformats.org/officeDocument/2006/relationships/comments" Target="/xl/comments28.xml" Id="R5a299ea5008b4b4a" /><Relationship Type="http://schemas.openxmlformats.org/officeDocument/2006/relationships/vmlDrawing" Target="/xl/drawings/vmldrawing28.vml" Id="R0422b91f8a894015" /></Relationships>
</file>

<file path=xl/worksheets/_rels/sheet30.xml.rels>&#65279;<?xml version="1.0" encoding="utf-8"?><Relationships xmlns="http://schemas.openxmlformats.org/package/2006/relationships"><Relationship Type="http://schemas.openxmlformats.org/officeDocument/2006/relationships/comments" Target="/xl/comments29.xml" Id="Raa254913cd3d4d06" /><Relationship Type="http://schemas.openxmlformats.org/officeDocument/2006/relationships/vmlDrawing" Target="/xl/drawings/vmldrawing29.vml" Id="Rff0fe639e0ac45a2" /></Relationships>
</file>

<file path=xl/worksheets/_rels/sheet31.xml.rels>&#65279;<?xml version="1.0" encoding="utf-8"?><Relationships xmlns="http://schemas.openxmlformats.org/package/2006/relationships"><Relationship Type="http://schemas.openxmlformats.org/officeDocument/2006/relationships/comments" Target="/xl/comments30.xml" Id="R9a4de97dd5844b77" /><Relationship Type="http://schemas.openxmlformats.org/officeDocument/2006/relationships/vmlDrawing" Target="/xl/drawings/vmldrawing30.vml" Id="R87ddbd58b4c040fa" /></Relationships>
</file>

<file path=xl/worksheets/_rels/sheet32.xml.rels>&#65279;<?xml version="1.0" encoding="utf-8"?><Relationships xmlns="http://schemas.openxmlformats.org/package/2006/relationships"><Relationship Type="http://schemas.openxmlformats.org/officeDocument/2006/relationships/comments" Target="/xl/comments31.xml" Id="Rb620b2b3c838467a" /><Relationship Type="http://schemas.openxmlformats.org/officeDocument/2006/relationships/vmlDrawing" Target="/xl/drawings/vmldrawing31.vml" Id="R720e9909471e4e0f" /></Relationships>
</file>

<file path=xl/worksheets/_rels/sheet33.xml.rels>&#65279;<?xml version="1.0" encoding="utf-8"?><Relationships xmlns="http://schemas.openxmlformats.org/package/2006/relationships"><Relationship Type="http://schemas.openxmlformats.org/officeDocument/2006/relationships/comments" Target="/xl/comments32.xml" Id="Rdf3367ab1469460f" /><Relationship Type="http://schemas.openxmlformats.org/officeDocument/2006/relationships/vmlDrawing" Target="/xl/drawings/vmldrawing32.vml" Id="R16b46f1c552f410c" /></Relationships>
</file>

<file path=xl/worksheets/sheet1.xml><?xml version="1.0" encoding="utf-8"?>
<x:worksheet xmlns:x="http://schemas.openxmlformats.org/spreadsheetml/2006/main">
  <x:sheetPr>
    <x:tabColor rgb="FF002060"/>
  </x:sheetPr>
  <x:sheetViews>
    <x:sheetView showGridLines="0" workbookViewId="0"/>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Microsoft DCF and Reverse DCF</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Observed MSFT close</x:v>
      </x:c>
      <x:c r="D8" s="136"/>
      <x:c r="E8" s="145" t="n">
        <x:f>'Market Inputs'!E9</x:f>
        <x:v>522.61</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77" t="str">
        <x:v>Selected DCF value</x:v>
      </x:c>
      <x:c r="D9" s="177"/>
      <x:c r="E9" s="178" t="n">
        <x:f>'DCF'!E28</x:f>
        <x:v>286.35225469155296</x:v>
      </x:c>
      <x:c r="F9" s="147"/>
      <x:c r="G9" s="147"/>
      <x:c r="H9" s="147"/>
      <x:c r="I9" s="147"/>
      <x:c r="J9" s="136"/>
      <x:c r="K9" s="136"/>
      <x:c r="L9" s="136"/>
      <x:c r="M9" s="136"/>
      <x:c r="N9" s="136"/>
      <x:c r="O9" s="136"/>
      <x:c r="P9" s="136"/>
      <x:c r="Q9" s="136"/>
      <x:c r="R9" s="136"/>
      <x:c r="S9" s="136"/>
      <x:c r="T9" s="136"/>
      <x:c r="U9" s="136"/>
      <x:c r="V9" s="136"/>
      <x:c r="W9" s="136"/>
      <x:c r="X9" s="136"/>
      <x:c r="Y9" s="136"/>
      <x:c r="Z9" s="136"/>
    </x:row>
    <x:row r="10" ht="24" customHeight="1">
      <x:c r="A10" s="136"/>
      <x:c r="B10" s="136"/>
      <x:c r="C10" s="139" t="str">
        <x:v>Conditional value / close minus one</x:v>
      </x:c>
      <x:c r="D10" s="139"/>
      <x:c r="E10" s="152" t="n">
        <x:f>'DCF'!E30</x:f>
        <x:v>-0.4520727603919692</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x:c r="D11" s="136"/>
      <x:c r="E11" s="136"/>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Selected cost of capital</x:v>
      </x:c>
      <x:c r="D12" s="139"/>
      <x:c r="E12" s="154" t="n">
        <x:f>'DCF'!E6</x:f>
        <x:v>0.09814036929102632</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9" t="str">
        <x:v>Stable growth</x:v>
      </x:c>
      <x:c r="D13" s="139"/>
      <x:c r="E13" s="152" t="n">
        <x:f>'DCF'!E7</x:f>
        <x:v>0.03</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9" t="str">
        <x:v>Stable ROIC</x:v>
      </x:c>
      <x:c r="D14" s="139"/>
      <x:c r="E14" s="152" t="n">
        <x:f>'Terminal Value'!E12</x:f>
        <x:v>0.2</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9" t="str">
        <x:v>Stable share of enterprise value</x:v>
      </x:c>
      <x:c r="D15" s="139"/>
      <x:c r="E15" s="152" t="n">
        <x:f>'DCF'!E31</x:f>
        <x:v>0.7969744411522649</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9" t="str">
        <x:v>Required uniform five year revenue CAGR</x:v>
      </x:c>
      <x:c r="D17" s="139"/>
      <x:c r="E17" s="152" t="n">
        <x:f>'Reverse Growth'!E12</x:f>
        <x:v>0.29776359901443183</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9" t="str">
        <x:v>Required WACC at other base inputs</x:v>
      </x:c>
      <x:c r="D18" s="139"/>
      <x:c r="E18" s="154" t="n">
        <x:f>'Reverse WACC'!E12</x:f>
        <x:v>0.06860366329986324</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9" t="str">
        <x:v>Required stable growth</x:v>
      </x:c>
      <x:c r="D19" s="139"/>
      <x:c r="E19" s="154" t="n">
        <x:f>'Reverse Terminal g'!E12</x:f>
        <x:v>0.07176903297964167</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56" t="str">
        <x:v>Scenario</x:v>
      </x:c>
      <x:c r="D23" s="158" t="str">
        <x:v>Price per share</x:v>
      </x:c>
      <x:c r="E23" s="160" t="str">
        <x:v>Return to close</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Base</x:v>
      </x:c>
      <x:c r="D24" s="145" t="n">
        <x:f>'DCF'!F53</x:f>
        <x:v>286.352254691553</x:v>
      </x:c>
      <x:c r="E24" s="162" t="n">
        <x:f>D24/$E$8-1</x:f>
        <x:v>-0.4520727603919692</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Upside</x:v>
      </x:c>
      <x:c r="D25" s="145" t="n">
        <x:f>'DCF'!G54</x:f>
        <x:v>390.99452467720926</x:v>
      </x:c>
      <x:c r="E25" s="162" t="n">
        <x:f>D25/$E$8-1</x:f>
        <x:v>-0.2518426270503641</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t="str">
        <x:v>Downside</x:v>
      </x:c>
      <x:c r="D26" s="145" t="n">
        <x:f>'DCF'!H55</x:f>
        <x:v>169.9114012991664</x:v>
      </x:c>
      <x:c r="E26" s="162" t="n">
        <x:f>D26/$E$8-1</x:f>
        <x:v>-0.6748791617091782</x:v>
      </x:c>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56" t="str">
        <x:v>Year</x:v>
      </x:c>
      <x:c r="D29" s="158" t="str">
        <x:v>Revenue</x:v>
      </x:c>
      <x:c r="E29" s="160" t="str">
        <x:v>FCFF</x:v>
      </x:c>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36" t="str">
        <x:v>FY2027</x:v>
      </x:c>
      <x:c r="D30" s="164" t="n">
        <x:f>'Forecast'!E12</x:f>
        <x:v>385048.80000000005</x:v>
      </x:c>
      <x:c r="E30" s="164" t="n">
        <x:f>'Forecast'!E24</x:f>
        <x:v>46199.5314984688</x:v>
      </x:c>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t="str">
        <x:v>FY2028</x:v>
      </x:c>
      <x:c r="D31" s="164" t="n">
        <x:f>'Forecast'!F12</x:f>
        <x:v>444477.44240000006</x:v>
      </x:c>
      <x:c r="E31" s="164" t="n">
        <x:f>'Forecast'!F24</x:f>
        <x:v>79724.50539883881</x:v>
      </x:c>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t="str">
        <x:v>FY2029</x:v>
      </x:c>
      <x:c r="D32" s="164" t="n">
        <x:f>'Forecast'!G12</x:f>
        <x:v>508922.316432</x:v>
      </x:c>
      <x:c r="E32" s="164" t="n">
        <x:f>'Forecast'!G24</x:f>
        <x:v>112117.16267186425</x:v>
      </x:c>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t="str">
        <x:v>FY2030</x:v>
      </x:c>
      <x:c r="D33" s="164" t="n">
        <x:f>'Forecast'!H12</x:f>
        <x:v>577301.7649200001</x:v>
      </x:c>
      <x:c r="E33" s="164" t="n">
        <x:f>'Forecast'!H24</x:f>
        <x:v>152156.6282242011</x:v>
      </x:c>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t="str">
        <x:v>FY2031</x:v>
      </x:c>
      <x:c r="D34" s="164" t="n">
        <x:f>'Forecast'!I12</x:f>
        <x:v>648107.1509938752</x:v>
      </x:c>
      <x:c r="E34" s="164" t="n">
        <x:f>'Forecast'!I24</x:f>
        <x:v>191752.41574799188</x:v>
      </x:c>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67" t="str">
        <x:v>Selected case observations</x:v>
      </x:c>
      <x:c r="D38" s="170"/>
      <x:c r="E38" s="170"/>
      <x:c r="F38" s="170"/>
      <x:c r="G38" s="170"/>
      <x:c r="H38" s="170"/>
      <x:c r="I38" s="170"/>
      <x:c r="J38" s="170"/>
      <x:c r="K38" s="170"/>
      <x:c r="L38" s="173"/>
      <x:c r="M38" s="136"/>
      <x:c r="N38" s="136"/>
      <x:c r="O38" s="136"/>
      <x:c r="P38" s="136"/>
      <x:c r="Q38" s="136"/>
      <x:c r="R38" s="136"/>
      <x:c r="S38" s="136"/>
      <x:c r="T38" s="136"/>
      <x:c r="U38" s="136"/>
      <x:c r="V38" s="136"/>
      <x:c r="W38" s="136"/>
      <x:c r="X38" s="136"/>
      <x:c r="Y38" s="136"/>
      <x:c r="Z38" s="136"/>
    </x:row>
    <x:row r="39" ht="24" customHeight="1">
      <x:c r="A39" s="136"/>
      <x:c r="B39" s="136"/>
      <x:c r="C39" s="174" t="str">
        <x:f>"Selected value USD "&amp;ROUND(E9,2)&amp;" versus close USD "&amp;ROUND(E8,2)&amp;". Stable value supplies "&amp;ROUND(E15*100,1)&amp;"% of enterprise value. "&amp;"The valuation uses an 8 October 2026 information cutoff, ten historical fiscal years and five explicit forecasts FY2027 to FY2031. FY2027 remaining cash flow is shortened to 265 days."</x:f>
        <x:v>Selected value USD 286.35 versus close USD 522.61. Stable value supplies 79.7% of enterprise value. The valuation uses an 8 October 2026 information cutoff, ten historical fiscal years and five explicit forecasts FY2027 to FY2031. FY2027 remaining cash flow is shortened to 265 days.</x:v>
      </x:c>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t="str">
        <x:v>The primary result is a conditional estimate under the visible selected assumptions. Reverse DCF separates twelve criteria and states when a mathematical solution fails operating or stable-economics bounds.</x:v>
      </x:c>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t="str">
        <x:v>Blue cells are inputs; black formulas link sheets. Native cell Notes explain definitions and dependencies. Original and highlighted annual reports, source crosswalk and copyable Python reproduce the evidence trail.</x:v>
      </x:c>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74"/>
      <x:c r="D47" s="174"/>
      <x:c r="E47" s="174"/>
      <x:c r="F47" s="174"/>
      <x:c r="G47" s="174"/>
      <x:c r="H47" s="174"/>
      <x:c r="I47" s="174"/>
      <x:c r="J47" s="174"/>
      <x:c r="K47" s="174"/>
      <x:c r="L47" s="174"/>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9:L41"/>
    <x:mergeCell ref="C42:L44"/>
    <x:mergeCell ref="C45:L47"/>
  </x:mergeCells>
  <x:pageMargins left="0.7" right="0.7" top="0.75" bottom="0.75" header="0.3" footer="0.3"/>
  <x:drawing xmlns:r="http://schemas.openxmlformats.org/officeDocument/2006/relationships" r:id="R6ff8406047e34ade"/>
  <x:legacyDrawing xmlns:r="http://schemas.openxmlformats.org/officeDocument/2006/relationships" r:id="R050f7860338f4821"/>
</x:worksheet>
</file>

<file path=xl/worksheets/sheet2.xml><?xml version="1.0" encoding="utf-8"?>
<x:worksheet xmlns:x="http://schemas.openxmlformats.org/spreadsheetml/2006/main">
  <x:sheetPr>
    <x:tabColor rgb="FF808080"/>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Assumptions</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Discount timing mode</x:v>
      </x:c>
      <x:c r="D8" s="136"/>
      <x:c r="E8" s="181" t="n">
        <x:v>1</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Beta selection mode</x:v>
      </x:c>
      <x:c r="D9" s="136"/>
      <x:c r="E9" s="181" t="n">
        <x:v>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Manual beta</x:v>
      </x:c>
      <x:c r="D10" s="136"/>
      <x:c r="E10" s="183" t="n">
        <x:v>1</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Incremental dilution proxy</x:v>
      </x:c>
      <x:c r="D11" s="136"/>
      <x:c r="E11" s="185" t="n">
        <x:v>24</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Operating cash reserve</x:v>
      </x:c>
      <x:c r="D12" s="136"/>
      <x:c r="E12" s="187" t="n">
        <x:v>25000</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9" t="str">
        <x:v>Investment value factor</x:v>
      </x:c>
      <x:c r="D13" s="139"/>
      <x:c r="E13" s="189" t="n">
        <x:v>1</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9" t="str">
        <x:v>Debt tax shield assumption</x:v>
      </x:c>
      <x:c r="D14" s="139"/>
      <x:c r="E14" s="189" t="n">
        <x:v>0.21</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9" t="str">
        <x:v>Terminal tax rate</x:v>
      </x:c>
      <x:c r="D15" s="139"/>
      <x:c r="E15" s="189" t="n">
        <x:v>0.2</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9" t="str">
        <x:v>WACC manual override</x:v>
      </x:c>
      <x:c r="D16" s="139"/>
      <x:c r="E16" s="154"/>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Unexpired FY2027 fraction</x:v>
      </x:c>
      <x:c r="D17" s="136"/>
      <x:c r="E17" s="191" t="n">
        <x:f>(DATE(2027,6,30)-'Market Inputs'!E8)/365</x:f>
        <x:v>0.726027397260274</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9" t="str">
        <x:v>SBC cost diagnostic / revenue</x:v>
      </x:c>
      <x:c r="D18" s="139"/>
      <x:c r="E18" s="189" t="n">
        <x:v>0.0375</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56" t="str">
        <x:v>FY:27</x:v>
      </x:c>
      <x:c r="F20" s="158" t="str">
        <x:v>FY:28</x:v>
      </x:c>
      <x:c r="G20" s="158" t="str">
        <x:v>FY:29</x:v>
      </x:c>
      <x:c r="H20" s="158" t="str">
        <x:v>FY:30</x:v>
      </x:c>
      <x:c r="I20" s="160" t="str">
        <x:v>FY:31</x:v>
      </x:c>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67" t="str">
        <x:v>PBP revenue growth active</x:v>
      </x:c>
      <x:c r="D22" s="170"/>
      <x:c r="E22" s="195" t="n">
        <x:f>CHOOSE('DCF'!$E$5,E23,E24,E25)</x:f>
        <x:v>0.14</x:v>
      </x:c>
      <x:c r="F22" s="195" t="n">
        <x:f>CHOOSE('DCF'!$E$5,F23,F24,F25)</x:f>
        <x:v>0.13</x:v>
      </x:c>
      <x:c r="G22" s="195" t="n">
        <x:f>CHOOSE('DCF'!$E$5,G23,G24,G25)</x:f>
        <x:v>0.12</x:v>
      </x:c>
      <x:c r="H22" s="195" t="n">
        <x:f>CHOOSE('DCF'!$E$5,H23,H24,H25)</x:f>
        <x:v>0.11</x:v>
      </x:c>
      <x:c r="I22" s="199" t="n">
        <x:f>CHOOSE('DCF'!$E$5,I23,I24,I25)</x:f>
        <x:v>0.1</x:v>
      </x:c>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Base</x:v>
      </x:c>
      <x:c r="D23" s="136"/>
      <x:c r="E23" s="201" t="n">
        <x:v>0.14</x:v>
      </x:c>
      <x:c r="F23" s="201" t="n">
        <x:v>0.13</x:v>
      </x:c>
      <x:c r="G23" s="201" t="n">
        <x:v>0.12</x:v>
      </x:c>
      <x:c r="H23" s="201" t="n">
        <x:v>0.11</x:v>
      </x:c>
      <x:c r="I23" s="201" t="n">
        <x:v>0.1</x:v>
      </x:c>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Upside</x:v>
      </x:c>
      <x:c r="D24" s="136"/>
      <x:c r="E24" s="201" t="n">
        <x:v>0.18</x:v>
      </x:c>
      <x:c r="F24" s="201" t="n">
        <x:v>0.16</x:v>
      </x:c>
      <x:c r="G24" s="201" t="n">
        <x:v>0.14</x:v>
      </x:c>
      <x:c r="H24" s="201" t="n">
        <x:v>0.13</x:v>
      </x:c>
      <x:c r="I24" s="201" t="n">
        <x:v>0.12</x:v>
      </x:c>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Downside</x:v>
      </x:c>
      <x:c r="D25" s="136"/>
      <x:c r="E25" s="201" t="n">
        <x:v>0.08</x:v>
      </x:c>
      <x:c r="F25" s="201" t="n">
        <x:v>0.07</x:v>
      </x:c>
      <x:c r="G25" s="201" t="n">
        <x:v>0.06</x:v>
      </x:c>
      <x:c r="H25" s="201" t="n">
        <x:v>0.06</x:v>
      </x:c>
      <x:c r="I25" s="201" t="n">
        <x:v>0.05</x:v>
      </x:c>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67" t="str">
        <x:v>Intelligent Cloud revenue growth active</x:v>
      </x:c>
      <x:c r="D27" s="170"/>
      <x:c r="E27" s="195" t="n">
        <x:f>CHOOSE('DCF'!$E$5,E28,E29,E30)</x:f>
        <x:v>0.24</x:v>
      </x:c>
      <x:c r="F27" s="195" t="n">
        <x:f>CHOOSE('DCF'!$E$5,F28,F29,F30)</x:f>
        <x:v>0.22</x:v>
      </x:c>
      <x:c r="G27" s="195" t="n">
        <x:f>CHOOSE('DCF'!$E$5,G28,G29,G30)</x:f>
        <x:v>0.2</x:v>
      </x:c>
      <x:c r="H27" s="195" t="n">
        <x:f>CHOOSE('DCF'!$E$5,H28,H29,H30)</x:f>
        <x:v>0.18</x:v>
      </x:c>
      <x:c r="I27" s="199" t="n">
        <x:f>CHOOSE('DCF'!$E$5,I28,I29,I30)</x:f>
        <x:v>0.16</x:v>
      </x:c>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t="str">
        <x:v>Base</x:v>
      </x:c>
      <x:c r="D28" s="136"/>
      <x:c r="E28" s="201" t="n">
        <x:v>0.24</x:v>
      </x:c>
      <x:c r="F28" s="201" t="n">
        <x:v>0.22</x:v>
      </x:c>
      <x:c r="G28" s="201" t="n">
        <x:v>0.2</x:v>
      </x:c>
      <x:c r="H28" s="201" t="n">
        <x:v>0.18</x:v>
      </x:c>
      <x:c r="I28" s="201" t="n">
        <x:v>0.16</x:v>
      </x:c>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t="str">
        <x:v>Upside</x:v>
      </x:c>
      <x:c r="D29" s="136"/>
      <x:c r="E29" s="201" t="n">
        <x:v>0.32</x:v>
      </x:c>
      <x:c r="F29" s="201" t="n">
        <x:v>0.28</x:v>
      </x:c>
      <x:c r="G29" s="201" t="n">
        <x:v>0.25</x:v>
      </x:c>
      <x:c r="H29" s="201" t="n">
        <x:v>0.22</x:v>
      </x:c>
      <x:c r="I29" s="201" t="n">
        <x:v>0.2</x:v>
      </x:c>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36" t="str">
        <x:v>Downside</x:v>
      </x:c>
      <x:c r="D30" s="136"/>
      <x:c r="E30" s="201" t="n">
        <x:v>0.14</x:v>
      </x:c>
      <x:c r="F30" s="201" t="n">
        <x:v>0.12</x:v>
      </x:c>
      <x:c r="G30" s="201" t="n">
        <x:v>0.1</x:v>
      </x:c>
      <x:c r="H30" s="201" t="n">
        <x:v>0.1</x:v>
      </x:c>
      <x:c r="I30" s="201" t="n">
        <x:v>0.09</x:v>
      </x:c>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67" t="str">
        <x:v>MPC revenue growth active</x:v>
      </x:c>
      <x:c r="D32" s="170"/>
      <x:c r="E32" s="195" t="n">
        <x:f>CHOOSE('DCF'!$E$5,E33,E34,E35)</x:f>
        <x:v>0.01</x:v>
      </x:c>
      <x:c r="F32" s="195" t="n">
        <x:f>CHOOSE('DCF'!$E$5,F33,F34,F35)</x:f>
        <x:v>0.02</x:v>
      </x:c>
      <x:c r="G32" s="195" t="n">
        <x:f>CHOOSE('DCF'!$E$5,G33,G34,G35)</x:f>
        <x:v>0.02</x:v>
      </x:c>
      <x:c r="H32" s="195" t="n">
        <x:f>CHOOSE('DCF'!$E$5,H33,H34,H35)</x:f>
        <x:v>0.02</x:v>
      </x:c>
      <x:c r="I32" s="199" t="n">
        <x:f>CHOOSE('DCF'!$E$5,I33,I34,I35)</x:f>
        <x:v>0.02</x:v>
      </x:c>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t="str">
        <x:v>Base</x:v>
      </x:c>
      <x:c r="D33" s="136"/>
      <x:c r="E33" s="201" t="n">
        <x:v>0.01</x:v>
      </x:c>
      <x:c r="F33" s="201" t="n">
        <x:v>0.02</x:v>
      </x:c>
      <x:c r="G33" s="201" t="n">
        <x:v>0.02</x:v>
      </x:c>
      <x:c r="H33" s="201" t="n">
        <x:v>0.02</x:v>
      </x:c>
      <x:c r="I33" s="201" t="n">
        <x:v>0.02</x:v>
      </x:c>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t="str">
        <x:v>Upside</x:v>
      </x:c>
      <x:c r="D34" s="136"/>
      <x:c r="E34" s="201" t="n">
        <x:v>0.04</x:v>
      </x:c>
      <x:c r="F34" s="201" t="n">
        <x:v>0.04</x:v>
      </x:c>
      <x:c r="G34" s="201" t="n">
        <x:v>0.03</x:v>
      </x:c>
      <x:c r="H34" s="201" t="n">
        <x:v>0.03</x:v>
      </x:c>
      <x:c r="I34" s="201" t="n">
        <x:v>0.03</x:v>
      </x:c>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t="str">
        <x:v>Downside</x:v>
      </x:c>
      <x:c r="D35" s="136"/>
      <x:c r="E35" s="201" t="n">
        <x:v>-0.05</x:v>
      </x:c>
      <x:c r="F35" s="201" t="n">
        <x:v>-0.03</x:v>
      </x:c>
      <x:c r="G35" s="201" t="n">
        <x:v>0</x:v>
      </x:c>
      <x:c r="H35" s="201" t="n">
        <x:v>0.01</x:v>
      </x:c>
      <x:c r="I35" s="201" t="n">
        <x:v>0.01</x:v>
      </x:c>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67" t="str">
        <x:v>Operating margin active</x:v>
      </x:c>
      <x:c r="D37" s="170"/>
      <x:c r="E37" s="195" t="n">
        <x:f>CHOOSE('DCF'!$E$5,E38,E39,E40)</x:f>
        <x:v>0.45637874221208147</x:v>
      </x:c>
      <x:c r="F37" s="195" t="n">
        <x:f>CHOOSE('DCF'!$E$5,F38,F39,F40)</x:f>
        <x:v>0.425622954183409</x:v>
      </x:c>
      <x:c r="G37" s="195" t="n">
        <x:f>CHOOSE('DCF'!$E$5,G38,G39,G40)</x:f>
        <x:v>0.4022939964496796</x:v>
      </x:c>
      <x:c r="H37" s="195" t="n">
        <x:f>CHOOSE('DCF'!$E$5,H38,H39,H40)</x:f>
        <x:v>0.38630180822151133</x:v>
      </x:c>
      <x:c r="I37" s="199" t="n">
        <x:f>CHOOSE('DCF'!$E$5,I38,I39,I40)</x:f>
        <x:v>0.3746364321844728</x:v>
      </x:c>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36" t="str">
        <x:v>Base</x:v>
      </x:c>
      <x:c r="D38" s="136"/>
      <x:c r="E38" s="201" t="n">
        <x:v>0.45637874221208147</x:v>
      </x:c>
      <x:c r="F38" s="201" t="n">
        <x:v>0.425622954183409</x:v>
      </x:c>
      <x:c r="G38" s="201" t="n">
        <x:v>0.4022939964496796</x:v>
      </x:c>
      <x:c r="H38" s="201" t="n">
        <x:v>0.38630180822151133</x:v>
      </x:c>
      <x:c r="I38" s="201" t="n">
        <x:v>0.3746364321844728</x:v>
      </x:c>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36" t="str">
        <x:v>Upside</x:v>
      </x:c>
      <x:c r="D39" s="136"/>
      <x:c r="E39" s="201" t="n">
        <x:v>0.47847512243954116</x:v>
      </x:c>
      <x:c r="F39" s="201" t="n">
        <x:v>0.4444279228632594</x:v>
      </x:c>
      <x:c r="G39" s="201" t="n">
        <x:v>0.41851991074359696</x:v>
      </x:c>
      <x:c r="H39" s="201" t="n">
        <x:v>0.4006535974853936</x:v>
      </x:c>
      <x:c r="I39" s="201" t="n">
        <x:v>0.3881286559266899</x:v>
      </x:c>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36" t="str">
        <x:v>Downside</x:v>
      </x:c>
      <x:c r="D40" s="136"/>
      <x:c r="E40" s="201" t="n">
        <x:v>0.40408177730221706</x:v>
      </x:c>
      <x:c r="F40" s="201" t="n">
        <x:v>0.3437945304765762</x:v>
      </x:c>
      <x:c r="G40" s="201" t="n">
        <x:v>0.2923142893778798</x:v>
      </x:c>
      <x:c r="H40" s="201" t="n">
        <x:v>0.25201285122941547</x:v>
      </x:c>
      <x:c r="I40" s="201" t="n">
        <x:v>0.21783445173369081</x:v>
      </x:c>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67" t="str">
        <x:v>Operating tax rate active</x:v>
      </x:c>
      <x:c r="D42" s="170"/>
      <x:c r="E42" s="195" t="n">
        <x:f>CHOOSE('DCF'!$E$5,E43,E44,E45)</x:f>
        <x:v>0.2</x:v>
      </x:c>
      <x:c r="F42" s="195" t="n">
        <x:f>CHOOSE('DCF'!$E$5,F43,F44,F45)</x:f>
        <x:v>0.2</x:v>
      </x:c>
      <x:c r="G42" s="195" t="n">
        <x:f>CHOOSE('DCF'!$E$5,G43,G44,G45)</x:f>
        <x:v>0.2</x:v>
      </x:c>
      <x:c r="H42" s="195" t="n">
        <x:f>CHOOSE('DCF'!$E$5,H43,H44,H45)</x:f>
        <x:v>0.2</x:v>
      </x:c>
      <x:c r="I42" s="199" t="n">
        <x:f>CHOOSE('DCF'!$E$5,I43,I44,I45)</x:f>
        <x:v>0.2</x:v>
      </x:c>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t="str">
        <x:v>Base</x:v>
      </x:c>
      <x:c r="D43" s="136"/>
      <x:c r="E43" s="201" t="n">
        <x:v>0.2</x:v>
      </x:c>
      <x:c r="F43" s="201" t="n">
        <x:v>0.2</x:v>
      </x:c>
      <x:c r="G43" s="201" t="n">
        <x:v>0.2</x:v>
      </x:c>
      <x:c r="H43" s="201" t="n">
        <x:v>0.2</x:v>
      </x:c>
      <x:c r="I43" s="201" t="n">
        <x:v>0.2</x:v>
      </x:c>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t="str">
        <x:v>Upside</x:v>
      </x:c>
      <x:c r="D44" s="136"/>
      <x:c r="E44" s="201" t="n">
        <x:v>0.2</x:v>
      </x:c>
      <x:c r="F44" s="201" t="n">
        <x:v>0.2</x:v>
      </x:c>
      <x:c r="G44" s="201" t="n">
        <x:v>0.2</x:v>
      </x:c>
      <x:c r="H44" s="201" t="n">
        <x:v>0.2</x:v>
      </x:c>
      <x:c r="I44" s="201" t="n">
        <x:v>0.2</x:v>
      </x:c>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t="str">
        <x:v>Downside</x:v>
      </x:c>
      <x:c r="D45" s="136"/>
      <x:c r="E45" s="201" t="n">
        <x:v>0.2</x:v>
      </x:c>
      <x:c r="F45" s="201" t="n">
        <x:v>0.2</x:v>
      </x:c>
      <x:c r="G45" s="201" t="n">
        <x:v>0.2</x:v>
      </x:c>
      <x:c r="H45" s="201" t="n">
        <x:v>0.2</x:v>
      </x:c>
      <x:c r="I45" s="201" t="n">
        <x:v>0.2</x:v>
      </x:c>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67" t="str">
        <x:v>Depreciation and amortization / revenue active</x:v>
      </x:c>
      <x:c r="D47" s="170"/>
      <x:c r="E47" s="195" t="n">
        <x:f>CHOOSE('DCF'!$E$5,E48,E49,E50)</x:f>
        <x:v>0.13872622535117626</x:v>
      </x:c>
      <x:c r="F47" s="195" t="n">
        <x:f>CHOOSE('DCF'!$E$5,F48,F49,F50)</x:f>
        <x:v>0.17490340981455696</x:v>
      </x:c>
      <x:c r="G47" s="195" t="n">
        <x:f>CHOOSE('DCF'!$E$5,G48,G49,G50)</x:f>
        <x:v>0.20338972619283274</x:v>
      </x:c>
      <x:c r="H47" s="195" t="n">
        <x:f>CHOOSE('DCF'!$E$5,H48,H49,H50)</x:f>
        <x:v>0.22429706562590956</x:v>
      </x:c>
      <x:c r="I47" s="199" t="n">
        <x:f>CHOOSE('DCF'!$E$5,I48,I49,I50)</x:f>
        <x:v>0.24067092866817685</x:v>
      </x:c>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t="str">
        <x:v>Base</x:v>
      </x:c>
      <x:c r="D48" s="136"/>
      <x:c r="E48" s="201" t="n">
        <x:v>0.13872622535117626</x:v>
      </x:c>
      <x:c r="F48" s="201" t="n">
        <x:v>0.17490340981455696</x:v>
      </x:c>
      <x:c r="G48" s="201" t="n">
        <x:v>0.20338972619283274</x:v>
      </x:c>
      <x:c r="H48" s="201" t="n">
        <x:v>0.22429706562590956</x:v>
      </x:c>
      <x:c r="I48" s="201" t="n">
        <x:v>0.24067092866817685</x:v>
      </x:c>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t="str">
        <x:v>Upside</x:v>
      </x:c>
      <x:c r="D49" s="136"/>
      <x:c r="E49" s="201" t="n">
        <x:v>0.1271620307039044</x:v>
      </x:c>
      <x:c r="F49" s="201" t="n">
        <x:v>0.16685660228521013</x:v>
      </x:c>
      <x:c r="G49" s="201" t="n">
        <x:v>0.1980118989361872</x:v>
      </x:c>
      <x:c r="H49" s="201" t="n">
        <x:v>0.22083143536050964</x:v>
      </x:c>
      <x:c r="I49" s="201" t="n">
        <x:v>0.23808973690157645</x:v>
      </x:c>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t="str">
        <x:v>Downside</x:v>
      </x:c>
      <x:c r="D50" s="136"/>
      <x:c r="E50" s="201" t="n">
        <x:v>0.17261350517064167</x:v>
      </x:c>
      <x:c r="F50" s="201" t="n">
        <x:v>0.23802305793264666</x:v>
      </x:c>
      <x:c r="G50" s="201" t="n">
        <x:v>0.29389815185793416</x:v>
      </x:c>
      <x:c r="H50" s="201" t="n">
        <x:v>0.3385715297193527</x:v>
      </x:c>
      <x:c r="I50" s="201" t="n">
        <x:v>0.37697817934898853</x:v>
      </x:c>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67" t="str">
        <x:v>Cash capex / revenue active</x:v>
      </x:c>
      <x:c r="D52" s="170"/>
      <x:c r="E52" s="195" t="n">
        <x:f>CHOOSE('DCF'!$E$5,E53,E54,E55)</x:f>
        <x:v>0.32</x:v>
      </x:c>
      <x:c r="F52" s="195" t="n">
        <x:f>CHOOSE('DCF'!$E$5,F53,F54,F55)</x:f>
        <x:v>0.28</x:v>
      </x:c>
      <x:c r="G52" s="195" t="n">
        <x:f>CHOOSE('DCF'!$E$5,G53,G54,G55)</x:f>
        <x:v>0.25</x:v>
      </x:c>
      <x:c r="H52" s="195" t="n">
        <x:f>CHOOSE('DCF'!$E$5,H53,H54,H55)</x:f>
        <x:v>0.22</x:v>
      </x:c>
      <x:c r="I52" s="199" t="n">
        <x:f>CHOOSE('DCF'!$E$5,I53,I54,I55)</x:f>
        <x:v>0.2</x:v>
      </x:c>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t="str">
        <x:v>Base</x:v>
      </x:c>
      <x:c r="D53" s="136"/>
      <x:c r="E53" s="201" t="n">
        <x:v>0.32</x:v>
      </x:c>
      <x:c r="F53" s="201" t="n">
        <x:v>0.28</x:v>
      </x:c>
      <x:c r="G53" s="201" t="n">
        <x:v>0.25</x:v>
      </x:c>
      <x:c r="H53" s="201" t="n">
        <x:v>0.22</x:v>
      </x:c>
      <x:c r="I53" s="201" t="n">
        <x:v>0.2</x:v>
      </x:c>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t="str">
        <x:v>Upside</x:v>
      </x:c>
      <x:c r="D54" s="136"/>
      <x:c r="E54" s="201" t="n">
        <x:v>0.34</x:v>
      </x:c>
      <x:c r="F54" s="201" t="n">
        <x:v>0.31</x:v>
      </x:c>
      <x:c r="G54" s="201" t="n">
        <x:v>0.28</x:v>
      </x:c>
      <x:c r="H54" s="201" t="n">
        <x:v>0.25</x:v>
      </x:c>
      <x:c r="I54" s="201" t="n">
        <x:v>0.23</x:v>
      </x:c>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t="str">
        <x:v>Downside</x:v>
      </x:c>
      <x:c r="D55" s="136"/>
      <x:c r="E55" s="201" t="n">
        <x:v>0.35</x:v>
      </x:c>
      <x:c r="F55" s="201" t="n">
        <x:v>0.33</x:v>
      </x:c>
      <x:c r="G55" s="201" t="n">
        <x:v>0.3</x:v>
      </x:c>
      <x:c r="H55" s="201" t="n">
        <x:v>0.28</x:v>
      </x:c>
      <x:c r="I55" s="201" t="n">
        <x:v>0.25</x:v>
      </x:c>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67" t="str">
        <x:v>Capitalized financing interest / revenue active</x:v>
      </x:c>
      <x:c r="D57" s="170"/>
      <x:c r="E57" s="195" t="n">
        <x:f>CHOOSE('DCF'!$E$5,E58,E59,E60)</x:f>
        <x:v>0.0027327756118185535</x:v>
      </x:c>
      <x:c r="F57" s="195" t="n">
        <x:f>CHOOSE('DCF'!$E$5,F58,F59,F60)</x:f>
        <x:v>0.002723088574731303</x:v>
      </x:c>
      <x:c r="G57" s="195" t="n">
        <x:f>CHOOSE('DCF'!$E$5,G58,G59,G60)</x:f>
        <x:v>0.0028076620363419714</x:v>
      </x:c>
      <x:c r="H57" s="195" t="n">
        <x:f>CHOOSE('DCF'!$E$5,H58,H59,H60)</x:f>
        <x:v>0.002828973267152494</x:v>
      </x:c>
      <x:c r="I57" s="199" t="n">
        <x:f>CHOOSE('DCF'!$E$5,I58,I59,I60)</x:f>
        <x:v>0.0028431268486944794</x:v>
      </x:c>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t="str">
        <x:v>Base</x:v>
      </x:c>
      <x:c r="D58" s="136"/>
      <x:c r="E58" s="201" t="n">
        <x:v>0.0027327756118185535</x:v>
      </x:c>
      <x:c r="F58" s="201" t="n">
        <x:v>0.002723088574731303</x:v>
      </x:c>
      <x:c r="G58" s="201" t="n">
        <x:v>0.0028076620363419714</x:v>
      </x:c>
      <x:c r="H58" s="201" t="n">
        <x:v>0.002828973267152494</x:v>
      </x:c>
      <x:c r="I58" s="201" t="n">
        <x:v>0.0028431268486944794</x:v>
      </x:c>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t="str">
        <x:v>Upside</x:v>
      </x:c>
      <x:c r="D59" s="136"/>
      <x:c r="E59" s="201" t="n">
        <x:v>0.002669415226102837</x:v>
      </x:c>
      <x:c r="F59" s="201" t="n">
        <x:v>0.0026732760411312248</x:v>
      </x:c>
      <x:c r="G59" s="201" t="n">
        <x:v>0.0027743428251391844</x:v>
      </x:c>
      <x:c r="H59" s="201" t="n">
        <x:v>0.0028163270071159302</x:v>
      </x:c>
      <x:c r="I59" s="201" t="n">
        <x:v>0.0028419774159298716</x:v>
      </x:c>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t="str">
        <x:v>Downside</x:v>
      </x:c>
      <x:c r="D60" s="136"/>
      <x:c r="E60" s="201" t="n">
        <x:v>0.0029020973790275153</x:v>
      </x:c>
      <x:c r="F60" s="201" t="n">
        <x:v>0.0030119509473764882</x:v>
      </x:c>
      <x:c r="G60" s="201" t="n">
        <x:v>0.0031729166051757667</x:v>
      </x:c>
      <x:c r="H60" s="201" t="n">
        <x:v>0.0032074810806299705</x:v>
      </x:c>
      <x:c r="I60" s="201" t="n">
        <x:v>0.0032346500559384144</x:v>
      </x:c>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67" t="str">
        <x:v>Finance lease asset additions / revenue active</x:v>
      </x:c>
      <x:c r="D62" s="170"/>
      <x:c r="E62" s="195" t="n">
        <x:f>CHOOSE('DCF'!$E$5,E63,E64,E65)</x:f>
        <x:v>0.075</x:v>
      </x:c>
      <x:c r="F62" s="195" t="n">
        <x:f>CHOOSE('DCF'!$E$5,F63,F64,F65)</x:f>
        <x:v>0.07</x:v>
      </x:c>
      <x:c r="G62" s="195" t="n">
        <x:f>CHOOSE('DCF'!$E$5,G63,G64,G65)</x:f>
        <x:v>0.065</x:v>
      </x:c>
      <x:c r="H62" s="195" t="n">
        <x:f>CHOOSE('DCF'!$E$5,H63,H64,H65)</x:f>
        <x:v>0.06</x:v>
      </x:c>
      <x:c r="I62" s="199" t="n">
        <x:f>CHOOSE('DCF'!$E$5,I63,I64,I65)</x:f>
        <x:v>0.055</x:v>
      </x:c>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t="str">
        <x:v>Base</x:v>
      </x:c>
      <x:c r="D63" s="136"/>
      <x:c r="E63" s="201" t="n">
        <x:v>0.075</x:v>
      </x:c>
      <x:c r="F63" s="201" t="n">
        <x:v>0.07</x:v>
      </x:c>
      <x:c r="G63" s="201" t="n">
        <x:v>0.065</x:v>
      </x:c>
      <x:c r="H63" s="201" t="n">
        <x:v>0.06</x:v>
      </x:c>
      <x:c r="I63" s="201" t="n">
        <x:v>0.055</x:v>
      </x:c>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t="str">
        <x:v>Upside</x:v>
      </x:c>
      <x:c r="D64" s="136"/>
      <x:c r="E64" s="201" t="n">
        <x:v>0.085</x:v>
      </x:c>
      <x:c r="F64" s="201" t="n">
        <x:v>0.08</x:v>
      </x:c>
      <x:c r="G64" s="201" t="n">
        <x:v>0.075</x:v>
      </x:c>
      <x:c r="H64" s="201" t="n">
        <x:v>0.07</x:v>
      </x:c>
      <x:c r="I64" s="201" t="n">
        <x:v>0.065</x:v>
      </x:c>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t="str">
        <x:v>Downside</x:v>
      </x:c>
      <x:c r="D65" s="136"/>
      <x:c r="E65" s="201" t="n">
        <x:v>0.075</x:v>
      </x:c>
      <x:c r="F65" s="201" t="n">
        <x:v>0.065</x:v>
      </x:c>
      <x:c r="G65" s="201" t="n">
        <x:v>0.055</x:v>
      </x:c>
      <x:c r="H65" s="201" t="n">
        <x:v>0.05</x:v>
      </x:c>
      <x:c r="I65" s="201" t="n">
        <x:v>0.045</x:v>
      </x:c>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67" t="str">
        <x:v>Operating NWC / revenue active</x:v>
      </x:c>
      <x:c r="D67" s="170"/>
      <x:c r="E67" s="195" t="n">
        <x:f>CHOOSE('DCF'!$E$5,E68,E69,E70)</x:f>
        <x:v>0.01803220968082034</x:v>
      </x:c>
      <x:c r="F67" s="195" t="n">
        <x:f>CHOOSE('DCF'!$E$5,F68,F69,F70)</x:f>
        <x:v>0.0043792635186995915</x:v>
      </x:c>
      <x:c r="G67" s="195" t="n">
        <x:f>CHOOSE('DCF'!$E$5,G68,G69,G70)</x:f>
        <x:v>-0.003445795036353289</x:v>
      </x:c>
      <x:c r="H67" s="195" t="n">
        <x:f>CHOOSE('DCF'!$E$5,H68,H69,H70)</x:f>
        <x:v>-0.010435320148000443</x:v>
      </x:c>
      <x:c r="I67" s="199" t="n">
        <x:f>CHOOSE('DCF'!$E$5,I68,I69,I70)</x:f>
        <x:v>-0.01693736390389678</x:v>
      </x:c>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t="str">
        <x:v>Base</x:v>
      </x:c>
      <x:c r="D68" s="136"/>
      <x:c r="E68" s="201" t="n">
        <x:v>0.01803220968082034</x:v>
      </x:c>
      <x:c r="F68" s="201" t="n">
        <x:v>0.0043792635186995915</x:v>
      </x:c>
      <x:c r="G68" s="201" t="n">
        <x:v>-0.003445795036353289</x:v>
      </x:c>
      <x:c r="H68" s="201" t="n">
        <x:v>-0.010435320148000443</x:v>
      </x:c>
      <x:c r="I68" s="201" t="n">
        <x:v>-0.01693736390389678</x:v>
      </x:c>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t="str">
        <x:v>Upside</x:v>
      </x:c>
      <x:c r="D69" s="136"/>
      <x:c r="E69" s="201" t="n">
        <x:v>0.015096218426163299</x:v>
      </x:c>
      <x:c r="F69" s="201" t="n">
        <x:v>0.0010687529465324684</x:v>
      </x:c>
      <x:c r="G69" s="201" t="n">
        <x:v>-0.007050752100901187</x:v>
      </x:c>
      <x:c r="H69" s="201" t="n">
        <x:v>-0.014255289299046332</x:v>
      </x:c>
      <x:c r="I69" s="201" t="n">
        <x:v>-0.020856617672659138</x:v>
      </x:c>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t="str">
        <x:v>Downside</x:v>
      </x:c>
      <x:c r="D70" s="136"/>
      <x:c r="E70" s="201" t="n">
        <x:v>0.023757655385929263</x:v>
      </x:c>
      <x:c r="F70" s="201" t="n">
        <x:v>0.015722834444356553</x:v>
      </x:c>
      <x:c r="G70" s="201" t="n">
        <x:v>0.004664595524958725</x:v>
      </x:c>
      <x:c r="H70" s="201" t="n">
        <x:v>-0.005114303801528783</x:v>
      </x:c>
      <x:c r="I70" s="201" t="n">
        <x:v>-0.014199130226734072</x:v>
      </x:c>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67" t="str">
        <x:v>Stable revenue growth</x:v>
      </x:c>
      <x:c r="D74" s="170"/>
      <x:c r="E74" s="195" t="n">
        <x:f>CHOOSE('DCF'!$E$5,E75,E76,E77)</x:f>
        <x:v>0.03</x:v>
      </x:c>
      <x:c r="F74" s="170"/>
      <x:c r="G74" s="170"/>
      <x:c r="H74" s="170"/>
      <x:c r="I74" s="173"/>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t="str">
        <x:v>Base</x:v>
      </x:c>
      <x:c r="D75" s="136"/>
      <x:c r="E75" s="201" t="n">
        <x:v>0.03</x:v>
      </x:c>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t="str">
        <x:v>Upside</x:v>
      </x:c>
      <x:c r="D76" s="136"/>
      <x:c r="E76" s="201" t="n">
        <x:v>0.035</x:v>
      </x:c>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t="str">
        <x:v>Downside</x:v>
      </x:c>
      <x:c r="D77" s="136"/>
      <x:c r="E77" s="201" t="n">
        <x:v>0.025</x:v>
      </x:c>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67" t="str">
        <x:v>Stable ROIC</x:v>
      </x:c>
      <x:c r="D79" s="170"/>
      <x:c r="E79" s="195" t="n">
        <x:f>CHOOSE('DCF'!$E$5,E80,E81,E82)</x:f>
        <x:v>0.2</x:v>
      </x:c>
      <x:c r="F79" s="170"/>
      <x:c r="G79" s="170"/>
      <x:c r="H79" s="170"/>
      <x:c r="I79" s="173"/>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t="str">
        <x:v>Base</x:v>
      </x:c>
      <x:c r="D80" s="136"/>
      <x:c r="E80" s="201" t="n">
        <x:v>0.2</x:v>
      </x:c>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t="str">
        <x:v>Upside</x:v>
      </x:c>
      <x:c r="D81" s="136"/>
      <x:c r="E81" s="201" t="n">
        <x:v>0.25</x:v>
      </x:c>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t="str">
        <x:v>Downside</x:v>
      </x:c>
      <x:c r="D82" s="136"/>
      <x:c r="E82" s="201" t="n">
        <x:v>0.15</x:v>
      </x:c>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67" t="str">
        <x:v>Stable operating margin</x:v>
      </x:c>
      <x:c r="D84" s="170"/>
      <x:c r="E84" s="195" t="n">
        <x:f>CHOOSE('DCF'!$E$5,E85,E86,E87)</x:f>
        <x:v>0.4</x:v>
      </x:c>
      <x:c r="F84" s="170"/>
      <x:c r="G84" s="170"/>
      <x:c r="H84" s="170"/>
      <x:c r="I84" s="173"/>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t="str">
        <x:v>Base</x:v>
      </x:c>
      <x:c r="D85" s="136"/>
      <x:c r="E85" s="201" t="n">
        <x:v>0.4</x:v>
      </x:c>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t="str">
        <x:v>Upside</x:v>
      </x:c>
      <x:c r="D86" s="136"/>
      <x:c r="E86" s="201" t="n">
        <x:v>0.45</x:v>
      </x:c>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t="str">
        <x:v>Downside</x:v>
      </x:c>
      <x:c r="D87" s="136"/>
      <x:c r="E87" s="201" t="n">
        <x:v>0.35</x:v>
      </x:c>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67" t="str">
        <x:v>Selected case observations</x:v>
      </x:c>
      <x:c r="D92" s="170"/>
      <x:c r="E92" s="170"/>
      <x:c r="F92" s="170"/>
      <x:c r="G92" s="170"/>
      <x:c r="H92" s="170"/>
      <x:c r="I92" s="170"/>
      <x:c r="J92" s="170"/>
      <x:c r="K92" s="170"/>
      <x:c r="L92" s="173"/>
      <x:c r="M92" s="136"/>
      <x:c r="N92" s="136"/>
      <x:c r="O92" s="136"/>
      <x:c r="P92" s="136"/>
      <x:c r="Q92" s="136"/>
      <x:c r="R92" s="136"/>
      <x:c r="S92" s="136"/>
      <x:c r="T92" s="136"/>
      <x:c r="U92" s="136"/>
      <x:c r="V92" s="136"/>
      <x:c r="W92" s="136"/>
      <x:c r="X92" s="136"/>
      <x:c r="Y92" s="136"/>
      <x:c r="Z92" s="136"/>
    </x:row>
    <x:row r="93" ht="24" customHeight="1">
      <x:c r="A93" s="136"/>
      <x:c r="B93" s="136"/>
      <x:c r="C93" s="174" t="str">
        <x:f>"Selected stable growth "&amp;ROUND(E74*100,1)&amp;"%, ROIC "&amp;ROUND(E79*100,1)&amp;"% and operating margin "&amp;ROUND(E84*100,1)&amp;"%. "&amp;"Blue cells are editable driver inputs. One numeric scenario selector on DCF updates the active rows here and the same forecast build. History stays fixed. The baseline fiscal drivers are calibrated from the frozen project 03 forecast."</x:f>
        <x:v>Selected stable growth 3%, ROIC 20% and operating margin 40%. Blue cells are editable driver inputs. One numeric scenario selector on DCF updates the active rows here and the same forecast build. History stays fixed. The baseline fiscal drivers are calibrated from the frozen project 03 forecast.</x:v>
      </x:c>
      <x:c r="D93" s="174"/>
      <x:c r="E93" s="174"/>
      <x:c r="F93" s="174"/>
      <x:c r="G93" s="174"/>
      <x:c r="H93" s="174"/>
      <x:c r="I93" s="174"/>
      <x:c r="J93" s="174"/>
      <x:c r="K93" s="174"/>
      <x:c r="L93" s="174"/>
      <x:c r="M93" s="136"/>
      <x:c r="N93" s="136"/>
      <x:c r="O93" s="136"/>
      <x:c r="P93" s="136"/>
      <x:c r="Q93" s="136"/>
      <x:c r="R93" s="136"/>
      <x:c r="S93" s="136"/>
      <x:c r="T93" s="136"/>
      <x:c r="U93" s="136"/>
      <x:c r="V93" s="136"/>
      <x:c r="W93" s="136"/>
      <x:c r="X93" s="136"/>
      <x:c r="Y93" s="136"/>
      <x:c r="Z93" s="136"/>
    </x:row>
    <x:row r="94" ht="24" customHeight="1">
      <x:c r="A94" s="136"/>
      <x:c r="B94" s="136"/>
      <x:c r="C94" s="174"/>
      <x:c r="D94" s="174"/>
      <x:c r="E94" s="174"/>
      <x:c r="F94" s="174"/>
      <x:c r="G94" s="174"/>
      <x:c r="H94" s="174"/>
      <x:c r="I94" s="174"/>
      <x:c r="J94" s="174"/>
      <x:c r="K94" s="174"/>
      <x:c r="L94" s="174"/>
      <x:c r="M94" s="136"/>
      <x:c r="N94" s="136"/>
      <x:c r="O94" s="136"/>
      <x:c r="P94" s="136"/>
      <x:c r="Q94" s="136"/>
      <x:c r="R94" s="136"/>
      <x:c r="S94" s="136"/>
      <x:c r="T94" s="136"/>
      <x:c r="U94" s="136"/>
      <x:c r="V94" s="136"/>
      <x:c r="W94" s="136"/>
      <x:c r="X94" s="136"/>
      <x:c r="Y94" s="136"/>
      <x:c r="Z94" s="136"/>
    </x:row>
    <x:row r="95" ht="24" customHeight="1">
      <x:c r="A95" s="136"/>
      <x:c r="B95" s="136"/>
      <x:c r="C95" s="174"/>
      <x:c r="D95" s="174"/>
      <x:c r="E95" s="174"/>
      <x:c r="F95" s="174"/>
      <x:c r="G95" s="174"/>
      <x:c r="H95" s="174"/>
      <x:c r="I95" s="174"/>
      <x:c r="J95" s="174"/>
      <x:c r="K95" s="174"/>
      <x:c r="L95" s="174"/>
      <x:c r="M95" s="136"/>
      <x:c r="N95" s="136"/>
      <x:c r="O95" s="136"/>
      <x:c r="P95" s="136"/>
      <x:c r="Q95" s="136"/>
      <x:c r="R95" s="136"/>
      <x:c r="S95" s="136"/>
      <x:c r="T95" s="136"/>
      <x:c r="U95" s="136"/>
      <x:c r="V95" s="136"/>
      <x:c r="W95" s="136"/>
      <x:c r="X95" s="136"/>
      <x:c r="Y95" s="136"/>
      <x:c r="Z95" s="136"/>
    </x:row>
    <x:row r="96" ht="24" customHeight="1">
      <x:c r="A96" s="136"/>
      <x:c r="B96" s="136"/>
      <x:c r="C96" s="174" t="str">
        <x:v>The DCF adds stable-period growth, margin and ROIC assumptions, operating cash reserve and an explicit dilution proxy. These are analyst choices. The terminal period is not presented as a company forecast.</x:v>
      </x:c>
      <x:c r="D96" s="174"/>
      <x:c r="E96" s="174"/>
      <x:c r="F96" s="174"/>
      <x:c r="G96" s="174"/>
      <x:c r="H96" s="174"/>
      <x:c r="I96" s="174"/>
      <x:c r="J96" s="174"/>
      <x:c r="K96" s="174"/>
      <x:c r="L96" s="174"/>
      <x:c r="M96" s="136"/>
      <x:c r="N96" s="136"/>
      <x:c r="O96" s="136"/>
      <x:c r="P96" s="136"/>
      <x:c r="Q96" s="136"/>
      <x:c r="R96" s="136"/>
      <x:c r="S96" s="136"/>
      <x:c r="T96" s="136"/>
      <x:c r="U96" s="136"/>
      <x:c r="V96" s="136"/>
      <x:c r="W96" s="136"/>
      <x:c r="X96" s="136"/>
      <x:c r="Y96" s="136"/>
      <x:c r="Z96" s="136"/>
    </x:row>
    <x:row r="97" ht="24" customHeight="1">
      <x:c r="A97" s="136"/>
      <x:c r="B97" s="136"/>
      <x:c r="C97" s="174"/>
      <x:c r="D97" s="174"/>
      <x:c r="E97" s="174"/>
      <x:c r="F97" s="174"/>
      <x:c r="G97" s="174"/>
      <x:c r="H97" s="174"/>
      <x:c r="I97" s="174"/>
      <x:c r="J97" s="174"/>
      <x:c r="K97" s="174"/>
      <x:c r="L97" s="174"/>
      <x:c r="M97" s="136"/>
      <x:c r="N97" s="136"/>
      <x:c r="O97" s="136"/>
      <x:c r="P97" s="136"/>
      <x:c r="Q97" s="136"/>
      <x:c r="R97" s="136"/>
      <x:c r="S97" s="136"/>
      <x:c r="T97" s="136"/>
      <x:c r="U97" s="136"/>
      <x:c r="V97" s="136"/>
      <x:c r="W97" s="136"/>
      <x:c r="X97" s="136"/>
      <x:c r="Y97" s="136"/>
      <x:c r="Z97" s="136"/>
    </x:row>
    <x:row r="98" ht="24" customHeight="1">
      <x:c r="A98" s="136"/>
      <x:c r="B98" s="136"/>
      <x:c r="C98" s="174"/>
      <x:c r="D98" s="174"/>
      <x:c r="E98" s="174"/>
      <x:c r="F98" s="174"/>
      <x:c r="G98" s="174"/>
      <x:c r="H98" s="174"/>
      <x:c r="I98" s="174"/>
      <x:c r="J98" s="174"/>
      <x:c r="K98" s="174"/>
      <x:c r="L98" s="174"/>
      <x:c r="M98" s="136"/>
      <x:c r="N98" s="136"/>
      <x:c r="O98" s="136"/>
      <x:c r="P98" s="136"/>
      <x:c r="Q98" s="136"/>
      <x:c r="R98" s="136"/>
      <x:c r="S98" s="136"/>
      <x:c r="T98" s="136"/>
      <x:c r="U98" s="136"/>
      <x:c r="V98" s="136"/>
      <x:c r="W98" s="136"/>
      <x:c r="X98" s="136"/>
      <x:c r="Y98" s="136"/>
      <x:c r="Z98" s="136"/>
    </x:row>
    <x:row r="99" ht="24" customHeight="1">
      <x:c r="A99" s="136"/>
      <x:c r="B99" s="136"/>
      <x:c r="C99" s="174" t="str">
        <x:v>Python can read the editable cells from the saved workbook with --excel. It independently recalculates the same assumptions; Excel formula caches are not used as a calculation substitute.</x:v>
      </x:c>
      <x:c r="D99" s="174"/>
      <x:c r="E99" s="174"/>
      <x:c r="F99" s="174"/>
      <x:c r="G99" s="174"/>
      <x:c r="H99" s="174"/>
      <x:c r="I99" s="174"/>
      <x:c r="J99" s="174"/>
      <x:c r="K99" s="174"/>
      <x:c r="L99" s="174"/>
      <x:c r="M99" s="136"/>
      <x:c r="N99" s="136"/>
      <x:c r="O99" s="136"/>
      <x:c r="P99" s="136"/>
      <x:c r="Q99" s="136"/>
      <x:c r="R99" s="136"/>
      <x:c r="S99" s="136"/>
      <x:c r="T99" s="136"/>
      <x:c r="U99" s="136"/>
      <x:c r="V99" s="136"/>
      <x:c r="W99" s="136"/>
      <x:c r="X99" s="136"/>
      <x:c r="Y99" s="136"/>
      <x:c r="Z99" s="136"/>
    </x:row>
    <x:row r="100" ht="24" customHeight="1">
      <x:c r="A100" s="136"/>
      <x:c r="B100" s="136"/>
      <x:c r="C100" s="174"/>
      <x:c r="D100" s="174"/>
      <x:c r="E100" s="174"/>
      <x:c r="F100" s="174"/>
      <x:c r="G100" s="174"/>
      <x:c r="H100" s="174"/>
      <x:c r="I100" s="174"/>
      <x:c r="J100" s="174"/>
      <x:c r="K100" s="174"/>
      <x:c r="L100" s="174"/>
      <x:c r="M100" s="136"/>
      <x:c r="N100" s="136"/>
      <x:c r="O100" s="136"/>
      <x:c r="P100" s="136"/>
      <x:c r="Q100" s="136"/>
      <x:c r="R100" s="136"/>
      <x:c r="S100" s="136"/>
      <x:c r="T100" s="136"/>
      <x:c r="U100" s="136"/>
      <x:c r="V100" s="136"/>
      <x:c r="W100" s="136"/>
      <x:c r="X100" s="136"/>
      <x:c r="Y100" s="136"/>
      <x:c r="Z100" s="136"/>
    </x:row>
    <x:row r="101" ht="24" customHeight="1">
      <x:c r="A101" s="136"/>
      <x:c r="B101" s="136"/>
      <x:c r="C101" s="174"/>
      <x:c r="D101" s="174"/>
      <x:c r="E101" s="174"/>
      <x:c r="F101" s="174"/>
      <x:c r="G101" s="174"/>
      <x:c r="H101" s="174"/>
      <x:c r="I101" s="174"/>
      <x:c r="J101" s="174"/>
      <x:c r="K101" s="174"/>
      <x:c r="L101" s="174"/>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93:L95"/>
    <x:mergeCell ref="C96:L98"/>
    <x:mergeCell ref="C99:L101"/>
  </x:mergeCells>
  <x:dataValidations count="2">
    <x:dataValidation type="whole" operator="between" sqref="E8">
      <x:formula1>1</x:formula1>
      <x:formula2>2</x:formula2>
    </x:dataValidation>
    <x:dataValidation type="whole" operator="between" sqref="E9">
      <x:formula1>1</x:formula1>
      <x:formula2>3</x:formula2>
    </x:dataValidation>
  </x:dataValidations>
  <x:pageMargins left="0.7" right="0.7" top="0.75" bottom="0.75" header="0.3" footer="0.3"/>
  <x:legacyDrawing xmlns:r="http://schemas.openxmlformats.org/officeDocument/2006/relationships" r:id="R98645d28ed1d4a80"/>
</x:worksheet>
</file>

<file path=xl/worksheets/sheet3.xml><?xml version="1.0" encoding="utf-8"?>
<x:worksheet xmlns:x="http://schemas.openxmlformats.org/spreadsheetml/2006/main">
  <x:sheetPr>
    <x:tabColor rgb="FF002060"/>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DCF</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t="str">
        <x:v>Scenario selector 1 Base 2 Upside 3 Downside</x:v>
      </x:c>
      <x:c r="D5" s="136"/>
      <x:c r="E5" s="181" t="n">
        <x:v>1</x:v>
      </x:c>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9" t="str">
        <x:v>Actual valuation WACC</x:v>
      </x:c>
      <x:c r="D6" s="139"/>
      <x:c r="E6" s="154" t="n">
        <x:f>'WACC'!E24</x:f>
        <x:v>0.09814036929102632</x:v>
      </x:c>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9" t="str">
        <x:v>Actual stable growth input</x:v>
      </x:c>
      <x:c r="D7" s="139"/>
      <x:c r="E7" s="152" t="n">
        <x:f>'Assumptions'!E74</x:f>
        <x:v>0.03</x:v>
      </x:c>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x:c r="D8" s="136"/>
      <x:c r="E8" s="136"/>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x:c r="D9" s="136"/>
      <x:c r="E9" s="209" t="n">
        <x:v>1</x:v>
      </x:c>
      <x:c r="F9" s="209" t="n">
        <x:v>2</x:v>
      </x:c>
      <x:c r="G9" s="209" t="n">
        <x:v>3</x:v>
      </x:c>
      <x:c r="H9" s="209" t="n">
        <x:v>4</x:v>
      </x:c>
      <x:c r="I9" s="209" t="n">
        <x:v>5</x:v>
      </x:c>
      <x:c r="J9" s="136"/>
      <x:c r="K9" s="136"/>
      <x:c r="L9" s="136"/>
      <x:c r="M9" s="136"/>
      <x:c r="N9" s="136"/>
      <x:c r="O9" s="136"/>
      <x:c r="P9" s="136"/>
      <x:c r="Q9" s="136"/>
      <x:c r="R9" s="136"/>
      <x:c r="S9" s="136"/>
      <x:c r="T9" s="136"/>
      <x:c r="U9" s="136"/>
      <x:c r="V9" s="136"/>
      <x:c r="W9" s="136"/>
      <x:c r="X9" s="136"/>
      <x:c r="Y9" s="136"/>
      <x:c r="Z9" s="136"/>
    </x:row>
    <x:row r="10" ht="24" customHeight="1">
      <x:c r="A10" s="136"/>
      <x:c r="B10" s="136"/>
      <x:c r="C10" s="136"/>
      <x:c r="D10" s="136"/>
      <x:c r="E10" s="156" t="str">
        <x:v>FY:27</x:v>
      </x:c>
      <x:c r="F10" s="158" t="str">
        <x:v>FY:28</x:v>
      </x:c>
      <x:c r="G10" s="158" t="str">
        <x:v>FY:29</x:v>
      </x:c>
      <x:c r="H10" s="158" t="str">
        <x:v>FY:30</x:v>
      </x:c>
      <x:c r="I10" s="160" t="str">
        <x:v>FY:31</x:v>
      </x:c>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Full fiscal year FCFF</x:v>
      </x:c>
      <x:c r="D11" s="136"/>
      <x:c r="E11" s="210" t="n">
        <x:f>'Forecast'!E24</x:f>
        <x:v>46199.5314984688</x:v>
      </x:c>
      <x:c r="F11" s="210" t="n">
        <x:f>'Forecast'!F24</x:f>
        <x:v>79724.50539883881</x:v>
      </x:c>
      <x:c r="G11" s="210" t="n">
        <x:f>'Forecast'!G24</x:f>
        <x:v>112117.16267186425</x:v>
      </x:c>
      <x:c r="H11" s="210" t="n">
        <x:f>'Forecast'!H24</x:f>
        <x:v>152156.6282242011</x:v>
      </x:c>
      <x:c r="I11" s="210" t="n">
        <x:f>'Forecast'!I24</x:f>
        <x:v>191752.41574799188</x:v>
      </x:c>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Cash flow remaining fraction</x:v>
      </x:c>
      <x:c r="D12" s="136"/>
      <x:c r="E12" s="211" t="n">
        <x:f>'Assumptions'!$E$17</x:f>
        <x:v>0.726027397260274</x:v>
      </x:c>
      <x:c r="F12" s="211" t="n">
        <x:f>1</x:f>
        <x:v>1</x:v>
      </x:c>
      <x:c r="G12" s="211" t="n">
        <x:f>1</x:f>
        <x:v>1</x:v>
      </x:c>
      <x:c r="H12" s="211" t="n">
        <x:f>1</x:f>
        <x:v>1</x:v>
      </x:c>
      <x:c r="I12" s="211" t="n">
        <x:f>1</x:f>
        <x:v>1</x:v>
      </x:c>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t="str">
        <x:v>Discount time in ACT 365 years</x:v>
      </x:c>
      <x:c r="D13" s="136"/>
      <x:c r="E13" s="211" t="n">
        <x:f>IF('Assumptions'!$E$8=1,'Assumptions'!$E$17/2,'Assumptions'!$E$17)</x:f>
        <x:v>0.363013698630137</x:v>
      </x:c>
      <x:c r="F13" s="211" t="n">
        <x:f>IF('Assumptions'!$E$8=1,'Assumptions'!$E$17+F$9-1.5,'Assumptions'!$E$17+F$9-1)</x:f>
        <x:v>1.2260273972602738</x:v>
      </x:c>
      <x:c r="G13" s="211" t="n">
        <x:f>IF('Assumptions'!$E$8=1,'Assumptions'!$E$17+G$9-1.5,'Assumptions'!$E$17+G$9-1)</x:f>
        <x:v>2.2260273972602738</x:v>
      </x:c>
      <x:c r="H13" s="211" t="n">
        <x:f>IF('Assumptions'!$E$8=1,'Assumptions'!$E$17+H$9-1.5,'Assumptions'!$E$17+H$9-1)</x:f>
        <x:v>3.2260273972602738</x:v>
      </x:c>
      <x:c r="I13" s="211" t="n">
        <x:f>IF('Assumptions'!$E$8=1,'Assumptions'!$E$17+I$9-1.5,'Assumptions'!$E$17+I$9-1)</x:f>
        <x:v>4.226027397260274</x:v>
      </x:c>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Discount denominator</x:v>
      </x:c>
      <x:c r="D14" s="136"/>
      <x:c r="E14" s="211" t="n">
        <x:f>(1+$E$6)^E13</x:f>
        <x:v>1.0345687572786528</x:v>
      </x:c>
      <x:c r="F14" s="211" t="n">
        <x:f>(1+$E$6)^F13</x:f>
        <x:v>1.1216249122633124</x:v>
      </x:c>
      <x:c r="G14" s="211" t="n">
        <x:f>(1+$E$6)^G13</x:f>
        <x:v>1.231701595358849</x:v>
      </x:c>
      <x:c r="H14" s="211" t="n">
        <x:f>(1+$E$6)^H13</x:f>
        <x:v>1.3525812447837127</x:v>
      </x:c>
      <x:c r="I14" s="211" t="n">
        <x:f>(1+$E$6)^I13</x:f>
        <x:v>1.4853240676429023</x:v>
      </x:c>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Present value of explicit FCFF</x:v>
      </x:c>
      <x:c r="D15" s="136"/>
      <x:c r="E15" s="210" t="n">
        <x:f>E11*E12/E14</x:f>
        <x:v>32421.359501235205</x:v>
      </x:c>
      <x:c r="F15" s="210" t="n">
        <x:f>F11*F12/F14</x:f>
        <x:v>71079.47097748013</x:v>
      </x:c>
      <x:c r="G15" s="210" t="n">
        <x:f>G11*G12/G14</x:f>
        <x:v>91026.23808748057</x:v>
      </x:c>
      <x:c r="H15" s="210" t="n">
        <x:f>H11*H12/H14</x:f>
        <x:v>112493.52215328996</x:v>
      </x:c>
      <x:c r="I15" s="210" t="n">
        <x:f>I11*I12/I14</x:f>
        <x:v>129098.03316678801</x:v>
      </x:c>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PV of explicit cash flows</x:v>
      </x:c>
      <x:c r="D18" s="136"/>
      <x:c r="E18" s="210" t="n">
        <x:f>SUM(E15:I15)</x:f>
        <x:v>436118.6238862739</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Terminal value date exponent</x:v>
      </x:c>
      <x:c r="D19" s="136"/>
      <x:c r="E19" s="211" t="n">
        <x:f>'Assumptions'!E17+4</x:f>
        <x:v>4.726027397260274</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Terminal discount denominator</x:v>
      </x:c>
      <x:c r="D20" s="136"/>
      <x:c r="E20" s="211" t="n">
        <x:f>(1+E6)^E19</x:f>
        <x:v>1.5565036621629422</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Normalized stable FCFF</x:v>
      </x:c>
      <x:c r="D21" s="136"/>
      <x:c r="E21" s="210" t="n">
        <x:f>'Terminal Value'!E15</x:f>
        <x:v>181573.69942244413</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Undiscounted terminal value</x:v>
      </x:c>
      <x:c r="D22" s="136"/>
      <x:c r="E22" s="210" t="n">
        <x:f>E21/(E6-E7)</x:f>
        <x:v>2664700.8419773313</x:v>
      </x:c>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Present value of terminal value</x:v>
      </x:c>
      <x:c r="D23" s="136"/>
      <x:c r="E23" s="210" t="n">
        <x:f>E22/E20</x:f>
        <x:v>1711978.523888868</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77" t="str">
        <x:v>Operating enterprise value</x:v>
      </x:c>
      <x:c r="D24" s="177"/>
      <x:c r="E24" s="220" t="n">
        <x:f>SUM(E18,E23)</x:f>
        <x:v>2148097.147775142</x:v>
      </x:c>
      <x:c r="F24" s="147"/>
      <x:c r="G24" s="147"/>
      <x:c r="H24" s="147"/>
      <x:c r="I24" s="147"/>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Net non-operating bridge</x:v>
      </x:c>
      <x:c r="D25" s="136"/>
      <x:c r="E25" s="210" t="n">
        <x:f>'Equity Bridge'!E17</x:f>
        <x:v>-14903</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77" t="str">
        <x:v>Value of equity</x:v>
      </x:c>
      <x:c r="D26" s="177"/>
      <x:c r="E26" s="220" t="n">
        <x:f>SUM(E24:E25)</x:f>
        <x:v>2133194.147775142</x:v>
      </x:c>
      <x:c r="F26" s="147"/>
      <x:c r="G26" s="147"/>
      <x:c r="H26" s="147"/>
      <x:c r="I26" s="147"/>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t="str">
        <x:v>Valuation share denominator</x:v>
      </x:c>
      <x:c r="D27" s="136"/>
      <x:c r="E27" s="213" t="n">
        <x:f>'Equity Bridge'!E20</x:f>
        <x:v>7449.545491</x:v>
      </x:c>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77" t="str">
        <x:v>DCF value per share</x:v>
      </x:c>
      <x:c r="D28" s="177"/>
      <x:c r="E28" s="178" t="n">
        <x:f>E26/E27</x:f>
        <x:v>286.35225469155296</x:v>
      </x:c>
      <x:c r="F28" s="147"/>
      <x:c r="G28" s="147"/>
      <x:c r="H28" s="147"/>
      <x:c r="I28" s="147"/>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t="str">
        <x:v>Market closing price</x:v>
      </x:c>
      <x:c r="D29" s="136"/>
      <x:c r="E29" s="215" t="n">
        <x:f>'Market Inputs'!E9</x:f>
        <x:v>522.61</x:v>
      </x:c>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39" t="str">
        <x:v>Return implied by this valuation</x:v>
      </x:c>
      <x:c r="D30" s="139"/>
      <x:c r="E30" s="216" t="n">
        <x:f>E28/E29-1</x:f>
        <x:v>-0.4520727603919692</x:v>
      </x:c>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9" t="str">
        <x:v>Terminal share of enterprise value</x:v>
      </x:c>
      <x:c r="D31" s="139"/>
      <x:c r="E31" s="216" t="n">
        <x:f>E23/E24</x:f>
        <x:v>0.7969744411522649</x:v>
      </x:c>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t="str">
        <x:v>Market enterprise value target</x:v>
      </x:c>
      <x:c r="D32" s="136"/>
      <x:c r="E32" s="210" t="n">
        <x:f>'Equity Bridge'!E23</x:f>
        <x:v>3908109.96905151</x:v>
      </x:c>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67" t="str">
        <x:v>Native WACC and stable growth data table</x:v>
      </x:c>
      <x:c r="D38" s="170"/>
      <x:c r="E38" s="170"/>
      <x:c r="F38" s="170"/>
      <x:c r="G38" s="170"/>
      <x:c r="H38" s="170"/>
      <x:c r="I38" s="170"/>
      <x:c r="J38" s="170"/>
      <x:c r="K38" s="170"/>
      <x:c r="L38" s="173"/>
      <x:c r="M38" s="136"/>
      <x:c r="N38" s="136"/>
      <x:c r="O38" s="136"/>
      <x:c r="P38" s="136"/>
      <x:c r="Q38" s="136"/>
      <x:c r="R38" s="136"/>
      <x:c r="S38" s="136"/>
      <x:c r="T38" s="136"/>
      <x:c r="U38" s="136"/>
      <x:c r="V38" s="136"/>
      <x:c r="W38" s="136"/>
      <x:c r="X38" s="136"/>
      <x:c r="Y38" s="136"/>
      <x:c r="Z38" s="136"/>
    </x:row>
    <x:row r="39" ht="24" customHeight="1">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36"/>
      <x:c r="D40" s="136"/>
      <x:c r="E40" s="215" t="n">
        <x:f>E28</x:f>
        <x:v>286.35225469155296</x:v>
      </x:c>
      <x:c r="F40" s="217" t="n">
        <x:f>'WACC'!$E$24+(0-3)*0.005</x:f>
        <x:v>0.08314036929102632</x:v>
      </x:c>
      <x:c r="G40" s="217" t="n">
        <x:f>'WACC'!$E$24+(1-3)*0.005</x:f>
        <x:v>0.08814036929102632</x:v>
      </x:c>
      <x:c r="H40" s="217" t="n">
        <x:f>'WACC'!$E$24+(2-3)*0.005</x:f>
        <x:v>0.09314036929102631</x:v>
      </x:c>
      <x:c r="I40" s="217" t="n">
        <x:f>'WACC'!$E$24+(3-3)*0.005</x:f>
        <x:v>0.09814036929102632</x:v>
      </x:c>
      <x:c r="J40" s="208" t="n">
        <x:f>'WACC'!$E$24+(4-3)*0.005</x:f>
        <x:v>0.10314036929102632</x:v>
      </x:c>
      <x:c r="K40" s="208" t="n">
        <x:f>'WACC'!$E$24+(5-3)*0.005</x:f>
        <x:v>0.10814036929102631</x:v>
      </x:c>
      <x:c r="L40" s="208" t="n">
        <x:f>'WACC'!$E$24+(6-3)*0.005</x:f>
        <x:v>0.11314036929102632</x:v>
      </x:c>
      <x:c r="M40" s="136"/>
      <x:c r="N40" s="136"/>
      <x:c r="O40" s="136"/>
      <x:c r="P40" s="136"/>
      <x:c r="Q40" s="136"/>
      <x:c r="R40" s="136"/>
      <x:c r="S40" s="136"/>
      <x:c r="T40" s="136"/>
      <x:c r="U40" s="136"/>
      <x:c r="V40" s="136"/>
      <x:c r="W40" s="136"/>
      <x:c r="X40" s="136"/>
      <x:c r="Y40" s="136"/>
      <x:c r="Z40" s="136"/>
    </x:row>
    <x:row r="41" ht="24" customHeight="1">
      <x:c r="A41" s="136"/>
      <x:c r="B41" s="136"/>
      <x:c r="C41" s="136"/>
      <x:c r="D41" s="136"/>
      <x:c r="E41" s="218" t="n">
        <x:f>'Assumptions'!$E$74+(0-3)*0.005</x:f>
        <x:v>0.015</x:v>
      </x:c>
      <x:c r="F41" s="215" t="n">
        <x:f t="dataTable" ref="F41:L47" dt2D="1" r1="E6" r2="E7"/>
        <x:v>321.8246519723084</x:v>
      </x:c>
      <x:c r="G41" s="215" t="n">
        <x:f>((SUM((('Forecast'!E12)*(('Assumptions'!E37+(0))*(1-'Assumptions'!E42-(0))+'Assumptions'!E47-'Assumptions'!E52*(1)+'Assumptions'!E57-'Assumptions'!E62*(1)-'Assumptions'!E67-(0))+('Working Capital'!$E$6))*'DCF'!E12/(1+(G$40))^'DCF'!E13,(('Forecast'!F12)*(('Assumptions'!F37+(0))*(1-'Assumptions'!F42-(0))+'Assumptions'!F47-'Assumptions'!F52*(1)+'Assumptions'!F57-'Assumptions'!F62*(1)-'Assumptions'!F67-(0))+(('Forecast'!E12)*('Assumptions'!E67+(0))))*'DCF'!F12/(1+(G$40))^'DCF'!F13,(('Forecast'!G12)*(('Assumptions'!G37+(0))*(1-'Assumptions'!G42-(0))+'Assumptions'!G47-'Assumptions'!G52*(1)+'Assumptions'!G57-'Assumptions'!G62*(1)-'Assumptions'!G67-(0))+(('Forecast'!F12)*('Assumptions'!F67+(0))))*'DCF'!G12/(1+(G$40))^'DCF'!G13,(('Forecast'!H12)*(('Assumptions'!H37+(0))*(1-'Assumptions'!H42-(0))+'Assumptions'!H47-'Assumptions'!H52*(1)+'Assumptions'!H57-'Assumptions'!H62*(1)-'Assumptions'!H67-(0))+(('Forecast'!G12)*('Assumptions'!G67+(0))))*'DCF'!H12/(1+(G$40))^'DCF'!H13,(('Forecast'!I12)*(('Assumptions'!I37+(0))*(1-'Assumptions'!I42-(0))+'Assumptions'!I47-'Assumptions'!I52*(1)+'Assumptions'!I57-'Assumptions'!I62*(1)-'Assumptions'!I67-(0))+(('Forecast'!H12)*('Assumptions'!H67+(0))))*'DCF'!I12/(1+(G$40))^'DCF'!I13)+('Forecast'!I12)*(1+($E41))*('Terminal Value'!$E$10+(0))*(1-'Assumptions'!$E$15-(0))*(1-($E41)/('Terminal Value'!$E$12))/((G$40)-($E41))/(1+(G$40))^'DCF'!$E$19)+'Equity Bridge'!$E$17)/'Equity Bridge'!$E$20</x:f>
        <x:v>297.793059784049</x:v>
      </x:c>
      <x:c r="H41" s="215" t="n">
        <x:f>((SUM((('Forecast'!E12)*(('Assumptions'!E37+(0))*(1-'Assumptions'!E42-(0))+'Assumptions'!E47-'Assumptions'!E52*(1)+'Assumptions'!E57-'Assumptions'!E62*(1)-'Assumptions'!E67-(0))+('Working Capital'!$E$6))*'DCF'!E12/(1+(H$40))^'DCF'!E13,(('Forecast'!F12)*(('Assumptions'!F37+(0))*(1-'Assumptions'!F42-(0))+'Assumptions'!F47-'Assumptions'!F52*(1)+'Assumptions'!F57-'Assumptions'!F62*(1)-'Assumptions'!F67-(0))+(('Forecast'!E12)*('Assumptions'!E67+(0))))*'DCF'!F12/(1+(H$40))^'DCF'!F13,(('Forecast'!G12)*(('Assumptions'!G37+(0))*(1-'Assumptions'!G42-(0))+'Assumptions'!G47-'Assumptions'!G52*(1)+'Assumptions'!G57-'Assumptions'!G62*(1)-'Assumptions'!G67-(0))+(('Forecast'!F12)*('Assumptions'!F67+(0))))*'DCF'!G12/(1+(H$40))^'DCF'!G13,(('Forecast'!H12)*(('Assumptions'!H37+(0))*(1-'Assumptions'!H42-(0))+'Assumptions'!H47-'Assumptions'!H52*(1)+'Assumptions'!H57-'Assumptions'!H62*(1)-'Assumptions'!H67-(0))+(('Forecast'!G12)*('Assumptions'!G67+(0))))*'DCF'!H12/(1+(H$40))^'DCF'!H13,(('Forecast'!I12)*(('Assumptions'!I37+(0))*(1-'Assumptions'!I42-(0))+'Assumptions'!I47-'Assumptions'!I52*(1)+'Assumptions'!I57-'Assumptions'!I62*(1)-'Assumptions'!I67-(0))+(('Forecast'!H12)*('Assumptions'!H67+(0))))*'DCF'!I12/(1+(H$40))^'DCF'!I13)+('Forecast'!I12)*(1+($E41))*('Terminal Value'!$E$10+(0))*(1-'Assumptions'!$E$15-(0))*(1-($E41)/('Terminal Value'!$E$12))/((H$40)-($E41))/(1+(H$40))^'DCF'!$E$19)+'Equity Bridge'!$E$17)/'Equity Bridge'!$E$20</x:f>
        <x:v>276.8810325588969</x:v>
      </x:c>
      <x:c r="I41" s="215" t="n">
        <x:f>((SUM((('Forecast'!E12)*(('Assumptions'!E37+(0))*(1-'Assumptions'!E42-(0))+'Assumptions'!E47-'Assumptions'!E52*(1)+'Assumptions'!E57-'Assumptions'!E62*(1)-'Assumptions'!E67-(0))+('Working Capital'!$E$6))*'DCF'!E12/(1+(I$40))^'DCF'!E13,(('Forecast'!F12)*(('Assumptions'!F37+(0))*(1-'Assumptions'!F42-(0))+'Assumptions'!F47-'Assumptions'!F52*(1)+'Assumptions'!F57-'Assumptions'!F62*(1)-'Assumptions'!F67-(0))+(('Forecast'!E12)*('Assumptions'!E67+(0))))*'DCF'!F12/(1+(I$40))^'DCF'!F13,(('Forecast'!G12)*(('Assumptions'!G37+(0))*(1-'Assumptions'!G42-(0))+'Assumptions'!G47-'Assumptions'!G52*(1)+'Assumptions'!G57-'Assumptions'!G62*(1)-'Assumptions'!G67-(0))+(('Forecast'!F12)*('Assumptions'!F67+(0))))*'DCF'!G12/(1+(I$40))^'DCF'!G13,(('Forecast'!H12)*(('Assumptions'!H37+(0))*(1-'Assumptions'!H42-(0))+'Assumptions'!H47-'Assumptions'!H52*(1)+'Assumptions'!H57-'Assumptions'!H62*(1)-'Assumptions'!H67-(0))+(('Forecast'!G12)*('Assumptions'!G67+(0))))*'DCF'!H12/(1+(I$40))^'DCF'!H13,(('Forecast'!I12)*(('Assumptions'!I37+(0))*(1-'Assumptions'!I42-(0))+'Assumptions'!I47-'Assumptions'!I52*(1)+'Assumptions'!I57-'Assumptions'!I62*(1)-'Assumptions'!I67-(0))+(('Forecast'!H12)*('Assumptions'!H67+(0))))*'DCF'!I12/(1+(I$40))^'DCF'!I13)+('Forecast'!I12)*(1+($E41))*('Terminal Value'!$E$10+(0))*(1-'Assumptions'!$E$15-(0))*(1-($E41)/('Terminal Value'!$E$12))/((I$40)-($E41))/(1+(I$40))^'DCF'!$E$19)+'Equity Bridge'!$E$17)/'Equity Bridge'!$E$20</x:f>
        <x:v>258.5244714761173</x:v>
      </x:c>
      <x:c r="J41" s="145" t="n">
        <x:f>((SUM((('Forecast'!E12)*(('Assumptions'!E37+(0))*(1-'Assumptions'!E42-(0))+'Assumptions'!E47-'Assumptions'!E52*(1)+'Assumptions'!E57-'Assumptions'!E62*(1)-'Assumptions'!E67-(0))+('Working Capital'!$E$6))*'DCF'!E12/(1+(J$40))^'DCF'!E13,(('Forecast'!F12)*(('Assumptions'!F37+(0))*(1-'Assumptions'!F42-(0))+'Assumptions'!F47-'Assumptions'!F52*(1)+'Assumptions'!F57-'Assumptions'!F62*(1)-'Assumptions'!F67-(0))+(('Forecast'!E12)*('Assumptions'!E67+(0))))*'DCF'!F12/(1+(J$40))^'DCF'!F13,(('Forecast'!G12)*(('Assumptions'!G37+(0))*(1-'Assumptions'!G42-(0))+'Assumptions'!G47-'Assumptions'!G52*(1)+'Assumptions'!G57-'Assumptions'!G62*(1)-'Assumptions'!G67-(0))+(('Forecast'!F12)*('Assumptions'!F67+(0))))*'DCF'!G12/(1+(J$40))^'DCF'!G13,(('Forecast'!H12)*(('Assumptions'!H37+(0))*(1-'Assumptions'!H42-(0))+'Assumptions'!H47-'Assumptions'!H52*(1)+'Assumptions'!H57-'Assumptions'!H62*(1)-'Assumptions'!H67-(0))+(('Forecast'!G12)*('Assumptions'!G67+(0))))*'DCF'!H12/(1+(J$40))^'DCF'!H13,(('Forecast'!I12)*(('Assumptions'!I37+(0))*(1-'Assumptions'!I42-(0))+'Assumptions'!I47-'Assumptions'!I52*(1)+'Assumptions'!I57-'Assumptions'!I62*(1)-'Assumptions'!I67-(0))+(('Forecast'!H12)*('Assumptions'!H67+(0))))*'DCF'!I12/(1+(J$40))^'DCF'!I13)+('Forecast'!I12)*(1+($E41))*('Terminal Value'!$E$10+(0))*(1-'Assumptions'!$E$15-(0))*(1-($E41)/('Terminal Value'!$E$12))/((J$40)-($E41))/(1+(J$40))^'DCF'!$E$19)+'Equity Bridge'!$E$17)/'Equity Bridge'!$E$20</x:f>
        <x:v>242.2873214782207</x:v>
      </x:c>
      <x:c r="K41" s="145" t="n">
        <x:f>((SUM((('Forecast'!E12)*(('Assumptions'!E37+(0))*(1-'Assumptions'!E42-(0))+'Assumptions'!E47-'Assumptions'!E52*(1)+'Assumptions'!E57-'Assumptions'!E62*(1)-'Assumptions'!E67-(0))+('Working Capital'!$E$6))*'DCF'!E12/(1+(K$40))^'DCF'!E13,(('Forecast'!F12)*(('Assumptions'!F37+(0))*(1-'Assumptions'!F42-(0))+'Assumptions'!F47-'Assumptions'!F52*(1)+'Assumptions'!F57-'Assumptions'!F62*(1)-'Assumptions'!F67-(0))+(('Forecast'!E12)*('Assumptions'!E67+(0))))*'DCF'!F12/(1+(K$40))^'DCF'!F13,(('Forecast'!G12)*(('Assumptions'!G37+(0))*(1-'Assumptions'!G42-(0))+'Assumptions'!G47-'Assumptions'!G52*(1)+'Assumptions'!G57-'Assumptions'!G62*(1)-'Assumptions'!G67-(0))+(('Forecast'!F12)*('Assumptions'!F67+(0))))*'DCF'!G12/(1+(K$40))^'DCF'!G13,(('Forecast'!H12)*(('Assumptions'!H37+(0))*(1-'Assumptions'!H42-(0))+'Assumptions'!H47-'Assumptions'!H52*(1)+'Assumptions'!H57-'Assumptions'!H62*(1)-'Assumptions'!H67-(0))+(('Forecast'!G12)*('Assumptions'!G67+(0))))*'DCF'!H12/(1+(K$40))^'DCF'!H13,(('Forecast'!I12)*(('Assumptions'!I37+(0))*(1-'Assumptions'!I42-(0))+'Assumptions'!I47-'Assumptions'!I52*(1)+'Assumptions'!I57-'Assumptions'!I62*(1)-'Assumptions'!I67-(0))+(('Forecast'!H12)*('Assumptions'!H67+(0))))*'DCF'!I12/(1+(K$40))^'DCF'!I13)+('Forecast'!I12)*(1+($E41))*('Terminal Value'!$E$10+(0))*(1-'Assumptions'!$E$15-(0))*(1-($E41)/('Terminal Value'!$E$12))/((K$40)-($E41))/(1+(K$40))^'DCF'!$E$19)+'Equity Bridge'!$E$17)/'Equity Bridge'!$E$20</x:f>
        <x:v>227.8272010781501</x:v>
      </x:c>
      <x:c r="L41" s="145" t="n">
        <x:f>((SUM((('Forecast'!E12)*(('Assumptions'!E37+(0))*(1-'Assumptions'!E42-(0))+'Assumptions'!E47-'Assumptions'!E52*(1)+'Assumptions'!E57-'Assumptions'!E62*(1)-'Assumptions'!E67-(0))+('Working Capital'!$E$6))*'DCF'!E12/(1+(L$40))^'DCF'!E13,(('Forecast'!F12)*(('Assumptions'!F37+(0))*(1-'Assumptions'!F42-(0))+'Assumptions'!F47-'Assumptions'!F52*(1)+'Assumptions'!F57-'Assumptions'!F62*(1)-'Assumptions'!F67-(0))+(('Forecast'!E12)*('Assumptions'!E67+(0))))*'DCF'!F12/(1+(L$40))^'DCF'!F13,(('Forecast'!G12)*(('Assumptions'!G37+(0))*(1-'Assumptions'!G42-(0))+'Assumptions'!G47-'Assumptions'!G52*(1)+'Assumptions'!G57-'Assumptions'!G62*(1)-'Assumptions'!G67-(0))+(('Forecast'!F12)*('Assumptions'!F67+(0))))*'DCF'!G12/(1+(L$40))^'DCF'!G13,(('Forecast'!H12)*(('Assumptions'!H37+(0))*(1-'Assumptions'!H42-(0))+'Assumptions'!H47-'Assumptions'!H52*(1)+'Assumptions'!H57-'Assumptions'!H62*(1)-'Assumptions'!H67-(0))+(('Forecast'!G12)*('Assumptions'!G67+(0))))*'DCF'!H12/(1+(L$40))^'DCF'!H13,(('Forecast'!I12)*(('Assumptions'!I37+(0))*(1-'Assumptions'!I42-(0))+'Assumptions'!I47-'Assumptions'!I52*(1)+'Assumptions'!I57-'Assumptions'!I62*(1)-'Assumptions'!I67-(0))+(('Forecast'!H12)*('Assumptions'!H67+(0))))*'DCF'!I12/(1+(L$40))^'DCF'!I13)+('Forecast'!I12)*(1+($E41))*('Terminal Value'!$E$10+(0))*(1-'Assumptions'!$E$15-(0))*(1-($E41)/('Terminal Value'!$E$12))/((L$40)-($E41))/(1+(L$40))^'DCF'!$E$19)+'Equity Bridge'!$E$17)/'Equity Bridge'!$E$20</x:f>
        <x:v>214.871538678846</x:v>
      </x:c>
      <x:c r="M41" s="136"/>
      <x:c r="N41" s="136"/>
      <x:c r="O41" s="136"/>
      <x:c r="P41" s="136"/>
      <x:c r="Q41" s="136"/>
      <x:c r="R41" s="136"/>
      <x:c r="S41" s="136"/>
      <x:c r="T41" s="136"/>
      <x:c r="U41" s="136"/>
      <x:c r="V41" s="136"/>
      <x:c r="W41" s="136"/>
      <x:c r="X41" s="136"/>
      <x:c r="Y41" s="136"/>
      <x:c r="Z41" s="136"/>
    </x:row>
    <x:row r="42" ht="24" customHeight="1">
      <x:c r="A42" s="136"/>
      <x:c r="B42" s="136"/>
      <x:c r="C42" s="136"/>
      <x:c r="D42" s="136"/>
      <x:c r="E42" s="218" t="n">
        <x:f>'Assumptions'!$E$74+(1-3)*0.005</x:f>
        <x:v>0.019999999999999997</x:v>
      </x:c>
      <x:c r="F42" s="215" t="n">
        <x:f>((SUM((('Forecast'!E12)*(('Assumptions'!E37+(0))*(1-'Assumptions'!E42-(0))+'Assumptions'!E47-'Assumptions'!E52*(1)+'Assumptions'!E57-'Assumptions'!E62*(1)-'Assumptions'!E67-(0))+('Working Capital'!$E$6))*'DCF'!E12/(1+(F$40))^'DCF'!E13,(('Forecast'!F12)*(('Assumptions'!F37+(0))*(1-'Assumptions'!F42-(0))+'Assumptions'!F47-'Assumptions'!F52*(1)+'Assumptions'!F57-'Assumptions'!F62*(1)-'Assumptions'!F67-(0))+(('Forecast'!E12)*('Assumptions'!E67+(0))))*'DCF'!F12/(1+(F$40))^'DCF'!F13,(('Forecast'!G12)*(('Assumptions'!G37+(0))*(1-'Assumptions'!G42-(0))+'Assumptions'!G47-'Assumptions'!G52*(1)+'Assumptions'!G57-'Assumptions'!G62*(1)-'Assumptions'!G67-(0))+(('Forecast'!F12)*('Assumptions'!F67+(0))))*'DCF'!G12/(1+(F$40))^'DCF'!G13,(('Forecast'!H12)*(('Assumptions'!H37+(0))*(1-'Assumptions'!H42-(0))+'Assumptions'!H47-'Assumptions'!H52*(1)+'Assumptions'!H57-'Assumptions'!H62*(1)-'Assumptions'!H67-(0))+(('Forecast'!G12)*('Assumptions'!G67+(0))))*'DCF'!H12/(1+(F$40))^'DCF'!H13,(('Forecast'!I12)*(('Assumptions'!I37+(0))*(1-'Assumptions'!I42-(0))+'Assumptions'!I47-'Assumptions'!I52*(1)+'Assumptions'!I57-'Assumptions'!I62*(1)-'Assumptions'!I67-(0))+(('Forecast'!H12)*('Assumptions'!H67+(0))))*'DCF'!I12/(1+(F$40))^'DCF'!I13)+('Forecast'!I12)*(1+($E42))*('Terminal Value'!$E$10+(0))*(1-'Assumptions'!$E$15-(0))*(1-($E42)/('Terminal Value'!$E$12))/((F$40)-($E42))/(1+(F$40))^'DCF'!$E$19)+'Equity Bridge'!$E$17)/'Equity Bridge'!$E$20</x:f>
        <x:v>336.3404306543823</x:v>
      </x:c>
      <x:c r="G42" s="215" t="n">
        <x:f>((SUM((('Forecast'!E12)*(('Assumptions'!E37+(0))*(1-'Assumptions'!E42-(0))+'Assumptions'!E47-'Assumptions'!E52*(1)+'Assumptions'!E57-'Assumptions'!E62*(1)-'Assumptions'!E67-(0))+('Working Capital'!$E$6))*'DCF'!E12/(1+(G$40))^'DCF'!E13,(('Forecast'!F12)*(('Assumptions'!F37+(0))*(1-'Assumptions'!F42-(0))+'Assumptions'!F47-'Assumptions'!F52*(1)+'Assumptions'!F57-'Assumptions'!F62*(1)-'Assumptions'!F67-(0))+(('Forecast'!E12)*('Assumptions'!E67+(0))))*'DCF'!F12/(1+(G$40))^'DCF'!F13,(('Forecast'!G12)*(('Assumptions'!G37+(0))*(1-'Assumptions'!G42-(0))+'Assumptions'!G47-'Assumptions'!G52*(1)+'Assumptions'!G57-'Assumptions'!G62*(1)-'Assumptions'!G67-(0))+(('Forecast'!F12)*('Assumptions'!F67+(0))))*'DCF'!G12/(1+(G$40))^'DCF'!G13,(('Forecast'!H12)*(('Assumptions'!H37+(0))*(1-'Assumptions'!H42-(0))+'Assumptions'!H47-'Assumptions'!H52*(1)+'Assumptions'!H57-'Assumptions'!H62*(1)-'Assumptions'!H67-(0))+(('Forecast'!G12)*('Assumptions'!G67+(0))))*'DCF'!H12/(1+(G$40))^'DCF'!H13,(('Forecast'!I12)*(('Assumptions'!I37+(0))*(1-'Assumptions'!I42-(0))+'Assumptions'!I47-'Assumptions'!I52*(1)+'Assumptions'!I57-'Assumptions'!I62*(1)-'Assumptions'!I67-(0))+(('Forecast'!H12)*('Assumptions'!H67+(0))))*'DCF'!I12/(1+(G$40))^'DCF'!I13)+('Forecast'!I12)*(1+($E42))*('Terminal Value'!$E$10+(0))*(1-'Assumptions'!$E$15-(0))*(1-($E42)/('Terminal Value'!$E$12))/((G$40)-($E42))/(1+(G$40))^'DCF'!$E$19)+'Equity Bridge'!$E$17)/'Equity Bridge'!$E$20</x:f>
        <x:v>309.6632485781621</x:v>
      </x:c>
      <x:c r="H42" s="215" t="n">
        <x:f>((SUM((('Forecast'!E12)*(('Assumptions'!E37+(0))*(1-'Assumptions'!E42-(0))+'Assumptions'!E47-'Assumptions'!E52*(1)+'Assumptions'!E57-'Assumptions'!E62*(1)-'Assumptions'!E67-(0))+('Working Capital'!$E$6))*'DCF'!E12/(1+(H$40))^'DCF'!E13,(('Forecast'!F12)*(('Assumptions'!F37+(0))*(1-'Assumptions'!F42-(0))+'Assumptions'!F47-'Assumptions'!F52*(1)+'Assumptions'!F57-'Assumptions'!F62*(1)-'Assumptions'!F67-(0))+(('Forecast'!E12)*('Assumptions'!E67+(0))))*'DCF'!F12/(1+(H$40))^'DCF'!F13,(('Forecast'!G12)*(('Assumptions'!G37+(0))*(1-'Assumptions'!G42-(0))+'Assumptions'!G47-'Assumptions'!G52*(1)+'Assumptions'!G57-'Assumptions'!G62*(1)-'Assumptions'!G67-(0))+(('Forecast'!F12)*('Assumptions'!F67+(0))))*'DCF'!G12/(1+(H$40))^'DCF'!G13,(('Forecast'!H12)*(('Assumptions'!H37+(0))*(1-'Assumptions'!H42-(0))+'Assumptions'!H47-'Assumptions'!H52*(1)+'Assumptions'!H57-'Assumptions'!H62*(1)-'Assumptions'!H67-(0))+(('Forecast'!G12)*('Assumptions'!G67+(0))))*'DCF'!H12/(1+(H$40))^'DCF'!H13,(('Forecast'!I12)*(('Assumptions'!I37+(0))*(1-'Assumptions'!I42-(0))+'Assumptions'!I47-'Assumptions'!I52*(1)+'Assumptions'!I57-'Assumptions'!I62*(1)-'Assumptions'!I67-(0))+(('Forecast'!H12)*('Assumptions'!H67+(0))))*'DCF'!I12/(1+(H$40))^'DCF'!I13)+('Forecast'!I12)*(1+($E42))*('Terminal Value'!$E$10+(0))*(1-'Assumptions'!$E$15-(0))*(1-($E42)/('Terminal Value'!$E$12))/((H$40)-($E42))/(1+(H$40))^'DCF'!$E$19)+'Equity Bridge'!$E$17)/'Equity Bridge'!$E$20</x:f>
        <x:v>286.6765076160603</x:v>
      </x:c>
      <x:c r="I42" s="215" t="n">
        <x:f>((SUM((('Forecast'!E12)*(('Assumptions'!E37+(0))*(1-'Assumptions'!E42-(0))+'Assumptions'!E47-'Assumptions'!E52*(1)+'Assumptions'!E57-'Assumptions'!E62*(1)-'Assumptions'!E67-(0))+('Working Capital'!$E$6))*'DCF'!E12/(1+(I$40))^'DCF'!E13,(('Forecast'!F12)*(('Assumptions'!F37+(0))*(1-'Assumptions'!F42-(0))+'Assumptions'!F47-'Assumptions'!F52*(1)+'Assumptions'!F57-'Assumptions'!F62*(1)-'Assumptions'!F67-(0))+(('Forecast'!E12)*('Assumptions'!E67+(0))))*'DCF'!F12/(1+(I$40))^'DCF'!F13,(('Forecast'!G12)*(('Assumptions'!G37+(0))*(1-'Assumptions'!G42-(0))+'Assumptions'!G47-'Assumptions'!G52*(1)+'Assumptions'!G57-'Assumptions'!G62*(1)-'Assumptions'!G67-(0))+(('Forecast'!F12)*('Assumptions'!F67+(0))))*'DCF'!G12/(1+(I$40))^'DCF'!G13,(('Forecast'!H12)*(('Assumptions'!H37+(0))*(1-'Assumptions'!H42-(0))+'Assumptions'!H47-'Assumptions'!H52*(1)+'Assumptions'!H57-'Assumptions'!H62*(1)-'Assumptions'!H67-(0))+(('Forecast'!G12)*('Assumptions'!G67+(0))))*'DCF'!H12/(1+(I$40))^'DCF'!H13,(('Forecast'!I12)*(('Assumptions'!I37+(0))*(1-'Assumptions'!I42-(0))+'Assumptions'!I47-'Assumptions'!I52*(1)+'Assumptions'!I57-'Assumptions'!I62*(1)-'Assumptions'!I67-(0))+(('Forecast'!H12)*('Assumptions'!H67+(0))))*'DCF'!I12/(1+(I$40))^'DCF'!I13)+('Forecast'!I12)*(1+($E42))*('Terminal Value'!$E$10+(0))*(1-'Assumptions'!$E$15-(0))*(1-($E42)/('Terminal Value'!$E$12))/((I$40)-($E42))/(1+(I$40))^'DCF'!$E$19)+'Equity Bridge'!$E$17)/'Equity Bridge'!$E$20</x:f>
        <x:v>266.670538418071</x:v>
      </x:c>
      <x:c r="J42" s="145" t="n">
        <x:f>((SUM((('Forecast'!E12)*(('Assumptions'!E37+(0))*(1-'Assumptions'!E42-(0))+'Assumptions'!E47-'Assumptions'!E52*(1)+'Assumptions'!E57-'Assumptions'!E62*(1)-'Assumptions'!E67-(0))+('Working Capital'!$E$6))*'DCF'!E12/(1+(J$40))^'DCF'!E13,(('Forecast'!F12)*(('Assumptions'!F37+(0))*(1-'Assumptions'!F42-(0))+'Assumptions'!F47-'Assumptions'!F52*(1)+'Assumptions'!F57-'Assumptions'!F62*(1)-'Assumptions'!F67-(0))+(('Forecast'!E12)*('Assumptions'!E67+(0))))*'DCF'!F12/(1+(J$40))^'DCF'!F13,(('Forecast'!G12)*(('Assumptions'!G37+(0))*(1-'Assumptions'!G42-(0))+'Assumptions'!G47-'Assumptions'!G52*(1)+'Assumptions'!G57-'Assumptions'!G62*(1)-'Assumptions'!G67-(0))+(('Forecast'!F12)*('Assumptions'!F67+(0))))*'DCF'!G12/(1+(J$40))^'DCF'!G13,(('Forecast'!H12)*(('Assumptions'!H37+(0))*(1-'Assumptions'!H42-(0))+'Assumptions'!H47-'Assumptions'!H52*(1)+'Assumptions'!H57-'Assumptions'!H62*(1)-'Assumptions'!H67-(0))+(('Forecast'!G12)*('Assumptions'!G67+(0))))*'DCF'!H12/(1+(J$40))^'DCF'!H13,(('Forecast'!I12)*(('Assumptions'!I37+(0))*(1-'Assumptions'!I42-(0))+'Assumptions'!I47-'Assumptions'!I52*(1)+'Assumptions'!I57-'Assumptions'!I62*(1)-'Assumptions'!I67-(0))+(('Forecast'!H12)*('Assumptions'!H67+(0))))*'DCF'!I12/(1+(J$40))^'DCF'!I13)+('Forecast'!I12)*(1+($E42))*('Terminal Value'!$E$10+(0))*(1-'Assumptions'!$E$15-(0))*(1-($E42)/('Terminal Value'!$E$12))/((J$40)-($E42))/(1+(J$40))^'DCF'!$E$19)+'Equity Bridge'!$E$17)/'Equity Bridge'!$E$20</x:f>
        <x:v>249.1064303399117</x:v>
      </x:c>
      <x:c r="K42" s="145" t="n">
        <x:f>((SUM((('Forecast'!E12)*(('Assumptions'!E37+(0))*(1-'Assumptions'!E42-(0))+'Assumptions'!E47-'Assumptions'!E52*(1)+'Assumptions'!E57-'Assumptions'!E62*(1)-'Assumptions'!E67-(0))+('Working Capital'!$E$6))*'DCF'!E12/(1+(K$40))^'DCF'!E13,(('Forecast'!F12)*(('Assumptions'!F37+(0))*(1-'Assumptions'!F42-(0))+'Assumptions'!F47-'Assumptions'!F52*(1)+'Assumptions'!F57-'Assumptions'!F62*(1)-'Assumptions'!F67-(0))+(('Forecast'!E12)*('Assumptions'!E67+(0))))*'DCF'!F12/(1+(K$40))^'DCF'!F13,(('Forecast'!G12)*(('Assumptions'!G37+(0))*(1-'Assumptions'!G42-(0))+'Assumptions'!G47-'Assumptions'!G52*(1)+'Assumptions'!G57-'Assumptions'!G62*(1)-'Assumptions'!G67-(0))+(('Forecast'!F12)*('Assumptions'!F67+(0))))*'DCF'!G12/(1+(K$40))^'DCF'!G13,(('Forecast'!H12)*(('Assumptions'!H37+(0))*(1-'Assumptions'!H42-(0))+'Assumptions'!H47-'Assumptions'!H52*(1)+'Assumptions'!H57-'Assumptions'!H62*(1)-'Assumptions'!H67-(0))+(('Forecast'!G12)*('Assumptions'!G67+(0))))*'DCF'!H12/(1+(K$40))^'DCF'!H13,(('Forecast'!I12)*(('Assumptions'!I37+(0))*(1-'Assumptions'!I42-(0))+'Assumptions'!I47-'Assumptions'!I52*(1)+'Assumptions'!I57-'Assumptions'!I62*(1)-'Assumptions'!I67-(0))+(('Forecast'!H12)*('Assumptions'!H67+(0))))*'DCF'!I12/(1+(K$40))^'DCF'!I13)+('Forecast'!I12)*(1+($E42))*('Terminal Value'!$E$10+(0))*(1-'Assumptions'!$E$15-(0))*(1-($E42)/('Terminal Value'!$E$12))/((K$40)-($E42))/(1+(K$40))^'DCF'!$E$19)+'Equity Bridge'!$E$17)/'Equity Bridge'!$E$20</x:f>
        <x:v>233.5675960343812</x:v>
      </x:c>
      <x:c r="L42" s="145" t="n">
        <x:f>((SUM((('Forecast'!E12)*(('Assumptions'!E37+(0))*(1-'Assumptions'!E42-(0))+'Assumptions'!E47-'Assumptions'!E52*(1)+'Assumptions'!E57-'Assumptions'!E62*(1)-'Assumptions'!E67-(0))+('Working Capital'!$E$6))*'DCF'!E12/(1+(L$40))^'DCF'!E13,(('Forecast'!F12)*(('Assumptions'!F37+(0))*(1-'Assumptions'!F42-(0))+'Assumptions'!F47-'Assumptions'!F52*(1)+'Assumptions'!F57-'Assumptions'!F62*(1)-'Assumptions'!F67-(0))+(('Forecast'!E12)*('Assumptions'!E67+(0))))*'DCF'!F12/(1+(L$40))^'DCF'!F13,(('Forecast'!G12)*(('Assumptions'!G37+(0))*(1-'Assumptions'!G42-(0))+'Assumptions'!G47-'Assumptions'!G52*(1)+'Assumptions'!G57-'Assumptions'!G62*(1)-'Assumptions'!G67-(0))+(('Forecast'!F12)*('Assumptions'!F67+(0))))*'DCF'!G12/(1+(L$40))^'DCF'!G13,(('Forecast'!H12)*(('Assumptions'!H37+(0))*(1-'Assumptions'!H42-(0))+'Assumptions'!H47-'Assumptions'!H52*(1)+'Assumptions'!H57-'Assumptions'!H62*(1)-'Assumptions'!H67-(0))+(('Forecast'!G12)*('Assumptions'!G67+(0))))*'DCF'!H12/(1+(L$40))^'DCF'!H13,(('Forecast'!I12)*(('Assumptions'!I37+(0))*(1-'Assumptions'!I42-(0))+'Assumptions'!I47-'Assumptions'!I52*(1)+'Assumptions'!I57-'Assumptions'!I62*(1)-'Assumptions'!I67-(0))+(('Forecast'!H12)*('Assumptions'!H67+(0))))*'DCF'!I12/(1+(L$40))^'DCF'!I13)+('Forecast'!I12)*(1+($E42))*('Terminal Value'!$E$10+(0))*(1-'Assumptions'!$E$15-(0))*(1-($E42)/('Terminal Value'!$E$12))/((L$40)-($E42))/(1+(L$40))^'DCF'!$E$19)+'Equity Bridge'!$E$17)/'Equity Bridge'!$E$20</x:f>
        <x:v>219.7269368934869</x:v>
      </x:c>
      <x:c r="M42" s="136"/>
      <x:c r="N42" s="136"/>
      <x:c r="O42" s="136"/>
      <x:c r="P42" s="136"/>
      <x:c r="Q42" s="136"/>
      <x:c r="R42" s="136"/>
      <x:c r="S42" s="136"/>
      <x:c r="T42" s="136"/>
      <x:c r="U42" s="136"/>
      <x:c r="V42" s="136"/>
      <x:c r="W42" s="136"/>
      <x:c r="X42" s="136"/>
      <x:c r="Y42" s="136"/>
      <x:c r="Z42" s="136"/>
    </x:row>
    <x:row r="43" ht="24" customHeight="1">
      <x:c r="A43" s="136"/>
      <x:c r="B43" s="136"/>
      <x:c r="C43" s="136"/>
      <x:c r="D43" s="136"/>
      <x:c r="E43" s="218" t="n">
        <x:f>'Assumptions'!$E$74+(2-3)*0.005</x:f>
        <x:v>0.024999999999999998</x:v>
      </x:c>
      <x:c r="F43" s="215" t="n">
        <x:f>((SUM((('Forecast'!E12)*(('Assumptions'!E37+(0))*(1-'Assumptions'!E42-(0))+'Assumptions'!E47-'Assumptions'!E52*(1)+'Assumptions'!E57-'Assumptions'!E62*(1)-'Assumptions'!E67-(0))+('Working Capital'!$E$6))*'DCF'!E12/(1+(F$40))^'DCF'!E13,(('Forecast'!F12)*(('Assumptions'!F37+(0))*(1-'Assumptions'!F42-(0))+'Assumptions'!F47-'Assumptions'!F52*(1)+'Assumptions'!F57-'Assumptions'!F62*(1)-'Assumptions'!F67-(0))+(('Forecast'!E12)*('Assumptions'!E67+(0))))*'DCF'!F12/(1+(F$40))^'DCF'!F13,(('Forecast'!G12)*(('Assumptions'!G37+(0))*(1-'Assumptions'!G42-(0))+'Assumptions'!G47-'Assumptions'!G52*(1)+'Assumptions'!G57-'Assumptions'!G62*(1)-'Assumptions'!G67-(0))+(('Forecast'!F12)*('Assumptions'!F67+(0))))*'DCF'!G12/(1+(F$40))^'DCF'!G13,(('Forecast'!H12)*(('Assumptions'!H37+(0))*(1-'Assumptions'!H42-(0))+'Assumptions'!H47-'Assumptions'!H52*(1)+'Assumptions'!H57-'Assumptions'!H62*(1)-'Assumptions'!H67-(0))+(('Forecast'!G12)*('Assumptions'!G67+(0))))*'DCF'!H12/(1+(F$40))^'DCF'!H13,(('Forecast'!I12)*(('Assumptions'!I37+(0))*(1-'Assumptions'!I42-(0))+'Assumptions'!I47-'Assumptions'!I52*(1)+'Assumptions'!I57-'Assumptions'!I62*(1)-'Assumptions'!I67-(0))+(('Forecast'!H12)*('Assumptions'!H67+(0))))*'DCF'!I12/(1+(F$40))^'DCF'!I13)+('Forecast'!I12)*(1+($E43))*('Terminal Value'!$E$10+(0))*(1-'Assumptions'!$E$15-(0))*(1-($E43)/('Terminal Value'!$E$12))/((F$40)-($E43))/(1+(F$40))^'DCF'!$E$19)+'Equity Bridge'!$E$17)/'Equity Bridge'!$E$20</x:f>
        <x:v>353.2708129476492</x:v>
      </x:c>
      <x:c r="G43" s="215" t="n">
        <x:f>((SUM((('Forecast'!E12)*(('Assumptions'!E37+(0))*(1-'Assumptions'!E42-(0))+'Assumptions'!E47-'Assumptions'!E52*(1)+'Assumptions'!E57-'Assumptions'!E62*(1)-'Assumptions'!E67-(0))+('Working Capital'!$E$6))*'DCF'!E12/(1+(G$40))^'DCF'!E13,(('Forecast'!F12)*(('Assumptions'!F37+(0))*(1-'Assumptions'!F42-(0))+'Assumptions'!F47-'Assumptions'!F52*(1)+'Assumptions'!F57-'Assumptions'!F62*(1)-'Assumptions'!F67-(0))+(('Forecast'!E12)*('Assumptions'!E67+(0))))*'DCF'!F12/(1+(G$40))^'DCF'!F13,(('Forecast'!G12)*(('Assumptions'!G37+(0))*(1-'Assumptions'!G42-(0))+'Assumptions'!G47-'Assumptions'!G52*(1)+'Assumptions'!G57-'Assumptions'!G62*(1)-'Assumptions'!G67-(0))+(('Forecast'!F12)*('Assumptions'!F67+(0))))*'DCF'!G12/(1+(G$40))^'DCF'!G13,(('Forecast'!H12)*(('Assumptions'!H37+(0))*(1-'Assumptions'!H42-(0))+'Assumptions'!H47-'Assumptions'!H52*(1)+'Assumptions'!H57-'Assumptions'!H62*(1)-'Assumptions'!H67-(0))+(('Forecast'!G12)*('Assumptions'!G67+(0))))*'DCF'!H12/(1+(G$40))^'DCF'!H13,(('Forecast'!I12)*(('Assumptions'!I37+(0))*(1-'Assumptions'!I42-(0))+'Assumptions'!I47-'Assumptions'!I52*(1)+'Assumptions'!I57-'Assumptions'!I62*(1)-'Assumptions'!I67-(0))+(('Forecast'!H12)*('Assumptions'!H67+(0))))*'DCF'!I12/(1+(G$40))^'DCF'!I13)+('Forecast'!I12)*(1+($E43))*('Terminal Value'!$E$10+(0))*(1-'Assumptions'!$E$15-(0))*(1-($E43)/('Terminal Value'!$E$12))/((G$40)-($E43))/(1+(G$40))^'DCF'!$E$19)+'Equity Bridge'!$E$17)/'Equity Bridge'!$E$20</x:f>
        <x:v>323.3394576776526</x:v>
      </x:c>
      <x:c r="H43" s="215" t="n">
        <x:f>((SUM((('Forecast'!E12)*(('Assumptions'!E37+(0))*(1-'Assumptions'!E42-(0))+'Assumptions'!E47-'Assumptions'!E52*(1)+'Assumptions'!E57-'Assumptions'!E62*(1)-'Assumptions'!E67-(0))+('Working Capital'!$E$6))*'DCF'!E12/(1+(H$40))^'DCF'!E13,(('Forecast'!F12)*(('Assumptions'!F37+(0))*(1-'Assumptions'!F42-(0))+'Assumptions'!F47-'Assumptions'!F52*(1)+'Assumptions'!F57-'Assumptions'!F62*(1)-'Assumptions'!F67-(0))+(('Forecast'!E12)*('Assumptions'!E67+(0))))*'DCF'!F12/(1+(H$40))^'DCF'!F13,(('Forecast'!G12)*(('Assumptions'!G37+(0))*(1-'Assumptions'!G42-(0))+'Assumptions'!G47-'Assumptions'!G52*(1)+'Assumptions'!G57-'Assumptions'!G62*(1)-'Assumptions'!G67-(0))+(('Forecast'!F12)*('Assumptions'!F67+(0))))*'DCF'!G12/(1+(H$40))^'DCF'!G13,(('Forecast'!H12)*(('Assumptions'!H37+(0))*(1-'Assumptions'!H42-(0))+'Assumptions'!H47-'Assumptions'!H52*(1)+'Assumptions'!H57-'Assumptions'!H62*(1)-'Assumptions'!H67-(0))+(('Forecast'!G12)*('Assumptions'!G67+(0))))*'DCF'!H12/(1+(H$40))^'DCF'!H13,(('Forecast'!I12)*(('Assumptions'!I37+(0))*(1-'Assumptions'!I42-(0))+'Assumptions'!I47-'Assumptions'!I52*(1)+'Assumptions'!I57-'Assumptions'!I62*(1)-'Assumptions'!I67-(0))+(('Forecast'!H12)*('Assumptions'!H67+(0))))*'DCF'!I12/(1+(H$40))^'DCF'!I13)+('Forecast'!I12)*(1+($E43))*('Terminal Value'!$E$10+(0))*(1-'Assumptions'!$E$15-(0))*(1-($E43)/('Terminal Value'!$E$12))/((H$40)-($E43))/(1+(H$40))^'DCF'!$E$19)+'Equity Bridge'!$E$17)/'Equity Bridge'!$E$20</x:f>
        <x:v>297.8424731306598</x:v>
      </x:c>
      <x:c r="I43" s="215" t="n">
        <x:f>((SUM((('Forecast'!E12)*(('Assumptions'!E37+(0))*(1-'Assumptions'!E42-(0))+'Assumptions'!E47-'Assumptions'!E52*(1)+'Assumptions'!E57-'Assumptions'!E62*(1)-'Assumptions'!E67-(0))+('Working Capital'!$E$6))*'DCF'!E12/(1+(I$40))^'DCF'!E13,(('Forecast'!F12)*(('Assumptions'!F37+(0))*(1-'Assumptions'!F42-(0))+'Assumptions'!F47-'Assumptions'!F52*(1)+'Assumptions'!F57-'Assumptions'!F62*(1)-'Assumptions'!F67-(0))+(('Forecast'!E12)*('Assumptions'!E67+(0))))*'DCF'!F12/(1+(I$40))^'DCF'!F13,(('Forecast'!G12)*(('Assumptions'!G37+(0))*(1-'Assumptions'!G42-(0))+'Assumptions'!G47-'Assumptions'!G52*(1)+'Assumptions'!G57-'Assumptions'!G62*(1)-'Assumptions'!G67-(0))+(('Forecast'!F12)*('Assumptions'!F67+(0))))*'DCF'!G12/(1+(I$40))^'DCF'!G13,(('Forecast'!H12)*(('Assumptions'!H37+(0))*(1-'Assumptions'!H42-(0))+'Assumptions'!H47-'Assumptions'!H52*(1)+'Assumptions'!H57-'Assumptions'!H62*(1)-'Assumptions'!H67-(0))+(('Forecast'!G12)*('Assumptions'!G67+(0))))*'DCF'!H12/(1+(I$40))^'DCF'!H13,(('Forecast'!I12)*(('Assumptions'!I37+(0))*(1-'Assumptions'!I42-(0))+'Assumptions'!I47-'Assumptions'!I52*(1)+'Assumptions'!I57-'Assumptions'!I62*(1)-'Assumptions'!I67-(0))+(('Forecast'!H12)*('Assumptions'!H67+(0))))*'DCF'!I12/(1+(I$40))^'DCF'!I13)+('Forecast'!I12)*(1+($E43))*('Terminal Value'!$E$10+(0))*(1-'Assumptions'!$E$15-(0))*(1-($E43)/('Terminal Value'!$E$12))/((I$40)-($E43))/(1+(I$40))^'DCF'!$E$19)+'Equity Bridge'!$E$17)/'Equity Bridge'!$E$20</x:f>
        <x:v>275.8692269514788</x:v>
      </x:c>
      <x:c r="J43" s="145" t="n">
        <x:f>((SUM((('Forecast'!E12)*(('Assumptions'!E37+(0))*(1-'Assumptions'!E42-(0))+'Assumptions'!E47-'Assumptions'!E52*(1)+'Assumptions'!E57-'Assumptions'!E62*(1)-'Assumptions'!E67-(0))+('Working Capital'!$E$6))*'DCF'!E12/(1+(J$40))^'DCF'!E13,(('Forecast'!F12)*(('Assumptions'!F37+(0))*(1-'Assumptions'!F42-(0))+'Assumptions'!F47-'Assumptions'!F52*(1)+'Assumptions'!F57-'Assumptions'!F62*(1)-'Assumptions'!F67-(0))+(('Forecast'!E12)*('Assumptions'!E67+(0))))*'DCF'!F12/(1+(J$40))^'DCF'!F13,(('Forecast'!G12)*(('Assumptions'!G37+(0))*(1-'Assumptions'!G42-(0))+'Assumptions'!G47-'Assumptions'!G52*(1)+'Assumptions'!G57-'Assumptions'!G62*(1)-'Assumptions'!G67-(0))+(('Forecast'!F12)*('Assumptions'!F67+(0))))*'DCF'!G12/(1+(J$40))^'DCF'!G13,(('Forecast'!H12)*(('Assumptions'!H37+(0))*(1-'Assumptions'!H42-(0))+'Assumptions'!H47-'Assumptions'!H52*(1)+'Assumptions'!H57-'Assumptions'!H62*(1)-'Assumptions'!H67-(0))+(('Forecast'!G12)*('Assumptions'!G67+(0))))*'DCF'!H12/(1+(J$40))^'DCF'!H13,(('Forecast'!I12)*(('Assumptions'!I37+(0))*(1-'Assumptions'!I42-(0))+'Assumptions'!I47-'Assumptions'!I52*(1)+'Assumptions'!I57-'Assumptions'!I62*(1)-'Assumptions'!I67-(0))+(('Forecast'!H12)*('Assumptions'!H67+(0))))*'DCF'!I12/(1+(J$40))^'DCF'!I13)+('Forecast'!I12)*(1+($E43))*('Terminal Value'!$E$10+(0))*(1-'Assumptions'!$E$15-(0))*(1-($E43)/('Terminal Value'!$E$12))/((J$40)-($E43))/(1+(J$40))^'DCF'!$E$19)+'Equity Bridge'!$E$17)/'Equity Bridge'!$E$20</x:f>
        <x:v>256.742204519062</x:v>
      </x:c>
      <x:c r="K43" s="145" t="n">
        <x:f>((SUM((('Forecast'!E12)*(('Assumptions'!E37+(0))*(1-'Assumptions'!E42-(0))+'Assumptions'!E47-'Assumptions'!E52*(1)+'Assumptions'!E57-'Assumptions'!E62*(1)-'Assumptions'!E67-(0))+('Working Capital'!$E$6))*'DCF'!E12/(1+(K$40))^'DCF'!E13,(('Forecast'!F12)*(('Assumptions'!F37+(0))*(1-'Assumptions'!F42-(0))+'Assumptions'!F47-'Assumptions'!F52*(1)+'Assumptions'!F57-'Assumptions'!F62*(1)-'Assumptions'!F67-(0))+(('Forecast'!E12)*('Assumptions'!E67+(0))))*'DCF'!F12/(1+(K$40))^'DCF'!F13,(('Forecast'!G12)*(('Assumptions'!G37+(0))*(1-'Assumptions'!G42-(0))+'Assumptions'!G47-'Assumptions'!G52*(1)+'Assumptions'!G57-'Assumptions'!G62*(1)-'Assumptions'!G67-(0))+(('Forecast'!F12)*('Assumptions'!F67+(0))))*'DCF'!G12/(1+(K$40))^'DCF'!G13,(('Forecast'!H12)*(('Assumptions'!H37+(0))*(1-'Assumptions'!H42-(0))+'Assumptions'!H47-'Assumptions'!H52*(1)+'Assumptions'!H57-'Assumptions'!H62*(1)-'Assumptions'!H67-(0))+(('Forecast'!G12)*('Assumptions'!G67+(0))))*'DCF'!H12/(1+(K$40))^'DCF'!H13,(('Forecast'!I12)*(('Assumptions'!I37+(0))*(1-'Assumptions'!I42-(0))+'Assumptions'!I47-'Assumptions'!I52*(1)+'Assumptions'!I57-'Assumptions'!I62*(1)-'Assumptions'!I67-(0))+(('Forecast'!H12)*('Assumptions'!H67+(0))))*'DCF'!I12/(1+(K$40))^'DCF'!I13)+('Forecast'!I12)*(1+($E43))*('Terminal Value'!$E$10+(0))*(1-'Assumptions'!$E$15-(0))*(1-($E43)/('Terminal Value'!$E$12))/((K$40)-($E43))/(1+(K$40))^'DCF'!$E$19)+'Equity Bridge'!$E$17)/'Equity Bridge'!$E$20</x:f>
        <x:v>239.9469096764858</x:v>
      </x:c>
      <x:c r="L43" s="145" t="n">
        <x:f>((SUM((('Forecast'!E12)*(('Assumptions'!E37+(0))*(1-'Assumptions'!E42-(0))+'Assumptions'!E47-'Assumptions'!E52*(1)+'Assumptions'!E57-'Assumptions'!E62*(1)-'Assumptions'!E67-(0))+('Working Capital'!$E$6))*'DCF'!E12/(1+(L$40))^'DCF'!E13,(('Forecast'!F12)*(('Assumptions'!F37+(0))*(1-'Assumptions'!F42-(0))+'Assumptions'!F47-'Assumptions'!F52*(1)+'Assumptions'!F57-'Assumptions'!F62*(1)-'Assumptions'!F67-(0))+(('Forecast'!E12)*('Assumptions'!E67+(0))))*'DCF'!F12/(1+(L$40))^'DCF'!F13,(('Forecast'!G12)*(('Assumptions'!G37+(0))*(1-'Assumptions'!G42-(0))+'Assumptions'!G47-'Assumptions'!G52*(1)+'Assumptions'!G57-'Assumptions'!G62*(1)-'Assumptions'!G67-(0))+(('Forecast'!F12)*('Assumptions'!F67+(0))))*'DCF'!G12/(1+(L$40))^'DCF'!G13,(('Forecast'!H12)*(('Assumptions'!H37+(0))*(1-'Assumptions'!H42-(0))+'Assumptions'!H47-'Assumptions'!H52*(1)+'Assumptions'!H57-'Assumptions'!H62*(1)-'Assumptions'!H67-(0))+(('Forecast'!G12)*('Assumptions'!G67+(0))))*'DCF'!H12/(1+(L$40))^'DCF'!H13,(('Forecast'!I12)*(('Assumptions'!I37+(0))*(1-'Assumptions'!I42-(0))+'Assumptions'!I47-'Assumptions'!I52*(1)+'Assumptions'!I57-'Assumptions'!I62*(1)-'Assumptions'!I67-(0))+(('Forecast'!H12)*('Assumptions'!H67+(0))))*'DCF'!I12/(1+(L$40))^'DCF'!I13)+('Forecast'!I12)*(1+($E43))*('Terminal Value'!$E$10+(0))*(1-'Assumptions'!$E$15-(0))*(1-($E43)/('Terminal Value'!$E$12))/((L$40)-($E43))/(1+(L$40))^'DCF'!$E$19)+'Equity Bridge'!$E$17)/'Equity Bridge'!$E$20</x:f>
        <x:v>225.0856249520773</x:v>
      </x:c>
      <x:c r="M43" s="136"/>
      <x:c r="N43" s="136"/>
      <x:c r="O43" s="136"/>
      <x:c r="P43" s="136"/>
      <x:c r="Q43" s="136"/>
      <x:c r="R43" s="136"/>
      <x:c r="S43" s="136"/>
      <x:c r="T43" s="136"/>
      <x:c r="U43" s="136"/>
      <x:c r="V43" s="136"/>
      <x:c r="W43" s="136"/>
      <x:c r="X43" s="136"/>
      <x:c r="Y43" s="136"/>
      <x:c r="Z43" s="136"/>
    </x:row>
    <x:row r="44" ht="24" customHeight="1">
      <x:c r="A44" s="136"/>
      <x:c r="B44" s="136"/>
      <x:c r="C44" s="136"/>
      <x:c r="D44" s="136"/>
      <x:c r="E44" s="218" t="n">
        <x:f>'Assumptions'!$E$74+(3-3)*0.005</x:f>
        <x:v>0.03</x:v>
      </x:c>
      <x:c r="F44" s="215" t="n">
        <x:f>((SUM((('Forecast'!E12)*(('Assumptions'!E37+(0))*(1-'Assumptions'!E42-(0))+'Assumptions'!E47-'Assumptions'!E52*(1)+'Assumptions'!E57-'Assumptions'!E62*(1)-'Assumptions'!E67-(0))+('Working Capital'!$E$6))*'DCF'!E12/(1+(F$40))^'DCF'!E13,(('Forecast'!F12)*(('Assumptions'!F37+(0))*(1-'Assumptions'!F42-(0))+'Assumptions'!F47-'Assumptions'!F52*(1)+'Assumptions'!F57-'Assumptions'!F62*(1)-'Assumptions'!F67-(0))+(('Forecast'!E12)*('Assumptions'!E67+(0))))*'DCF'!F12/(1+(F$40))^'DCF'!F13,(('Forecast'!G12)*(('Assumptions'!G37+(0))*(1-'Assumptions'!G42-(0))+'Assumptions'!G47-'Assumptions'!G52*(1)+'Assumptions'!G57-'Assumptions'!G62*(1)-'Assumptions'!G67-(0))+(('Forecast'!F12)*('Assumptions'!F67+(0))))*'DCF'!G12/(1+(F$40))^'DCF'!G13,(('Forecast'!H12)*(('Assumptions'!H37+(0))*(1-'Assumptions'!H42-(0))+'Assumptions'!H47-'Assumptions'!H52*(1)+'Assumptions'!H57-'Assumptions'!H62*(1)-'Assumptions'!H67-(0))+(('Forecast'!G12)*('Assumptions'!G67+(0))))*'DCF'!H12/(1+(F$40))^'DCF'!H13,(('Forecast'!I12)*(('Assumptions'!I37+(0))*(1-'Assumptions'!I42-(0))+'Assumptions'!I47-'Assumptions'!I52*(1)+'Assumptions'!I57-'Assumptions'!I62*(1)-'Assumptions'!I67-(0))+(('Forecast'!H12)*('Assumptions'!H67+(0))))*'DCF'!I12/(1+(F$40))^'DCF'!I13)+('Forecast'!I12)*(1+($E44))*('Terminal Value'!$E$10+(0))*(1-'Assumptions'!$E$15-(0))*(1-($E44)/('Terminal Value'!$E$12))/((F$40)-($E44))/(1+(F$40))^'DCF'!$E$19)+'Equity Bridge'!$E$17)/'Equity Bridge'!$E$20</x:f>
        <x:v>373.297372101432</x:v>
      </x:c>
      <x:c r="G44" s="215" t="n">
        <x:f>((SUM((('Forecast'!E12)*(('Assumptions'!E37+(0))*(1-'Assumptions'!E42-(0))+'Assumptions'!E47-'Assumptions'!E52*(1)+'Assumptions'!E57-'Assumptions'!E62*(1)-'Assumptions'!E67-(0))+('Working Capital'!$E$6))*'DCF'!E12/(1+(G$40))^'DCF'!E13,(('Forecast'!F12)*(('Assumptions'!F37+(0))*(1-'Assumptions'!F42-(0))+'Assumptions'!F47-'Assumptions'!F52*(1)+'Assumptions'!F57-'Assumptions'!F62*(1)-'Assumptions'!F67-(0))+(('Forecast'!E12)*('Assumptions'!E67+(0))))*'DCF'!F12/(1+(G$40))^'DCF'!F13,(('Forecast'!G12)*(('Assumptions'!G37+(0))*(1-'Assumptions'!G42-(0))+'Assumptions'!G47-'Assumptions'!G52*(1)+'Assumptions'!G57-'Assumptions'!G62*(1)-'Assumptions'!G67-(0))+(('Forecast'!F12)*('Assumptions'!F67+(0))))*'DCF'!G12/(1+(G$40))^'DCF'!G13,(('Forecast'!H12)*(('Assumptions'!H37+(0))*(1-'Assumptions'!H42-(0))+'Assumptions'!H47-'Assumptions'!H52*(1)+'Assumptions'!H57-'Assumptions'!H62*(1)-'Assumptions'!H67-(0))+(('Forecast'!G12)*('Assumptions'!G67+(0))))*'DCF'!H12/(1+(G$40))^'DCF'!H13,(('Forecast'!I12)*(('Assumptions'!I37+(0))*(1-'Assumptions'!I42-(0))+'Assumptions'!I47-'Assumptions'!I52*(1)+'Assumptions'!I57-'Assumptions'!I62*(1)-'Assumptions'!I67-(0))+(('Forecast'!H12)*('Assumptions'!H67+(0))))*'DCF'!I12/(1+(G$40))^'DCF'!I13)+('Forecast'!I12)*(1+($E44))*('Terminal Value'!$E$10+(0))*(1-'Assumptions'!$E$15-(0))*(1-($E44)/('Terminal Value'!$E$12))/((G$40)-($E44))/(1+(G$40))^'DCF'!$E$19)+'Equity Bridge'!$E$17)/'Equity Bridge'!$E$20</x:f>
        <x:v>339.2876336341338</x:v>
      </x:c>
      <x:c r="H44" s="215" t="n">
        <x:f>((SUM((('Forecast'!E12)*(('Assumptions'!E37+(0))*(1-'Assumptions'!E42-(0))+'Assumptions'!E47-'Assumptions'!E52*(1)+'Assumptions'!E57-'Assumptions'!E62*(1)-'Assumptions'!E67-(0))+('Working Capital'!$E$6))*'DCF'!E12/(1+(H$40))^'DCF'!E13,(('Forecast'!F12)*(('Assumptions'!F37+(0))*(1-'Assumptions'!F42-(0))+'Assumptions'!F47-'Assumptions'!F52*(1)+'Assumptions'!F57-'Assumptions'!F62*(1)-'Assumptions'!F67-(0))+(('Forecast'!E12)*('Assumptions'!E67+(0))))*'DCF'!F12/(1+(H$40))^'DCF'!F13,(('Forecast'!G12)*(('Assumptions'!G37+(0))*(1-'Assumptions'!G42-(0))+'Assumptions'!G47-'Assumptions'!G52*(1)+'Assumptions'!G57-'Assumptions'!G62*(1)-'Assumptions'!G67-(0))+(('Forecast'!F12)*('Assumptions'!F67+(0))))*'DCF'!G12/(1+(H$40))^'DCF'!G13,(('Forecast'!H12)*(('Assumptions'!H37+(0))*(1-'Assumptions'!H42-(0))+'Assumptions'!H47-'Assumptions'!H52*(1)+'Assumptions'!H57-'Assumptions'!H62*(1)-'Assumptions'!H67-(0))+(('Forecast'!G12)*('Assumptions'!G67+(0))))*'DCF'!H12/(1+(H$40))^'DCF'!H13,(('Forecast'!I12)*(('Assumptions'!I37+(0))*(1-'Assumptions'!I42-(0))+'Assumptions'!I47-'Assumptions'!I52*(1)+'Assumptions'!I57-'Assumptions'!I62*(1)-'Assumptions'!I67-(0))+(('Forecast'!H12)*('Assumptions'!H67+(0))))*'DCF'!I12/(1+(H$40))^'DCF'!I13)+('Forecast'!I12)*(1+($E44))*('Terminal Value'!$E$10+(0))*(1-'Assumptions'!$E$15-(0))*(1-($E44)/('Terminal Value'!$E$12))/((H$40)-($E44))/(1+(H$40))^'DCF'!$E$19)+'Equity Bridge'!$E$17)/'Equity Bridge'!$E$20</x:f>
        <x:v>310.7045109308089</x:v>
      </x:c>
      <x:c r="I44" s="215" t="n">
        <x:f>((SUM((('Forecast'!E12)*(('Assumptions'!E37+(0))*(1-'Assumptions'!E42-(0))+'Assumptions'!E47-'Assumptions'!E52*(1)+'Assumptions'!E57-'Assumptions'!E62*(1)-'Assumptions'!E67-(0))+('Working Capital'!$E$6))*'DCF'!E12/(1+(I$40))^'DCF'!E13,(('Forecast'!F12)*(('Assumptions'!F37+(0))*(1-'Assumptions'!F42-(0))+'Assumptions'!F47-'Assumptions'!F52*(1)+'Assumptions'!F57-'Assumptions'!F62*(1)-'Assumptions'!F67-(0))+(('Forecast'!E12)*('Assumptions'!E67+(0))))*'DCF'!F12/(1+(I$40))^'DCF'!F13,(('Forecast'!G12)*(('Assumptions'!G37+(0))*(1-'Assumptions'!G42-(0))+'Assumptions'!G47-'Assumptions'!G52*(1)+'Assumptions'!G57-'Assumptions'!G62*(1)-'Assumptions'!G67-(0))+(('Forecast'!F12)*('Assumptions'!F67+(0))))*'DCF'!G12/(1+(I$40))^'DCF'!G13,(('Forecast'!H12)*(('Assumptions'!H37+(0))*(1-'Assumptions'!H42-(0))+'Assumptions'!H47-'Assumptions'!H52*(1)+'Assumptions'!H57-'Assumptions'!H62*(1)-'Assumptions'!H67-(0))+(('Forecast'!G12)*('Assumptions'!G67+(0))))*'DCF'!H12/(1+(I$40))^'DCF'!H13,(('Forecast'!I12)*(('Assumptions'!I37+(0))*(1-'Assumptions'!I42-(0))+'Assumptions'!I47-'Assumptions'!I52*(1)+'Assumptions'!I57-'Assumptions'!I62*(1)-'Assumptions'!I67-(0))+(('Forecast'!H12)*('Assumptions'!H67+(0))))*'DCF'!I12/(1+(I$40))^'DCF'!I13)+('Forecast'!I12)*(1+($E44))*('Terminal Value'!$E$10+(0))*(1-'Assumptions'!$E$15-(0))*(1-($E44)/('Terminal Value'!$E$12))/((I$40)-($E44))/(1+(I$40))^'DCF'!$E$19)+'Equity Bridge'!$E$17)/'Equity Bridge'!$E$20</x:f>
        <x:v>286.352254691553</x:v>
      </x:c>
      <x:c r="J44" s="145" t="n">
        <x:f>((SUM((('Forecast'!E12)*(('Assumptions'!E37+(0))*(1-'Assumptions'!E42-(0))+'Assumptions'!E47-'Assumptions'!E52*(1)+'Assumptions'!E57-'Assumptions'!E62*(1)-'Assumptions'!E67-(0))+('Working Capital'!$E$6))*'DCF'!E12/(1+(J$40))^'DCF'!E13,(('Forecast'!F12)*(('Assumptions'!F37+(0))*(1-'Assumptions'!F42-(0))+'Assumptions'!F47-'Assumptions'!F52*(1)+'Assumptions'!F57-'Assumptions'!F62*(1)-'Assumptions'!F67-(0))+(('Forecast'!E12)*('Assumptions'!E67+(0))))*'DCF'!F12/(1+(J$40))^'DCF'!F13,(('Forecast'!G12)*(('Assumptions'!G37+(0))*(1-'Assumptions'!G42-(0))+'Assumptions'!G47-'Assumptions'!G52*(1)+'Assumptions'!G57-'Assumptions'!G62*(1)-'Assumptions'!G67-(0))+(('Forecast'!F12)*('Assumptions'!F67+(0))))*'DCF'!G12/(1+(J$40))^'DCF'!G13,(('Forecast'!H12)*(('Assumptions'!H37+(0))*(1-'Assumptions'!H42-(0))+'Assumptions'!H47-'Assumptions'!H52*(1)+'Assumptions'!H57-'Assumptions'!H62*(1)-'Assumptions'!H67-(0))+(('Forecast'!G12)*('Assumptions'!G67+(0))))*'DCF'!H12/(1+(J$40))^'DCF'!H13,(('Forecast'!I12)*(('Assumptions'!I37+(0))*(1-'Assumptions'!I42-(0))+'Assumptions'!I47-'Assumptions'!I52*(1)+'Assumptions'!I57-'Assumptions'!I62*(1)-'Assumptions'!I67-(0))+(('Forecast'!H12)*('Assumptions'!H67+(0))))*'DCF'!I12/(1+(J$40))^'DCF'!I13)+('Forecast'!I12)*(1+($E44))*('Terminal Value'!$E$10+(0))*(1-'Assumptions'!$E$15-(0))*(1-($E44)/('Terminal Value'!$E$12))/((J$40)-($E44))/(1+(J$40))^'DCF'!$E$19)+'Equity Bridge'!$E$17)/'Equity Bridge'!$E$20</x:f>
        <x:v>265.3621299045265</x:v>
      </x:c>
      <x:c r="K44" s="145" t="n">
        <x:f>((SUM((('Forecast'!E12)*(('Assumptions'!E37+(0))*(1-'Assumptions'!E42-(0))+'Assumptions'!E47-'Assumptions'!E52*(1)+'Assumptions'!E57-'Assumptions'!E62*(1)-'Assumptions'!E67-(0))+('Working Capital'!$E$6))*'DCF'!E12/(1+(K$40))^'DCF'!E13,(('Forecast'!F12)*(('Assumptions'!F37+(0))*(1-'Assumptions'!F42-(0))+'Assumptions'!F47-'Assumptions'!F52*(1)+'Assumptions'!F57-'Assumptions'!F62*(1)-'Assumptions'!F67-(0))+(('Forecast'!E12)*('Assumptions'!E67+(0))))*'DCF'!F12/(1+(K$40))^'DCF'!F13,(('Forecast'!G12)*(('Assumptions'!G37+(0))*(1-'Assumptions'!G42-(0))+'Assumptions'!G47-'Assumptions'!G52*(1)+'Assumptions'!G57-'Assumptions'!G62*(1)-'Assumptions'!G67-(0))+(('Forecast'!F12)*('Assumptions'!F67+(0))))*'DCF'!G12/(1+(K$40))^'DCF'!G13,(('Forecast'!H12)*(('Assumptions'!H37+(0))*(1-'Assumptions'!H42-(0))+'Assumptions'!H47-'Assumptions'!H52*(1)+'Assumptions'!H57-'Assumptions'!H62*(1)-'Assumptions'!H67-(0))+(('Forecast'!G12)*('Assumptions'!G67+(0))))*'DCF'!H12/(1+(K$40))^'DCF'!H13,(('Forecast'!I12)*(('Assumptions'!I37+(0))*(1-'Assumptions'!I42-(0))+'Assumptions'!I47-'Assumptions'!I52*(1)+'Assumptions'!I57-'Assumptions'!I62*(1)-'Assumptions'!I67-(0))+(('Forecast'!H12)*('Assumptions'!H67+(0))))*'DCF'!I12/(1+(K$40))^'DCF'!I13)+('Forecast'!I12)*(1+($E44))*('Terminal Value'!$E$10+(0))*(1-'Assumptions'!$E$15-(0))*(1-($E44)/('Terminal Value'!$E$12))/((K$40)-($E44))/(1+(K$40))^'DCF'!$E$19)+'Equity Bridge'!$E$17)/'Equity Bridge'!$E$20</x:f>
        <x:v>247.0877902639367</x:v>
      </x:c>
      <x:c r="L44" s="145" t="n">
        <x:f>((SUM((('Forecast'!E12)*(('Assumptions'!E37+(0))*(1-'Assumptions'!E42-(0))+'Assumptions'!E47-'Assumptions'!E52*(1)+'Assumptions'!E57-'Assumptions'!E62*(1)-'Assumptions'!E67-(0))+('Working Capital'!$E$6))*'DCF'!E12/(1+(L$40))^'DCF'!E13,(('Forecast'!F12)*(('Assumptions'!F37+(0))*(1-'Assumptions'!F42-(0))+'Assumptions'!F47-'Assumptions'!F52*(1)+'Assumptions'!F57-'Assumptions'!F62*(1)-'Assumptions'!F67-(0))+(('Forecast'!E12)*('Assumptions'!E67+(0))))*'DCF'!F12/(1+(L$40))^'DCF'!F13,(('Forecast'!G12)*(('Assumptions'!G37+(0))*(1-'Assumptions'!G42-(0))+'Assumptions'!G47-'Assumptions'!G52*(1)+'Assumptions'!G57-'Assumptions'!G62*(1)-'Assumptions'!G67-(0))+(('Forecast'!F12)*('Assumptions'!F67+(0))))*'DCF'!G12/(1+(L$40))^'DCF'!G13,(('Forecast'!H12)*(('Assumptions'!H37+(0))*(1-'Assumptions'!H42-(0))+'Assumptions'!H47-'Assumptions'!H52*(1)+'Assumptions'!H57-'Assumptions'!H62*(1)-'Assumptions'!H67-(0))+(('Forecast'!G12)*('Assumptions'!G67+(0))))*'DCF'!H12/(1+(L$40))^'DCF'!H13,(('Forecast'!I12)*(('Assumptions'!I37+(0))*(1-'Assumptions'!I42-(0))+'Assumptions'!I47-'Assumptions'!I52*(1)+'Assumptions'!I57-'Assumptions'!I62*(1)-'Assumptions'!I67-(0))+(('Forecast'!H12)*('Assumptions'!H67+(0))))*'DCF'!I12/(1+(L$40))^'DCF'!I13)+('Forecast'!I12)*(1+($E44))*('Terminal Value'!$E$10+(0))*(1-'Assumptions'!$E$15-(0))*(1-($E44)/('Terminal Value'!$E$12))/((L$40)-($E44))/(1+(L$40))^'DCF'!$E$19)+'Equity Bridge'!$E$17)/'Equity Bridge'!$E$20</x:f>
        <x:v>231.0384052857785</x:v>
      </x:c>
      <x:c r="M44" s="136"/>
      <x:c r="N44" s="136"/>
      <x:c r="O44" s="136"/>
      <x:c r="P44" s="136"/>
      <x:c r="Q44" s="136"/>
      <x:c r="R44" s="136"/>
      <x:c r="S44" s="136"/>
      <x:c r="T44" s="136"/>
      <x:c r="U44" s="136"/>
      <x:c r="V44" s="136"/>
      <x:c r="W44" s="136"/>
      <x:c r="X44" s="136"/>
      <x:c r="Y44" s="136"/>
      <x:c r="Z44" s="136"/>
    </x:row>
    <x:row r="45" ht="24" customHeight="1">
      <x:c r="A45" s="136"/>
      <x:c r="B45" s="136"/>
      <x:c r="C45" s="136"/>
      <x:c r="D45" s="136"/>
      <x:c r="E45" s="218" t="n">
        <x:f>'Assumptions'!$E$74+(4-3)*0.005</x:f>
        <x:v>0.034999999999999996</x:v>
      </x:c>
      <x:c r="F45" s="215" t="n">
        <x:f>((SUM((('Forecast'!E12)*(('Assumptions'!E37+(0))*(1-'Assumptions'!E42-(0))+'Assumptions'!E47-'Assumptions'!E52*(1)+'Assumptions'!E57-'Assumptions'!E62*(1)-'Assumptions'!E67-(0))+('Working Capital'!$E$6))*'DCF'!E12/(1+(F$40))^'DCF'!E13,(('Forecast'!F12)*(('Assumptions'!F37+(0))*(1-'Assumptions'!F42-(0))+'Assumptions'!F47-'Assumptions'!F52*(1)+'Assumptions'!F57-'Assumptions'!F62*(1)-'Assumptions'!F67-(0))+(('Forecast'!E12)*('Assumptions'!E67+(0))))*'DCF'!F12/(1+(F$40))^'DCF'!F13,(('Forecast'!G12)*(('Assumptions'!G37+(0))*(1-'Assumptions'!G42-(0))+'Assumptions'!G47-'Assumptions'!G52*(1)+'Assumptions'!G57-'Assumptions'!G62*(1)-'Assumptions'!G67-(0))+(('Forecast'!F12)*('Assumptions'!F67+(0))))*'DCF'!G12/(1+(F$40))^'DCF'!G13,(('Forecast'!H12)*(('Assumptions'!H37+(0))*(1-'Assumptions'!H42-(0))+'Assumptions'!H47-'Assumptions'!H52*(1)+'Assumptions'!H57-'Assumptions'!H62*(1)-'Assumptions'!H67-(0))+(('Forecast'!G12)*('Assumptions'!G67+(0))))*'DCF'!H12/(1+(F$40))^'DCF'!H13,(('Forecast'!I12)*(('Assumptions'!I37+(0))*(1-'Assumptions'!I42-(0))+'Assumptions'!I47-'Assumptions'!I52*(1)+'Assumptions'!I57-'Assumptions'!I62*(1)-'Assumptions'!I67-(0))+(('Forecast'!H12)*('Assumptions'!H67+(0))))*'DCF'!I12/(1+(F$40))^'DCF'!I13)+('Forecast'!I12)*(1+($E45))*('Terminal Value'!$E$10+(0))*(1-'Assumptions'!$E$15-(0))*(1-($E45)/('Terminal Value'!$E$12))/((F$40)-($E45))/(1+(F$40))^'DCF'!$E$19)+'Equity Bridge'!$E$17)/'Equity Bridge'!$E$20</x:f>
        <x:v>397.3848421547857</x:v>
      </x:c>
      <x:c r="G45" s="215" t="n">
        <x:f>((SUM((('Forecast'!E12)*(('Assumptions'!E37+(0))*(1-'Assumptions'!E42-(0))+'Assumptions'!E47-'Assumptions'!E52*(1)+'Assumptions'!E57-'Assumptions'!E62*(1)-'Assumptions'!E67-(0))+('Working Capital'!$E$6))*'DCF'!E12/(1+(G$40))^'DCF'!E13,(('Forecast'!F12)*(('Assumptions'!F37+(0))*(1-'Assumptions'!F42-(0))+'Assumptions'!F47-'Assumptions'!F52*(1)+'Assumptions'!F57-'Assumptions'!F62*(1)-'Assumptions'!F67-(0))+(('Forecast'!E12)*('Assumptions'!E67+(0))))*'DCF'!F12/(1+(G$40))^'DCF'!F13,(('Forecast'!G12)*(('Assumptions'!G37+(0))*(1-'Assumptions'!G42-(0))+'Assumptions'!G47-'Assumptions'!G52*(1)+'Assumptions'!G57-'Assumptions'!G62*(1)-'Assumptions'!G67-(0))+(('Forecast'!F12)*('Assumptions'!F67+(0))))*'DCF'!G12/(1+(G$40))^'DCF'!G13,(('Forecast'!H12)*(('Assumptions'!H37+(0))*(1-'Assumptions'!H42-(0))+'Assumptions'!H47-'Assumptions'!H52*(1)+'Assumptions'!H57-'Assumptions'!H62*(1)-'Assumptions'!H67-(0))+(('Forecast'!G12)*('Assumptions'!G67+(0))))*'DCF'!H12/(1+(G$40))^'DCF'!H13,(('Forecast'!I12)*(('Assumptions'!I37+(0))*(1-'Assumptions'!I42-(0))+'Assumptions'!I47-'Assumptions'!I52*(1)+'Assumptions'!I57-'Assumptions'!I62*(1)-'Assumptions'!I67-(0))+(('Forecast'!H12)*('Assumptions'!H67+(0))))*'DCF'!I12/(1+(G$40))^'DCF'!I13)+('Forecast'!I12)*(1+($E45))*('Terminal Value'!$E$10+(0))*(1-'Assumptions'!$E$15-(0))*(1-($E45)/('Terminal Value'!$E$12))/((G$40)-($E45))/(1+(G$40))^'DCF'!$E$19)+'Equity Bridge'!$E$17)/'Equity Bridge'!$E$20</x:f>
        <x:v>358.1490874379041</x:v>
      </x:c>
      <x:c r="H45" s="215" t="n">
        <x:f>((SUM((('Forecast'!E12)*(('Assumptions'!E37+(0))*(1-'Assumptions'!E42-(0))+'Assumptions'!E47-'Assumptions'!E52*(1)+'Assumptions'!E57-'Assumptions'!E62*(1)-'Assumptions'!E67-(0))+('Working Capital'!$E$6))*'DCF'!E12/(1+(H$40))^'DCF'!E13,(('Forecast'!F12)*(('Assumptions'!F37+(0))*(1-'Assumptions'!F42-(0))+'Assumptions'!F47-'Assumptions'!F52*(1)+'Assumptions'!F57-'Assumptions'!F62*(1)-'Assumptions'!F67-(0))+(('Forecast'!E12)*('Assumptions'!E67+(0))))*'DCF'!F12/(1+(H$40))^'DCF'!F13,(('Forecast'!G12)*(('Assumptions'!G37+(0))*(1-'Assumptions'!G42-(0))+'Assumptions'!G47-'Assumptions'!G52*(1)+'Assumptions'!G57-'Assumptions'!G62*(1)-'Assumptions'!G67-(0))+(('Forecast'!F12)*('Assumptions'!F67+(0))))*'DCF'!G12/(1+(H$40))^'DCF'!G13,(('Forecast'!H12)*(('Assumptions'!H37+(0))*(1-'Assumptions'!H42-(0))+'Assumptions'!H47-'Assumptions'!H52*(1)+'Assumptions'!H57-'Assumptions'!H62*(1)-'Assumptions'!H67-(0))+(('Forecast'!G12)*('Assumptions'!G67+(0))))*'DCF'!H12/(1+(H$40))^'DCF'!H13,(('Forecast'!I12)*(('Assumptions'!I37+(0))*(1-'Assumptions'!I42-(0))+'Assumptions'!I47-'Assumptions'!I52*(1)+'Assumptions'!I57-'Assumptions'!I62*(1)-'Assumptions'!I67-(0))+(('Forecast'!H12)*('Assumptions'!H67+(0))))*'DCF'!I12/(1+(H$40))^'DCF'!I13)+('Forecast'!I12)*(1+($E45))*('Terminal Value'!$E$10+(0))*(1-'Assumptions'!$E$15-(0))*(1-($E45)/('Terminal Value'!$E$12))/((H$40)-($E45))/(1+(H$40))^'DCF'!$E$19)+'Equity Bridge'!$E$17)/'Equity Bridge'!$E$20</x:f>
        <x:v>325.7002013861111</x:v>
      </x:c>
      <x:c r="I45" s="215" t="n">
        <x:f>((SUM((('Forecast'!E12)*(('Assumptions'!E37+(0))*(1-'Assumptions'!E42-(0))+'Assumptions'!E47-'Assumptions'!E52*(1)+'Assumptions'!E57-'Assumptions'!E62*(1)-'Assumptions'!E67-(0))+('Working Capital'!$E$6))*'DCF'!E12/(1+(I$40))^'DCF'!E13,(('Forecast'!F12)*(('Assumptions'!F37+(0))*(1-'Assumptions'!F42-(0))+'Assumptions'!F47-'Assumptions'!F52*(1)+'Assumptions'!F57-'Assumptions'!F62*(1)-'Assumptions'!F67-(0))+(('Forecast'!E12)*('Assumptions'!E67+(0))))*'DCF'!F12/(1+(I$40))^'DCF'!F13,(('Forecast'!G12)*(('Assumptions'!G37+(0))*(1-'Assumptions'!G42-(0))+'Assumptions'!G47-'Assumptions'!G52*(1)+'Assumptions'!G57-'Assumptions'!G62*(1)-'Assumptions'!G67-(0))+(('Forecast'!F12)*('Assumptions'!F67+(0))))*'DCF'!G12/(1+(I$40))^'DCF'!G13,(('Forecast'!H12)*(('Assumptions'!H37+(0))*(1-'Assumptions'!H42-(0))+'Assumptions'!H47-'Assumptions'!H52*(1)+'Assumptions'!H57-'Assumptions'!H62*(1)-'Assumptions'!H67-(0))+(('Forecast'!G12)*('Assumptions'!G67+(0))))*'DCF'!H12/(1+(I$40))^'DCF'!H13,(('Forecast'!I12)*(('Assumptions'!I37+(0))*(1-'Assumptions'!I42-(0))+'Assumptions'!I47-'Assumptions'!I52*(1)+'Assumptions'!I57-'Assumptions'!I62*(1)-'Assumptions'!I67-(0))+(('Forecast'!H12)*('Assumptions'!H67+(0))))*'DCF'!I12/(1+(I$40))^'DCF'!I13)+('Forecast'!I12)*(1+($E45))*('Terminal Value'!$E$10+(0))*(1-'Assumptions'!$E$15-(0))*(1-($E45)/('Terminal Value'!$E$12))/((I$40)-($E45))/(1+(I$40))^'DCF'!$E$19)+'Equity Bridge'!$E$17)/'Equity Bridge'!$E$20</x:f>
        <x:v>298.4247368651495</x:v>
      </x:c>
      <x:c r="J45" s="145" t="n">
        <x:f>((SUM((('Forecast'!E12)*(('Assumptions'!E37+(0))*(1-'Assumptions'!E42-(0))+'Assumptions'!E47-'Assumptions'!E52*(1)+'Assumptions'!E57-'Assumptions'!E62*(1)-'Assumptions'!E67-(0))+('Working Capital'!$E$6))*'DCF'!E12/(1+(J$40))^'DCF'!E13,(('Forecast'!F12)*(('Assumptions'!F37+(0))*(1-'Assumptions'!F42-(0))+'Assumptions'!F47-'Assumptions'!F52*(1)+'Assumptions'!F57-'Assumptions'!F62*(1)-'Assumptions'!F67-(0))+(('Forecast'!E12)*('Assumptions'!E67+(0))))*'DCF'!F12/(1+(J$40))^'DCF'!F13,(('Forecast'!G12)*(('Assumptions'!G37+(0))*(1-'Assumptions'!G42-(0))+'Assumptions'!G47-'Assumptions'!G52*(1)+'Assumptions'!G57-'Assumptions'!G62*(1)-'Assumptions'!G67-(0))+(('Forecast'!F12)*('Assumptions'!F67+(0))))*'DCF'!G12/(1+(J$40))^'DCF'!G13,(('Forecast'!H12)*(('Assumptions'!H37+(0))*(1-'Assumptions'!H42-(0))+'Assumptions'!H47-'Assumptions'!H52*(1)+'Assumptions'!H57-'Assumptions'!H62*(1)-'Assumptions'!H67-(0))+(('Forecast'!G12)*('Assumptions'!G67+(0))))*'DCF'!H12/(1+(J$40))^'DCF'!H13,(('Forecast'!I12)*(('Assumptions'!I37+(0))*(1-'Assumptions'!I42-(0))+'Assumptions'!I47-'Assumptions'!I52*(1)+'Assumptions'!I57-'Assumptions'!I62*(1)-'Assumptions'!I67-(0))+(('Forecast'!H12)*('Assumptions'!H67+(0))))*'DCF'!I12/(1+(J$40))^'DCF'!I13)+('Forecast'!I12)*(1+($E45))*('Terminal Value'!$E$10+(0))*(1-'Assumptions'!$E$15-(0))*(1-($E45)/('Terminal Value'!$E$12))/((J$40)-($E45))/(1+(J$40))^'DCF'!$E$19)+'Equity Bridge'!$E$17)/'Equity Bridge'!$E$20</x:f>
        <x:v>275.1828514638673</x:v>
      </x:c>
      <x:c r="K45" s="145" t="n">
        <x:f>((SUM((('Forecast'!E12)*(('Assumptions'!E37+(0))*(1-'Assumptions'!E42-(0))+'Assumptions'!E47-'Assumptions'!E52*(1)+'Assumptions'!E57-'Assumptions'!E62*(1)-'Assumptions'!E67-(0))+('Working Capital'!$E$6))*'DCF'!E12/(1+(K$40))^'DCF'!E13,(('Forecast'!F12)*(('Assumptions'!F37+(0))*(1-'Assumptions'!F42-(0))+'Assumptions'!F47-'Assumptions'!F52*(1)+'Assumptions'!F57-'Assumptions'!F62*(1)-'Assumptions'!F67-(0))+(('Forecast'!E12)*('Assumptions'!E67+(0))))*'DCF'!F12/(1+(K$40))^'DCF'!F13,(('Forecast'!G12)*(('Assumptions'!G37+(0))*(1-'Assumptions'!G42-(0))+'Assumptions'!G47-'Assumptions'!G52*(1)+'Assumptions'!G57-'Assumptions'!G62*(1)-'Assumptions'!G67-(0))+(('Forecast'!F12)*('Assumptions'!F67+(0))))*'DCF'!G12/(1+(K$40))^'DCF'!G13,(('Forecast'!H12)*(('Assumptions'!H37+(0))*(1-'Assumptions'!H42-(0))+'Assumptions'!H47-'Assumptions'!H52*(1)+'Assumptions'!H57-'Assumptions'!H62*(1)-'Assumptions'!H67-(0))+(('Forecast'!G12)*('Assumptions'!G67+(0))))*'DCF'!H12/(1+(K$40))^'DCF'!H13,(('Forecast'!I12)*(('Assumptions'!I37+(0))*(1-'Assumptions'!I42-(0))+'Assumptions'!I47-'Assumptions'!I52*(1)+'Assumptions'!I57-'Assumptions'!I62*(1)-'Assumptions'!I67-(0))+(('Forecast'!H12)*('Assumptions'!H67+(0))))*'DCF'!I12/(1+(K$40))^'DCF'!I13)+('Forecast'!I12)*(1+($E45))*('Terminal Value'!$E$10+(0))*(1-'Assumptions'!$E$15-(0))*(1-($E45)/('Terminal Value'!$E$12))/((K$40)-($E45))/(1+(K$40))^'DCF'!$E$19)+'Equity Bridge'!$E$17)/'Equity Bridge'!$E$20</x:f>
        <x:v>255.1464238303965</x:v>
      </x:c>
      <x:c r="L45" s="145" t="n">
        <x:f>((SUM((('Forecast'!E12)*(('Assumptions'!E37+(0))*(1-'Assumptions'!E42-(0))+'Assumptions'!E47-'Assumptions'!E52*(1)+'Assumptions'!E57-'Assumptions'!E62*(1)-'Assumptions'!E67-(0))+('Working Capital'!$E$6))*'DCF'!E12/(1+(L$40))^'DCF'!E13,(('Forecast'!F12)*(('Assumptions'!F37+(0))*(1-'Assumptions'!F42-(0))+'Assumptions'!F47-'Assumptions'!F52*(1)+'Assumptions'!F57-'Assumptions'!F62*(1)-'Assumptions'!F67-(0))+(('Forecast'!E12)*('Assumptions'!E67+(0))))*'DCF'!F12/(1+(L$40))^'DCF'!F13,(('Forecast'!G12)*(('Assumptions'!G37+(0))*(1-'Assumptions'!G42-(0))+'Assumptions'!G47-'Assumptions'!G52*(1)+'Assumptions'!G57-'Assumptions'!G62*(1)-'Assumptions'!G67-(0))+(('Forecast'!F12)*('Assumptions'!F67+(0))))*'DCF'!G12/(1+(L$40))^'DCF'!G13,(('Forecast'!H12)*(('Assumptions'!H37+(0))*(1-'Assumptions'!H42-(0))+'Assumptions'!H47-'Assumptions'!H52*(1)+'Assumptions'!H57-'Assumptions'!H62*(1)-'Assumptions'!H67-(0))+(('Forecast'!G12)*('Assumptions'!G67+(0))))*'DCF'!H12/(1+(L$40))^'DCF'!H13,(('Forecast'!I12)*(('Assumptions'!I37+(0))*(1-'Assumptions'!I42-(0))+'Assumptions'!I47-'Assumptions'!I52*(1)+'Assumptions'!I57-'Assumptions'!I62*(1)-'Assumptions'!I67-(0))+(('Forecast'!H12)*('Assumptions'!H67+(0))))*'DCF'!I12/(1+(L$40))^'DCF'!I13)+('Forecast'!I12)*(1+($E45))*('Terminal Value'!$E$10+(0))*(1-'Assumptions'!$E$15-(0))*(1-($E45)/('Terminal Value'!$E$12))/((L$40)-($E45))/(1+(L$40))^'DCF'!$E$19)+'Equity Bridge'!$E$17)/'Equity Bridge'!$E$20</x:f>
        <x:v>237.6993211760276</x:v>
      </x:c>
      <x:c r="M45" s="136"/>
      <x:c r="N45" s="136"/>
      <x:c r="O45" s="136"/>
      <x:c r="P45" s="136"/>
      <x:c r="Q45" s="136"/>
      <x:c r="R45" s="136"/>
      <x:c r="S45" s="136"/>
      <x:c r="T45" s="136"/>
      <x:c r="U45" s="136"/>
      <x:c r="V45" s="136"/>
      <x:c r="W45" s="136"/>
      <x:c r="X45" s="136"/>
      <x:c r="Y45" s="136"/>
      <x:c r="Z45" s="136"/>
    </x:row>
    <x:row r="46" ht="24" customHeight="1">
      <x:c r="A46" s="136"/>
      <x:c r="B46" s="136"/>
      <x:c r="C46" s="136"/>
      <x:c r="D46" s="136"/>
      <x:c r="E46" s="218" t="n">
        <x:f>'Assumptions'!$E$74+(5-3)*0.005</x:f>
        <x:v>0.04</x:v>
      </x:c>
      <x:c r="F46" s="215" t="n">
        <x:f>((SUM((('Forecast'!E12)*(('Assumptions'!E37+(0))*(1-'Assumptions'!E42-(0))+'Assumptions'!E47-'Assumptions'!E52*(1)+'Assumptions'!E57-'Assumptions'!E62*(1)-'Assumptions'!E67-(0))+('Working Capital'!$E$6))*'DCF'!E12/(1+(F$40))^'DCF'!E13,(('Forecast'!F12)*(('Assumptions'!F37+(0))*(1-'Assumptions'!F42-(0))+'Assumptions'!F47-'Assumptions'!F52*(1)+'Assumptions'!F57-'Assumptions'!F62*(1)-'Assumptions'!F67-(0))+(('Forecast'!E12)*('Assumptions'!E67+(0))))*'DCF'!F12/(1+(F$40))^'DCF'!F13,(('Forecast'!G12)*(('Assumptions'!G37+(0))*(1-'Assumptions'!G42-(0))+'Assumptions'!G47-'Assumptions'!G52*(1)+'Assumptions'!G57-'Assumptions'!G62*(1)-'Assumptions'!G67-(0))+(('Forecast'!F12)*('Assumptions'!F67+(0))))*'DCF'!G12/(1+(F$40))^'DCF'!G13,(('Forecast'!H12)*(('Assumptions'!H37+(0))*(1-'Assumptions'!H42-(0))+'Assumptions'!H47-'Assumptions'!H52*(1)+'Assumptions'!H57-'Assumptions'!H62*(1)-'Assumptions'!H67-(0))+(('Forecast'!G12)*('Assumptions'!G67+(0))))*'DCF'!H12/(1+(F$40))^'DCF'!H13,(('Forecast'!I12)*(('Assumptions'!I37+(0))*(1-'Assumptions'!I42-(0))+'Assumptions'!I47-'Assumptions'!I52*(1)+'Assumptions'!I57-'Assumptions'!I62*(1)-'Assumptions'!I67-(0))+(('Forecast'!H12)*('Assumptions'!H67+(0))))*'DCF'!I12/(1+(F$40))^'DCF'!I13)+('Forecast'!I12)*(1+($E46))*('Terminal Value'!$E$10+(0))*(1-'Assumptions'!$E$15-(0))*(1-($E46)/('Terminal Value'!$E$12))/((F$40)-($E46))/(1+(F$40))^'DCF'!$E$19)+'Equity Bridge'!$E$17)/'Equity Bridge'!$E$20</x:f>
        <x:v>426.945210638059</x:v>
      </x:c>
      <x:c r="G46" s="215" t="n">
        <x:f>((SUM((('Forecast'!E12)*(('Assumptions'!E37+(0))*(1-'Assumptions'!E42-(0))+'Assumptions'!E47-'Assumptions'!E52*(1)+'Assumptions'!E57-'Assumptions'!E62*(1)-'Assumptions'!E67-(0))+('Working Capital'!$E$6))*'DCF'!E12/(1+(G$40))^'DCF'!E13,(('Forecast'!F12)*(('Assumptions'!F37+(0))*(1-'Assumptions'!F42-(0))+'Assumptions'!F47-'Assumptions'!F52*(1)+'Assumptions'!F57-'Assumptions'!F62*(1)-'Assumptions'!F67-(0))+(('Forecast'!E12)*('Assumptions'!E67+(0))))*'DCF'!F12/(1+(G$40))^'DCF'!F13,(('Forecast'!G12)*(('Assumptions'!G37+(0))*(1-'Assumptions'!G42-(0))+'Assumptions'!G47-'Assumptions'!G52*(1)+'Assumptions'!G57-'Assumptions'!G62*(1)-'Assumptions'!G67-(0))+(('Forecast'!F12)*('Assumptions'!F67+(0))))*'DCF'!G12/(1+(G$40))^'DCF'!G13,(('Forecast'!H12)*(('Assumptions'!H37+(0))*(1-'Assumptions'!H42-(0))+'Assumptions'!H47-'Assumptions'!H52*(1)+'Assumptions'!H57-'Assumptions'!H62*(1)-'Assumptions'!H67-(0))+(('Forecast'!G12)*('Assumptions'!G67+(0))))*'DCF'!H12/(1+(G$40))^'DCF'!H13,(('Forecast'!I12)*(('Assumptions'!I37+(0))*(1-'Assumptions'!I42-(0))+'Assumptions'!I47-'Assumptions'!I52*(1)+'Assumptions'!I57-'Assumptions'!I62*(1)-'Assumptions'!I67-(0))+(('Forecast'!H12)*('Assumptions'!H67+(0))))*'DCF'!I12/(1+(G$40))^'DCF'!I13)+('Forecast'!I12)*(1+($E46))*('Terminal Value'!$E$10+(0))*(1-'Assumptions'!$E$15-(0))*(1-($E46)/('Terminal Value'!$E$12))/((G$40)-($E46))/(1+(G$40))^'DCF'!$E$19)+'Equity Bridge'!$E$17)/'Equity Bridge'!$E$20</x:f>
        <x:v>380.8315638435824</x:v>
      </x:c>
      <x:c r="H46" s="215" t="n">
        <x:f>((SUM((('Forecast'!E12)*(('Assumptions'!E37+(0))*(1-'Assumptions'!E42-(0))+'Assumptions'!E47-'Assumptions'!E52*(1)+'Assumptions'!E57-'Assumptions'!E62*(1)-'Assumptions'!E67-(0))+('Working Capital'!$E$6))*'DCF'!E12/(1+(H$40))^'DCF'!E13,(('Forecast'!F12)*(('Assumptions'!F37+(0))*(1-'Assumptions'!F42-(0))+'Assumptions'!F47-'Assumptions'!F52*(1)+'Assumptions'!F57-'Assumptions'!F62*(1)-'Assumptions'!F67-(0))+(('Forecast'!E12)*('Assumptions'!E67+(0))))*'DCF'!F12/(1+(H$40))^'DCF'!F13,(('Forecast'!G12)*(('Assumptions'!G37+(0))*(1-'Assumptions'!G42-(0))+'Assumptions'!G47-'Assumptions'!G52*(1)+'Assumptions'!G57-'Assumptions'!G62*(1)-'Assumptions'!G67-(0))+(('Forecast'!F12)*('Assumptions'!F67+(0))))*'DCF'!G12/(1+(H$40))^'DCF'!G13,(('Forecast'!H12)*(('Assumptions'!H37+(0))*(1-'Assumptions'!H42-(0))+'Assumptions'!H47-'Assumptions'!H52*(1)+'Assumptions'!H57-'Assumptions'!H62*(1)-'Assumptions'!H67-(0))+(('Forecast'!G12)*('Assumptions'!G67+(0))))*'DCF'!H12/(1+(H$40))^'DCF'!H13,(('Forecast'!I12)*(('Assumptions'!I37+(0))*(1-'Assumptions'!I42-(0))+'Assumptions'!I47-'Assumptions'!I52*(1)+'Assumptions'!I57-'Assumptions'!I62*(1)-'Assumptions'!I67-(0))+(('Forecast'!H12)*('Assumptions'!H67+(0))))*'DCF'!I12/(1+(H$40))^'DCF'!I13)+('Forecast'!I12)*(1+($E46))*('Terminal Value'!$E$10+(0))*(1-'Assumptions'!$E$15-(0))*(1-($E46)/('Terminal Value'!$E$12))/((H$40)-($E46))/(1+(H$40))^'DCF'!$E$19)+'Equity Bridge'!$E$17)/'Equity Bridge'!$E$20</x:f>
        <x:v>343.4318133602247</x:v>
      </x:c>
      <x:c r="I46" s="215" t="n">
        <x:f>((SUM((('Forecast'!E12)*(('Assumptions'!E37+(0))*(1-'Assumptions'!E42-(0))+'Assumptions'!E47-'Assumptions'!E52*(1)+'Assumptions'!E57-'Assumptions'!E62*(1)-'Assumptions'!E67-(0))+('Working Capital'!$E$6))*'DCF'!E12/(1+(I$40))^'DCF'!E13,(('Forecast'!F12)*(('Assumptions'!F37+(0))*(1-'Assumptions'!F42-(0))+'Assumptions'!F47-'Assumptions'!F52*(1)+'Assumptions'!F57-'Assumptions'!F62*(1)-'Assumptions'!F67-(0))+(('Forecast'!E12)*('Assumptions'!E67+(0))))*'DCF'!F12/(1+(I$40))^'DCF'!F13,(('Forecast'!G12)*(('Assumptions'!G37+(0))*(1-'Assumptions'!G42-(0))+'Assumptions'!G47-'Assumptions'!G52*(1)+'Assumptions'!G57-'Assumptions'!G62*(1)-'Assumptions'!G67-(0))+(('Forecast'!F12)*('Assumptions'!F67+(0))))*'DCF'!G12/(1+(I$40))^'DCF'!G13,(('Forecast'!H12)*(('Assumptions'!H37+(0))*(1-'Assumptions'!H42-(0))+'Assumptions'!H47-'Assumptions'!H52*(1)+'Assumptions'!H57-'Assumptions'!H62*(1)-'Assumptions'!H67-(0))+(('Forecast'!G12)*('Assumptions'!G67+(0))))*'DCF'!H12/(1+(I$40))^'DCF'!H13,(('Forecast'!I12)*(('Assumptions'!I37+(0))*(1-'Assumptions'!I42-(0))+'Assumptions'!I47-'Assumptions'!I52*(1)+'Assumptions'!I57-'Assumptions'!I62*(1)-'Assumptions'!I67-(0))+(('Forecast'!H12)*('Assumptions'!H67+(0))))*'DCF'!I12/(1+(I$40))^'DCF'!I13)+('Forecast'!I12)*(1+($E46))*('Terminal Value'!$E$10+(0))*(1-'Assumptions'!$E$15-(0))*(1-($E46)/('Terminal Value'!$E$12))/((I$40)-($E46))/(1+(I$40))^'DCF'!$E$19)+'Equity Bridge'!$E$17)/'Equity Bridge'!$E$20</x:f>
        <x:v>312.496746830824</x:v>
      </x:c>
      <x:c r="J46" s="145" t="n">
        <x:f>((SUM((('Forecast'!E12)*(('Assumptions'!E37+(0))*(1-'Assumptions'!E42-(0))+'Assumptions'!E47-'Assumptions'!E52*(1)+'Assumptions'!E57-'Assumptions'!E62*(1)-'Assumptions'!E67-(0))+('Working Capital'!$E$6))*'DCF'!E12/(1+(J$40))^'DCF'!E13,(('Forecast'!F12)*(('Assumptions'!F37+(0))*(1-'Assumptions'!F42-(0))+'Assumptions'!F47-'Assumptions'!F52*(1)+'Assumptions'!F57-'Assumptions'!F62*(1)-'Assumptions'!F67-(0))+(('Forecast'!E12)*('Assumptions'!E67+(0))))*'DCF'!F12/(1+(J$40))^'DCF'!F13,(('Forecast'!G12)*(('Assumptions'!G37+(0))*(1-'Assumptions'!G42-(0))+'Assumptions'!G47-'Assumptions'!G52*(1)+'Assumptions'!G57-'Assumptions'!G62*(1)-'Assumptions'!G67-(0))+(('Forecast'!F12)*('Assumptions'!F67+(0))))*'DCF'!G12/(1+(J$40))^'DCF'!G13,(('Forecast'!H12)*(('Assumptions'!H37+(0))*(1-'Assumptions'!H42-(0))+'Assumptions'!H47-'Assumptions'!H52*(1)+'Assumptions'!H57-'Assumptions'!H62*(1)-'Assumptions'!H67-(0))+(('Forecast'!G12)*('Assumptions'!G67+(0))))*'DCF'!H12/(1+(J$40))^'DCF'!H13,(('Forecast'!I12)*(('Assumptions'!I37+(0))*(1-'Assumptions'!I42-(0))+'Assumptions'!I47-'Assumptions'!I52*(1)+'Assumptions'!I57-'Assumptions'!I62*(1)-'Assumptions'!I67-(0))+(('Forecast'!H12)*('Assumptions'!H67+(0))))*'DCF'!I12/(1+(J$40))^'DCF'!I13)+('Forecast'!I12)*(1+($E46))*('Terminal Value'!$E$10+(0))*(1-'Assumptions'!$E$15-(0))*(1-($E46)/('Terminal Value'!$E$12))/((J$40)-($E46))/(1+(J$40))^'DCF'!$E$19)+'Equity Bridge'!$E$17)/'Equity Bridge'!$E$20</x:f>
        <x:v>286.4896374463896</x:v>
      </x:c>
      <x:c r="K46" s="145" t="n">
        <x:f>((SUM((('Forecast'!E12)*(('Assumptions'!E37+(0))*(1-'Assumptions'!E42-(0))+'Assumptions'!E47-'Assumptions'!E52*(1)+'Assumptions'!E57-'Assumptions'!E62*(1)-'Assumptions'!E67-(0))+('Working Capital'!$E$6))*'DCF'!E12/(1+(K$40))^'DCF'!E13,(('Forecast'!F12)*(('Assumptions'!F37+(0))*(1-'Assumptions'!F42-(0))+'Assumptions'!F47-'Assumptions'!F52*(1)+'Assumptions'!F57-'Assumptions'!F62*(1)-'Assumptions'!F67-(0))+(('Forecast'!E12)*('Assumptions'!E67+(0))))*'DCF'!F12/(1+(K$40))^'DCF'!F13,(('Forecast'!G12)*(('Assumptions'!G37+(0))*(1-'Assumptions'!G42-(0))+'Assumptions'!G47-'Assumptions'!G52*(1)+'Assumptions'!G57-'Assumptions'!G62*(1)-'Assumptions'!G67-(0))+(('Forecast'!F12)*('Assumptions'!F67+(0))))*'DCF'!G12/(1+(K$40))^'DCF'!G13,(('Forecast'!H12)*(('Assumptions'!H37+(0))*(1-'Assumptions'!H42-(0))+'Assumptions'!H47-'Assumptions'!H52*(1)+'Assumptions'!H57-'Assumptions'!H62*(1)-'Assumptions'!H67-(0))+(('Forecast'!G12)*('Assumptions'!G67+(0))))*'DCF'!H12/(1+(K$40))^'DCF'!H13,(('Forecast'!I12)*(('Assumptions'!I37+(0))*(1-'Assumptions'!I42-(0))+'Assumptions'!I47-'Assumptions'!I52*(1)+'Assumptions'!I57-'Assumptions'!I62*(1)-'Assumptions'!I67-(0))+(('Forecast'!H12)*('Assumptions'!H67+(0))))*'DCF'!I12/(1+(K$40))^'DCF'!I13)+('Forecast'!I12)*(1+($E46))*('Terminal Value'!$E$10+(0))*(1-'Assumptions'!$E$15-(0))*(1-($E46)/('Terminal Value'!$E$12))/((K$40)-($E46))/(1+(K$40))^'DCF'!$E$19)+'Equity Bridge'!$E$17)/'Equity Bridge'!$E$20</x:f>
        <x:v>264.3248388478031</x:v>
      </x:c>
      <x:c r="L46" s="145" t="n">
        <x:f>((SUM((('Forecast'!E12)*(('Assumptions'!E37+(0))*(1-'Assumptions'!E42-(0))+'Assumptions'!E47-'Assumptions'!E52*(1)+'Assumptions'!E57-'Assumptions'!E62*(1)-'Assumptions'!E67-(0))+('Working Capital'!$E$6))*'DCF'!E12/(1+(L$40))^'DCF'!E13,(('Forecast'!F12)*(('Assumptions'!F37+(0))*(1-'Assumptions'!F42-(0))+'Assumptions'!F47-'Assumptions'!F52*(1)+'Assumptions'!F57-'Assumptions'!F62*(1)-'Assumptions'!F67-(0))+(('Forecast'!E12)*('Assumptions'!E67+(0))))*'DCF'!F12/(1+(L$40))^'DCF'!F13,(('Forecast'!G12)*(('Assumptions'!G37+(0))*(1-'Assumptions'!G42-(0))+'Assumptions'!G47-'Assumptions'!G52*(1)+'Assumptions'!G57-'Assumptions'!G62*(1)-'Assumptions'!G67-(0))+(('Forecast'!F12)*('Assumptions'!F67+(0))))*'DCF'!G12/(1+(L$40))^'DCF'!G13,(('Forecast'!H12)*(('Assumptions'!H37+(0))*(1-'Assumptions'!H42-(0))+'Assumptions'!H47-'Assumptions'!H52*(1)+'Assumptions'!H57-'Assumptions'!H62*(1)-'Assumptions'!H67-(0))+(('Forecast'!G12)*('Assumptions'!G67+(0))))*'DCF'!H12/(1+(L$40))^'DCF'!H13,(('Forecast'!I12)*(('Assumptions'!I37+(0))*(1-'Assumptions'!I42-(0))+'Assumptions'!I47-'Assumptions'!I52*(1)+'Assumptions'!I57-'Assumptions'!I62*(1)-'Assumptions'!I67-(0))+(('Forecast'!H12)*('Assumptions'!H67+(0))))*'DCF'!I12/(1+(L$40))^'DCF'!I13)+('Forecast'!I12)*(1+($E46))*('Terminal Value'!$E$10+(0))*(1-'Assumptions'!$E$15-(0))*(1-($E46)/('Terminal Value'!$E$12))/((L$40)-($E46))/(1+(L$40))^'DCF'!$E$19)+'Equity Bridge'!$E$17)/'Equity Bridge'!$E$20</x:f>
        <x:v>245.213600674736</x:v>
      </x:c>
      <x:c r="M46" s="136"/>
      <x:c r="N46" s="136"/>
      <x:c r="O46" s="136"/>
      <x:c r="P46" s="136"/>
      <x:c r="Q46" s="136"/>
      <x:c r="R46" s="136"/>
      <x:c r="S46" s="136"/>
      <x:c r="T46" s="136"/>
      <x:c r="U46" s="136"/>
      <x:c r="V46" s="136"/>
      <x:c r="W46" s="136"/>
      <x:c r="X46" s="136"/>
      <x:c r="Y46" s="136"/>
      <x:c r="Z46" s="136"/>
    </x:row>
    <x:row r="47" ht="24" customHeight="1">
      <x:c r="A47" s="136"/>
      <x:c r="B47" s="136"/>
      <x:c r="C47" s="136"/>
      <x:c r="D47" s="136"/>
      <x:c r="E47" s="218" t="n">
        <x:f>'Assumptions'!$E$74+(6-3)*0.005</x:f>
        <x:v>0.045</x:v>
      </x:c>
      <x:c r="F47" s="215" t="n">
        <x:f>((SUM((('Forecast'!E12)*(('Assumptions'!E37+(0))*(1-'Assumptions'!E42-(0))+'Assumptions'!E47-'Assumptions'!E52*(1)+'Assumptions'!E57-'Assumptions'!E62*(1)-'Assumptions'!E67-(0))+('Working Capital'!$E$6))*'DCF'!E12/(1+(F$40))^'DCF'!E13,(('Forecast'!F12)*(('Assumptions'!F37+(0))*(1-'Assumptions'!F42-(0))+'Assumptions'!F47-'Assumptions'!F52*(1)+'Assumptions'!F57-'Assumptions'!F62*(1)-'Assumptions'!F67-(0))+(('Forecast'!E12)*('Assumptions'!E67+(0))))*'DCF'!F12/(1+(F$40))^'DCF'!F13,(('Forecast'!G12)*(('Assumptions'!G37+(0))*(1-'Assumptions'!G42-(0))+'Assumptions'!G47-'Assumptions'!G52*(1)+'Assumptions'!G57-'Assumptions'!G62*(1)-'Assumptions'!G67-(0))+(('Forecast'!F12)*('Assumptions'!F67+(0))))*'DCF'!G12/(1+(F$40))^'DCF'!G13,(('Forecast'!H12)*(('Assumptions'!H37+(0))*(1-'Assumptions'!H42-(0))+'Assumptions'!H47-'Assumptions'!H52*(1)+'Assumptions'!H57-'Assumptions'!H62*(1)-'Assumptions'!H67-(0))+(('Forecast'!G12)*('Assumptions'!G67+(0))))*'DCF'!H12/(1+(F$40))^'DCF'!H13,(('Forecast'!I12)*(('Assumptions'!I37+(0))*(1-'Assumptions'!I42-(0))+'Assumptions'!I47-'Assumptions'!I52*(1)+'Assumptions'!I57-'Assumptions'!I62*(1)-'Assumptions'!I67-(0))+(('Forecast'!H12)*('Assumptions'!H67+(0))))*'DCF'!I12/(1+(F$40))^'DCF'!I13)+('Forecast'!I12)*(1+($E47))*('Terminal Value'!$E$10+(0))*(1-'Assumptions'!$E$15-(0))*(1-($E47)/('Terminal Value'!$E$12))/((F$40)-($E47))/(1+(F$40))^'DCF'!$E$19)+'Equity Bridge'!$E$17)/'Equity Bridge'!$E$20</x:f>
        <x:v>464.1308813683828</x:v>
      </x:c>
      <x:c r="G47" s="215" t="n">
        <x:f>((SUM((('Forecast'!E12)*(('Assumptions'!E37+(0))*(1-'Assumptions'!E42-(0))+'Assumptions'!E47-'Assumptions'!E52*(1)+'Assumptions'!E57-'Assumptions'!E62*(1)-'Assumptions'!E67-(0))+('Working Capital'!$E$6))*'DCF'!E12/(1+(G$40))^'DCF'!E13,(('Forecast'!F12)*(('Assumptions'!F37+(0))*(1-'Assumptions'!F42-(0))+'Assumptions'!F47-'Assumptions'!F52*(1)+'Assumptions'!F57-'Assumptions'!F62*(1)-'Assumptions'!F67-(0))+(('Forecast'!E12)*('Assumptions'!E67+(0))))*'DCF'!F12/(1+(G$40))^'DCF'!F13,(('Forecast'!G12)*(('Assumptions'!G37+(0))*(1-'Assumptions'!G42-(0))+'Assumptions'!G47-'Assumptions'!G52*(1)+'Assumptions'!G57-'Assumptions'!G62*(1)-'Assumptions'!G67-(0))+(('Forecast'!F12)*('Assumptions'!F67+(0))))*'DCF'!G12/(1+(G$40))^'DCF'!G13,(('Forecast'!H12)*(('Assumptions'!H37+(0))*(1-'Assumptions'!H42-(0))+'Assumptions'!H47-'Assumptions'!H52*(1)+'Assumptions'!H57-'Assumptions'!H62*(1)-'Assumptions'!H67-(0))+(('Forecast'!G12)*('Assumptions'!G67+(0))))*'DCF'!H12/(1+(G$40))^'DCF'!H13,(('Forecast'!I12)*(('Assumptions'!I37+(0))*(1-'Assumptions'!I42-(0))+'Assumptions'!I47-'Assumptions'!I52*(1)+'Assumptions'!I57-'Assumptions'!I62*(1)-'Assumptions'!I67-(0))+(('Forecast'!H12)*('Assumptions'!H67+(0))))*'DCF'!I12/(1+(G$40))^'DCF'!I13)+('Forecast'!I12)*(1+($E47))*('Terminal Value'!$E$10+(0))*(1-'Assumptions'!$E$15-(0))*(1-($E47)/('Terminal Value'!$E$12))/((G$40)-($E47))/(1+(G$40))^'DCF'!$E$19)+'Equity Bridge'!$E$17)/'Equity Bridge'!$E$20</x:f>
        <x:v>408.663640699957</x:v>
      </x:c>
      <x:c r="H47" s="215" t="n">
        <x:f>((SUM((('Forecast'!E12)*(('Assumptions'!E37+(0))*(1-'Assumptions'!E42-(0))+'Assumptions'!E47-'Assumptions'!E52*(1)+'Assumptions'!E57-'Assumptions'!E62*(1)-'Assumptions'!E67-(0))+('Working Capital'!$E$6))*'DCF'!E12/(1+(H$40))^'DCF'!E13,(('Forecast'!F12)*(('Assumptions'!F37+(0))*(1-'Assumptions'!F42-(0))+'Assumptions'!F47-'Assumptions'!F52*(1)+'Assumptions'!F57-'Assumptions'!F62*(1)-'Assumptions'!F67-(0))+(('Forecast'!E12)*('Assumptions'!E67+(0))))*'DCF'!F12/(1+(H$40))^'DCF'!F13,(('Forecast'!G12)*(('Assumptions'!G37+(0))*(1-'Assumptions'!G42-(0))+'Assumptions'!G47-'Assumptions'!G52*(1)+'Assumptions'!G57-'Assumptions'!G62*(1)-'Assumptions'!G67-(0))+(('Forecast'!F12)*('Assumptions'!F67+(0))))*'DCF'!G12/(1+(H$40))^'DCF'!G13,(('Forecast'!H12)*(('Assumptions'!H37+(0))*(1-'Assumptions'!H42-(0))+'Assumptions'!H47-'Assumptions'!H52*(1)+'Assumptions'!H57-'Assumptions'!H62*(1)-'Assumptions'!H67-(0))+(('Forecast'!G12)*('Assumptions'!G67+(0))))*'DCF'!H12/(1+(H$40))^'DCF'!H13,(('Forecast'!I12)*(('Assumptions'!I37+(0))*(1-'Assumptions'!I42-(0))+'Assumptions'!I47-'Assumptions'!I52*(1)+'Assumptions'!I57-'Assumptions'!I62*(1)-'Assumptions'!I67-(0))+(('Forecast'!H12)*('Assumptions'!H67+(0))))*'DCF'!I12/(1+(H$40))^'DCF'!I13)+('Forecast'!I12)*(1+($E47))*('Terminal Value'!$E$10+(0))*(1-'Assumptions'!$E$15-(0))*(1-($E47)/('Terminal Value'!$E$12))/((H$40)-($E47))/(1+(H$40))^'DCF'!$E$19)+'Equity Bridge'!$E$17)/'Equity Bridge'!$E$20</x:f>
        <x:v>364.7518293618335</x:v>
      </x:c>
      <x:c r="I47" s="215" t="n">
        <x:f>((SUM((('Forecast'!E12)*(('Assumptions'!E37+(0))*(1-'Assumptions'!E42-(0))+'Assumptions'!E47-'Assumptions'!E52*(1)+'Assumptions'!E57-'Assumptions'!E62*(1)-'Assumptions'!E67-(0))+('Working Capital'!$E$6))*'DCF'!E12/(1+(I$40))^'DCF'!E13,(('Forecast'!F12)*(('Assumptions'!F37+(0))*(1-'Assumptions'!F42-(0))+'Assumptions'!F47-'Assumptions'!F52*(1)+'Assumptions'!F57-'Assumptions'!F62*(1)-'Assumptions'!F67-(0))+(('Forecast'!E12)*('Assumptions'!E67+(0))))*'DCF'!F12/(1+(I$40))^'DCF'!F13,(('Forecast'!G12)*(('Assumptions'!G37+(0))*(1-'Assumptions'!G42-(0))+'Assumptions'!G47-'Assumptions'!G52*(1)+'Assumptions'!G57-'Assumptions'!G62*(1)-'Assumptions'!G67-(0))+(('Forecast'!F12)*('Assumptions'!F67+(0))))*'DCF'!G12/(1+(I$40))^'DCF'!G13,(('Forecast'!H12)*(('Assumptions'!H37+(0))*(1-'Assumptions'!H42-(0))+'Assumptions'!H47-'Assumptions'!H52*(1)+'Assumptions'!H57-'Assumptions'!H62*(1)-'Assumptions'!H67-(0))+(('Forecast'!G12)*('Assumptions'!G67+(0))))*'DCF'!H12/(1+(I$40))^'DCF'!H13,(('Forecast'!I12)*(('Assumptions'!I37+(0))*(1-'Assumptions'!I42-(0))+'Assumptions'!I47-'Assumptions'!I52*(1)+'Assumptions'!I57-'Assumptions'!I62*(1)-'Assumptions'!I67-(0))+(('Forecast'!H12)*('Assumptions'!H67+(0))))*'DCF'!I12/(1+(I$40))^'DCF'!I13)+('Forecast'!I12)*(1+($E47))*('Terminal Value'!$E$10+(0))*(1-'Assumptions'!$E$15-(0))*(1-($E47)/('Terminal Value'!$E$12))/((I$40)-($E47))/(1+(I$40))^'DCF'!$E$19)+'Equity Bridge'!$E$17)/'Equity Bridge'!$E$20</x:f>
        <x:v>329.1326938556048</x:v>
      </x:c>
      <x:c r="J47" s="145" t="n">
        <x:f>((SUM((('Forecast'!E12)*(('Assumptions'!E37+(0))*(1-'Assumptions'!E42-(0))+'Assumptions'!E47-'Assumptions'!E52*(1)+'Assumptions'!E57-'Assumptions'!E62*(1)-'Assumptions'!E67-(0))+('Working Capital'!$E$6))*'DCF'!E12/(1+(J$40))^'DCF'!E13,(('Forecast'!F12)*(('Assumptions'!F37+(0))*(1-'Assumptions'!F42-(0))+'Assumptions'!F47-'Assumptions'!F52*(1)+'Assumptions'!F57-'Assumptions'!F62*(1)-'Assumptions'!F67-(0))+(('Forecast'!E12)*('Assumptions'!E67+(0))))*'DCF'!F12/(1+(J$40))^'DCF'!F13,(('Forecast'!G12)*(('Assumptions'!G37+(0))*(1-'Assumptions'!G42-(0))+'Assumptions'!G47-'Assumptions'!G52*(1)+'Assumptions'!G57-'Assumptions'!G62*(1)-'Assumptions'!G67-(0))+(('Forecast'!F12)*('Assumptions'!F67+(0))))*'DCF'!G12/(1+(J$40))^'DCF'!G13,(('Forecast'!H12)*(('Assumptions'!H37+(0))*(1-'Assumptions'!H42-(0))+'Assumptions'!H47-'Assumptions'!H52*(1)+'Assumptions'!H57-'Assumptions'!H62*(1)-'Assumptions'!H67-(0))+(('Forecast'!G12)*('Assumptions'!G67+(0))))*'DCF'!H12/(1+(J$40))^'DCF'!H13,(('Forecast'!I12)*(('Assumptions'!I37+(0))*(1-'Assumptions'!I42-(0))+'Assumptions'!I47-'Assumptions'!I52*(1)+'Assumptions'!I57-'Assumptions'!I62*(1)-'Assumptions'!I67-(0))+(('Forecast'!H12)*('Assumptions'!H67+(0))))*'DCF'!I12/(1+(J$40))^'DCF'!I13)+('Forecast'!I12)*(1+($E47))*('Terminal Value'!$E$10+(0))*(1-'Assumptions'!$E$15-(0))*(1-($E47)/('Terminal Value'!$E$12))/((J$40)-($E47))/(1+(J$40))^'DCF'!$E$19)+'Equity Bridge'!$E$17)/'Equity Bridge'!$E$20</x:f>
        <x:v>299.6658869708048</x:v>
      </x:c>
      <x:c r="K47" s="145" t="n">
        <x:f>((SUM((('Forecast'!E12)*(('Assumptions'!E37+(0))*(1-'Assumptions'!E42-(0))+'Assumptions'!E47-'Assumptions'!E52*(1)+'Assumptions'!E57-'Assumptions'!E62*(1)-'Assumptions'!E67-(0))+('Working Capital'!$E$6))*'DCF'!E12/(1+(K$40))^'DCF'!E13,(('Forecast'!F12)*(('Assumptions'!F37+(0))*(1-'Assumptions'!F42-(0))+'Assumptions'!F47-'Assumptions'!F52*(1)+'Assumptions'!F57-'Assumptions'!F62*(1)-'Assumptions'!F67-(0))+(('Forecast'!E12)*('Assumptions'!E67+(0))))*'DCF'!F12/(1+(K$40))^'DCF'!F13,(('Forecast'!G12)*(('Assumptions'!G37+(0))*(1-'Assumptions'!G42-(0))+'Assumptions'!G47-'Assumptions'!G52*(1)+'Assumptions'!G57-'Assumptions'!G62*(1)-'Assumptions'!G67-(0))+(('Forecast'!F12)*('Assumptions'!F67+(0))))*'DCF'!G12/(1+(K$40))^'DCF'!G13,(('Forecast'!H12)*(('Assumptions'!H37+(0))*(1-'Assumptions'!H42-(0))+'Assumptions'!H47-'Assumptions'!H52*(1)+'Assumptions'!H57-'Assumptions'!H62*(1)-'Assumptions'!H67-(0))+(('Forecast'!G12)*('Assumptions'!G67+(0))))*'DCF'!H12/(1+(K$40))^'DCF'!H13,(('Forecast'!I12)*(('Assumptions'!I37+(0))*(1-'Assumptions'!I42-(0))+'Assumptions'!I47-'Assumptions'!I52*(1)+'Assumptions'!I57-'Assumptions'!I62*(1)-'Assumptions'!I67-(0))+(('Forecast'!H12)*('Assumptions'!H67+(0))))*'DCF'!I12/(1+(K$40))^'DCF'!I13)+('Forecast'!I12)*(1+($E47))*('Terminal Value'!$E$10+(0))*(1-'Assumptions'!$E$15-(0))*(1-($E47)/('Terminal Value'!$E$12))/((K$40)-($E47))/(1+(K$40))^'DCF'!$E$19)+'Equity Bridge'!$E$17)/'Equity Bridge'!$E$20</x:f>
        <x:v>274.8890572281726</x:v>
      </x:c>
      <x:c r="L47" s="145" t="n">
        <x:f>((SUM((('Forecast'!E12)*(('Assumptions'!E37+(0))*(1-'Assumptions'!E42-(0))+'Assumptions'!E47-'Assumptions'!E52*(1)+'Assumptions'!E57-'Assumptions'!E62*(1)-'Assumptions'!E67-(0))+('Working Capital'!$E$6))*'DCF'!E12/(1+(L$40))^'DCF'!E13,(('Forecast'!F12)*(('Assumptions'!F37+(0))*(1-'Assumptions'!F42-(0))+'Assumptions'!F47-'Assumptions'!F52*(1)+'Assumptions'!F57-'Assumptions'!F62*(1)-'Assumptions'!F67-(0))+(('Forecast'!E12)*('Assumptions'!E67+(0))))*'DCF'!F12/(1+(L$40))^'DCF'!F13,(('Forecast'!G12)*(('Assumptions'!G37+(0))*(1-'Assumptions'!G42-(0))+'Assumptions'!G47-'Assumptions'!G52*(1)+'Assumptions'!G57-'Assumptions'!G62*(1)-'Assumptions'!G67-(0))+(('Forecast'!F12)*('Assumptions'!F67+(0))))*'DCF'!G12/(1+(L$40))^'DCF'!G13,(('Forecast'!H12)*(('Assumptions'!H37+(0))*(1-'Assumptions'!H42-(0))+'Assumptions'!H47-'Assumptions'!H52*(1)+'Assumptions'!H57-'Assumptions'!H62*(1)-'Assumptions'!H67-(0))+(('Forecast'!G12)*('Assumptions'!G67+(0))))*'DCF'!H12/(1+(L$40))^'DCF'!H13,(('Forecast'!I12)*(('Assumptions'!I37+(0))*(1-'Assumptions'!I42-(0))+'Assumptions'!I47-'Assumptions'!I52*(1)+'Assumptions'!I57-'Assumptions'!I62*(1)-'Assumptions'!I67-(0))+(('Forecast'!H12)*('Assumptions'!H67+(0))))*'DCF'!I12/(1+(L$40))^'DCF'!I13)+('Forecast'!I12)*(1+($E47))*('Terminal Value'!$E$10+(0))*(1-'Assumptions'!$E$15-(0))*(1-($E47)/('Terminal Value'!$E$12))/((L$40)-($E47))/(1+(L$40))^'DCF'!$E$19)+'Equity Bridge'!$E$17)/'Equity Bridge'!$E$20</x:f>
        <x:v>253.7690979755349</x:v>
      </x:c>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67" t="str">
        <x:v>Native case comparison at each case growth</x:v>
      </x:c>
      <x:c r="D50" s="170"/>
      <x:c r="E50" s="170"/>
      <x:c r="F50" s="170"/>
      <x:c r="G50" s="170"/>
      <x:c r="H50" s="170"/>
      <x:c r="I50" s="173"/>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215" t="n">
        <x:f>E28</x:f>
        <x:v>286.35225469155296</x:v>
      </x:c>
      <x:c r="F52" s="209" t="n">
        <x:v>1</x:v>
      </x:c>
      <x:c r="G52" s="209" t="n">
        <x:v>2</x:v>
      </x:c>
      <x:c r="H52" s="209" t="n">
        <x:v>3</x:v>
      </x:c>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218" t="n">
        <x:f>'Assumptions'!E75</x:f>
        <x:v>0.03</x:v>
      </x:c>
      <x:c r="F53" s="215" t="n">
        <x:f t="dataTable" ref="F53:H55" dt2D="1" r1="E5" r2="E7"/>
        <x:v>286.352254691553</x:v>
      </x:c>
      <x:c r="G53" s="215" t="n">
        <x:f>(SUM(((SUM('Historical Inputs'!$N$46*(1+'Assumptions'!E24),'Historical Inputs'!$N$47*(1+'Assumptions'!E29),'Historical Inputs'!$N$48*(1+'Assumptions'!E34)))*('Assumptions'!E39*(1-'Assumptions'!E44)+'Assumptions'!E49-'Assumptions'!E54+'Assumptions'!E59-'Assumptions'!E64-'Assumptions'!E69)+'Working Capital'!$E$6)*'DCF'!E12/'DCF'!E14,((SUM('Historical Inputs'!$N$46*(1+'Assumptions'!E24)*(1+'Assumptions'!F24),'Historical Inputs'!$N$47*(1+'Assumptions'!E29)*(1+'Assumptions'!F29),'Historical Inputs'!$N$48*(1+'Assumptions'!E34)*(1+'Assumptions'!F34)))*('Assumptions'!F39*(1-'Assumptions'!F44)+'Assumptions'!F49-'Assumptions'!F54+'Assumptions'!F59-'Assumptions'!F64-'Assumptions'!F69)+(SUM('Historical Inputs'!$N$46*(1+'Assumptions'!E24),'Historical Inputs'!$N$47*(1+'Assumptions'!E29),'Historical Inputs'!$N$48*(1+'Assumptions'!E34)))*'Assumptions'!E69)*'DCF'!F12/'DCF'!F14,((SUM('Historical Inputs'!$N$46*(1+'Assumptions'!E24)*(1+'Assumptions'!F24)*(1+'Assumptions'!G24),'Historical Inputs'!$N$47*(1+'Assumptions'!E29)*(1+'Assumptions'!F29)*(1+'Assumptions'!G29),'Historical Inputs'!$N$48*(1+'Assumptions'!E34)*(1+'Assumptions'!F34)*(1+'Assumptions'!G34)))*('Assumptions'!G39*(1-'Assumptions'!G44)+'Assumptions'!G49-'Assumptions'!G54+'Assumptions'!G59-'Assumptions'!G64-'Assumptions'!G69)+(SUM('Historical Inputs'!$N$46*(1+'Assumptions'!E24)*(1+'Assumptions'!F24),'Historical Inputs'!$N$47*(1+'Assumptions'!E29)*(1+'Assumptions'!F29),'Historical Inputs'!$N$48*(1+'Assumptions'!E34)*(1+'Assumptions'!F34)))*'Assumptions'!F69)*'DCF'!G12/'DCF'!G14,((SUM('Historical Inputs'!$N$46*(1+'Assumptions'!E24)*(1+'Assumptions'!F24)*(1+'Assumptions'!G24)*(1+'Assumptions'!H24),'Historical Inputs'!$N$47*(1+'Assumptions'!E29)*(1+'Assumptions'!F29)*(1+'Assumptions'!G29)*(1+'Assumptions'!H29),'Historical Inputs'!$N$48*(1+'Assumptions'!E34)*(1+'Assumptions'!F34)*(1+'Assumptions'!G34)*(1+'Assumptions'!H34)))*('Assumptions'!H39*(1-'Assumptions'!H44)+'Assumptions'!H49-'Assumptions'!H54+'Assumptions'!H59-'Assumptions'!H64-'Assumptions'!H69)+(SUM('Historical Inputs'!$N$46*(1+'Assumptions'!E24)*(1+'Assumptions'!F24)*(1+'Assumptions'!G24),'Historical Inputs'!$N$47*(1+'Assumptions'!E29)*(1+'Assumptions'!F29)*(1+'Assumptions'!G29),'Historical Inputs'!$N$48*(1+'Assumptions'!E34)*(1+'Assumptions'!F34)*(1+'Assumptions'!G34)))*'Assumptions'!G69)*'DCF'!H12/'DCF'!H14,((SUM('Historical Inputs'!$N$46*(1+'Assumptions'!E24)*(1+'Assumptions'!F24)*(1+'Assumptions'!G24)*(1+'Assumptions'!H24)*(1+'Assumptions'!I24),'Historical Inputs'!$N$47*(1+'Assumptions'!E29)*(1+'Assumptions'!F29)*(1+'Assumptions'!G29)*(1+'Assumptions'!H29)*(1+'Assumptions'!I29),'Historical Inputs'!$N$48*(1+'Assumptions'!E34)*(1+'Assumptions'!F34)*(1+'Assumptions'!G34)*(1+'Assumptions'!H34)*(1+'Assumptions'!I34)))*('Assumptions'!I39*(1-'Assumptions'!I44)+'Assumptions'!I49-'Assumptions'!I54+'Assumptions'!I59-'Assumptions'!I64-'Assumptions'!I69)+(SUM('Historical Inputs'!$N$46*(1+'Assumptions'!E24)*(1+'Assumptions'!F24)*(1+'Assumptions'!G24)*(1+'Assumptions'!H24),'Historical Inputs'!$N$47*(1+'Assumptions'!E29)*(1+'Assumptions'!F29)*(1+'Assumptions'!G29)*(1+'Assumptions'!H29),'Historical Inputs'!$N$48*(1+'Assumptions'!E34)*(1+'Assumptions'!F34)*(1+'Assumptions'!G34)*(1+'Assumptions'!H34)))*'Assumptions'!H69)*'DCF'!I12/'DCF'!I14)+(SUM('Historical Inputs'!$N$46*(1+'Assumptions'!E24)*(1+'Assumptions'!F24)*(1+'Assumptions'!G24)*(1+'Assumptions'!H24)*(1+'Assumptions'!I24),'Historical Inputs'!$N$47*(1+'Assumptions'!E29)*(1+'Assumptions'!F29)*(1+'Assumptions'!G29)*(1+'Assumptions'!H29)*(1+'Assumptions'!I29),'Historical Inputs'!$N$48*(1+'Assumptions'!E34)*(1+'Assumptions'!F34)*(1+'Assumptions'!G34)*(1+'Assumptions'!H34)*(1+'Assumptions'!I34)))*(1+($E53))*'Assumptions'!$E$86*(1-'Assumptions'!$E$15)*(1-($E53)/'Assumptions'!$E$81)/('DCF'!$E$6-($E53))/'DCF'!$E$20+'Equity Bridge'!$E$17)/'Equity Bridge'!$E$20</x:f>
        <x:v>372.0727509044499</x:v>
      </x:c>
      <x:c r="H53" s="215" t="n">
        <x:f>(SUM(((SUM('Historical Inputs'!$N$46*(1+'Assumptions'!E25),'Historical Inputs'!$N$47*(1+'Assumptions'!E30),'Historical Inputs'!$N$48*(1+'Assumptions'!E35)))*('Assumptions'!E40*(1-'Assumptions'!E45)+'Assumptions'!E50-'Assumptions'!E55+'Assumptions'!E60-'Assumptions'!E65-'Assumptions'!E70)+'Working Capital'!$E$6)*'DCF'!E12/'DCF'!E14,((SUM('Historical Inputs'!$N$46*(1+'Assumptions'!E25)*(1+'Assumptions'!F25),'Historical Inputs'!$N$47*(1+'Assumptions'!E30)*(1+'Assumptions'!F30),'Historical Inputs'!$N$48*(1+'Assumptions'!E35)*(1+'Assumptions'!F35)))*('Assumptions'!F40*(1-'Assumptions'!F45)+'Assumptions'!F50-'Assumptions'!F55+'Assumptions'!F60-'Assumptions'!F65-'Assumptions'!F70)+(SUM('Historical Inputs'!$N$46*(1+'Assumptions'!E25),'Historical Inputs'!$N$47*(1+'Assumptions'!E30),'Historical Inputs'!$N$48*(1+'Assumptions'!E35)))*'Assumptions'!E70)*'DCF'!F12/'DCF'!F14,((SUM('Historical Inputs'!$N$46*(1+'Assumptions'!E25)*(1+'Assumptions'!F25)*(1+'Assumptions'!G25),'Historical Inputs'!$N$47*(1+'Assumptions'!E30)*(1+'Assumptions'!F30)*(1+'Assumptions'!G30),'Historical Inputs'!$N$48*(1+'Assumptions'!E35)*(1+'Assumptions'!F35)*(1+'Assumptions'!G35)))*('Assumptions'!G40*(1-'Assumptions'!G45)+'Assumptions'!G50-'Assumptions'!G55+'Assumptions'!G60-'Assumptions'!G65-'Assumptions'!G70)+(SUM('Historical Inputs'!$N$46*(1+'Assumptions'!E25)*(1+'Assumptions'!F25),'Historical Inputs'!$N$47*(1+'Assumptions'!E30)*(1+'Assumptions'!F30),'Historical Inputs'!$N$48*(1+'Assumptions'!E35)*(1+'Assumptions'!F35)))*'Assumptions'!F70)*'DCF'!G12/'DCF'!G14,((SUM('Historical Inputs'!$N$46*(1+'Assumptions'!E25)*(1+'Assumptions'!F25)*(1+'Assumptions'!G25)*(1+'Assumptions'!H25),'Historical Inputs'!$N$47*(1+'Assumptions'!E30)*(1+'Assumptions'!F30)*(1+'Assumptions'!G30)*(1+'Assumptions'!H30),'Historical Inputs'!$N$48*(1+'Assumptions'!E35)*(1+'Assumptions'!F35)*(1+'Assumptions'!G35)*(1+'Assumptions'!H35)))*('Assumptions'!H40*(1-'Assumptions'!H45)+'Assumptions'!H50-'Assumptions'!H55+'Assumptions'!H60-'Assumptions'!H65-'Assumptions'!H70)+(SUM('Historical Inputs'!$N$46*(1+'Assumptions'!E25)*(1+'Assumptions'!F25)*(1+'Assumptions'!G25),'Historical Inputs'!$N$47*(1+'Assumptions'!E30)*(1+'Assumptions'!F30)*(1+'Assumptions'!G30),'Historical Inputs'!$N$48*(1+'Assumptions'!E35)*(1+'Assumptions'!F35)*(1+'Assumptions'!G35)))*'Assumptions'!G70)*'DCF'!H12/'DCF'!H14,((SUM('Historical Inputs'!$N$46*(1+'Assumptions'!E25)*(1+'Assumptions'!F25)*(1+'Assumptions'!G25)*(1+'Assumptions'!H25)*(1+'Assumptions'!I25),'Historical Inputs'!$N$47*(1+'Assumptions'!E30)*(1+'Assumptions'!F30)*(1+'Assumptions'!G30)*(1+'Assumptions'!H30)*(1+'Assumptions'!I30),'Historical Inputs'!$N$48*(1+'Assumptions'!E35)*(1+'Assumptions'!F35)*(1+'Assumptions'!G35)*(1+'Assumptions'!H35)*(1+'Assumptions'!I35)))*('Assumptions'!I40*(1-'Assumptions'!I45)+'Assumptions'!I50-'Assumptions'!I55+'Assumptions'!I60-'Assumptions'!I65-'Assumptions'!I70)+(SUM('Historical Inputs'!$N$46*(1+'Assumptions'!E25)*(1+'Assumptions'!F25)*(1+'Assumptions'!G25)*(1+'Assumptions'!H25),'Historical Inputs'!$N$47*(1+'Assumptions'!E30)*(1+'Assumptions'!F30)*(1+'Assumptions'!G30)*(1+'Assumptions'!H30),'Historical Inputs'!$N$48*(1+'Assumptions'!E35)*(1+'Assumptions'!F35)*(1+'Assumptions'!G35)*(1+'Assumptions'!H35)))*'Assumptions'!H70)*'DCF'!I12/'DCF'!I14)+(SUM('Historical Inputs'!$N$46*(1+'Assumptions'!E25)*(1+'Assumptions'!F25)*(1+'Assumptions'!G25)*(1+'Assumptions'!H25)*(1+'Assumptions'!I25),'Historical Inputs'!$N$47*(1+'Assumptions'!E30)*(1+'Assumptions'!F30)*(1+'Assumptions'!G30)*(1+'Assumptions'!H30)*(1+'Assumptions'!I30),'Historical Inputs'!$N$48*(1+'Assumptions'!E35)*(1+'Assumptions'!F35)*(1+'Assumptions'!G35)*(1+'Assumptions'!H35)*(1+'Assumptions'!I35)))*(1+($E53))*'Assumptions'!$E$87*(1-'Assumptions'!$E$15)*(1-($E53)/'Assumptions'!$E$82)/('DCF'!$E$6-($E53))/'DCF'!$E$20+'Equity Bridge'!$E$17)/'Equity Bridge'!$E$20</x:f>
        <x:v>174.6497814507293</x:v>
      </x:c>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218" t="n">
        <x:f>'Assumptions'!E76</x:f>
        <x:v>0.035</x:v>
      </x:c>
      <x:c r="F54" s="215" t="n">
        <x:f>(SUM(((SUM('Historical Inputs'!$N$46*(1+'Assumptions'!E23),'Historical Inputs'!$N$47*(1+'Assumptions'!E28),'Historical Inputs'!$N$48*(1+'Assumptions'!E33)))*('Assumptions'!E38*(1-'Assumptions'!E43)+'Assumptions'!E48-'Assumptions'!E53+'Assumptions'!E58-'Assumptions'!E63-'Assumptions'!E68)+'Working Capital'!$E$6)*'DCF'!E12/'DCF'!E14,((SUM('Historical Inputs'!$N$46*(1+'Assumptions'!E23)*(1+'Assumptions'!F23),'Historical Inputs'!$N$47*(1+'Assumptions'!E28)*(1+'Assumptions'!F28),'Historical Inputs'!$N$48*(1+'Assumptions'!E33)*(1+'Assumptions'!F33)))*('Assumptions'!F38*(1-'Assumptions'!F43)+'Assumptions'!F48-'Assumptions'!F53+'Assumptions'!F58-'Assumptions'!F63-'Assumptions'!F68)+(SUM('Historical Inputs'!$N$46*(1+'Assumptions'!E23),'Historical Inputs'!$N$47*(1+'Assumptions'!E28),'Historical Inputs'!$N$48*(1+'Assumptions'!E33)))*'Assumptions'!E68)*'DCF'!F12/'DCF'!F14,((SUM('Historical Inputs'!$N$46*(1+'Assumptions'!E23)*(1+'Assumptions'!F23)*(1+'Assumptions'!G23),'Historical Inputs'!$N$47*(1+'Assumptions'!E28)*(1+'Assumptions'!F28)*(1+'Assumptions'!G28),'Historical Inputs'!$N$48*(1+'Assumptions'!E33)*(1+'Assumptions'!F33)*(1+'Assumptions'!G33)))*('Assumptions'!G38*(1-'Assumptions'!G43)+'Assumptions'!G48-'Assumptions'!G53+'Assumptions'!G58-'Assumptions'!G63-'Assumptions'!G68)+(SUM('Historical Inputs'!$N$46*(1+'Assumptions'!E23)*(1+'Assumptions'!F23),'Historical Inputs'!$N$47*(1+'Assumptions'!E28)*(1+'Assumptions'!F28),'Historical Inputs'!$N$48*(1+'Assumptions'!E33)*(1+'Assumptions'!F33)))*'Assumptions'!F68)*'DCF'!G12/'DCF'!G14,((SUM('Historical Inputs'!$N$46*(1+'Assumptions'!E23)*(1+'Assumptions'!F23)*(1+'Assumptions'!G23)*(1+'Assumptions'!H23),'Historical Inputs'!$N$47*(1+'Assumptions'!E28)*(1+'Assumptions'!F28)*(1+'Assumptions'!G28)*(1+'Assumptions'!H28),'Historical Inputs'!$N$48*(1+'Assumptions'!E33)*(1+'Assumptions'!F33)*(1+'Assumptions'!G33)*(1+'Assumptions'!H33)))*('Assumptions'!H38*(1-'Assumptions'!H43)+'Assumptions'!H48-'Assumptions'!H53+'Assumptions'!H58-'Assumptions'!H63-'Assumptions'!H68)+(SUM('Historical Inputs'!$N$46*(1+'Assumptions'!E23)*(1+'Assumptions'!F23)*(1+'Assumptions'!G23),'Historical Inputs'!$N$47*(1+'Assumptions'!E28)*(1+'Assumptions'!F28)*(1+'Assumptions'!G28),'Historical Inputs'!$N$48*(1+'Assumptions'!E33)*(1+'Assumptions'!F33)*(1+'Assumptions'!G33)))*'Assumptions'!G68)*'DCF'!H12/'DCF'!H14,((SUM('Historical Inputs'!$N$46*(1+'Assumptions'!E23)*(1+'Assumptions'!F23)*(1+'Assumptions'!G23)*(1+'Assumptions'!H23)*(1+'Assumptions'!I23),'Historical Inputs'!$N$47*(1+'Assumptions'!E28)*(1+'Assumptions'!F28)*(1+'Assumptions'!G28)*(1+'Assumptions'!H28)*(1+'Assumptions'!I28),'Historical Inputs'!$N$48*(1+'Assumptions'!E33)*(1+'Assumptions'!F33)*(1+'Assumptions'!G33)*(1+'Assumptions'!H33)*(1+'Assumptions'!I33)))*('Assumptions'!I38*(1-'Assumptions'!I43)+'Assumptions'!I48-'Assumptions'!I53+'Assumptions'!I58-'Assumptions'!I63-'Assumptions'!I68)+(SUM('Historical Inputs'!$N$46*(1+'Assumptions'!E23)*(1+'Assumptions'!F23)*(1+'Assumptions'!G23)*(1+'Assumptions'!H23),'Historical Inputs'!$N$47*(1+'Assumptions'!E28)*(1+'Assumptions'!F28)*(1+'Assumptions'!G28)*(1+'Assumptions'!H28),'Historical Inputs'!$N$48*(1+'Assumptions'!E33)*(1+'Assumptions'!F33)*(1+'Assumptions'!G33)*(1+'Assumptions'!H33)))*'Assumptions'!H68)*'DCF'!I12/'DCF'!I14)+(SUM('Historical Inputs'!$N$46*(1+'Assumptions'!E23)*(1+'Assumptions'!F23)*(1+'Assumptions'!G23)*(1+'Assumptions'!H23)*(1+'Assumptions'!I23),'Historical Inputs'!$N$47*(1+'Assumptions'!E28)*(1+'Assumptions'!F28)*(1+'Assumptions'!G28)*(1+'Assumptions'!H28)*(1+'Assumptions'!I28),'Historical Inputs'!$N$48*(1+'Assumptions'!E33)*(1+'Assumptions'!F33)*(1+'Assumptions'!G33)*(1+'Assumptions'!H33)*(1+'Assumptions'!I33)))*(1+($E54))*'Assumptions'!$E$85*(1-'Assumptions'!$E$15)*(1-($E54)/'Assumptions'!$E$80)/('DCF'!$E$6-($E54))/'DCF'!$E$20+'Equity Bridge'!$E$17)/'Equity Bridge'!$E$20</x:f>
        <x:v>298.4247368651495</x:v>
      </x:c>
      <x:c r="G54" s="215" t="n">
        <x:f>(SUM(((SUM('Historical Inputs'!$N$46*(1+'Assumptions'!E24),'Historical Inputs'!$N$47*(1+'Assumptions'!E29),'Historical Inputs'!$N$48*(1+'Assumptions'!E34)))*('Assumptions'!E39*(1-'Assumptions'!E44)+'Assumptions'!E49-'Assumptions'!E54+'Assumptions'!E59-'Assumptions'!E64-'Assumptions'!E69)+'Working Capital'!$E$6)*'DCF'!E12/'DCF'!E14,((SUM('Historical Inputs'!$N$46*(1+'Assumptions'!E24)*(1+'Assumptions'!F24),'Historical Inputs'!$N$47*(1+'Assumptions'!E29)*(1+'Assumptions'!F29),'Historical Inputs'!$N$48*(1+'Assumptions'!E34)*(1+'Assumptions'!F34)))*('Assumptions'!F39*(1-'Assumptions'!F44)+'Assumptions'!F49-'Assumptions'!F54+'Assumptions'!F59-'Assumptions'!F64-'Assumptions'!F69)+(SUM('Historical Inputs'!$N$46*(1+'Assumptions'!E24),'Historical Inputs'!$N$47*(1+'Assumptions'!E29),'Historical Inputs'!$N$48*(1+'Assumptions'!E34)))*'Assumptions'!E69)*'DCF'!F12/'DCF'!F14,((SUM('Historical Inputs'!$N$46*(1+'Assumptions'!E24)*(1+'Assumptions'!F24)*(1+'Assumptions'!G24),'Historical Inputs'!$N$47*(1+'Assumptions'!E29)*(1+'Assumptions'!F29)*(1+'Assumptions'!G29),'Historical Inputs'!$N$48*(1+'Assumptions'!E34)*(1+'Assumptions'!F34)*(1+'Assumptions'!G34)))*('Assumptions'!G39*(1-'Assumptions'!G44)+'Assumptions'!G49-'Assumptions'!G54+'Assumptions'!G59-'Assumptions'!G64-'Assumptions'!G69)+(SUM('Historical Inputs'!$N$46*(1+'Assumptions'!E24)*(1+'Assumptions'!F24),'Historical Inputs'!$N$47*(1+'Assumptions'!E29)*(1+'Assumptions'!F29),'Historical Inputs'!$N$48*(1+'Assumptions'!E34)*(1+'Assumptions'!F34)))*'Assumptions'!F69)*'DCF'!G12/'DCF'!G14,((SUM('Historical Inputs'!$N$46*(1+'Assumptions'!E24)*(1+'Assumptions'!F24)*(1+'Assumptions'!G24)*(1+'Assumptions'!H24),'Historical Inputs'!$N$47*(1+'Assumptions'!E29)*(1+'Assumptions'!F29)*(1+'Assumptions'!G29)*(1+'Assumptions'!H29),'Historical Inputs'!$N$48*(1+'Assumptions'!E34)*(1+'Assumptions'!F34)*(1+'Assumptions'!G34)*(1+'Assumptions'!H34)))*('Assumptions'!H39*(1-'Assumptions'!H44)+'Assumptions'!H49-'Assumptions'!H54+'Assumptions'!H59-'Assumptions'!H64-'Assumptions'!H69)+(SUM('Historical Inputs'!$N$46*(1+'Assumptions'!E24)*(1+'Assumptions'!F24)*(1+'Assumptions'!G24),'Historical Inputs'!$N$47*(1+'Assumptions'!E29)*(1+'Assumptions'!F29)*(1+'Assumptions'!G29),'Historical Inputs'!$N$48*(1+'Assumptions'!E34)*(1+'Assumptions'!F34)*(1+'Assumptions'!G34)))*'Assumptions'!G69)*'DCF'!H12/'DCF'!H14,((SUM('Historical Inputs'!$N$46*(1+'Assumptions'!E24)*(1+'Assumptions'!F24)*(1+'Assumptions'!G24)*(1+'Assumptions'!H24)*(1+'Assumptions'!I24),'Historical Inputs'!$N$47*(1+'Assumptions'!E29)*(1+'Assumptions'!F29)*(1+'Assumptions'!G29)*(1+'Assumptions'!H29)*(1+'Assumptions'!I29),'Historical Inputs'!$N$48*(1+'Assumptions'!E34)*(1+'Assumptions'!F34)*(1+'Assumptions'!G34)*(1+'Assumptions'!H34)*(1+'Assumptions'!I34)))*('Assumptions'!I39*(1-'Assumptions'!I44)+'Assumptions'!I49-'Assumptions'!I54+'Assumptions'!I59-'Assumptions'!I64-'Assumptions'!I69)+(SUM('Historical Inputs'!$N$46*(1+'Assumptions'!E24)*(1+'Assumptions'!F24)*(1+'Assumptions'!G24)*(1+'Assumptions'!H24),'Historical Inputs'!$N$47*(1+'Assumptions'!E29)*(1+'Assumptions'!F29)*(1+'Assumptions'!G29)*(1+'Assumptions'!H29),'Historical Inputs'!$N$48*(1+'Assumptions'!E34)*(1+'Assumptions'!F34)*(1+'Assumptions'!G34)*(1+'Assumptions'!H34)))*'Assumptions'!H69)*'DCF'!I12/'DCF'!I14)+(SUM('Historical Inputs'!$N$46*(1+'Assumptions'!E24)*(1+'Assumptions'!F24)*(1+'Assumptions'!G24)*(1+'Assumptions'!H24)*(1+'Assumptions'!I24),'Historical Inputs'!$N$47*(1+'Assumptions'!E29)*(1+'Assumptions'!F29)*(1+'Assumptions'!G29)*(1+'Assumptions'!H29)*(1+'Assumptions'!I29),'Historical Inputs'!$N$48*(1+'Assumptions'!E34)*(1+'Assumptions'!F34)*(1+'Assumptions'!G34)*(1+'Assumptions'!H34)*(1+'Assumptions'!I34)))*(1+($E54))*'Assumptions'!$E$86*(1-'Assumptions'!$E$15)*(1-($E54)/'Assumptions'!$E$81)/('DCF'!$E$6-($E54))/'DCF'!$E$20+'Equity Bridge'!$E$17)/'Equity Bridge'!$E$20</x:f>
        <x:v>390.9945246772093</x:v>
      </x:c>
      <x:c r="H54" s="215" t="n">
        <x:f>(SUM(((SUM('Historical Inputs'!$N$46*(1+'Assumptions'!E25),'Historical Inputs'!$N$47*(1+'Assumptions'!E30),'Historical Inputs'!$N$48*(1+'Assumptions'!E35)))*('Assumptions'!E40*(1-'Assumptions'!E45)+'Assumptions'!E50-'Assumptions'!E55+'Assumptions'!E60-'Assumptions'!E65-'Assumptions'!E70)+'Working Capital'!$E$6)*'DCF'!E12/'DCF'!E14,((SUM('Historical Inputs'!$N$46*(1+'Assumptions'!E25)*(1+'Assumptions'!F25),'Historical Inputs'!$N$47*(1+'Assumptions'!E30)*(1+'Assumptions'!F30),'Historical Inputs'!$N$48*(1+'Assumptions'!E35)*(1+'Assumptions'!F35)))*('Assumptions'!F40*(1-'Assumptions'!F45)+'Assumptions'!F50-'Assumptions'!F55+'Assumptions'!F60-'Assumptions'!F65-'Assumptions'!F70)+(SUM('Historical Inputs'!$N$46*(1+'Assumptions'!E25),'Historical Inputs'!$N$47*(1+'Assumptions'!E30),'Historical Inputs'!$N$48*(1+'Assumptions'!E35)))*'Assumptions'!E70)*'DCF'!F12/'DCF'!F14,((SUM('Historical Inputs'!$N$46*(1+'Assumptions'!E25)*(1+'Assumptions'!F25)*(1+'Assumptions'!G25),'Historical Inputs'!$N$47*(1+'Assumptions'!E30)*(1+'Assumptions'!F30)*(1+'Assumptions'!G30),'Historical Inputs'!$N$48*(1+'Assumptions'!E35)*(1+'Assumptions'!F35)*(1+'Assumptions'!G35)))*('Assumptions'!G40*(1-'Assumptions'!G45)+'Assumptions'!G50-'Assumptions'!G55+'Assumptions'!G60-'Assumptions'!G65-'Assumptions'!G70)+(SUM('Historical Inputs'!$N$46*(1+'Assumptions'!E25)*(1+'Assumptions'!F25),'Historical Inputs'!$N$47*(1+'Assumptions'!E30)*(1+'Assumptions'!F30),'Historical Inputs'!$N$48*(1+'Assumptions'!E35)*(1+'Assumptions'!F35)))*'Assumptions'!F70)*'DCF'!G12/'DCF'!G14,((SUM('Historical Inputs'!$N$46*(1+'Assumptions'!E25)*(1+'Assumptions'!F25)*(1+'Assumptions'!G25)*(1+'Assumptions'!H25),'Historical Inputs'!$N$47*(1+'Assumptions'!E30)*(1+'Assumptions'!F30)*(1+'Assumptions'!G30)*(1+'Assumptions'!H30),'Historical Inputs'!$N$48*(1+'Assumptions'!E35)*(1+'Assumptions'!F35)*(1+'Assumptions'!G35)*(1+'Assumptions'!H35)))*('Assumptions'!H40*(1-'Assumptions'!H45)+'Assumptions'!H50-'Assumptions'!H55+'Assumptions'!H60-'Assumptions'!H65-'Assumptions'!H70)+(SUM('Historical Inputs'!$N$46*(1+'Assumptions'!E25)*(1+'Assumptions'!F25)*(1+'Assumptions'!G25),'Historical Inputs'!$N$47*(1+'Assumptions'!E30)*(1+'Assumptions'!F30)*(1+'Assumptions'!G30),'Historical Inputs'!$N$48*(1+'Assumptions'!E35)*(1+'Assumptions'!F35)*(1+'Assumptions'!G35)))*'Assumptions'!G70)*'DCF'!H12/'DCF'!H14,((SUM('Historical Inputs'!$N$46*(1+'Assumptions'!E25)*(1+'Assumptions'!F25)*(1+'Assumptions'!G25)*(1+'Assumptions'!H25)*(1+'Assumptions'!I25),'Historical Inputs'!$N$47*(1+'Assumptions'!E30)*(1+'Assumptions'!F30)*(1+'Assumptions'!G30)*(1+'Assumptions'!H30)*(1+'Assumptions'!I30),'Historical Inputs'!$N$48*(1+'Assumptions'!E35)*(1+'Assumptions'!F35)*(1+'Assumptions'!G35)*(1+'Assumptions'!H35)*(1+'Assumptions'!I35)))*('Assumptions'!I40*(1-'Assumptions'!I45)+'Assumptions'!I50-'Assumptions'!I55+'Assumptions'!I60-'Assumptions'!I65-'Assumptions'!I70)+(SUM('Historical Inputs'!$N$46*(1+'Assumptions'!E25)*(1+'Assumptions'!F25)*(1+'Assumptions'!G25)*(1+'Assumptions'!H25),'Historical Inputs'!$N$47*(1+'Assumptions'!E30)*(1+'Assumptions'!F30)*(1+'Assumptions'!G30)*(1+'Assumptions'!H30),'Historical Inputs'!$N$48*(1+'Assumptions'!E35)*(1+'Assumptions'!F35)*(1+'Assumptions'!G35)*(1+'Assumptions'!H35)))*'Assumptions'!H70)*'DCF'!I12/'DCF'!I14)+(SUM('Historical Inputs'!$N$46*(1+'Assumptions'!E25)*(1+'Assumptions'!F25)*(1+'Assumptions'!G25)*(1+'Assumptions'!H25)*(1+'Assumptions'!I25),'Historical Inputs'!$N$47*(1+'Assumptions'!E30)*(1+'Assumptions'!F30)*(1+'Assumptions'!G30)*(1+'Assumptions'!H30)*(1+'Assumptions'!I30),'Historical Inputs'!$N$48*(1+'Assumptions'!E35)*(1+'Assumptions'!F35)*(1+'Assumptions'!G35)*(1+'Assumptions'!H35)*(1+'Assumptions'!I35)))*(1+($E54))*'Assumptions'!$E$87*(1-'Assumptions'!$E$15)*(1-($E54)/'Assumptions'!$E$82)/('DCF'!$E$6-($E54))/'DCF'!$E$20+'Equity Bridge'!$E$17)/'Equity Bridge'!$E$20</x:f>
        <x:v>180.0782237129354</x:v>
      </x:c>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218" t="n">
        <x:f>'Assumptions'!E77</x:f>
        <x:v>0.025</x:v>
      </x:c>
      <x:c r="F55" s="215" t="n">
        <x:f>(SUM(((SUM('Historical Inputs'!$N$46*(1+'Assumptions'!E23),'Historical Inputs'!$N$47*(1+'Assumptions'!E28),'Historical Inputs'!$N$48*(1+'Assumptions'!E33)))*('Assumptions'!E38*(1-'Assumptions'!E43)+'Assumptions'!E48-'Assumptions'!E53+'Assumptions'!E58-'Assumptions'!E63-'Assumptions'!E68)+'Working Capital'!$E$6)*'DCF'!E12/'DCF'!E14,((SUM('Historical Inputs'!$N$46*(1+'Assumptions'!E23)*(1+'Assumptions'!F23),'Historical Inputs'!$N$47*(1+'Assumptions'!E28)*(1+'Assumptions'!F28),'Historical Inputs'!$N$48*(1+'Assumptions'!E33)*(1+'Assumptions'!F33)))*('Assumptions'!F38*(1-'Assumptions'!F43)+'Assumptions'!F48-'Assumptions'!F53+'Assumptions'!F58-'Assumptions'!F63-'Assumptions'!F68)+(SUM('Historical Inputs'!$N$46*(1+'Assumptions'!E23),'Historical Inputs'!$N$47*(1+'Assumptions'!E28),'Historical Inputs'!$N$48*(1+'Assumptions'!E33)))*'Assumptions'!E68)*'DCF'!F12/'DCF'!F14,((SUM('Historical Inputs'!$N$46*(1+'Assumptions'!E23)*(1+'Assumptions'!F23)*(1+'Assumptions'!G23),'Historical Inputs'!$N$47*(1+'Assumptions'!E28)*(1+'Assumptions'!F28)*(1+'Assumptions'!G28),'Historical Inputs'!$N$48*(1+'Assumptions'!E33)*(1+'Assumptions'!F33)*(1+'Assumptions'!G33)))*('Assumptions'!G38*(1-'Assumptions'!G43)+'Assumptions'!G48-'Assumptions'!G53+'Assumptions'!G58-'Assumptions'!G63-'Assumptions'!G68)+(SUM('Historical Inputs'!$N$46*(1+'Assumptions'!E23)*(1+'Assumptions'!F23),'Historical Inputs'!$N$47*(1+'Assumptions'!E28)*(1+'Assumptions'!F28),'Historical Inputs'!$N$48*(1+'Assumptions'!E33)*(1+'Assumptions'!F33)))*'Assumptions'!F68)*'DCF'!G12/'DCF'!G14,((SUM('Historical Inputs'!$N$46*(1+'Assumptions'!E23)*(1+'Assumptions'!F23)*(1+'Assumptions'!G23)*(1+'Assumptions'!H23),'Historical Inputs'!$N$47*(1+'Assumptions'!E28)*(1+'Assumptions'!F28)*(1+'Assumptions'!G28)*(1+'Assumptions'!H28),'Historical Inputs'!$N$48*(1+'Assumptions'!E33)*(1+'Assumptions'!F33)*(1+'Assumptions'!G33)*(1+'Assumptions'!H33)))*('Assumptions'!H38*(1-'Assumptions'!H43)+'Assumptions'!H48-'Assumptions'!H53+'Assumptions'!H58-'Assumptions'!H63-'Assumptions'!H68)+(SUM('Historical Inputs'!$N$46*(1+'Assumptions'!E23)*(1+'Assumptions'!F23)*(1+'Assumptions'!G23),'Historical Inputs'!$N$47*(1+'Assumptions'!E28)*(1+'Assumptions'!F28)*(1+'Assumptions'!G28),'Historical Inputs'!$N$48*(1+'Assumptions'!E33)*(1+'Assumptions'!F33)*(1+'Assumptions'!G33)))*'Assumptions'!G68)*'DCF'!H12/'DCF'!H14,((SUM('Historical Inputs'!$N$46*(1+'Assumptions'!E23)*(1+'Assumptions'!F23)*(1+'Assumptions'!G23)*(1+'Assumptions'!H23)*(1+'Assumptions'!I23),'Historical Inputs'!$N$47*(1+'Assumptions'!E28)*(1+'Assumptions'!F28)*(1+'Assumptions'!G28)*(1+'Assumptions'!H28)*(1+'Assumptions'!I28),'Historical Inputs'!$N$48*(1+'Assumptions'!E33)*(1+'Assumptions'!F33)*(1+'Assumptions'!G33)*(1+'Assumptions'!H33)*(1+'Assumptions'!I33)))*('Assumptions'!I38*(1-'Assumptions'!I43)+'Assumptions'!I48-'Assumptions'!I53+'Assumptions'!I58-'Assumptions'!I63-'Assumptions'!I68)+(SUM('Historical Inputs'!$N$46*(1+'Assumptions'!E23)*(1+'Assumptions'!F23)*(1+'Assumptions'!G23)*(1+'Assumptions'!H23),'Historical Inputs'!$N$47*(1+'Assumptions'!E28)*(1+'Assumptions'!F28)*(1+'Assumptions'!G28)*(1+'Assumptions'!H28),'Historical Inputs'!$N$48*(1+'Assumptions'!E33)*(1+'Assumptions'!F33)*(1+'Assumptions'!G33)*(1+'Assumptions'!H33)))*'Assumptions'!H68)*'DCF'!I12/'DCF'!I14)+(SUM('Historical Inputs'!$N$46*(1+'Assumptions'!E23)*(1+'Assumptions'!F23)*(1+'Assumptions'!G23)*(1+'Assumptions'!H23)*(1+'Assumptions'!I23),'Historical Inputs'!$N$47*(1+'Assumptions'!E28)*(1+'Assumptions'!F28)*(1+'Assumptions'!G28)*(1+'Assumptions'!H28)*(1+'Assumptions'!I28),'Historical Inputs'!$N$48*(1+'Assumptions'!E33)*(1+'Assumptions'!F33)*(1+'Assumptions'!G33)*(1+'Assumptions'!H33)*(1+'Assumptions'!I33)))*(1+($E55))*'Assumptions'!$E$85*(1-'Assumptions'!$E$15)*(1-($E55)/'Assumptions'!$E$80)/('DCF'!$E$6-($E55))/'DCF'!$E$20+'Equity Bridge'!$E$17)/'Equity Bridge'!$E$20</x:f>
        <x:v>275.8692269514788</x:v>
      </x:c>
      <x:c r="G55" s="215" t="n">
        <x:f>(SUM(((SUM('Historical Inputs'!$N$46*(1+'Assumptions'!E24),'Historical Inputs'!$N$47*(1+'Assumptions'!E29),'Historical Inputs'!$N$48*(1+'Assumptions'!E34)))*('Assumptions'!E39*(1-'Assumptions'!E44)+'Assumptions'!E49-'Assumptions'!E54+'Assumptions'!E59-'Assumptions'!E64-'Assumptions'!E69)+'Working Capital'!$E$6)*'DCF'!E12/'DCF'!E14,((SUM('Historical Inputs'!$N$46*(1+'Assumptions'!E24)*(1+'Assumptions'!F24),'Historical Inputs'!$N$47*(1+'Assumptions'!E29)*(1+'Assumptions'!F29),'Historical Inputs'!$N$48*(1+'Assumptions'!E34)*(1+'Assumptions'!F34)))*('Assumptions'!F39*(1-'Assumptions'!F44)+'Assumptions'!F49-'Assumptions'!F54+'Assumptions'!F59-'Assumptions'!F64-'Assumptions'!F69)+(SUM('Historical Inputs'!$N$46*(1+'Assumptions'!E24),'Historical Inputs'!$N$47*(1+'Assumptions'!E29),'Historical Inputs'!$N$48*(1+'Assumptions'!E34)))*'Assumptions'!E69)*'DCF'!F12/'DCF'!F14,((SUM('Historical Inputs'!$N$46*(1+'Assumptions'!E24)*(1+'Assumptions'!F24)*(1+'Assumptions'!G24),'Historical Inputs'!$N$47*(1+'Assumptions'!E29)*(1+'Assumptions'!F29)*(1+'Assumptions'!G29),'Historical Inputs'!$N$48*(1+'Assumptions'!E34)*(1+'Assumptions'!F34)*(1+'Assumptions'!G34)))*('Assumptions'!G39*(1-'Assumptions'!G44)+'Assumptions'!G49-'Assumptions'!G54+'Assumptions'!G59-'Assumptions'!G64-'Assumptions'!G69)+(SUM('Historical Inputs'!$N$46*(1+'Assumptions'!E24)*(1+'Assumptions'!F24),'Historical Inputs'!$N$47*(1+'Assumptions'!E29)*(1+'Assumptions'!F29),'Historical Inputs'!$N$48*(1+'Assumptions'!E34)*(1+'Assumptions'!F34)))*'Assumptions'!F69)*'DCF'!G12/'DCF'!G14,((SUM('Historical Inputs'!$N$46*(1+'Assumptions'!E24)*(1+'Assumptions'!F24)*(1+'Assumptions'!G24)*(1+'Assumptions'!H24),'Historical Inputs'!$N$47*(1+'Assumptions'!E29)*(1+'Assumptions'!F29)*(1+'Assumptions'!G29)*(1+'Assumptions'!H29),'Historical Inputs'!$N$48*(1+'Assumptions'!E34)*(1+'Assumptions'!F34)*(1+'Assumptions'!G34)*(1+'Assumptions'!H34)))*('Assumptions'!H39*(1-'Assumptions'!H44)+'Assumptions'!H49-'Assumptions'!H54+'Assumptions'!H59-'Assumptions'!H64-'Assumptions'!H69)+(SUM('Historical Inputs'!$N$46*(1+'Assumptions'!E24)*(1+'Assumptions'!F24)*(1+'Assumptions'!G24),'Historical Inputs'!$N$47*(1+'Assumptions'!E29)*(1+'Assumptions'!F29)*(1+'Assumptions'!G29),'Historical Inputs'!$N$48*(1+'Assumptions'!E34)*(1+'Assumptions'!F34)*(1+'Assumptions'!G34)))*'Assumptions'!G69)*'DCF'!H12/'DCF'!H14,((SUM('Historical Inputs'!$N$46*(1+'Assumptions'!E24)*(1+'Assumptions'!F24)*(1+'Assumptions'!G24)*(1+'Assumptions'!H24)*(1+'Assumptions'!I24),'Historical Inputs'!$N$47*(1+'Assumptions'!E29)*(1+'Assumptions'!F29)*(1+'Assumptions'!G29)*(1+'Assumptions'!H29)*(1+'Assumptions'!I29),'Historical Inputs'!$N$48*(1+'Assumptions'!E34)*(1+'Assumptions'!F34)*(1+'Assumptions'!G34)*(1+'Assumptions'!H34)*(1+'Assumptions'!I34)))*('Assumptions'!I39*(1-'Assumptions'!I44)+'Assumptions'!I49-'Assumptions'!I54+'Assumptions'!I59-'Assumptions'!I64-'Assumptions'!I69)+(SUM('Historical Inputs'!$N$46*(1+'Assumptions'!E24)*(1+'Assumptions'!F24)*(1+'Assumptions'!G24)*(1+'Assumptions'!H24),'Historical Inputs'!$N$47*(1+'Assumptions'!E29)*(1+'Assumptions'!F29)*(1+'Assumptions'!G29)*(1+'Assumptions'!H29),'Historical Inputs'!$N$48*(1+'Assumptions'!E34)*(1+'Assumptions'!F34)*(1+'Assumptions'!G34)*(1+'Assumptions'!H34)))*'Assumptions'!H69)*'DCF'!I12/'DCF'!I14)+(SUM('Historical Inputs'!$N$46*(1+'Assumptions'!E24)*(1+'Assumptions'!F24)*(1+'Assumptions'!G24)*(1+'Assumptions'!H24)*(1+'Assumptions'!I24),'Historical Inputs'!$N$47*(1+'Assumptions'!E29)*(1+'Assumptions'!F29)*(1+'Assumptions'!G29)*(1+'Assumptions'!H29)*(1+'Assumptions'!I29),'Historical Inputs'!$N$48*(1+'Assumptions'!E34)*(1+'Assumptions'!F34)*(1+'Assumptions'!G34)*(1+'Assumptions'!H34)*(1+'Assumptions'!I34)))*(1+($E55))*'Assumptions'!$E$86*(1-'Assumptions'!$E$15)*(1-($E55)/'Assumptions'!$E$81)/('DCF'!$E$6-($E55))/'DCF'!$E$20+'Equity Bridge'!$E$17)/'Equity Bridge'!$E$20</x:f>
        <x:v>355.6729604585236</x:v>
      </x:c>
      <x:c r="H55" s="215" t="n">
        <x:f>(SUM(((SUM('Historical Inputs'!$N$46*(1+'Assumptions'!E25),'Historical Inputs'!$N$47*(1+'Assumptions'!E30),'Historical Inputs'!$N$48*(1+'Assumptions'!E35)))*('Assumptions'!E40*(1-'Assumptions'!E45)+'Assumptions'!E50-'Assumptions'!E55+'Assumptions'!E60-'Assumptions'!E65-'Assumptions'!E70)+'Working Capital'!$E$6)*'DCF'!E12/'DCF'!E14,((SUM('Historical Inputs'!$N$46*(1+'Assumptions'!E25)*(1+'Assumptions'!F25),'Historical Inputs'!$N$47*(1+'Assumptions'!E30)*(1+'Assumptions'!F30),'Historical Inputs'!$N$48*(1+'Assumptions'!E35)*(1+'Assumptions'!F35)))*('Assumptions'!F40*(1-'Assumptions'!F45)+'Assumptions'!F50-'Assumptions'!F55+'Assumptions'!F60-'Assumptions'!F65-'Assumptions'!F70)+(SUM('Historical Inputs'!$N$46*(1+'Assumptions'!E25),'Historical Inputs'!$N$47*(1+'Assumptions'!E30),'Historical Inputs'!$N$48*(1+'Assumptions'!E35)))*'Assumptions'!E70)*'DCF'!F12/'DCF'!F14,((SUM('Historical Inputs'!$N$46*(1+'Assumptions'!E25)*(1+'Assumptions'!F25)*(1+'Assumptions'!G25),'Historical Inputs'!$N$47*(1+'Assumptions'!E30)*(1+'Assumptions'!F30)*(1+'Assumptions'!G30),'Historical Inputs'!$N$48*(1+'Assumptions'!E35)*(1+'Assumptions'!F35)*(1+'Assumptions'!G35)))*('Assumptions'!G40*(1-'Assumptions'!G45)+'Assumptions'!G50-'Assumptions'!G55+'Assumptions'!G60-'Assumptions'!G65-'Assumptions'!G70)+(SUM('Historical Inputs'!$N$46*(1+'Assumptions'!E25)*(1+'Assumptions'!F25),'Historical Inputs'!$N$47*(1+'Assumptions'!E30)*(1+'Assumptions'!F30),'Historical Inputs'!$N$48*(1+'Assumptions'!E35)*(1+'Assumptions'!F35)))*'Assumptions'!F70)*'DCF'!G12/'DCF'!G14,((SUM('Historical Inputs'!$N$46*(1+'Assumptions'!E25)*(1+'Assumptions'!F25)*(1+'Assumptions'!G25)*(1+'Assumptions'!H25),'Historical Inputs'!$N$47*(1+'Assumptions'!E30)*(1+'Assumptions'!F30)*(1+'Assumptions'!G30)*(1+'Assumptions'!H30),'Historical Inputs'!$N$48*(1+'Assumptions'!E35)*(1+'Assumptions'!F35)*(1+'Assumptions'!G35)*(1+'Assumptions'!H35)))*('Assumptions'!H40*(1-'Assumptions'!H45)+'Assumptions'!H50-'Assumptions'!H55+'Assumptions'!H60-'Assumptions'!H65-'Assumptions'!H70)+(SUM('Historical Inputs'!$N$46*(1+'Assumptions'!E25)*(1+'Assumptions'!F25)*(1+'Assumptions'!G25),'Historical Inputs'!$N$47*(1+'Assumptions'!E30)*(1+'Assumptions'!F30)*(1+'Assumptions'!G30),'Historical Inputs'!$N$48*(1+'Assumptions'!E35)*(1+'Assumptions'!F35)*(1+'Assumptions'!G35)))*'Assumptions'!G70)*'DCF'!H12/'DCF'!H14,((SUM('Historical Inputs'!$N$46*(1+'Assumptions'!E25)*(1+'Assumptions'!F25)*(1+'Assumptions'!G25)*(1+'Assumptions'!H25)*(1+'Assumptions'!I25),'Historical Inputs'!$N$47*(1+'Assumptions'!E30)*(1+'Assumptions'!F30)*(1+'Assumptions'!G30)*(1+'Assumptions'!H30)*(1+'Assumptions'!I30),'Historical Inputs'!$N$48*(1+'Assumptions'!E35)*(1+'Assumptions'!F35)*(1+'Assumptions'!G35)*(1+'Assumptions'!H35)*(1+'Assumptions'!I35)))*('Assumptions'!I40*(1-'Assumptions'!I45)+'Assumptions'!I50-'Assumptions'!I55+'Assumptions'!I60-'Assumptions'!I65-'Assumptions'!I70)+(SUM('Historical Inputs'!$N$46*(1+'Assumptions'!E25)*(1+'Assumptions'!F25)*(1+'Assumptions'!G25)*(1+'Assumptions'!H25),'Historical Inputs'!$N$47*(1+'Assumptions'!E30)*(1+'Assumptions'!F30)*(1+'Assumptions'!G30)*(1+'Assumptions'!H30),'Historical Inputs'!$N$48*(1+'Assumptions'!E35)*(1+'Assumptions'!F35)*(1+'Assumptions'!G35)*(1+'Assumptions'!H35)))*'Assumptions'!H70)*'DCF'!I12/'DCF'!I14)+(SUM('Historical Inputs'!$N$46*(1+'Assumptions'!E25)*(1+'Assumptions'!F25)*(1+'Assumptions'!G25)*(1+'Assumptions'!H25)*(1+'Assumptions'!I25),'Historical Inputs'!$N$47*(1+'Assumptions'!E30)*(1+'Assumptions'!F30)*(1+'Assumptions'!G30)*(1+'Assumptions'!H30)*(1+'Assumptions'!I30),'Historical Inputs'!$N$48*(1+'Assumptions'!E35)*(1+'Assumptions'!F35)*(1+'Assumptions'!G35)*(1+'Assumptions'!H35)*(1+'Assumptions'!I35)))*(1+($E55))*'Assumptions'!$E$87*(1-'Assumptions'!$E$15)*(1-($E55)/'Assumptions'!$E$82)/('DCF'!$E$6-($E55))/'DCF'!$E$20+'Equity Bridge'!$E$17)/'Equity Bridge'!$E$20</x:f>
        <x:v>169.9114012991664</x:v>
      </x:c>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56" t="str">
        <x:v>Value component</x:v>
      </x:c>
      <x:c r="D59" s="160" t="str">
        <x:v>USD millions</x:v>
      </x:c>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t="str">
        <x:v>Explicit FCFF</x:v>
      </x:c>
      <x:c r="D60" s="164" t="n">
        <x:f>E18</x:f>
        <x:v>436118.6238862739</x:v>
      </x:c>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t="str">
        <x:v>Terminal value</x:v>
      </x:c>
      <x:c r="D61" s="164" t="n">
        <x:f>E23</x:f>
        <x:v>1711978.523888868</x:v>
      </x:c>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67" t="str">
        <x:v>Selected case observations</x:v>
      </x:c>
      <x:c r="D65" s="170"/>
      <x:c r="E65" s="170"/>
      <x:c r="F65" s="170"/>
      <x:c r="G65" s="170"/>
      <x:c r="H65" s="170"/>
      <x:c r="I65" s="170"/>
      <x:c r="J65" s="170"/>
      <x:c r="K65" s="170"/>
      <x:c r="L65" s="173"/>
      <x:c r="M65" s="136"/>
      <x:c r="N65" s="136"/>
      <x:c r="O65" s="136"/>
      <x:c r="P65" s="136"/>
      <x:c r="Q65" s="136"/>
      <x:c r="R65" s="136"/>
      <x:c r="S65" s="136"/>
      <x:c r="T65" s="136"/>
      <x:c r="U65" s="136"/>
      <x:c r="V65" s="136"/>
      <x:c r="W65" s="136"/>
      <x:c r="X65" s="136"/>
      <x:c r="Y65" s="136"/>
      <x:c r="Z65" s="136"/>
    </x:row>
    <x:row r="66" ht="24" customHeight="1">
      <x:c r="A66" s="136"/>
      <x:c r="B66" s="136"/>
      <x:c r="C66" s="174" t="str">
        <x:f>"Selected price USD "&amp;ROUND(E28,2)&amp;", WACC "&amp;ROUND(E6*100,2)&amp;"%, stable growth "&amp;ROUND(E7*100,1)&amp;"%. "&amp;"The first forecast year is shortened to the 265 days remaining after 8 October. Annual FY2027 FCFF is multiplied by 265/365 and discounted at the midpoint of that remaining interval in timing mode 1."</x:f>
        <x:v>Selected price USD 286.35, WACC 9.81%, stable growth 3%. The first forecast year is shortened to the 265 days remaining after 8 October. Annual FY2027 FCFF is multiplied by 265/365 and discounted at the midpoint of that remaining interval in timing mode 1.</x:v>
      </x:c>
      <x:c r="D66" s="174"/>
      <x:c r="E66" s="174"/>
      <x:c r="F66" s="174"/>
      <x:c r="G66" s="174"/>
      <x:c r="H66" s="174"/>
      <x:c r="I66" s="174"/>
      <x:c r="J66" s="174"/>
      <x:c r="K66" s="174"/>
      <x:c r="L66" s="174"/>
      <x:c r="M66" s="136"/>
      <x:c r="N66" s="136"/>
      <x:c r="O66" s="136"/>
      <x:c r="P66" s="136"/>
      <x:c r="Q66" s="136"/>
      <x:c r="R66" s="136"/>
      <x:c r="S66" s="136"/>
      <x:c r="T66" s="136"/>
      <x:c r="U66" s="136"/>
      <x:c r="V66" s="136"/>
      <x:c r="W66" s="136"/>
      <x:c r="X66" s="136"/>
      <x:c r="Y66" s="136"/>
      <x:c r="Z66" s="136"/>
    </x:row>
    <x:row r="67" ht="24" customHeight="1">
      <x:c r="A67" s="136"/>
      <x:c r="B67" s="136"/>
      <x:c r="C67" s="174"/>
      <x:c r="D67" s="174"/>
      <x:c r="E67" s="174"/>
      <x:c r="F67" s="174"/>
      <x:c r="G67" s="174"/>
      <x:c r="H67" s="174"/>
      <x:c r="I67" s="174"/>
      <x:c r="J67" s="174"/>
      <x:c r="K67" s="174"/>
      <x:c r="L67" s="174"/>
      <x:c r="M67" s="136"/>
      <x:c r="N67" s="136"/>
      <x:c r="O67" s="136"/>
      <x:c r="P67" s="136"/>
      <x:c r="Q67" s="136"/>
      <x:c r="R67" s="136"/>
      <x:c r="S67" s="136"/>
      <x:c r="T67" s="136"/>
      <x:c r="U67" s="136"/>
      <x:c r="V67" s="136"/>
      <x:c r="W67" s="136"/>
      <x:c r="X67" s="136"/>
      <x:c r="Y67" s="136"/>
      <x:c r="Z67" s="136"/>
    </x:row>
    <x:row r="68" ht="24" customHeight="1">
      <x:c r="A68" s="136"/>
      <x:c r="B68" s="136"/>
      <x:c r="C68" s="174"/>
      <x:c r="D68" s="174"/>
      <x:c r="E68" s="174"/>
      <x:c r="F68" s="174"/>
      <x:c r="G68" s="174"/>
      <x:c r="H68" s="174"/>
      <x:c r="I68" s="174"/>
      <x:c r="J68" s="174"/>
      <x:c r="K68" s="174"/>
      <x:c r="L68" s="174"/>
      <x:c r="M68" s="136"/>
      <x:c r="N68" s="136"/>
      <x:c r="O68" s="136"/>
      <x:c r="P68" s="136"/>
      <x:c r="Q68" s="136"/>
      <x:c r="R68" s="136"/>
      <x:c r="S68" s="136"/>
      <x:c r="T68" s="136"/>
      <x:c r="U68" s="136"/>
      <x:c r="V68" s="136"/>
      <x:c r="W68" s="136"/>
      <x:c r="X68" s="136"/>
      <x:c r="Y68" s="136"/>
      <x:c r="Z68" s="136"/>
    </x:row>
    <x:row r="69" ht="24" customHeight="1">
      <x:c r="A69" s="136"/>
      <x:c r="B69" s="136"/>
      <x:c r="C69" s="174" t="str">
        <x:v>The WACC and growth grid is a native two-input Excel What-If Data Table linked to E6 and E7, the actual pricing inputs. The scenario table tests E5 and E7 on the same single forecast build.</x:v>
      </x:c>
      <x:c r="D69" s="174"/>
      <x:c r="E69" s="174"/>
      <x:c r="F69" s="174"/>
      <x:c r="G69" s="174"/>
      <x:c r="H69" s="174"/>
      <x:c r="I69" s="174"/>
      <x:c r="J69" s="174"/>
      <x:c r="K69" s="174"/>
      <x:c r="L69" s="174"/>
      <x:c r="M69" s="136"/>
      <x:c r="N69" s="136"/>
      <x:c r="O69" s="136"/>
      <x:c r="P69" s="136"/>
      <x:c r="Q69" s="136"/>
      <x:c r="R69" s="136"/>
      <x:c r="S69" s="136"/>
      <x:c r="T69" s="136"/>
      <x:c r="U69" s="136"/>
      <x:c r="V69" s="136"/>
      <x:c r="W69" s="136"/>
      <x:c r="X69" s="136"/>
      <x:c r="Y69" s="136"/>
      <x:c r="Z69" s="136"/>
    </x:row>
    <x:row r="70" ht="24" customHeight="1">
      <x:c r="A70" s="136"/>
      <x:c r="B70" s="136"/>
      <x:c r="C70" s="174"/>
      <x:c r="D70" s="174"/>
      <x:c r="E70" s="174"/>
      <x:c r="F70" s="174"/>
      <x:c r="G70" s="174"/>
      <x:c r="H70" s="174"/>
      <x:c r="I70" s="174"/>
      <x:c r="J70" s="174"/>
      <x:c r="K70" s="174"/>
      <x:c r="L70" s="174"/>
      <x:c r="M70" s="136"/>
      <x:c r="N70" s="136"/>
      <x:c r="O70" s="136"/>
      <x:c r="P70" s="136"/>
      <x:c r="Q70" s="136"/>
      <x:c r="R70" s="136"/>
      <x:c r="S70" s="136"/>
      <x:c r="T70" s="136"/>
      <x:c r="U70" s="136"/>
      <x:c r="V70" s="136"/>
      <x:c r="W70" s="136"/>
      <x:c r="X70" s="136"/>
      <x:c r="Y70" s="136"/>
      <x:c r="Z70" s="136"/>
    </x:row>
    <x:row r="71" ht="24" customHeight="1">
      <x:c r="A71" s="136"/>
      <x:c r="B71" s="136"/>
      <x:c r="C71" s="174"/>
      <x:c r="D71" s="174"/>
      <x:c r="E71" s="174"/>
      <x:c r="F71" s="174"/>
      <x:c r="G71" s="174"/>
      <x:c r="H71" s="174"/>
      <x:c r="I71" s="174"/>
      <x:c r="J71" s="174"/>
      <x:c r="K71" s="174"/>
      <x:c r="L71" s="174"/>
      <x:c r="M71" s="136"/>
      <x:c r="N71" s="136"/>
      <x:c r="O71" s="136"/>
      <x:c r="P71" s="136"/>
      <x:c r="Q71" s="136"/>
      <x:c r="R71" s="136"/>
      <x:c r="S71" s="136"/>
      <x:c r="T71" s="136"/>
      <x:c r="U71" s="136"/>
      <x:c r="V71" s="136"/>
      <x:c r="W71" s="136"/>
      <x:c r="X71" s="136"/>
      <x:c r="Y71" s="136"/>
      <x:c r="Z71" s="136"/>
    </x:row>
    <x:row r="72" ht="24" customHeight="1">
      <x:c r="A72" s="136"/>
      <x:c r="B72" s="136"/>
      <x:c r="C72" s="174" t="str">
        <x:v>The native comparison uses each case at its own stable-growth assumption. It is a live calculation, not duplicated forecasts or static snapshots. Stable ROIC and margin still come from each selected case.</x:v>
      </x:c>
      <x:c r="D72" s="174"/>
      <x:c r="E72" s="174"/>
      <x:c r="F72" s="174"/>
      <x:c r="G72" s="174"/>
      <x:c r="H72" s="174"/>
      <x:c r="I72" s="174"/>
      <x:c r="J72" s="174"/>
      <x:c r="K72" s="174"/>
      <x:c r="L72" s="174"/>
      <x:c r="M72" s="136"/>
      <x:c r="N72" s="136"/>
      <x:c r="O72" s="136"/>
      <x:c r="P72" s="136"/>
      <x:c r="Q72" s="136"/>
      <x:c r="R72" s="136"/>
      <x:c r="S72" s="136"/>
      <x:c r="T72" s="136"/>
      <x:c r="U72" s="136"/>
      <x:c r="V72" s="136"/>
      <x:c r="W72" s="136"/>
      <x:c r="X72" s="136"/>
      <x:c r="Y72" s="136"/>
      <x:c r="Z72" s="136"/>
    </x:row>
    <x:row r="73" ht="24" customHeight="1">
      <x:c r="A73" s="136"/>
      <x:c r="B73" s="136"/>
      <x:c r="C73" s="174"/>
      <x:c r="D73" s="174"/>
      <x:c r="E73" s="174"/>
      <x:c r="F73" s="174"/>
      <x:c r="G73" s="174"/>
      <x:c r="H73" s="174"/>
      <x:c r="I73" s="174"/>
      <x:c r="J73" s="174"/>
      <x:c r="K73" s="174"/>
      <x:c r="L73" s="174"/>
      <x:c r="M73" s="136"/>
      <x:c r="N73" s="136"/>
      <x:c r="O73" s="136"/>
      <x:c r="P73" s="136"/>
      <x:c r="Q73" s="136"/>
      <x:c r="R73" s="136"/>
      <x:c r="S73" s="136"/>
      <x:c r="T73" s="136"/>
      <x:c r="U73" s="136"/>
      <x:c r="V73" s="136"/>
      <x:c r="W73" s="136"/>
      <x:c r="X73" s="136"/>
      <x:c r="Y73" s="136"/>
      <x:c r="Z73" s="136"/>
    </x:row>
    <x:row r="74" ht="24" customHeight="1">
      <x:c r="A74" s="136"/>
      <x:c r="B74" s="136"/>
      <x:c r="C74" s="174"/>
      <x:c r="D74" s="174"/>
      <x:c r="E74" s="174"/>
      <x:c r="F74" s="174"/>
      <x:c r="G74" s="174"/>
      <x:c r="H74" s="174"/>
      <x:c r="I74" s="174"/>
      <x:c r="J74" s="174"/>
      <x:c r="K74" s="174"/>
      <x:c r="L74" s="174"/>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66:L68"/>
    <x:mergeCell ref="C69:L71"/>
    <x:mergeCell ref="C72:L74"/>
  </x:mergeCells>
  <x:conditionalFormatting sqref="F41:L47">
    <x:cfRule type="colorScale" priority="1">
      <x:colorScale>
        <x:cfvo type="min"/>
        <x:cfvo type="percentile" val="50"/>
        <x:cfvo type="max"/>
        <x:color rgb="FFEFF4F8"/>
        <x:color rgb="FFB7CAD9"/>
        <x:color rgb="FF537991"/>
      </x:colorScale>
    </x:cfRule>
  </x:conditionalFormatting>
  <x:dataValidations count="1">
    <x:dataValidation type="whole" operator="between" sqref="E5">
      <x:formula1>1</x:formula1>
      <x:formula2>3</x:formula2>
    </x:dataValidation>
  </x:dataValidations>
  <x:pageMargins left="0.7" right="0.7" top="0.75" bottom="0.75" header="0.3" footer="0.3"/>
  <x:drawing xmlns:r="http://schemas.openxmlformats.org/officeDocument/2006/relationships" r:id="R2f04b4ae910a4af7"/>
  <x:legacyDrawing xmlns:r="http://schemas.openxmlformats.org/officeDocument/2006/relationships" r:id="R65c8d142bce54a0e"/>
</x:worksheet>
</file>

<file path=xl/worksheets/sheet4.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Forecast</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x:c r="D8" s="136"/>
      <x:c r="E8" s="156" t="str">
        <x:v>FY:27</x:v>
      </x:c>
      <x:c r="F8" s="158" t="str">
        <x:v>FY:28</x:v>
      </x:c>
      <x:c r="G8" s="158" t="str">
        <x:v>FY:29</x:v>
      </x:c>
      <x:c r="H8" s="158" t="str">
        <x:v>FY:30</x:v>
      </x:c>
      <x:c r="I8" s="160" t="str">
        <x:v>FY:31</x:v>
      </x:c>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PBP revenue</x:v>
      </x:c>
      <x:c r="D9" s="136"/>
      <x:c r="E9" s="210" t="n">
        <x:f>'Historical Inputs'!N46*(1+'Assumptions'!E22)</x:f>
        <x:v>159595.44000000003</x:v>
      </x:c>
      <x:c r="F9" s="210" t="n">
        <x:f>E9*(1+'Assumptions'!F22)</x:f>
        <x:v>180342.84720000002</x:v>
      </x:c>
      <x:c r="G9" s="210" t="n">
        <x:f>F9*(1+'Assumptions'!G22)</x:f>
        <x:v>201983.98886400004</x:v>
      </x:c>
      <x:c r="H9" s="210" t="n">
        <x:f>G9*(1+'Assumptions'!H22)</x:f>
        <x:v>224202.22763904007</x:v>
      </x:c>
      <x:c r="I9" s="210" t="n">
        <x:f>H9*(1+'Assumptions'!I22)</x:f>
        <x:v>246622.4504029441</x:v>
      </x:c>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Intelligent Cloud revenue</x:v>
      </x:c>
      <x:c r="D10" s="136"/>
      <x:c r="E10" s="210" t="n">
        <x:f>'Historical Inputs'!N47*(1+'Assumptions'!E27)</x:f>
        <x:v>170860.84</x:v>
      </x:c>
      <x:c r="F10" s="210" t="n">
        <x:f>E10*(1+'Assumptions'!F27)</x:f>
        <x:v>208450.2248</x:v>
      </x:c>
      <x:c r="G10" s="210" t="n">
        <x:f>F10*(1+'Assumptions'!G27)</x:f>
        <x:v>250140.26976</x:v>
      </x:c>
      <x:c r="H10" s="210" t="n">
        <x:f>G10*(1+'Assumptions'!H27)</x:f>
        <x:v>295165.5183168</x:v>
      </x:c>
      <x:c r="I10" s="210" t="n">
        <x:f>H10*(1+'Assumptions'!I27)</x:f>
        <x:v>342392.00124748796</x:v>
      </x:c>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MPC revenue</x:v>
      </x:c>
      <x:c r="D11" s="136"/>
      <x:c r="E11" s="210" t="n">
        <x:f>'Historical Inputs'!N48*(1+'Assumptions'!E32)</x:f>
        <x:v>54592.520000000004</x:v>
      </x:c>
      <x:c r="F11" s="210" t="n">
        <x:f>E11*(1+'Assumptions'!F32)</x:f>
        <x:v>55684.37040000001</x:v>
      </x:c>
      <x:c r="G11" s="210" t="n">
        <x:f>F11*(1+'Assumptions'!G32)</x:f>
        <x:v>56798.057808000005</x:v>
      </x:c>
      <x:c r="H11" s="210" t="n">
        <x:f>G11*(1+'Assumptions'!H32)</x:f>
        <x:v>57934.01896416001</x:v>
      </x:c>
      <x:c r="I11" s="210" t="n">
        <x:f>H11*(1+'Assumptions'!I32)</x:f>
        <x:v>59092.69934344321</x:v>
      </x:c>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77" t="str">
        <x:v>Total revenue</x:v>
      </x:c>
      <x:c r="D12" s="177"/>
      <x:c r="E12" s="220" t="n">
        <x:f>SUM(E9:E11)</x:f>
        <x:v>385048.80000000005</x:v>
      </x:c>
      <x:c r="F12" s="220" t="n">
        <x:f>SUM(F9:F11)</x:f>
        <x:v>444477.44240000006</x:v>
      </x:c>
      <x:c r="G12" s="220" t="n">
        <x:f>SUM(G9:G11)</x:f>
        <x:v>508922.316432</x:v>
      </x:c>
      <x:c r="H12" s="220" t="n">
        <x:f>SUM(H9:H11)</x:f>
        <x:v>577301.7649200001</x:v>
      </x:c>
      <x:c r="I12" s="220" t="n">
        <x:f>SUM(I9:I11)</x:f>
        <x:v>648107.1509938752</x:v>
      </x:c>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t="str">
        <x:v>Annual revenue growth</x:v>
      </x:c>
      <x:c r="D13" s="136"/>
      <x:c r="E13" s="218" t="n">
        <x:f>E12/'Historical Inputs'!N9-1</x:f>
        <x:v>0.16034824116514357</x:v>
      </x:c>
      <x:c r="F13" s="218" t="n">
        <x:f>F12/E12-1</x:f>
        <x:v>0.15434054696443678</x:v>
      </x:c>
      <x:c r="G13" s="218" t="n">
        <x:f>G12/F12-1</x:f>
        <x:v>0.14499020171647747</x:v>
      </x:c>
      <x:c r="H13" s="218" t="n">
        <x:f>H12/G12-1</x:f>
        <x:v>0.1343612694514973</x:v>
      </x:c>
      <x:c r="I13" s="218" t="n">
        <x:f>I12/H12-1</x:f>
        <x:v>0.12264883008574734</x:v>
      </x:c>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Operating margin</x:v>
      </x:c>
      <x:c r="D14" s="136"/>
      <x:c r="E14" s="218" t="n">
        <x:f>'Assumptions'!E37</x:f>
        <x:v>0.45637874221208147</x:v>
      </x:c>
      <x:c r="F14" s="218" t="n">
        <x:f>'Assumptions'!F37</x:f>
        <x:v>0.425622954183409</x:v>
      </x:c>
      <x:c r="G14" s="218" t="n">
        <x:f>'Assumptions'!G37</x:f>
        <x:v>0.4022939964496796</x:v>
      </x:c>
      <x:c r="H14" s="218" t="n">
        <x:f>'Assumptions'!H37</x:f>
        <x:v>0.38630180822151133</x:v>
      </x:c>
      <x:c r="I14" s="218" t="n">
        <x:f>'Assumptions'!I37</x:f>
        <x:v>0.3746364321844728</x:v>
      </x:c>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Operating income</x:v>
      </x:c>
      <x:c r="D15" s="136"/>
      <x:c r="E15" s="210" t="n">
        <x:f>E12*E14</x:f>
        <x:v>175728.08703427133</x:v>
      </x:c>
      <x:c r="F15" s="210" t="n">
        <x:f>F12*F14</x:f>
        <x:v>189179.80210217403</x:v>
      </x:c>
      <x:c r="G15" s="210" t="n">
        <x:f>G12*G14</x:f>
        <x:v>204736.39255985775</x:v>
      </x:c>
      <x:c r="H15" s="210" t="n">
        <x:f>H12*H14</x:f>
        <x:v>223012.7156780659</x:v>
      </x:c>
      <x:c r="I15" s="210" t="n">
        <x:f>I12*I14</x:f>
        <x:v>242804.5507215888</x:v>
      </x:c>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Operating tax rate</x:v>
      </x:c>
      <x:c r="D16" s="136"/>
      <x:c r="E16" s="218" t="n">
        <x:f>'Assumptions'!E42</x:f>
        <x:v>0.2</x:v>
      </x:c>
      <x:c r="F16" s="218" t="n">
        <x:f>'Assumptions'!F42</x:f>
        <x:v>0.2</x:v>
      </x:c>
      <x:c r="G16" s="218" t="n">
        <x:f>'Assumptions'!G42</x:f>
        <x:v>0.2</x:v>
      </x:c>
      <x:c r="H16" s="218" t="n">
        <x:f>'Assumptions'!H42</x:f>
        <x:v>0.2</x:v>
      </x:c>
      <x:c r="I16" s="218" t="n">
        <x:f>'Assumptions'!I42</x:f>
        <x:v>0.2</x:v>
      </x:c>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77" t="str">
        <x:v>NOPAT</x:v>
      </x:c>
      <x:c r="D17" s="177"/>
      <x:c r="E17" s="220" t="n">
        <x:f>E15*(1-E16)</x:f>
        <x:v>140582.46962741707</x:v>
      </x:c>
      <x:c r="F17" s="220" t="n">
        <x:f>F15*(1-F16)</x:f>
        <x:v>151343.84168173923</x:v>
      </x:c>
      <x:c r="G17" s="220" t="n">
        <x:f>G15*(1-G16)</x:f>
        <x:v>163789.11404788622</x:v>
      </x:c>
      <x:c r="H17" s="220" t="n">
        <x:f>H15*(1-H16)</x:f>
        <x:v>178410.17254245272</x:v>
      </x:c>
      <x:c r="I17" s="220" t="n">
        <x:f>I15*(1-I16)</x:f>
        <x:v>194243.64057727106</x:v>
      </x:c>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Depreciation and amortization</x:v>
      </x:c>
      <x:c r="D18" s="136"/>
      <x:c r="E18" s="210" t="n">
        <x:f>E12*'Assumptions'!E47</x:f>
        <x:v>53416.36660000001</x:v>
      </x:c>
      <x:c r="F18" s="210" t="n">
        <x:f>F12*'Assumptions'!F47</x:f>
        <x:v>77740.62026141335</x:v>
      </x:c>
      <x:c r="G18" s="210" t="n">
        <x:f>G12*'Assumptions'!G47</x:f>
        <x:v>103509.57059252667</x:v>
      </x:c>
      <x:c r="H18" s="210" t="n">
        <x:f>H12*'Assumptions'!H47</x:f>
        <x:v>129487.09185221468</x:v>
      </x:c>
      <x:c r="I18" s="210" t="n">
        <x:f>I12*'Assumptions'!I47</x:f>
        <x:v>155980.54990618228</x:v>
      </x:c>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Economic capital spending</x:v>
      </x:c>
      <x:c r="D19" s="136"/>
      <x:c r="E19" s="210" t="n">
        <x:f>'Capital Spending'!E13</x:f>
        <x:v>151042.02403000003</x:v>
      </x:c>
      <x:c r="F19" s="210" t="n">
        <x:f>'Capital Spending'!F13</x:f>
        <x:v>154356.7533948748</x:v>
      </x:c>
      <x:c r="G19" s="210" t="n">
        <x:f>'Capital Spending'!G13</x:f>
        <x:v>158881.64780878666</x:v>
      </x:c>
      <x:c r="H19" s="210" t="n">
        <x:f>'Capital Spending'!H13</x:f>
        <x:v>160011.3229175614</x:v>
      </x:c>
      <x:c r="I19" s="210" t="n">
        <x:f>'Capital Spending'!I13</x:f>
        <x:v>163424.6726616166</x:v>
      </x:c>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Operating NWC</x:v>
      </x:c>
      <x:c r="D20" s="136"/>
      <x:c r="E20" s="210" t="n">
        <x:f>'Working Capital'!E10</x:f>
        <x:v>6943.280698948256</x:v>
      </x:c>
      <x:c r="F20" s="210" t="n">
        <x:f>'Working Capital'!F10</x:f>
        <x:v>1946.4838483872193</x:v>
      </x:c>
      <x:c r="G20" s="210" t="n">
        <x:f>'Working Capital'!G10</x:f>
        <x:v>-1753.6419918508036</x:v>
      </x:c>
      <x:c r="H20" s="210" t="n">
        <x:f>'Working Capital'!H10</x:f>
        <x:v>-6024.328738945893</x:v>
      </x:c>
      <x:c r="I20" s="210" t="n">
        <x:f>'Working Capital'!I10</x:f>
        <x:v>-10977.226665101043</x:v>
      </x:c>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Change in operating NWC</x:v>
      </x:c>
      <x:c r="D21" s="136"/>
      <x:c r="E21" s="210" t="n">
        <x:f>'Working Capital'!E12</x:f>
        <x:v>-3242.719301051744</x:v>
      </x:c>
      <x:c r="F21" s="210" t="n">
        <x:f>'Working Capital'!F12</x:f>
        <x:v>-4996.796850561037</x:v>
      </x:c>
      <x:c r="G21" s="210" t="n">
        <x:f>'Working Capital'!G12</x:f>
        <x:v>-3700.1258402380226</x:v>
      </x:c>
      <x:c r="H21" s="210" t="n">
        <x:f>'Working Capital'!H12</x:f>
        <x:v>-4270.686747095089</x:v>
      </x:c>
      <x:c r="I21" s="210" t="n">
        <x:f>'Working Capital'!I12</x:f>
        <x:v>-4952.89792615515</x:v>
      </x:c>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Net reinvestment</x:v>
      </x:c>
      <x:c r="D22" s="136"/>
      <x:c r="E22" s="210" t="n">
        <x:f>E19-E18+E21</x:f>
        <x:v>94382.93812894827</x:v>
      </x:c>
      <x:c r="F22" s="210" t="n">
        <x:f>F19-F18+F21</x:f>
        <x:v>71619.33628290042</x:v>
      </x:c>
      <x:c r="G22" s="210" t="n">
        <x:f>G19-G18+G21</x:f>
        <x:v>51671.95137602197</x:v>
      </x:c>
      <x:c r="H22" s="210" t="n">
        <x:f>H19-H18+H21</x:f>
        <x:v>26253.544318251625</x:v>
      </x:c>
      <x:c r="I22" s="210" t="n">
        <x:f>I19-I18+I21</x:f>
        <x:v>2491.2248292791846</x:v>
      </x:c>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Reinvestment as share of NOPAT</x:v>
      </x:c>
      <x:c r="D23" s="136"/>
      <x:c r="E23" s="218" t="n">
        <x:f>E22/E17</x:f>
        <x:v>0.671370608149718</x:v>
      </x:c>
      <x:c r="F23" s="218" t="n">
        <x:f>F22/F17</x:f>
        <x:v>0.4732226662615624</x:v>
      </x:c>
      <x:c r="G23" s="218" t="n">
        <x:f>G22/G17</x:f>
        <x:v>0.31547854493501254</x:v>
      </x:c>
      <x:c r="H23" s="218" t="n">
        <x:f>H22/H17</x:f>
        <x:v>0.14715273206747553</x:v>
      </x:c>
      <x:c r="I23" s="218" t="n">
        <x:f>I22/I17</x:f>
        <x:v>0.012825258123640673</x:v>
      </x:c>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77" t="str">
        <x:v>Unlevered free cash flow</x:v>
      </x:c>
      <x:c r="D24" s="177"/>
      <x:c r="E24" s="220" t="n">
        <x:f>E17-E22</x:f>
        <x:v>46199.5314984688</x:v>
      </x:c>
      <x:c r="F24" s="220" t="n">
        <x:f>F17-F22</x:f>
        <x:v>79724.50539883881</x:v>
      </x:c>
      <x:c r="G24" s="220" t="n">
        <x:f>G17-G22</x:f>
        <x:v>112117.16267186425</x:v>
      </x:c>
      <x:c r="H24" s="220" t="n">
        <x:f>H17-H22</x:f>
        <x:v>152156.6282242011</x:v>
      </x:c>
      <x:c r="I24" s="220" t="n">
        <x:f>I17-I22</x:f>
        <x:v>191752.41574799188</x:v>
      </x:c>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FCFF as share of revenue</x:v>
      </x:c>
      <x:c r="D25" s="136"/>
      <x:c r="E25" s="218" t="n">
        <x:f>E24/E12</x:f>
        <x:v>0.11998357480524234</x:v>
      </x:c>
      <x:c r="F25" s="218" t="n">
        <x:f>F24/F12</x:f>
        <x:v>0.1793668199860907</x:v>
      </x:c>
      <x:c r="G25" s="218" t="n">
        <x:f>G24/G12</x:f>
        <x:v>0.2203030974509149</x:v>
      </x:c>
      <x:c r="H25" s="218" t="n">
        <x:f>H24/H12</x:f>
        <x:v>0.26356515339128794</x:v>
      </x:c>
      <x:c r="I25" s="218" t="n">
        <x:f>I24/I12</x:f>
        <x:v>0.29586529859134975</x:v>
      </x:c>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t="str">
        <x:v>SBC cost diagnostic</x:v>
      </x:c>
      <x:c r="D26" s="136"/>
      <x:c r="E26" s="210" t="n">
        <x:f>E12*'Assumptions'!$E$18</x:f>
        <x:v>14439.330000000002</x:v>
      </x:c>
      <x:c r="F26" s="210" t="n">
        <x:f>F12*'Assumptions'!$E$18</x:f>
        <x:v>16667.90409</x:v>
      </x:c>
      <x:c r="G26" s="210" t="n">
        <x:f>G12*'Assumptions'!$E$18</x:f>
        <x:v>19084.5868662</x:v>
      </x:c>
      <x:c r="H26" s="210" t="n">
        <x:f>H12*'Assumptions'!$E$18</x:f>
        <x:v>21648.816184500003</x:v>
      </x:c>
      <x:c r="I26" s="210" t="n">
        <x:f>I12*'Assumptions'!$E$18</x:f>
        <x:v>24304.01816227032</x:v>
      </x:c>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56" t="str">
        <x:v>Fiscal year</x:v>
      </x:c>
      <x:c r="D31" s="158" t="str">
        <x:v>Revenue</x:v>
      </x:c>
      <x:c r="E31" s="158" t="str">
        <x:v>NOPAT</x:v>
      </x:c>
      <x:c r="F31" s="160" t="str">
        <x:v>FCFF</x:v>
      </x:c>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t="str">
        <x:v>FY2027</x:v>
      </x:c>
      <x:c r="D32" s="164" t="n">
        <x:f>E12</x:f>
        <x:v>385048.80000000005</x:v>
      </x:c>
      <x:c r="E32" s="210" t="n">
        <x:f>E17</x:f>
        <x:v>140582.46962741707</x:v>
      </x:c>
      <x:c r="F32" s="210" t="n">
        <x:f>E24</x:f>
        <x:v>46199.5314984688</x:v>
      </x:c>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t="str">
        <x:v>FY2028</x:v>
      </x:c>
      <x:c r="D33" s="164" t="n">
        <x:f>F12</x:f>
        <x:v>444477.44240000006</x:v>
      </x:c>
      <x:c r="E33" s="210" t="n">
        <x:f>F17</x:f>
        <x:v>151343.84168173923</x:v>
      </x:c>
      <x:c r="F33" s="210" t="n">
        <x:f>F24</x:f>
        <x:v>79724.50539883881</x:v>
      </x:c>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t="str">
        <x:v>FY2029</x:v>
      </x:c>
      <x:c r="D34" s="164" t="n">
        <x:f>G12</x:f>
        <x:v>508922.316432</x:v>
      </x:c>
      <x:c r="E34" s="210" t="n">
        <x:f>G17</x:f>
        <x:v>163789.11404788622</x:v>
      </x:c>
      <x:c r="F34" s="210" t="n">
        <x:f>G24</x:f>
        <x:v>112117.16267186425</x:v>
      </x:c>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t="str">
        <x:v>FY2030</x:v>
      </x:c>
      <x:c r="D35" s="164" t="n">
        <x:f>H12</x:f>
        <x:v>577301.7649200001</x:v>
      </x:c>
      <x:c r="E35" s="210" t="n">
        <x:f>H17</x:f>
        <x:v>178410.17254245272</x:v>
      </x:c>
      <x:c r="F35" s="210" t="n">
        <x:f>H24</x:f>
        <x:v>152156.6282242011</x:v>
      </x:c>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t="str">
        <x:v>FY2031</x:v>
      </x:c>
      <x:c r="D36" s="164" t="n">
        <x:f>I12</x:f>
        <x:v>648107.1509938752</x:v>
      </x:c>
      <x:c r="E36" s="210" t="n">
        <x:f>I17</x:f>
        <x:v>194243.64057727106</x:v>
      </x:c>
      <x:c r="F36" s="210" t="n">
        <x:f>I24</x:f>
        <x:v>191752.41574799188</x:v>
      </x:c>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67" t="str">
        <x:v>Selected case observations</x:v>
      </x:c>
      <x:c r="D40" s="170"/>
      <x:c r="E40" s="170"/>
      <x:c r="F40" s="170"/>
      <x:c r="G40" s="170"/>
      <x:c r="H40" s="170"/>
      <x:c r="I40" s="170"/>
      <x:c r="J40" s="170"/>
      <x:c r="K40" s="170"/>
      <x:c r="L40" s="173"/>
      <x:c r="M40" s="136"/>
      <x:c r="N40" s="136"/>
      <x:c r="O40" s="136"/>
      <x:c r="P40" s="136"/>
      <x:c r="Q40" s="136"/>
      <x:c r="R40" s="136"/>
      <x:c r="S40" s="136"/>
      <x:c r="T40" s="136"/>
      <x:c r="U40" s="136"/>
      <x:c r="V40" s="136"/>
      <x:c r="W40" s="136"/>
      <x:c r="X40" s="136"/>
      <x:c r="Y40" s="136"/>
      <x:c r="Z40" s="136"/>
    </x:row>
    <x:row r="41" ht="24" customHeight="1">
      <x:c r="A41" s="136"/>
      <x:c r="B41" s="136"/>
      <x:c r="C41" s="174" t="str">
        <x:f>"Revenue rises from USD "&amp;ROUND(E12/1000,1)&amp;"bn to "&amp;ROUND(I12/1000,1)&amp;"bn; final annual FCFF is USD "&amp;ROUND(I24/1000,1)&amp;"bn. "&amp;"Segment growth is linked to active annual assumptions. Operating margins, D&amp;A and capitalized-interest ratios retain the project 03 scenario calibration; changes to those ratios are visible inputs."</x:f>
        <x:v>Revenue rises from USD 385bn to 648.1bn; final annual FCFF is USD 191.8bn. Segment growth is linked to active annual assumptions. Operating margins, D&amp;A and capitalized-interest ratios retain the project 03 scenario calibration; changes to those ratios are visible inputs.</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t="str">
        <x:v>NOPAT excludes non-operating investment gains and interest. Economic investment includes new finance lease assets and excludes capitalized financing interest. Operating working capital removes capex payables and current lease debt.</x:v>
      </x:c>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74" t="str">
        <x:v>SBC remains an expense inside the operating margin. It is not added back to owner cash flow. Future repurchases are not treated as an extra DCF benefit; the current share denominator is separately documented.</x:v>
      </x:c>
      <x:c r="D47" s="174"/>
      <x:c r="E47" s="174"/>
      <x:c r="F47" s="174"/>
      <x:c r="G47" s="174"/>
      <x:c r="H47" s="174"/>
      <x:c r="I47" s="174"/>
      <x:c r="J47" s="174"/>
      <x:c r="K47" s="174"/>
      <x:c r="L47" s="174"/>
      <x:c r="M47" s="136"/>
      <x:c r="N47" s="136"/>
      <x:c r="O47" s="136"/>
      <x:c r="P47" s="136"/>
      <x:c r="Q47" s="136"/>
      <x:c r="R47" s="136"/>
      <x:c r="S47" s="136"/>
      <x:c r="T47" s="136"/>
      <x:c r="U47" s="136"/>
      <x:c r="V47" s="136"/>
      <x:c r="W47" s="136"/>
      <x:c r="X47" s="136"/>
      <x:c r="Y47" s="136"/>
      <x:c r="Z47" s="136"/>
    </x:row>
    <x:row r="48" ht="24" customHeight="1">
      <x:c r="A48" s="136"/>
      <x:c r="B48" s="136"/>
      <x:c r="C48" s="174"/>
      <x:c r="D48" s="174"/>
      <x:c r="E48" s="174"/>
      <x:c r="F48" s="174"/>
      <x:c r="G48" s="174"/>
      <x:c r="H48" s="174"/>
      <x:c r="I48" s="174"/>
      <x:c r="J48" s="174"/>
      <x:c r="K48" s="174"/>
      <x:c r="L48" s="174"/>
      <x:c r="M48" s="136"/>
      <x:c r="N48" s="136"/>
      <x:c r="O48" s="136"/>
      <x:c r="P48" s="136"/>
      <x:c r="Q48" s="136"/>
      <x:c r="R48" s="136"/>
      <x:c r="S48" s="136"/>
      <x:c r="T48" s="136"/>
      <x:c r="U48" s="136"/>
      <x:c r="V48" s="136"/>
      <x:c r="W48" s="136"/>
      <x:c r="X48" s="136"/>
      <x:c r="Y48" s="136"/>
      <x:c r="Z48" s="136"/>
    </x:row>
    <x:row r="49" ht="24" customHeight="1">
      <x:c r="A49" s="136"/>
      <x:c r="B49" s="136"/>
      <x:c r="C49" s="174"/>
      <x:c r="D49" s="174"/>
      <x:c r="E49" s="174"/>
      <x:c r="F49" s="174"/>
      <x:c r="G49" s="174"/>
      <x:c r="H49" s="174"/>
      <x:c r="I49" s="174"/>
      <x:c r="J49" s="174"/>
      <x:c r="K49" s="174"/>
      <x:c r="L49" s="174"/>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41:L43"/>
    <x:mergeCell ref="C44:L46"/>
    <x:mergeCell ref="C47:L49"/>
  </x:mergeCells>
  <x:pageMargins left="0.7" right="0.7" top="0.75" bottom="0.75" header="0.3" footer="0.3"/>
  <x:drawing xmlns:r="http://schemas.openxmlformats.org/officeDocument/2006/relationships" r:id="Rd67f05ea71e64060"/>
  <x:legacyDrawing xmlns:r="http://schemas.openxmlformats.org/officeDocument/2006/relationships" r:id="R1dfd6face66140bb"/>
</x:worksheet>
</file>

<file path=xl/worksheets/sheet5.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Working Capital</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t="str">
        <x:v>Opening operating NWC</x:v>
      </x:c>
      <x:c r="D6" s="136"/>
      <x:c r="E6" s="164" t="n">
        <x:f>'Historical Inputs'!N62</x:f>
        <x:v>10186</x:v>
      </x:c>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x:c r="D8" s="136"/>
      <x:c r="E8" s="156" t="str">
        <x:v>FY:27</x:v>
      </x:c>
      <x:c r="F8" s="158" t="str">
        <x:v>FY:28</x:v>
      </x:c>
      <x:c r="G8" s="158" t="str">
        <x:v>FY:29</x:v>
      </x:c>
      <x:c r="H8" s="158" t="str">
        <x:v>FY:30</x:v>
      </x:c>
      <x:c r="I8" s="160" t="str">
        <x:v>FY:31</x:v>
      </x:c>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Operating NWC as share of revenue</x:v>
      </x:c>
      <x:c r="D9" s="136"/>
      <x:c r="E9" s="218" t="n">
        <x:f>'Assumptions'!E67</x:f>
        <x:v>0.01803220968082034</x:v>
      </x:c>
      <x:c r="F9" s="218" t="n">
        <x:f>'Assumptions'!F67</x:f>
        <x:v>0.0043792635186995915</x:v>
      </x:c>
      <x:c r="G9" s="218" t="n">
        <x:f>'Assumptions'!G67</x:f>
        <x:v>-0.003445795036353289</x:v>
      </x:c>
      <x:c r="H9" s="218" t="n">
        <x:f>'Assumptions'!H67</x:f>
        <x:v>-0.010435320148000443</x:v>
      </x:c>
      <x:c r="I9" s="218" t="n">
        <x:f>'Assumptions'!I67</x:f>
        <x:v>-0.01693736390389678</x:v>
      </x:c>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Closing operating NWC</x:v>
      </x:c>
      <x:c r="D10" s="136"/>
      <x:c r="E10" s="210" t="n">
        <x:f>'Forecast'!E12*E9</x:f>
        <x:v>6943.280698948256</x:v>
      </x:c>
      <x:c r="F10" s="210" t="n">
        <x:f>'Forecast'!F12*F9</x:f>
        <x:v>1946.4838483872193</x:v>
      </x:c>
      <x:c r="G10" s="210" t="n">
        <x:f>'Forecast'!G12*G9</x:f>
        <x:v>-1753.6419918508036</x:v>
      </x:c>
      <x:c r="H10" s="210" t="n">
        <x:f>'Forecast'!H12*H9</x:f>
        <x:v>-6024.328738945893</x:v>
      </x:c>
      <x:c r="I10" s="210" t="n">
        <x:f>'Forecast'!I12*I9</x:f>
        <x:v>-10977.226665101043</x:v>
      </x:c>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Opening operating NWC</x:v>
      </x:c>
      <x:c r="D11" s="136"/>
      <x:c r="E11" s="210" t="n">
        <x:f>$E$6</x:f>
        <x:v>10186</x:v>
      </x:c>
      <x:c r="F11" s="210" t="n">
        <x:f>E10</x:f>
        <x:v>6943.280698948256</x:v>
      </x:c>
      <x:c r="G11" s="210" t="n">
        <x:f>F10</x:f>
        <x:v>1946.4838483872193</x:v>
      </x:c>
      <x:c r="H11" s="210" t="n">
        <x:f>G10</x:f>
        <x:v>-1753.6419918508036</x:v>
      </x:c>
      <x:c r="I11" s="210" t="n">
        <x:f>H10</x:f>
        <x:v>-6024.328738945893</x:v>
      </x:c>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77" t="str">
        <x:v>Cash reinvestment in NWC</x:v>
      </x:c>
      <x:c r="D12" s="177"/>
      <x:c r="E12" s="220" t="n">
        <x:f>E10-E11</x:f>
        <x:v>-3242.719301051744</x:v>
      </x:c>
      <x:c r="F12" s="220" t="n">
        <x:f>F10-F11</x:f>
        <x:v>-4996.796850561037</x:v>
      </x:c>
      <x:c r="G12" s="220" t="n">
        <x:f>G10-G11</x:f>
        <x:v>-3700.1258402380226</x:v>
      </x:c>
      <x:c r="H12" s="220" t="n">
        <x:f>H10-H11</x:f>
        <x:v>-4270.686747095089</x:v>
      </x:c>
      <x:c r="I12" s="220" t="n">
        <x:f>I10-I11</x:f>
        <x:v>-4952.89792615515</x:v>
      </x:c>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t="str">
        <x:v>Revenue</x:v>
      </x:c>
      <x:c r="D13" s="136"/>
      <x:c r="E13" s="210" t="n">
        <x:f>'Forecast'!E12</x:f>
        <x:v>385048.80000000005</x:v>
      </x:c>
      <x:c r="F13" s="210" t="n">
        <x:f>'Forecast'!F12</x:f>
        <x:v>444477.44240000006</x:v>
      </x:c>
      <x:c r="G13" s="210" t="n">
        <x:f>'Forecast'!G12</x:f>
        <x:v>508922.316432</x:v>
      </x:c>
      <x:c r="H13" s="210" t="n">
        <x:f>'Forecast'!H12</x:f>
        <x:v>577301.7649200001</x:v>
      </x:c>
      <x:c r="I13" s="210" t="n">
        <x:f>'Forecast'!I12</x:f>
        <x:v>648107.1509938752</x:v>
      </x:c>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NWC cash requirement / revenue</x:v>
      </x:c>
      <x:c r="D14" s="136"/>
      <x:c r="E14" s="218" t="n">
        <x:f>E12/E13</x:f>
        <x:v>-0.008421580072582341</x:v>
      </x:c>
      <x:c r="F14" s="218" t="n">
        <x:f>F12/F13</x:f>
        <x:v>-0.011241958250075271</x:v>
      </x:c>
      <x:c r="G14" s="218" t="n">
        <x:f>G12/G13</x:f>
        <x:v>-0.007270512061996435</x:v>
      </x:c>
      <x:c r="H14" s="218" t="n">
        <x:f>H12/H13</x:f>
        <x:v>-0.007397667921016839</x:v>
      </x:c>
      <x:c r="I14" s="218" t="n">
        <x:f>I12/I13</x:f>
        <x:v>-0.007642097326900126</x:v>
      </x:c>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56" t="str">
        <x:v>Fiscal year</x:v>
      </x:c>
      <x:c r="D18" s="158" t="str">
        <x:v>Closing NWC</x:v>
      </x:c>
      <x:c r="E18" s="160" t="str">
        <x:v>Change in NWC</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FY2027</x:v>
      </x:c>
      <x:c r="D19" s="164" t="n">
        <x:f>E10</x:f>
        <x:v>6943.280698948256</x:v>
      </x:c>
      <x:c r="E19" s="210" t="n">
        <x:f>E12</x:f>
        <x:v>-3242.719301051744</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FY2028</x:v>
      </x:c>
      <x:c r="D20" s="164" t="n">
        <x:f>F10</x:f>
        <x:v>1946.4838483872193</x:v>
      </x:c>
      <x:c r="E20" s="210" t="n">
        <x:f>F12</x:f>
        <x:v>-4996.796850561037</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FY2029</x:v>
      </x:c>
      <x:c r="D21" s="164" t="n">
        <x:f>G10</x:f>
        <x:v>-1753.6419918508036</x:v>
      </x:c>
      <x:c r="E21" s="210" t="n">
        <x:f>G12</x:f>
        <x:v>-3700.1258402380226</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FY2030</x:v>
      </x:c>
      <x:c r="D22" s="164" t="n">
        <x:f>H10</x:f>
        <x:v>-6024.328738945893</x:v>
      </x:c>
      <x:c r="E22" s="210" t="n">
        <x:f>H12</x:f>
        <x:v>-4270.686747095089</x:v>
      </x:c>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FY2031</x:v>
      </x:c>
      <x:c r="D23" s="164" t="n">
        <x:f>I10</x:f>
        <x:v>-10977.226665101043</x:v>
      </x:c>
      <x:c r="E23" s="210" t="n">
        <x:f>I12</x:f>
        <x:v>-4952.89792615515</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67" t="str">
        <x:v>Selected case observations</x:v>
      </x:c>
      <x:c r="D27" s="170"/>
      <x:c r="E27" s="170"/>
      <x:c r="F27" s="170"/>
      <x:c r="G27" s="170"/>
      <x:c r="H27" s="170"/>
      <x:c r="I27" s="170"/>
      <x:c r="J27" s="170"/>
      <x:c r="K27" s="170"/>
      <x:c r="L27" s="173"/>
      <x:c r="M27" s="136"/>
      <x:c r="N27" s="136"/>
      <x:c r="O27" s="136"/>
      <x:c r="P27" s="136"/>
      <x:c r="Q27" s="136"/>
      <x:c r="R27" s="136"/>
      <x:c r="S27" s="136"/>
      <x:c r="T27" s="136"/>
      <x:c r="U27" s="136"/>
      <x:c r="V27" s="136"/>
      <x:c r="W27" s="136"/>
      <x:c r="X27" s="136"/>
      <x:c r="Y27" s="136"/>
      <x:c r="Z27" s="136"/>
    </x:row>
    <x:row r="28" ht="24" customHeight="1">
      <x:c r="A28" s="136"/>
      <x:c r="B28" s="136"/>
      <x:c r="C28" s="174" t="str">
        <x:f>"Opening NWC is USD "&amp;ROUND(E6,0)&amp;"m and final NWC USD "&amp;ROUND(I10,0)&amp;"m. FY2027 change is USD "&amp;ROUND(E12,0)&amp;"m. "&amp;"A rise in operating NWC uses cash and reduces FCFF. Customer prepayments and other operating liabilities can make NWC negative; a negative balance does not mean cash or debt is being counted as operating funding."</x:f>
        <x:v>Opening NWC is USD 10186m and final NWC USD -10977m. FY2027 change is USD -3243m. A rise in operating NWC uses cash and reduces FCFF. Customer prepayments and other operating liabilities can make NWC negative; a negative balance does not mean cash or debt is being counted as operating funding.</x:v>
      </x:c>
      <x:c r="D28" s="174"/>
      <x:c r="E28" s="174"/>
      <x:c r="F28" s="174"/>
      <x:c r="G28" s="174"/>
      <x:c r="H28" s="174"/>
      <x:c r="I28" s="174"/>
      <x:c r="J28" s="174"/>
      <x:c r="K28" s="174"/>
      <x:c r="L28" s="174"/>
      <x:c r="M28" s="136"/>
      <x:c r="N28" s="136"/>
      <x:c r="O28" s="136"/>
      <x:c r="P28" s="136"/>
      <x:c r="Q28" s="136"/>
      <x:c r="R28" s="136"/>
      <x:c r="S28" s="136"/>
      <x:c r="T28" s="136"/>
      <x:c r="U28" s="136"/>
      <x:c r="V28" s="136"/>
      <x:c r="W28" s="136"/>
      <x:c r="X28" s="136"/>
      <x:c r="Y28" s="136"/>
      <x:c r="Z28" s="136"/>
    </x:row>
    <x:row r="29" ht="24" customHeight="1">
      <x:c r="A29" s="136"/>
      <x:c r="B29" s="136"/>
      <x:c r="C29" s="174"/>
      <x:c r="D29" s="174"/>
      <x:c r="E29" s="174"/>
      <x:c r="F29" s="174"/>
      <x:c r="G29" s="174"/>
      <x:c r="H29" s="174"/>
      <x:c r="I29" s="174"/>
      <x:c r="J29" s="174"/>
      <x:c r="K29" s="174"/>
      <x:c r="L29" s="174"/>
      <x:c r="M29" s="136"/>
      <x:c r="N29" s="136"/>
      <x:c r="O29" s="136"/>
      <x:c r="P29" s="136"/>
      <x:c r="Q29" s="136"/>
      <x:c r="R29" s="136"/>
      <x:c r="S29" s="136"/>
      <x:c r="T29" s="136"/>
      <x:c r="U29" s="136"/>
      <x:c r="V29" s="136"/>
      <x:c r="W29" s="136"/>
      <x:c r="X29" s="136"/>
      <x:c r="Y29" s="136"/>
      <x:c r="Z29" s="136"/>
    </x:row>
    <x:row r="30" ht="24" customHeight="1">
      <x:c r="A30" s="136"/>
      <x:c r="B30" s="136"/>
      <x:c r="C30" s="174"/>
      <x:c r="D30" s="174"/>
      <x:c r="E30" s="174"/>
      <x:c r="F30" s="174"/>
      <x:c r="G30" s="174"/>
      <x:c r="H30" s="174"/>
      <x:c r="I30" s="174"/>
      <x:c r="J30" s="174"/>
      <x:c r="K30" s="174"/>
      <x:c r="L30" s="174"/>
      <x:c r="M30" s="136"/>
      <x:c r="N30" s="136"/>
      <x:c r="O30" s="136"/>
      <x:c r="P30" s="136"/>
      <x:c r="Q30" s="136"/>
      <x:c r="R30" s="136"/>
      <x:c r="S30" s="136"/>
      <x:c r="T30" s="136"/>
      <x:c r="U30" s="136"/>
      <x:c r="V30" s="136"/>
      <x:c r="W30" s="136"/>
      <x:c r="X30" s="136"/>
      <x:c r="Y30" s="136"/>
      <x:c r="Z30" s="136"/>
    </x:row>
    <x:row r="31" ht="24" customHeight="1">
      <x:c r="A31" s="136"/>
      <x:c r="B31" s="136"/>
      <x:c r="C31" s="174" t="str">
        <x:v>Capex creditors finance fixed assets and are removed from trade payables. Current operating and finance lease liabilities are removed from other current liabilities. Their different roles are explained in the raw source notes.</x:v>
      </x:c>
      <x:c r="D31" s="174"/>
      <x:c r="E31" s="174"/>
      <x:c r="F31" s="174"/>
      <x:c r="G31" s="174"/>
      <x:c r="H31" s="174"/>
      <x:c r="I31" s="174"/>
      <x:c r="J31" s="174"/>
      <x:c r="K31" s="174"/>
      <x:c r="L31" s="174"/>
      <x:c r="M31" s="136"/>
      <x:c r="N31" s="136"/>
      <x:c r="O31" s="136"/>
      <x:c r="P31" s="136"/>
      <x:c r="Q31" s="136"/>
      <x:c r="R31" s="136"/>
      <x:c r="S31" s="136"/>
      <x:c r="T31" s="136"/>
      <x:c r="U31" s="136"/>
      <x:c r="V31" s="136"/>
      <x:c r="W31" s="136"/>
      <x:c r="X31" s="136"/>
      <x:c r="Y31" s="136"/>
      <x:c r="Z31" s="136"/>
    </x:row>
    <x:row r="32" ht="24" customHeight="1">
      <x:c r="A32" s="136"/>
      <x:c r="B32" s="136"/>
      <x:c r="C32" s="174"/>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74"/>
      <x:c r="D33" s="174"/>
      <x:c r="E33" s="174"/>
      <x:c r="F33" s="174"/>
      <x:c r="G33" s="174"/>
      <x:c r="H33" s="174"/>
      <x:c r="I33" s="174"/>
      <x:c r="J33" s="174"/>
      <x:c r="K33" s="174"/>
      <x:c r="L33" s="174"/>
      <x:c r="M33" s="136"/>
      <x:c r="N33" s="136"/>
      <x:c r="O33" s="136"/>
      <x:c r="P33" s="136"/>
      <x:c r="Q33" s="136"/>
      <x:c r="R33" s="136"/>
      <x:c r="S33" s="136"/>
      <x:c r="T33" s="136"/>
      <x:c r="U33" s="136"/>
      <x:c r="V33" s="136"/>
      <x:c r="W33" s="136"/>
      <x:c r="X33" s="136"/>
      <x:c r="Y33" s="136"/>
      <x:c r="Z33" s="136"/>
    </x:row>
    <x:row r="34" ht="24" customHeight="1">
      <x:c r="A34" s="136"/>
      <x:c r="B34" s="136"/>
      <x:c r="C34" s="174" t="str">
        <x:v>The selected NWC ratios reproduce project 03 forecast operating balances. A DSO interpretation of the reverse NWC shift assumes only receivables change; it does not imply identical changes to inventory or customer prepayments.</x:v>
      </x:c>
      <x:c r="D34" s="174"/>
      <x:c r="E34" s="174"/>
      <x:c r="F34" s="174"/>
      <x:c r="G34" s="174"/>
      <x:c r="H34" s="174"/>
      <x:c r="I34" s="174"/>
      <x:c r="J34" s="174"/>
      <x:c r="K34" s="174"/>
      <x:c r="L34" s="174"/>
      <x:c r="M34" s="136"/>
      <x:c r="N34" s="136"/>
      <x:c r="O34" s="136"/>
      <x:c r="P34" s="136"/>
      <x:c r="Q34" s="136"/>
      <x:c r="R34" s="136"/>
      <x:c r="S34" s="136"/>
      <x:c r="T34" s="136"/>
      <x:c r="U34" s="136"/>
      <x:c r="V34" s="136"/>
      <x:c r="W34" s="136"/>
      <x:c r="X34" s="136"/>
      <x:c r="Y34" s="136"/>
      <x:c r="Z34" s="136"/>
    </x:row>
    <x:row r="35" ht="24" customHeight="1">
      <x:c r="A35" s="136"/>
      <x:c r="B35" s="136"/>
      <x:c r="C35" s="174"/>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28:L30"/>
    <x:mergeCell ref="C31:L33"/>
    <x:mergeCell ref="C34:L36"/>
  </x:mergeCells>
  <x:pageMargins left="0.7" right="0.7" top="0.75" bottom="0.75" header="0.3" footer="0.3"/>
  <x:drawing xmlns:r="http://schemas.openxmlformats.org/officeDocument/2006/relationships" r:id="Rbf2b974fbe134fd8"/>
  <x:legacyDrawing xmlns:r="http://schemas.openxmlformats.org/officeDocument/2006/relationships" r:id="R77ae2af9f7b849ea"/>
</x:worksheet>
</file>

<file path=xl/worksheets/sheet6.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Capital Spending</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x:c r="D8" s="136"/>
      <x:c r="E8" s="156" t="str">
        <x:v>FY:27</x:v>
      </x:c>
      <x:c r="F8" s="158" t="str">
        <x:v>FY:28</x:v>
      </x:c>
      <x:c r="G8" s="158" t="str">
        <x:v>FY:29</x:v>
      </x:c>
      <x:c r="H8" s="158" t="str">
        <x:v>FY:30</x:v>
      </x:c>
      <x:c r="I8" s="160" t="str">
        <x:v>FY:31</x:v>
      </x:c>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Cash capital spending</x:v>
      </x:c>
      <x:c r="D9" s="136"/>
      <x:c r="E9" s="210" t="n">
        <x:f>'Forecast'!E12*'Assumptions'!E52</x:f>
        <x:v>123215.61600000002</x:v>
      </x:c>
      <x:c r="F9" s="210" t="n">
        <x:f>'Forecast'!F12*'Assumptions'!F52</x:f>
        <x:v>124453.68387200002</x:v>
      </x:c>
      <x:c r="G9" s="210" t="n">
        <x:f>'Forecast'!G12*'Assumptions'!G52</x:f>
        <x:v>127230.579108</x:v>
      </x:c>
      <x:c r="H9" s="210" t="n">
        <x:f>'Forecast'!H12*'Assumptions'!H52</x:f>
        <x:v>127006.38828240002</x:v>
      </x:c>
      <x:c r="I9" s="210" t="n">
        <x:f>'Forecast'!I12*'Assumptions'!I52</x:f>
        <x:v>129621.43019877505</x:v>
      </x:c>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Less capitalized financing interest</x:v>
      </x:c>
      <x:c r="D10" s="136"/>
      <x:c r="E10" s="210" t="n">
        <x:f>'Forecast'!E12*'Assumptions'!E57</x:f>
        <x:v>1052.25197</x:v>
      </x:c>
      <x:c r="F10" s="210" t="n">
        <x:f>'Forecast'!F12*'Assumptions'!F57</x:f>
        <x:v>1210.351445125231</x:v>
      </x:c>
      <x:c r="G10" s="210" t="n">
        <x:f>'Forecast'!G12*'Assumptions'!G57</x:f>
        <x:v>1428.8818672933423</x:v>
      </x:c>
      <x:c r="H10" s="210" t="n">
        <x:f>'Forecast'!H12*'Assumptions'!H57</x:f>
        <x:v>1633.1712600386338</x:v>
      </x:c>
      <x:c r="I10" s="210" t="n">
        <x:f>'Forecast'!I12*'Assumptions'!I57</x:f>
        <x:v>1842.6508418215735</x:v>
      </x:c>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Operating cash capex</x:v>
      </x:c>
      <x:c r="D11" s="136"/>
      <x:c r="E11" s="210" t="n">
        <x:f>E9-E10</x:f>
        <x:v>122163.36403000003</x:v>
      </x:c>
      <x:c r="F11" s="210" t="n">
        <x:f>F9-F10</x:f>
        <x:v>123243.3324268748</x:v>
      </x:c>
      <x:c r="G11" s="210" t="n">
        <x:f>G9-G10</x:f>
        <x:v>125801.69724070666</x:v>
      </x:c>
      <x:c r="H11" s="210" t="n">
        <x:f>H9-H10</x:f>
        <x:v>125373.21702236138</x:v>
      </x:c>
      <x:c r="I11" s="210" t="n">
        <x:f>I9-I10</x:f>
        <x:v>127778.77935695348</x:v>
      </x:c>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New finance lease assets</x:v>
      </x:c>
      <x:c r="D12" s="136"/>
      <x:c r="E12" s="210" t="n">
        <x:f>'Forecast'!E12*'Assumptions'!E62</x:f>
        <x:v>28878.660000000003</x:v>
      </x:c>
      <x:c r="F12" s="210" t="n">
        <x:f>'Forecast'!F12*'Assumptions'!F62</x:f>
        <x:v>31113.420968000006</x:v>
      </x:c>
      <x:c r="G12" s="210" t="n">
        <x:f>'Forecast'!G12*'Assumptions'!G62</x:f>
        <x:v>33079.95056808</x:v>
      </x:c>
      <x:c r="H12" s="210" t="n">
        <x:f>'Forecast'!H12*'Assumptions'!H62</x:f>
        <x:v>34638.1058952</x:v>
      </x:c>
      <x:c r="I12" s="210" t="n">
        <x:f>'Forecast'!I12*'Assumptions'!I62</x:f>
        <x:v>35645.893304663135</x:v>
      </x:c>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77" t="str">
        <x:v>Economic capital spending</x:v>
      </x:c>
      <x:c r="D13" s="177"/>
      <x:c r="E13" s="220" t="n">
        <x:f>SUM(E11:E12)</x:f>
        <x:v>151042.02403000003</x:v>
      </x:c>
      <x:c r="F13" s="220" t="n">
        <x:f>SUM(F11:F12)</x:f>
        <x:v>154356.7533948748</x:v>
      </x:c>
      <x:c r="G13" s="220" t="n">
        <x:f>SUM(G11:G12)</x:f>
        <x:v>158881.64780878666</x:v>
      </x:c>
      <x:c r="H13" s="220" t="n">
        <x:f>SUM(H11:H12)</x:f>
        <x:v>160011.3229175614</x:v>
      </x:c>
      <x:c r="I13" s="220" t="n">
        <x:f>SUM(I11:I12)</x:f>
        <x:v>163424.6726616166</x:v>
      </x:c>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Depreciation and amortization</x:v>
      </x:c>
      <x:c r="D14" s="136"/>
      <x:c r="E14" s="210" t="n">
        <x:f>'Forecast'!E18</x:f>
        <x:v>53416.36660000001</x:v>
      </x:c>
      <x:c r="F14" s="210" t="n">
        <x:f>'Forecast'!F18</x:f>
        <x:v>77740.62026141335</x:v>
      </x:c>
      <x:c r="G14" s="210" t="n">
        <x:f>'Forecast'!G18</x:f>
        <x:v>103509.57059252667</x:v>
      </x:c>
      <x:c r="H14" s="210" t="n">
        <x:f>'Forecast'!H18</x:f>
        <x:v>129487.09185221468</x:v>
      </x:c>
      <x:c r="I14" s="210" t="n">
        <x:f>'Forecast'!I18</x:f>
        <x:v>155980.54990618228</x:v>
      </x:c>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Net fixed asset reinvestment</x:v>
      </x:c>
      <x:c r="D15" s="136"/>
      <x:c r="E15" s="210" t="n">
        <x:f>E13-E14</x:f>
        <x:v>97625.65743000002</x:v>
      </x:c>
      <x:c r="F15" s="210" t="n">
        <x:f>F13-F14</x:f>
        <x:v>76616.13313346145</x:v>
      </x:c>
      <x:c r="G15" s="210" t="n">
        <x:f>G13-G14</x:f>
        <x:v>55372.07721625999</x:v>
      </x:c>
      <x:c r="H15" s="210" t="n">
        <x:f>H13-H14</x:f>
        <x:v>30524.231065346714</x:v>
      </x:c>
      <x:c r="I15" s="210" t="n">
        <x:f>I13-I14</x:f>
        <x:v>7444.122755434335</x:v>
      </x:c>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Cash capex share of revenue</x:v>
      </x:c>
      <x:c r="D16" s="136"/>
      <x:c r="E16" s="218" t="n">
        <x:f>E9/'Forecast'!E12</x:f>
        <x:v>0.32</x:v>
      </x:c>
      <x:c r="F16" s="218" t="n">
        <x:f>F9/'Forecast'!F12</x:f>
        <x:v>0.28</x:v>
      </x:c>
      <x:c r="G16" s="218" t="n">
        <x:f>G9/'Forecast'!G12</x:f>
        <x:v>0.25</x:v>
      </x:c>
      <x:c r="H16" s="218" t="n">
        <x:f>H9/'Forecast'!H12</x:f>
        <x:v>0.22</x:v>
      </x:c>
      <x:c r="I16" s="218" t="n">
        <x:f>I9/'Forecast'!I12</x:f>
        <x:v>0.2</x:v>
      </x:c>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Finance asset additions share of revenue</x:v>
      </x:c>
      <x:c r="D17" s="136"/>
      <x:c r="E17" s="218" t="n">
        <x:f>E12/'Forecast'!E12</x:f>
        <x:v>0.075</x:v>
      </x:c>
      <x:c r="F17" s="218" t="n">
        <x:f>F12/'Forecast'!F12</x:f>
        <x:v>0.07</x:v>
      </x:c>
      <x:c r="G17" s="218" t="n">
        <x:f>G12/'Forecast'!G12</x:f>
        <x:v>0.065</x:v>
      </x:c>
      <x:c r="H17" s="218" t="n">
        <x:f>H12/'Forecast'!H12</x:f>
        <x:v>0.05999999999999999</x:v>
      </x:c>
      <x:c r="I17" s="218" t="n">
        <x:f>I12/'Forecast'!I12</x:f>
        <x:v>0.055</x:v>
      </x:c>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Fiscal year</x:v>
      </x:c>
      <x:c r="D21" s="158" t="str">
        <x:v>Cash capex</x:v>
      </x:c>
      <x:c r="E21" s="158" t="str">
        <x:v>Finance additions</x:v>
      </x:c>
      <x:c r="F21" s="158" t="str">
        <x:v>Economic capex</x:v>
      </x:c>
      <x:c r="G21" s="160" t="str">
        <x:v>D&amp;A</x:v>
      </x:c>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FY2027</x:v>
      </x:c>
      <x:c r="D22" s="164" t="n">
        <x:f>E9</x:f>
        <x:v>123215.61600000002</x:v>
      </x:c>
      <x:c r="E22" s="210" t="n">
        <x:f>E12</x:f>
        <x:v>28878.660000000003</x:v>
      </x:c>
      <x:c r="F22" s="210" t="n">
        <x:f>E13</x:f>
        <x:v>151042.02403000003</x:v>
      </x:c>
      <x:c r="G22" s="210" t="n">
        <x:f>E14</x:f>
        <x:v>53416.36660000001</x:v>
      </x:c>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FY2028</x:v>
      </x:c>
      <x:c r="D23" s="164" t="n">
        <x:f>F9</x:f>
        <x:v>124453.68387200002</x:v>
      </x:c>
      <x:c r="E23" s="210" t="n">
        <x:f>F12</x:f>
        <x:v>31113.420968000006</x:v>
      </x:c>
      <x:c r="F23" s="210" t="n">
        <x:f>F13</x:f>
        <x:v>154356.7533948748</x:v>
      </x:c>
      <x:c r="G23" s="210" t="n">
        <x:f>F14</x:f>
        <x:v>77740.62026141335</x:v>
      </x:c>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FY2029</x:v>
      </x:c>
      <x:c r="D24" s="164" t="n">
        <x:f>G9</x:f>
        <x:v>127230.579108</x:v>
      </x:c>
      <x:c r="E24" s="210" t="n">
        <x:f>G12</x:f>
        <x:v>33079.95056808</x:v>
      </x:c>
      <x:c r="F24" s="210" t="n">
        <x:f>G13</x:f>
        <x:v>158881.64780878666</x:v>
      </x:c>
      <x:c r="G24" s="210" t="n">
        <x:f>G14</x:f>
        <x:v>103509.57059252667</x:v>
      </x:c>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FY2030</x:v>
      </x:c>
      <x:c r="D25" s="164" t="n">
        <x:f>H9</x:f>
        <x:v>127006.38828240002</x:v>
      </x:c>
      <x:c r="E25" s="210" t="n">
        <x:f>H12</x:f>
        <x:v>34638.1058952</x:v>
      </x:c>
      <x:c r="F25" s="210" t="n">
        <x:f>H13</x:f>
        <x:v>160011.3229175614</x:v>
      </x:c>
      <x:c r="G25" s="210" t="n">
        <x:f>H14</x:f>
        <x:v>129487.09185221468</x:v>
      </x:c>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t="str">
        <x:v>FY2031</x:v>
      </x:c>
      <x:c r="D26" s="164" t="n">
        <x:f>I9</x:f>
        <x:v>129621.43019877505</x:v>
      </x:c>
      <x:c r="E26" s="210" t="n">
        <x:f>I12</x:f>
        <x:v>35645.893304663135</x:v>
      </x:c>
      <x:c r="F26" s="210" t="n">
        <x:f>I13</x:f>
        <x:v>163424.6726616166</x:v>
      </x:c>
      <x:c r="G26" s="210" t="n">
        <x:f>I14</x:f>
        <x:v>155980.54990618228</x:v>
      </x:c>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67" t="str">
        <x:v>Selected case observations</x:v>
      </x:c>
      <x:c r="D30" s="170"/>
      <x:c r="E30" s="170"/>
      <x:c r="F30" s="170"/>
      <x:c r="G30" s="170"/>
      <x:c r="H30" s="170"/>
      <x:c r="I30" s="170"/>
      <x:c r="J30" s="170"/>
      <x:c r="K30" s="170"/>
      <x:c r="L30" s="173"/>
      <x:c r="M30" s="136"/>
      <x:c r="N30" s="136"/>
      <x:c r="O30" s="136"/>
      <x:c r="P30" s="136"/>
      <x:c r="Q30" s="136"/>
      <x:c r="R30" s="136"/>
      <x:c r="S30" s="136"/>
      <x:c r="T30" s="136"/>
      <x:c r="U30" s="136"/>
      <x:c r="V30" s="136"/>
      <x:c r="W30" s="136"/>
      <x:c r="X30" s="136"/>
      <x:c r="Y30" s="136"/>
      <x:c r="Z30" s="136"/>
    </x:row>
    <x:row r="31" ht="24" customHeight="1">
      <x:c r="A31" s="136"/>
      <x:c r="B31" s="136"/>
      <x:c r="C31" s="174" t="str">
        <x:f>"Economic investment is USD "&amp;ROUND(E13/1000,1)&amp;"bn in FY2027 and "&amp;ROUND(I13/1000,1)&amp;"bn in FY2031. "&amp;"Finance lease additions acquire operating assets even when the acquisition is noncash at inception. Capitalizing lease financing requires those assets in unlevered reinvestment and existing finance liabilities in the equity bridge."</x:f>
        <x:v>Economic investment is USD 151bn in FY2027 and 163.4bn in FY2031. Finance lease additions acquire operating assets even when the acquisition is noncash at inception. Capitalizing lease financing requires those assets in unlevered reinvestment and existing finance liabilities in the equity bridge.</x:v>
      </x:c>
      <x:c r="D31" s="174"/>
      <x:c r="E31" s="174"/>
      <x:c r="F31" s="174"/>
      <x:c r="G31" s="174"/>
      <x:c r="H31" s="174"/>
      <x:c r="I31" s="174"/>
      <x:c r="J31" s="174"/>
      <x:c r="K31" s="174"/>
      <x:c r="L31" s="174"/>
      <x:c r="M31" s="136"/>
      <x:c r="N31" s="136"/>
      <x:c r="O31" s="136"/>
      <x:c r="P31" s="136"/>
      <x:c r="Q31" s="136"/>
      <x:c r="R31" s="136"/>
      <x:c r="S31" s="136"/>
      <x:c r="T31" s="136"/>
      <x:c r="U31" s="136"/>
      <x:c r="V31" s="136"/>
      <x:c r="W31" s="136"/>
      <x:c r="X31" s="136"/>
      <x:c r="Y31" s="136"/>
      <x:c r="Z31" s="136"/>
    </x:row>
    <x:row r="32" ht="24" customHeight="1">
      <x:c r="A32" s="136"/>
      <x:c r="B32" s="136"/>
      <x:c r="C32" s="174"/>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74"/>
      <x:c r="D33" s="174"/>
      <x:c r="E33" s="174"/>
      <x:c r="F33" s="174"/>
      <x:c r="G33" s="174"/>
      <x:c r="H33" s="174"/>
      <x:c r="I33" s="174"/>
      <x:c r="J33" s="174"/>
      <x:c r="K33" s="174"/>
      <x:c r="L33" s="174"/>
      <x:c r="M33" s="136"/>
      <x:c r="N33" s="136"/>
      <x:c r="O33" s="136"/>
      <x:c r="P33" s="136"/>
      <x:c r="Q33" s="136"/>
      <x:c r="R33" s="136"/>
      <x:c r="S33" s="136"/>
      <x:c r="T33" s="136"/>
      <x:c r="U33" s="136"/>
      <x:c r="V33" s="136"/>
      <x:c r="W33" s="136"/>
      <x:c r="X33" s="136"/>
      <x:c r="Y33" s="136"/>
      <x:c r="Z33" s="136"/>
    </x:row>
    <x:row r="34" ht="24" customHeight="1">
      <x:c r="A34" s="136"/>
      <x:c r="B34" s="136"/>
      <x:c r="C34" s="174" t="str">
        <x:v>Capitalized interest is a financing cost within reported cash capex. The DCF removes the calibrated interest amount to keep financing out of operating FCFF. D&amp;A retains the original asset schedule calibration.</x:v>
      </x:c>
      <x:c r="D34" s="174"/>
      <x:c r="E34" s="174"/>
      <x:c r="F34" s="174"/>
      <x:c r="G34" s="174"/>
      <x:c r="H34" s="174"/>
      <x:c r="I34" s="174"/>
      <x:c r="J34" s="174"/>
      <x:c r="K34" s="174"/>
      <x:c r="L34" s="174"/>
      <x:c r="M34" s="136"/>
      <x:c r="N34" s="136"/>
      <x:c r="O34" s="136"/>
      <x:c r="P34" s="136"/>
      <x:c r="Q34" s="136"/>
      <x:c r="R34" s="136"/>
      <x:c r="S34" s="136"/>
      <x:c r="T34" s="136"/>
      <x:c r="U34" s="136"/>
      <x:c r="V34" s="136"/>
      <x:c r="W34" s="136"/>
      <x:c r="X34" s="136"/>
      <x:c r="Y34" s="136"/>
      <x:c r="Z34" s="136"/>
    </x:row>
    <x:row r="35" ht="24" customHeight="1">
      <x:c r="A35" s="136"/>
      <x:c r="B35" s="136"/>
      <x:c r="C35" s="174"/>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t="str">
        <x:v>Reverse capex and lease tests hold D&amp;A and stable ROIC fixed. They are conditional cash-spending tests, not a complete new asset capacity or useful-life forecast. Persistent investment cuts require revisiting those drivers.</x:v>
      </x:c>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1:L33"/>
    <x:mergeCell ref="C34:L36"/>
    <x:mergeCell ref="C37:L39"/>
  </x:mergeCells>
  <x:pageMargins left="0.7" right="0.7" top="0.75" bottom="0.75" header="0.3" footer="0.3"/>
  <x:drawing xmlns:r="http://schemas.openxmlformats.org/officeDocument/2006/relationships" r:id="Re39bdf46ab9946df"/>
  <x:legacyDrawing xmlns:r="http://schemas.openxmlformats.org/officeDocument/2006/relationships" r:id="R733ceba20ab544df"/>
</x:worksheet>
</file>

<file path=xl/worksheets/sheet7.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Terminal Value</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Final explicit revenue</x:v>
      </x:c>
      <x:c r="D8" s="136"/>
      <x:c r="E8" s="164" t="n">
        <x:f>'Forecast'!I12</x:f>
        <x:v>648107.1509938752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9" t="str">
        <x:v>Stable growth</x:v>
      </x:c>
      <x:c r="D9" s="139"/>
      <x:c r="E9" s="152" t="n">
        <x:f>'DCF'!E7</x:f>
        <x:v>0.03</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9" t="str">
        <x:v>Stable operating margin</x:v>
      </x:c>
      <x:c r="D10" s="139"/>
      <x:c r="E10" s="152" t="n">
        <x:f>'Assumptions'!E84</x:f>
        <x:v>0.4</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9" t="str">
        <x:v>Stable tax rate</x:v>
      </x:c>
      <x:c r="D11" s="139"/>
      <x:c r="E11" s="152" t="n">
        <x:f>'Assumptions'!E15</x:f>
        <x:v>0.2</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Stable ROIC</x:v>
      </x:c>
      <x:c r="D12" s="139"/>
      <x:c r="E12" s="152" t="n">
        <x:f>'Assumptions'!E79</x:f>
        <x:v>0.2</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t="str">
        <x:v>FY2032 normalized NOPAT</x:v>
      </x:c>
      <x:c r="D13" s="136"/>
      <x:c r="E13" s="164" t="n">
        <x:f>E8*(1+E9)*E10*(1-E11)</x:f>
        <x:v>213616.11696758133</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Required stable reinvestment</x:v>
      </x:c>
      <x:c r="D14" s="136"/>
      <x:c r="E14" s="164" t="n">
        <x:f>E13*E9/E12</x:f>
        <x:v>32042.4175451372</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77" t="str">
        <x:v>Normalized stable FCFF</x:v>
      </x:c>
      <x:c r="D15" s="177"/>
      <x:c r="E15" s="220" t="n">
        <x:f>E13-E14</x:f>
        <x:v>181573.69942244413</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9" t="str">
        <x:v>Stable reinvestment fraction</x:v>
      </x:c>
      <x:c r="D16" s="139"/>
      <x:c r="E16" s="152" t="n">
        <x:f>E9/E12</x:f>
        <x:v>0.15</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9" t="str">
        <x:v>WACC less stable growth</x:v>
      </x:c>
      <x:c r="D17" s="139"/>
      <x:c r="E17" s="154" t="n">
        <x:f>'DCF'!E6-E9</x:f>
        <x:v>0.06814036929102632</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Stable FCFF terminal value</x:v>
      </x:c>
      <x:c r="D18" s="136"/>
      <x:c r="E18" s="164" t="n">
        <x:f>E15/E17</x:f>
        <x:v>2664700.8419773313</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Simple final FCFF growth value</x:v>
      </x:c>
      <x:c r="D19" s="136"/>
      <x:c r="E19" s="164" t="n">
        <x:f>'Forecast'!I24*(1+E9)/E17</x:f>
        <x:v>2898501.875986191</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Primary implied EV / FY2031 EBITDA</x:v>
      </x:c>
      <x:c r="D20" s="136"/>
      <x:c r="E20" s="222" t="n">
        <x:f>E18/('Forecast'!I15+'Forecast'!I18)</x:f>
        <x:v>6.682047142138799</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56" t="str">
        <x:v>Stable ROIC</x:v>
      </x:c>
      <x:c r="D24" s="158" t="str">
        <x:v>FCFF margin</x:v>
      </x:c>
      <x:c r="E24" s="160" t="str">
        <x:v>Fair price</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201" t="n">
        <x:v>0.1</x:v>
      </x:c>
      <x:c r="D25" s="162" t="n">
        <x:f>$E$10*(1-$E$11)*(1-$E$9/C25)</x:f>
        <x:v>0.22400000000000003</x:v>
      </x:c>
      <x:c r="E25" s="145" t="n">
        <x:f>('DCF'!$E$18+$E$8*(1+$E$9)*D25/$E$17/'DCF'!$E$20+'Equity Bridge'!$E$17)/'Equity Bridge'!$E$20</x:f>
        <x:v>245.7975849440025</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201" t="n">
        <x:v>0.125</x:v>
      </x:c>
      <x:c r="D26" s="162" t="n">
        <x:f>$E$10*(1-$E$11)*(1-$E$9/C26)</x:f>
        <x:v>0.24320000000000006</x:v>
      </x:c>
      <x:c r="E26" s="145" t="n">
        <x:f>('DCF'!$E$18+$E$8*(1+$E$9)*D26/$E$17/'DCF'!$E$20+'Equity Bridge'!$E$17)/'Equity Bridge'!$E$20</x:f>
        <x:v>262.0194528430227</x:v>
      </x:c>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201" t="n">
        <x:v>0.15000000000000002</x:v>
      </x:c>
      <x:c r="D27" s="162" t="n">
        <x:f>$E$10*(1-$E$11)*(1-$E$9/C27)</x:f>
        <x:v>0.25600000000000006</x:v>
      </x:c>
      <x:c r="E27" s="145" t="n">
        <x:f>('DCF'!$E$18+$E$8*(1+$E$9)*D27/$E$17/'DCF'!$E$20+'Equity Bridge'!$E$17)/'Equity Bridge'!$E$20</x:f>
        <x:v>272.83403144236945</x:v>
      </x:c>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01" t="n">
        <x:v>0.17500000000000002</x:v>
      </x:c>
      <x:c r="D28" s="162" t="n">
        <x:f>$E$10*(1-$E$11)*(1-$E$9/C28)</x:f>
        <x:v>0.26514285714285724</x:v>
      </x:c>
      <x:c r="E28" s="145" t="n">
        <x:f>('DCF'!$E$18+$E$8*(1+$E$9)*D28/$E$17/'DCF'!$E$20+'Equity Bridge'!$E$17)/'Equity Bridge'!$E$20</x:f>
        <x:v>280.558730441903</x:v>
      </x:c>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01" t="n">
        <x:v>0.2</x:v>
      </x:c>
      <x:c r="D29" s="162" t="n">
        <x:f>$E$10*(1-$E$11)*(1-$E$9/C29)</x:f>
        <x:v>0.272</x:v>
      </x:c>
      <x:c r="E29" s="145" t="n">
        <x:f>('DCF'!$E$18+$E$8*(1+$E$9)*D29/$E$17/'DCF'!$E$20+'Equity Bridge'!$E$17)/'Equity Bridge'!$E$20</x:f>
        <x:v>286.3522546915529</x:v>
      </x:c>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01" t="n">
        <x:v>0.225</x:v>
      </x:c>
      <x:c r="D30" s="162" t="n">
        <x:f>$E$10*(1-$E$11)*(1-$E$9/C30)</x:f>
        <x:v>0.2773333333333334</x:v>
      </x:c>
      <x:c r="E30" s="145" t="n">
        <x:f>('DCF'!$E$18+$E$8*(1+$E$9)*D30/$E$17/'DCF'!$E$20+'Equity Bridge'!$E$17)/'Equity Bridge'!$E$20</x:f>
        <x:v>290.85832910794744</x:v>
      </x:c>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201" t="n">
        <x:v>0.25</x:v>
      </x:c>
      <x:c r="D31" s="162" t="n">
        <x:f>$E$10*(1-$E$11)*(1-$E$9/C31)</x:f>
        <x:v>0.2816000000000001</x:v>
      </x:c>
      <x:c r="E31" s="145" t="n">
        <x:f>('DCF'!$E$18+$E$8*(1+$E$9)*D31/$E$17/'DCF'!$E$20+'Equity Bridge'!$E$17)/'Equity Bridge'!$E$20</x:f>
        <x:v>294.4631886410631</x:v>
      </x:c>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201" t="n">
        <x:v>0.275</x:v>
      </x:c>
      <x:c r="D32" s="162" t="n">
        <x:f>$E$10*(1-$E$11)*(1-$E$9/C32)</x:f>
        <x:v>0.2850909090909091</x:v>
      </x:c>
      <x:c r="E32" s="145" t="n">
        <x:f>('DCF'!$E$18+$E$8*(1+$E$9)*D32/$E$17/'DCF'!$E$20+'Equity Bridge'!$E$17)/'Equity Bridge'!$E$20</x:f>
        <x:v>297.4126191681577</x:v>
      </x:c>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201" t="n">
        <x:v>0.30000000000000004</x:v>
      </x:c>
      <x:c r="D33" s="162" t="n">
        <x:f>$E$10*(1-$E$11)*(1-$E$9/C33)</x:f>
        <x:v>0.2880000000000001</x:v>
      </x:c>
      <x:c r="E33" s="145" t="n">
        <x:f>('DCF'!$E$18+$E$8*(1+$E$9)*D33/$E$17/'DCF'!$E$20+'Equity Bridge'!$E$17)/'Equity Bridge'!$E$20</x:f>
        <x:v>299.8704779407365</x:v>
      </x:c>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67" t="str">
        <x:v>Selected case observations</x:v>
      </x:c>
      <x:c r="D37" s="170"/>
      <x:c r="E37" s="170"/>
      <x:c r="F37" s="170"/>
      <x:c r="G37" s="170"/>
      <x:c r="H37" s="170"/>
      <x:c r="I37" s="170"/>
      <x:c r="J37" s="170"/>
      <x:c r="K37" s="170"/>
      <x:c r="L37" s="173"/>
      <x:c r="M37" s="136"/>
      <x:c r="N37" s="136"/>
      <x:c r="O37" s="136"/>
      <x:c r="P37" s="136"/>
      <x:c r="Q37" s="136"/>
      <x:c r="R37" s="136"/>
      <x:c r="S37" s="136"/>
      <x:c r="T37" s="136"/>
      <x:c r="U37" s="136"/>
      <x:c r="V37" s="136"/>
      <x:c r="W37" s="136"/>
      <x:c r="X37" s="136"/>
      <x:c r="Y37" s="136"/>
      <x:c r="Z37" s="136"/>
    </x:row>
    <x:row r="38" ht="24" customHeight="1">
      <x:c r="A38" s="136"/>
      <x:c r="B38" s="136"/>
      <x:c r="C38" s="174" t="str">
        <x:f>"Normalized stable FCFF is USD "&amp;ROUND(E15/1000,1)&amp;"bn after reinvestment of "&amp;ROUND(E16*100,1)&amp;"% of NOPAT. "&amp;"Stable growth needs investment. The primary terminal value uses NOPAT times one minus growth divided by ROIC. Setting positive growth with no required reinvestment would overstate cash available to investors."</x:f>
        <x:v>Normalized stable FCFF is USD 181.6bn after reinvestment of 15% of NOPAT. Stable growth needs investment. The primary terminal value uses NOPAT times one minus growth divided by ROIC. Setting positive growth with no required reinvestment would overstate cash available to investors.</x:v>
      </x:c>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t="str">
        <x:v>The five-year explicit growth path ends in FY2031. Stable growth and margin are new assumptions, not an extension of the high cloud growth rates. The terminal value is discounted from 30 June 2031, not the midpoint of FY2032.</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t="str">
        <x:v>A simple Gordon value using final forecast FCFF is shown as a crosscheck. Differences come from reinvestment normalization and the stable operating margin; an exit multiple is another assumption-based crosscheck.</x:v>
      </x:c>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8:L40"/>
    <x:mergeCell ref="C41:L43"/>
    <x:mergeCell ref="C44:L46"/>
  </x:mergeCells>
  <x:pageMargins left="0.7" right="0.7" top="0.75" bottom="0.75" header="0.3" footer="0.3"/>
  <x:drawing xmlns:r="http://schemas.openxmlformats.org/officeDocument/2006/relationships" r:id="Rf17e353e8536488b"/>
  <x:legacyDrawing xmlns:r="http://schemas.openxmlformats.org/officeDocument/2006/relationships" r:id="R1267ea795c944635"/>
</x:worksheet>
</file>

<file path=xl/worksheets/sheet8.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Equity Bridge</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Cash and liquid investments</x:v>
      </x:c>
      <x:c r="D8" s="136"/>
      <x:c r="E8" s="164" t="n">
        <x:f>'Historical Inputs'!N19+'Historical Inputs'!N20</x:f>
        <x:v>76843</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Operating reserve</x:v>
      </x:c>
      <x:c r="D9" s="136"/>
      <x:c r="E9" s="164" t="n">
        <x:f>'Assumptions'!E12</x:f>
        <x:v>25000</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Excess liquid assets</x:v>
      </x:c>
      <x:c r="D10" s="136"/>
      <x:c r="E10" s="164" t="n">
        <x:f>MAX(E8-E9,0)</x:f>
        <x:v>51843</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Disclosed equity investments</x:v>
      </x:c>
      <x:c r="D11" s="136"/>
      <x:c r="E11" s="164" t="n">
        <x:f>'Historical Inputs'!N21</x:f>
        <x:v>36348</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Investment value factor</x:v>
      </x:c>
      <x:c r="D12" s="139"/>
      <x:c r="E12" s="152" t="n">
        <x:f>'Assumptions'!E13</x:f>
        <x:v>1</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t="str">
        <x:v>Investment value proxy</x:v>
      </x:c>
      <x:c r="D13" s="136"/>
      <x:c r="E13" s="164" t="n">
        <x:f>E11*E12</x:f>
        <x:v>36348</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Debt fair value proxy</x:v>
      </x:c>
      <x:c r="D14" s="136"/>
      <x:c r="E14" s="164" t="n">
        <x:f>'Market Inputs'!E14</x:f>
        <x:v>36500</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Finance lease liabilities</x:v>
      </x:c>
      <x:c r="D15" s="136"/>
      <x:c r="E15" s="164" t="n">
        <x:f>'Historical Inputs'!N35</x:f>
        <x:v>66594</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77" t="str">
        <x:v>Net bridge adjustment</x:v>
      </x:c>
      <x:c r="D17" s="177"/>
      <x:c r="E17" s="220" t="n">
        <x:f>SUM(E10,E13)-SUM(E14:E15)</x:f>
        <x:v>-14903</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Point shares</x:v>
      </x:c>
      <x:c r="D18" s="136"/>
      <x:c r="E18" s="206" t="n">
        <x:f>'Market Inputs'!E11</x:f>
        <x:v>7425.545491</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Incremental dilution proxy</x:v>
      </x:c>
      <x:c r="D19" s="136"/>
      <x:c r="E19" s="224" t="n">
        <x:f>'Assumptions'!E11</x:f>
        <x:v>24</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Valuation share denominator</x:v>
      </x:c>
      <x:c r="D20" s="136"/>
      <x:c r="E20" s="206" t="n">
        <x:f>SUM(E18:E19)</x:f>
        <x:v>7449.545491</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Observed market equity proxy</x:v>
      </x:c>
      <x:c r="D21" s="136"/>
      <x:c r="E21" s="164" t="n">
        <x:f>E20*'Market Inputs'!E9</x:f>
        <x:v>3893206.96905151</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Market enterprise value target</x:v>
      </x:c>
      <x:c r="D23" s="136"/>
      <x:c r="E23" s="164" t="n">
        <x:f>E21-E17</x:f>
        <x:v>3908109.96905151</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Modeled operating enterprise value</x:v>
      </x:c>
      <x:c r="D24" s="136"/>
      <x:c r="E24" s="164" t="n">
        <x:f>'DCF'!E24</x:f>
        <x:v>2148097.147775142</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Modeled equity value</x:v>
      </x:c>
      <x:c r="D25" s="136"/>
      <x:c r="E25" s="164" t="n">
        <x:f>E24+E17</x:f>
        <x:v>2133194.147775142</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77" t="str">
        <x:v>Per share value</x:v>
      </x:c>
      <x:c r="D26" s="177"/>
      <x:c r="E26" s="178" t="n">
        <x:f>E25/E20</x:f>
        <x:v>286.35225469155296</x:v>
      </x:c>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56" t="str">
        <x:v>Bridge component</x:v>
      </x:c>
      <x:c r="D30" s="160" t="str">
        <x:v>USD millions</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t="str">
        <x:v>Excess cash</x:v>
      </x:c>
      <x:c r="D31" s="164" t="n">
        <x:f>E10</x:f>
        <x:v>51843</x:v>
      </x:c>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t="str">
        <x:v>Investments</x:v>
      </x:c>
      <x:c r="D32" s="164" t="n">
        <x:f>E13</x:f>
        <x:v>36348</x:v>
      </x:c>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t="str">
        <x:v>Debt</x:v>
      </x:c>
      <x:c r="D33" s="164" t="n">
        <x:f>E14</x:f>
        <x:v>36500</x:v>
      </x:c>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t="str">
        <x:v>Finance leases</x:v>
      </x:c>
      <x:c r="D34" s="164" t="n">
        <x:f>E15</x:f>
        <x:v>66594</x:v>
      </x:c>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67" t="str">
        <x:v>Selected case observations</x:v>
      </x:c>
      <x:c r="D38" s="170"/>
      <x:c r="E38" s="170"/>
      <x:c r="F38" s="170"/>
      <x:c r="G38" s="170"/>
      <x:c r="H38" s="170"/>
      <x:c r="I38" s="170"/>
      <x:c r="J38" s="170"/>
      <x:c r="K38" s="170"/>
      <x:c r="L38" s="173"/>
      <x:c r="M38" s="136"/>
      <x:c r="N38" s="136"/>
      <x:c r="O38" s="136"/>
      <x:c r="P38" s="136"/>
      <x:c r="Q38" s="136"/>
      <x:c r="R38" s="136"/>
      <x:c r="S38" s="136"/>
      <x:c r="T38" s="136"/>
      <x:c r="U38" s="136"/>
      <x:c r="V38" s="136"/>
      <x:c r="W38" s="136"/>
      <x:c r="X38" s="136"/>
      <x:c r="Y38" s="136"/>
      <x:c r="Z38" s="136"/>
    </x:row>
    <x:row r="39" ht="24" customHeight="1">
      <x:c r="A39" s="136"/>
      <x:c r="B39" s="136"/>
      <x:c r="C39" s="174" t="str">
        <x:f>"The net equity bridge is USD "&amp;ROUND(E17,0)&amp;"m; the share denominator is "&amp;ROUND(E20,3)&amp;" million. "&amp;"Enterprise value belongs to all operating capital providers. Excess liquid assets and non-operating investments are added; debt and finance lease claims are deducted before dividing by the valuation share denominator."</x:f>
        <x:v>The net equity bridge is USD -14903m; the share denominator is 7449.545 million. Enterprise value belongs to all operating capital providers. Excess liquid assets and non-operating investments are added; debt and finance lease claims are deducted before dividing by the valuation share denominator.</x:v>
      </x:c>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t="str">
        <x:v>Debt uses the disclosed June fair value instead of principal or carrying amount. Equity investments use carrying value times a visible factor. These are balance-date proxies; the model does not claim October market quotes for illiquid investments.</x:v>
      </x:c>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t="str">
        <x:v>The reserve is an analyst policy. The diluted denominator combines a July point share count with a 24 million incremental EPS-share proxy. Ownership shows alternative denominators and why future buybacks cannot create free value.</x:v>
      </x:c>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74"/>
      <x:c r="D47" s="174"/>
      <x:c r="E47" s="174"/>
      <x:c r="F47" s="174"/>
      <x:c r="G47" s="174"/>
      <x:c r="H47" s="174"/>
      <x:c r="I47" s="174"/>
      <x:c r="J47" s="174"/>
      <x:c r="K47" s="174"/>
      <x:c r="L47" s="174"/>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9:L41"/>
    <x:mergeCell ref="C42:L44"/>
    <x:mergeCell ref="C45:L47"/>
  </x:mergeCells>
  <x:pageMargins left="0.7" right="0.7" top="0.75" bottom="0.75" header="0.3" footer="0.3"/>
  <x:drawing xmlns:r="http://schemas.openxmlformats.org/officeDocument/2006/relationships" r:id="R77c8c997458742f1"/>
  <x:legacyDrawing xmlns:r="http://schemas.openxmlformats.org/officeDocument/2006/relationships" r:id="R9c15e7dd4bc0407b"/>
</x:worksheet>
</file>

<file path=xl/worksheets/sheet9.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WACC</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9" t="str">
        <x:v>USD risk free rate</x:v>
      </x:c>
      <x:c r="D8" s="139"/>
      <x:c r="E8" s="154" t="n">
        <x:f>'Market Inputs'!E10</x:f>
        <x:v>0.052199999999999996</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Selected beta</x:v>
      </x:c>
      <x:c r="D9" s="136"/>
      <x:c r="E9" s="226" t="n">
        <x:f>CHOOSE('Assumptions'!E9,'Beta HC3'!E12,'Beta HC3'!E25,'Assumptions'!E10)</x:f>
        <x:v>1.127811734110487</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9" t="str">
        <x:v>Equity risk premium</x:v>
      </x:c>
      <x:c r="D10" s="139"/>
      <x:c r="E10" s="154" t="n">
        <x:f>'Market Inputs'!E12</x:f>
        <x:v>0.042</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9" t="str">
        <x:v>Cost of equity</x:v>
      </x:c>
      <x:c r="D11" s="139"/>
      <x:c r="E11" s="154" t="n">
        <x:f>E8+E9*E10</x:f>
        <x:v>0.09956809283264045</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Historical synthetic debt spread</x:v>
      </x:c>
      <x:c r="D12" s="139"/>
      <x:c r="E12" s="154" t="n">
        <x:f>'Market Inputs'!E13</x:f>
        <x:v>0.004</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9" t="str">
        <x:v>Pretax cost of debt</x:v>
      </x:c>
      <x:c r="D13" s="139"/>
      <x:c r="E13" s="154" t="n">
        <x:f>E8+E12</x:f>
        <x:v>0.0562</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9" t="str">
        <x:v>Debt tax shield rate</x:v>
      </x:c>
      <x:c r="D14" s="139"/>
      <x:c r="E14" s="152" t="n">
        <x:f>'Assumptions'!E14</x:f>
        <x:v>0.21</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9" t="str">
        <x:v>After tax cost of debt</x:v>
      </x:c>
      <x:c r="D15" s="139"/>
      <x:c r="E15" s="154" t="n">
        <x:f>E13*(1-E14)</x:f>
        <x:v>0.044398</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Market value of point equity</x:v>
      </x:c>
      <x:c r="D16" s="136"/>
      <x:c r="E16" s="164" t="n">
        <x:f>'Market Inputs'!E9*'Market Inputs'!E11</x:f>
        <x:v>3880664.32905151</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Debt and finance lease proxy</x:v>
      </x:c>
      <x:c r="D17" s="136"/>
      <x:c r="E17" s="164" t="n">
        <x:f>'Market Inputs'!E14+'Equity Bridge'!E15</x:f>
        <x:v>103094</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9" t="str">
        <x:v>Equity weight</x:v>
      </x:c>
      <x:c r="D18" s="139"/>
      <x:c r="E18" s="152" t="n">
        <x:f>E16/SUM(E16:E17)</x:f>
        <x:v>0.9741214221635414</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9" t="str">
        <x:v>Debt weight</x:v>
      </x:c>
      <x:c r="D19" s="139"/>
      <x:c r="E19" s="152" t="n">
        <x:f>1-E18</x:f>
        <x:v>0.02587857783645864</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235" t="str">
        <x:v>Calculated WACC</x:v>
      </x:c>
      <x:c r="D21" s="235"/>
      <x:c r="E21" s="236" t="n">
        <x:f>E18*E11+E19*E15</x:f>
        <x:v>0.09814036929102632</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235" t="str">
        <x:v>Selected WACC</x:v>
      </x:c>
      <x:c r="D24" s="235"/>
      <x:c r="E24" s="236" t="n">
        <x:f>IF('Assumptions'!E16="",E21,'Assumptions'!E16)</x:f>
        <x:v>0.09814036929102632</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56" t="str">
        <x:v>Beta assumption</x:v>
      </x:c>
      <x:c r="D28" s="158" t="str">
        <x:v>WACC</x:v>
      </x:c>
      <x:c r="E28" s="160" t="str">
        <x:v>Fair price</x:v>
      </x:c>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32" t="n">
        <x:f>$E$9+(0-4)*0.1</x:f>
        <x:v>0.7278117341104869</x:v>
      </x:c>
      <x:c r="D29" s="208" t="n">
        <x:f>$E$18*($E$8+C29*$E$10)+$E$19*$E$15</x:f>
        <x:v>0.08177512939867881</x:v>
      </x:c>
      <x:c r="E29" s="145" t="n">
        <x:f>(SUM('DCF'!E11*'DCF'!E12/(1+D29)^'DCF'!E13,'DCF'!F11*'DCF'!F12/(1+D29)^'DCF'!F13,'DCF'!G11*'DCF'!G12/(1+D29)^'DCF'!G13,'DCF'!H11*'DCF'!H12/(1+D29)^'DCF'!H13,'DCF'!I11*'DCF'!I12/(1+D29)^'DCF'!I13)+'Terminal Value'!$E$15/(D29-'DCF'!$E$7)/(1+D29)^'DCF'!$E$19+'Equity Bridge'!$E$17)/'Equity Bridge'!$E$20</x:f>
        <x:v>383.7340589413156</x:v>
      </x:c>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32" t="n">
        <x:f>$E$9+(1-4)*0.1</x:f>
        <x:v>0.8278117341104869</x:v>
      </x:c>
      <x:c r="D30" s="208" t="n">
        <x:f>$E$18*($E$8+C30*$E$10)+$E$19*$E$15</x:f>
        <x:v>0.08586643937176569</x:v>
      </x:c>
      <x:c r="E30" s="145" t="n">
        <x:f>(SUM('DCF'!E11*'DCF'!E12/(1+D30)^'DCF'!E13,'DCF'!F11*'DCF'!F12/(1+D30)^'DCF'!F13,'DCF'!G11*'DCF'!G12/(1+D30)^'DCF'!G13,'DCF'!H11*'DCF'!H12/(1+D30)^'DCF'!H13,'DCF'!I11*'DCF'!I12/(1+D30)^'DCF'!I13)+'Terminal Value'!$E$15/(D30-'DCF'!$E$7)/(1+D30)^'DCF'!$E$19+'Equity Bridge'!$E$17)/'Equity Bridge'!$E$20</x:f>
        <x:v>353.9943208208719</x:v>
      </x:c>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232" t="n">
        <x:f>$E$9+(2-4)*0.1</x:f>
        <x:v>0.927811734110487</x:v>
      </x:c>
      <x:c r="D31" s="208" t="n">
        <x:f>$E$18*($E$8+C31*$E$10)+$E$19*$E$15</x:f>
        <x:v>0.08995774934485258</x:v>
      </x:c>
      <x:c r="E31" s="145" t="n">
        <x:f>(SUM('DCF'!E11*'DCF'!E12/(1+D31)^'DCF'!E13,'DCF'!F11*'DCF'!F12/(1+D31)^'DCF'!F13,'DCF'!G11*'DCF'!G12/(1+D31)^'DCF'!G13,'DCF'!H11*'DCF'!H12/(1+D31)^'DCF'!H13,'DCF'!I11*'DCF'!I12/(1+D31)^'DCF'!I13)+'Terminal Value'!$E$15/(D31-'DCF'!$E$7)/(1+D31)^'DCF'!$E$19+'Equity Bridge'!$E$17)/'Equity Bridge'!$E$20</x:f>
        <x:v>328.34204847810116</x:v>
      </x:c>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232" t="n">
        <x:f>$E$9+(3-4)*0.1</x:f>
        <x:v>1.0278117341104869</x:v>
      </x:c>
      <x:c r="D32" s="208" t="n">
        <x:f>$E$18*($E$8+C32*$E$10)+$E$19*$E$15</x:f>
        <x:v>0.09404905931793943</x:v>
      </x:c>
      <x:c r="E32" s="145" t="n">
        <x:f>(SUM('DCF'!E11*'DCF'!E12/(1+D32)^'DCF'!E13,'DCF'!F11*'DCF'!F12/(1+D32)^'DCF'!F13,'DCF'!G11*'DCF'!G12/(1+D32)^'DCF'!G13,'DCF'!H11*'DCF'!H12/(1+D32)^'DCF'!H13,'DCF'!I11*'DCF'!I12/(1+D32)^'DCF'!I13)+'Terminal Value'!$E$15/(D32-'DCF'!$E$7)/(1+D32)^'DCF'!$E$19+'Equity Bridge'!$E$17)/'Equity Bridge'!$E$20</x:f>
        <x:v>305.9932527243684</x:v>
      </x:c>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232" t="n">
        <x:f>$E$9+(4-4)*0.1</x:f>
        <x:v>1.127811734110487</x:v>
      </x:c>
      <x:c r="D33" s="208" t="n">
        <x:f>$E$18*($E$8+C33*$E$10)+$E$19*$E$15</x:f>
        <x:v>0.09814036929102632</x:v>
      </x:c>
      <x:c r="E33" s="145" t="n">
        <x:f>(SUM('DCF'!E11*'DCF'!E12/(1+D33)^'DCF'!E13,'DCF'!F11*'DCF'!F12/(1+D33)^'DCF'!F13,'DCF'!G11*'DCF'!G12/(1+D33)^'DCF'!G13,'DCF'!H11*'DCF'!H12/(1+D33)^'DCF'!H13,'DCF'!I11*'DCF'!I12/(1+D33)^'DCF'!I13)+'Terminal Value'!$E$15/(D33-'DCF'!$E$7)/(1+D33)^'DCF'!$E$19+'Equity Bridge'!$E$17)/'Equity Bridge'!$E$20</x:f>
        <x:v>286.35225469155296</x:v>
      </x:c>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232" t="n">
        <x:f>$E$9+(5-4)*0.1</x:f>
        <x:v>1.227811734110487</x:v>
      </x:c>
      <x:c r="D34" s="208" t="n">
        <x:f>$E$18*($E$8+C34*$E$10)+$E$19*$E$15</x:f>
        <x:v>0.1022316792641132</x:v>
      </x:c>
      <x:c r="E34" s="145" t="n">
        <x:f>(SUM('DCF'!E11*'DCF'!E12/(1+D34)^'DCF'!E13,'DCF'!F11*'DCF'!F12/(1+D34)^'DCF'!F13,'DCF'!G11*'DCF'!G12/(1+D34)^'DCF'!G13,'DCF'!H11*'DCF'!H12/(1+D34)^'DCF'!H13,'DCF'!I11*'DCF'!I12/(1+D34)^'DCF'!I13)+'Terminal Value'!$E$15/(D34-'DCF'!$E$7)/(1+D34)^'DCF'!$E$19+'Equity Bridge'!$E$17)/'Equity Bridge'!$E$20</x:f>
        <x:v>268.95835429189026</x:v>
      </x:c>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232" t="n">
        <x:f>$E$9+(6-4)*0.1</x:f>
        <x:v>1.327811734110487</x:v>
      </x:c>
      <x:c r="D35" s="208" t="n">
        <x:f>$E$18*($E$8+C35*$E$10)+$E$19*$E$15</x:f>
        <x:v>0.10632298923720006</x:v>
      </x:c>
      <x:c r="E35" s="145" t="n">
        <x:f>(SUM('DCF'!E11*'DCF'!E12/(1+D35)^'DCF'!E13,'DCF'!F11*'DCF'!F12/(1+D35)^'DCF'!F13,'DCF'!G11*'DCF'!G12/(1+D35)^'DCF'!G13,'DCF'!H11*'DCF'!H12/(1+D35)^'DCF'!H13,'DCF'!I11*'DCF'!I12/(1+D35)^'DCF'!I13)+'Terminal Value'!$E$15/(D35-'DCF'!$E$7)/(1+D35)^'DCF'!$E$19+'Equity Bridge'!$E$17)/'Equity Bridge'!$E$20</x:f>
        <x:v>253.4496517924056</x:v>
      </x:c>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232" t="n">
        <x:f>$E$9+(7-4)*0.1</x:f>
        <x:v>1.427811734110487</x:v>
      </x:c>
      <x:c r="D36" s="208" t="n">
        <x:f>$E$18*($E$8+C36*$E$10)+$E$19*$E$15</x:f>
        <x:v>0.11041429921028693</x:v>
      </x:c>
      <x:c r="E36" s="145" t="n">
        <x:f>(SUM('DCF'!E11*'DCF'!E12/(1+D36)^'DCF'!E13,'DCF'!F11*'DCF'!F12/(1+D36)^'DCF'!F13,'DCF'!G11*'DCF'!G12/(1+D36)^'DCF'!G13,'DCF'!H11*'DCF'!H12/(1+D36)^'DCF'!H13,'DCF'!I11*'DCF'!I12/(1+D36)^'DCF'!I13)+'Terminal Value'!$E$15/(D36-'DCF'!$E$7)/(1+D36)^'DCF'!$E$19+'Equity Bridge'!$E$17)/'Equity Bridge'!$E$20</x:f>
        <x:v>239.5379135029096</x:v>
      </x:c>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232" t="n">
        <x:f>$E$9+(8-4)*0.1</x:f>
        <x:v>1.5278117341104869</x:v>
      </x:c>
      <x:c r="D37" s="208" t="n">
        <x:f>$E$18*($E$8+C37*$E$10)+$E$19*$E$15</x:f>
        <x:v>0.1145056091833738</x:v>
      </x:c>
      <x:c r="E37" s="145" t="n">
        <x:f>(SUM('DCF'!E11*'DCF'!E12/(1+D37)^'DCF'!E13,'DCF'!F11*'DCF'!F12/(1+D37)^'DCF'!F13,'DCF'!G11*'DCF'!G12/(1+D37)^'DCF'!G13,'DCF'!H11*'DCF'!H12/(1+D37)^'DCF'!H13,'DCF'!I11*'DCF'!I12/(1+D37)^'DCF'!I13)+'Terminal Value'!$E$15/(D37-'DCF'!$E$7)/(1+D37)^'DCF'!$E$19+'Equity Bridge'!$E$17)/'Equity Bridge'!$E$20</x:f>
        <x:v>226.99073869801316</x:v>
      </x:c>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67" t="str">
        <x:v>Selected case observations</x:v>
      </x:c>
      <x:c r="D41" s="170"/>
      <x:c r="E41" s="170"/>
      <x:c r="F41" s="170"/>
      <x:c r="G41" s="170"/>
      <x:c r="H41" s="170"/>
      <x:c r="I41" s="170"/>
      <x:c r="J41" s="170"/>
      <x:c r="K41" s="170"/>
      <x:c r="L41" s="173"/>
      <x:c r="M41" s="136"/>
      <x:c r="N41" s="136"/>
      <x:c r="O41" s="136"/>
      <x:c r="P41" s="136"/>
      <x:c r="Q41" s="136"/>
      <x:c r="R41" s="136"/>
      <x:c r="S41" s="136"/>
      <x:c r="T41" s="136"/>
      <x:c r="U41" s="136"/>
      <x:c r="V41" s="136"/>
      <x:c r="W41" s="136"/>
      <x:c r="X41" s="136"/>
      <x:c r="Y41" s="136"/>
      <x:c r="Z41" s="136"/>
    </x:row>
    <x:row r="42" ht="24" customHeight="1">
      <x:c r="A42" s="136"/>
      <x:c r="B42" s="136"/>
      <x:c r="C42" s="174" t="str">
        <x:f>"Selected WACC is "&amp;ROUND(E24*100,2)&amp;"% using beta "&amp;ROUND(E9,3)&amp;". "&amp;"The primary discount rate uses the 8 October Treasury yield, month-start ERP and a five-year daily OLS beta. Market capitalization uses point shares; the valuation share denominator separately includes the dilution proxy."</x:f>
        <x:v>Selected WACC is 9.81% using beta 1.128. The primary discount rate uses the 8 October Treasury yield, month-start ERP and a five-year daily OLS beta. Market capitalization uses point shares; the valuation share denominator separately includes the dilution proxy.</x:v>
      </x:c>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t="str">
        <x:v>Debt cost is risk-free plus the January AAA synthetic spread. Debt and finance lease values are latest-disclosure proxies. The debt tax shield is an explicit marginal-rate assumption, not the reported global effective tax rate.</x:v>
      </x:c>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74"/>
      <x:c r="D47" s="174"/>
      <x:c r="E47" s="174"/>
      <x:c r="F47" s="174"/>
      <x:c r="G47" s="174"/>
      <x:c r="H47" s="174"/>
      <x:c r="I47" s="174"/>
      <x:c r="J47" s="174"/>
      <x:c r="K47" s="174"/>
      <x:c r="L47" s="174"/>
      <x:c r="M47" s="136"/>
      <x:c r="N47" s="136"/>
      <x:c r="O47" s="136"/>
      <x:c r="P47" s="136"/>
      <x:c r="Q47" s="136"/>
      <x:c r="R47" s="136"/>
      <x:c r="S47" s="136"/>
      <x:c r="T47" s="136"/>
      <x:c r="U47" s="136"/>
      <x:c r="V47" s="136"/>
      <x:c r="W47" s="136"/>
      <x:c r="X47" s="136"/>
      <x:c r="Y47" s="136"/>
      <x:c r="Z47" s="136"/>
    </x:row>
    <x:row r="48" ht="24" customHeight="1">
      <x:c r="A48" s="136"/>
      <x:c r="B48" s="136"/>
      <x:c r="C48" s="174" t="str">
        <x:v>A confidence interval for beta describes estimation uncertainty. Changing beta, ERP or rates can alter value materially; none of these estimates makes the forecast cash flows certain. The reverse WACC sheet solves the rate required by the observed market price.</x:v>
      </x:c>
      <x:c r="D48" s="174"/>
      <x:c r="E48" s="174"/>
      <x:c r="F48" s="174"/>
      <x:c r="G48" s="174"/>
      <x:c r="H48" s="174"/>
      <x:c r="I48" s="174"/>
      <x:c r="J48" s="174"/>
      <x:c r="K48" s="174"/>
      <x:c r="L48" s="174"/>
      <x:c r="M48" s="136"/>
      <x:c r="N48" s="136"/>
      <x:c r="O48" s="136"/>
      <x:c r="P48" s="136"/>
      <x:c r="Q48" s="136"/>
      <x:c r="R48" s="136"/>
      <x:c r="S48" s="136"/>
      <x:c r="T48" s="136"/>
      <x:c r="U48" s="136"/>
      <x:c r="V48" s="136"/>
      <x:c r="W48" s="136"/>
      <x:c r="X48" s="136"/>
      <x:c r="Y48" s="136"/>
      <x:c r="Z48" s="136"/>
    </x:row>
    <x:row r="49" ht="24" customHeight="1">
      <x:c r="A49" s="136"/>
      <x:c r="B49" s="136"/>
      <x:c r="C49" s="174"/>
      <x:c r="D49" s="174"/>
      <x:c r="E49" s="174"/>
      <x:c r="F49" s="174"/>
      <x:c r="G49" s="174"/>
      <x:c r="H49" s="174"/>
      <x:c r="I49" s="174"/>
      <x:c r="J49" s="174"/>
      <x:c r="K49" s="174"/>
      <x:c r="L49" s="174"/>
      <x:c r="M49" s="136"/>
      <x:c r="N49" s="136"/>
      <x:c r="O49" s="136"/>
      <x:c r="P49" s="136"/>
      <x:c r="Q49" s="136"/>
      <x:c r="R49" s="136"/>
      <x:c r="S49" s="136"/>
      <x:c r="T49" s="136"/>
      <x:c r="U49" s="136"/>
      <x:c r="V49" s="136"/>
      <x:c r="W49" s="136"/>
      <x:c r="X49" s="136"/>
      <x:c r="Y49" s="136"/>
      <x:c r="Z49" s="136"/>
    </x:row>
    <x:row r="50" ht="24" customHeight="1">
      <x:c r="A50" s="136"/>
      <x:c r="B50" s="136"/>
      <x:c r="C50" s="174"/>
      <x:c r="D50" s="174"/>
      <x:c r="E50" s="174"/>
      <x:c r="F50" s="174"/>
      <x:c r="G50" s="174"/>
      <x:c r="H50" s="174"/>
      <x:c r="I50" s="174"/>
      <x:c r="J50" s="174"/>
      <x:c r="K50" s="174"/>
      <x:c r="L50" s="174"/>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42:L44"/>
    <x:mergeCell ref="C45:L47"/>
    <x:mergeCell ref="C48:L50"/>
  </x:mergeCells>
  <x:pageMargins left="0.7" right="0.7" top="0.75" bottom="0.75" header="0.3" footer="0.3"/>
  <x:drawing xmlns:r="http://schemas.openxmlformats.org/officeDocument/2006/relationships" r:id="R3e36322a81934d0d"/>
  <x:legacyDrawing xmlns:r="http://schemas.openxmlformats.org/officeDocument/2006/relationships" r:id="Rb3cad686191c4211"/>
</x:worksheet>
</file>

<file path=xl/worksheets/sheet10.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Beta HC3</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Daily return observations</x:v>
      </x:c>
      <x:c r="D8" s="136"/>
      <x:c r="E8" s="238" t="n">
        <x:f>COUNT('Market Data'!I10:I1264)</x:f>
        <x:v>1255</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9" t="str">
        <x:v>Mean market return</x:v>
      </x:c>
      <x:c r="D9" s="139"/>
      <x:c r="E9" s="154" t="n">
        <x:f>AVERAGE('Market Data'!I10:I1264)</x:f>
        <x:v>0.0005639476176604394</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9" t="str">
        <x:v>Mean MSFT return</x:v>
      </x:c>
      <x:c r="D10" s="139"/>
      <x:c r="E10" s="154" t="n">
        <x:f>AVERAGE('Market Data'!H10:H1264)</x:f>
        <x:v>0.0006451581414629308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Centered market sum of squares</x:v>
      </x:c>
      <x:c r="D11" s="136"/>
      <x:c r="E11" s="240" t="n">
        <x:f>SUMSQ('Market Data'!I10:I1264)-SUM('Market Data'!I10:I1264)^2/E8</x:f>
        <x:v>0.1462320736571288</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OLS market beta</x:v>
      </x:c>
      <x:c r="D12" s="136"/>
      <x:c r="E12" s="226" t="n">
        <x:f>(SUMPRODUCT('Market Data'!H10:H1264,'Market Data'!I10:I1264)-SUM('Market Data'!H10:H1264)*SUM('Market Data'!I10:I1264)/E8)/E11</x:f>
        <x:v>1.127811734110487</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9" t="str">
        <x:v>Daily market-model alpha</x:v>
      </x:c>
      <x:c r="D13" s="139"/>
      <x:c r="E13" s="154" t="n">
        <x:f>E10-E12*E9</x:f>
        <x:v>0.000009131400841832821</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Residual sum of squares</x:v>
      </x:c>
      <x:c r="D14" s="136"/>
      <x:c r="E14" s="240" t="n">
        <x:f>SUMSQ('Market Data'!K10:K1264)</x:f>
        <x:v>0.20847796740613705</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Return total sum of squares</x:v>
      </x:c>
      <x:c r="D15" s="136"/>
      <x:c r="E15" s="240" t="n">
        <x:f>SUMSQ('Market Data'!H10:H1264)-SUM('Market Data'!H10:H1264)^2/E8</x:f>
        <x:v>0.3944792145635782</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9" t="str">
        <x:v>R squared</x:v>
      </x:c>
      <x:c r="D16" s="139"/>
      <x:c r="E16" s="152" t="n">
        <x:f>1-E14/E15</x:f>
        <x:v>0.4715108940865713</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Degrees of freedom</x:v>
      </x:c>
      <x:c r="D17" s="136"/>
      <x:c r="E17" s="238" t="n">
        <x:f>E8-2</x:f>
        <x:v>1253</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Conventional beta standard error</x:v>
      </x:c>
      <x:c r="D18" s="136"/>
      <x:c r="E18" s="191" t="n">
        <x:f>SQRT(E14/E17/E11)</x:f>
        <x:v>0.0337313115043708</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HC3 beta standard error</x:v>
      </x:c>
      <x:c r="D19" s="136"/>
      <x:c r="E19" s="191" t="n">
        <x:f>SQRT(SUM('Market Data'!O10:O1264))</x:f>
        <x:v>0.039593033765066295</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9" t="str">
        <x:v>HC3 alpha standard error</x:v>
      </x:c>
      <x:c r="D20" s="139"/>
      <x:c r="E20" s="154" t="n">
        <x:f>SQRT(SUM('Market Data'!P10:P1264))</x:f>
        <x:v>0.0003631734194680229</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HC3 alpha beta covariance</x:v>
      </x:c>
      <x:c r="D21" s="136"/>
      <x:c r="E21" s="240" t="n">
        <x:f>SUM('Market Data'!Q10:Q1264)</x:f>
        <x:v>4.18243790142492e-7</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95 percent Student t critical</x:v>
      </x:c>
      <x:c r="D22" s="136"/>
      <x:c r="E22" s="226" t="n">
        <x:f>TINV(0.05,E17)</x:f>
        <x:v>-1.6460705684648895</x:v>
      </x:c>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HC3 beta lower confidence limit</x:v>
      </x:c>
      <x:c r="D23" s="136"/>
      <x:c r="E23" s="226" t="n">
        <x:f>E12-E22*E19</x:f>
        <x:v>1.1929846617073991</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HC3 beta upper confidence limit</x:v>
      </x:c>
      <x:c r="D24" s="136"/>
      <x:c r="E24" s="226" t="n">
        <x:f>E12+E22*E19</x:f>
        <x:v>1.0626388065135748</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Blume adjusted beta</x:v>
      </x:c>
      <x:c r="D25" s="136"/>
      <x:c r="E25" s="226" t="n">
        <x:f>2/3*E12+1/3</x:f>
        <x:v>1.0852078227403246</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t="str">
        <x:v>Durbin Watson residual diagnostic</x:v>
      </x:c>
      <x:c r="D26" s="136"/>
      <x:c r="E26" s="226" t="n">
        <x:f>SUM('Market Data'!S11:S1264)/E14</x:f>
        <x:v>2.006555808138616</x:v>
      </x:c>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t="str">
        <x:v>Two year daily OLS beta</x:v>
      </x:c>
      <x:c r="D27" s="136"/>
      <x:c r="E27" s="226" t="n">
        <x:f>SLOPE('Market Data'!H761:H1264,'Market Data'!I761:I1264)</x:f>
        <x:v>0.9340360493820792</x:v>
      </x:c>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t="str">
        <x:v>Newey West lag 5 beta error</x:v>
      </x:c>
      <x:c r="D29" s="136"/>
      <x:c r="E29" s="191" t="n">
        <x:f>SQRT((SUMSQ('Market Data'!R10:R1264)+2*SUMPRODUCT(H32:H36,I32:I36))*E8/E17)</x:f>
        <x:v>0.050192817381092394</x:v>
      </x:c>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56" t="str">
        <x:v>Lag</x:v>
      </x:c>
      <x:c r="H31" s="158" t="str">
        <x:v>Bartlett weight</x:v>
      </x:c>
      <x:c r="I31" s="160" t="str">
        <x:v>Score cross product</x:v>
      </x:c>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81" t="n">
        <x:v>1</x:v>
      </x:c>
      <x:c r="H32" s="226" t="n">
        <x:f>1-G32/6</x:f>
        <x:v>0.8333333333333334</x:v>
      </x:c>
      <x:c r="I32" s="240" t="n">
        <x:f>SUMPRODUCT('Market Data'!R11:R1264,'Market Data'!R10:R1263)</x:f>
        <x:v>0.00026079701750265086</x:v>
      </x:c>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81" t="n">
        <x:v>2</x:v>
      </x:c>
      <x:c r="H33" s="226" t="n">
        <x:f>1-G33/6</x:f>
        <x:v>0.6666666666666667</x:v>
      </x:c>
      <x:c r="I33" s="240" t="n">
        <x:f>SUMPRODUCT('Market Data'!R12:R1264,'Market Data'!R10:R1262)</x:f>
        <x:v>0.00014828781125916234</x:v>
      </x:c>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x:c r="D34" s="136"/>
      <x:c r="E34" s="136"/>
      <x:c r="F34" s="136"/>
      <x:c r="G34" s="181" t="n">
        <x:v>3</x:v>
      </x:c>
      <x:c r="H34" s="226" t="n">
        <x:f>1-G34/6</x:f>
        <x:v>0.5</x:v>
      </x:c>
      <x:c r="I34" s="240" t="n">
        <x:f>SUMPRODUCT('Market Data'!R13:R1264,'Market Data'!R10:R1261)</x:f>
        <x:v>0.00016003845109074618</x:v>
      </x:c>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x:c r="D35" s="136"/>
      <x:c r="E35" s="136"/>
      <x:c r="F35" s="136"/>
      <x:c r="G35" s="181" t="n">
        <x:v>4</x:v>
      </x:c>
      <x:c r="H35" s="226" t="n">
        <x:f>1-G35/6</x:f>
        <x:v>0.33333333333333337</x:v>
      </x:c>
      <x:c r="I35" s="240" t="n">
        <x:f>SUMPRODUCT('Market Data'!R14:R1264,'Market Data'!R10:R1260)</x:f>
        <x:v>0.00025450113829272685</x:v>
      </x:c>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81" t="n">
        <x:v>5</x:v>
      </x:c>
      <x:c r="H36" s="226" t="n">
        <x:f>1-G36/6</x:f>
        <x:v>0.16666666666666663</x:v>
      </x:c>
      <x:c r="I36" s="240" t="n">
        <x:f>SUMPRODUCT('Market Data'!R15:R1264,'Market Data'!R10:R1259)</x:f>
        <x:v>0.00009942743637823754</x:v>
      </x:c>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56" t="str">
        <x:v>Estimator</x:v>
      </x:c>
      <x:c r="D39" s="160" t="str">
        <x:v>Beta</x:v>
      </x:c>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36" t="str">
        <x:v>Five year daily</x:v>
      </x:c>
      <x:c r="D40" s="226" t="n">
        <x:f>E12</x:f>
        <x:v>1.127811734110487</x:v>
      </x:c>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36" t="str">
        <x:v>Blume adjusted</x:v>
      </x:c>
      <x:c r="D41" s="226" t="n">
        <x:f>E25</x:f>
        <x:v>1.0852078227403246</x:v>
      </x:c>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36" t="str">
        <x:v>Two year daily</x:v>
      </x:c>
      <x:c r="D42" s="226" t="n">
        <x:f>E27</x:f>
        <x:v>0.9340360493820792</x:v>
      </x:c>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56" t="str">
        <x:v>Statistic</x:v>
      </x:c>
      <x:c r="D46" s="160" t="str">
        <x:v>Standard error</x:v>
      </x:c>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t="str">
        <x:v>OLS</x:v>
      </x:c>
      <x:c r="D47" s="191" t="n">
        <x:f>E18</x:f>
        <x:v>0.0337313115043708</x:v>
      </x:c>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t="str">
        <x:v>HC3</x:v>
      </x:c>
      <x:c r="D48" s="191" t="n">
        <x:f>E19</x:f>
        <x:v>0.039593033765066295</x:v>
      </x:c>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t="str">
        <x:v>HAC lag 5</x:v>
      </x:c>
      <x:c r="D49" s="191" t="n">
        <x:f>E29</x:f>
        <x:v>0.050192817381092394</x:v>
      </x:c>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67" t="str">
        <x:v>Selected case observations</x:v>
      </x:c>
      <x:c r="D53" s="170"/>
      <x:c r="E53" s="170"/>
      <x:c r="F53" s="170"/>
      <x:c r="G53" s="170"/>
      <x:c r="H53" s="170"/>
      <x:c r="I53" s="170"/>
      <x:c r="J53" s="170"/>
      <x:c r="K53" s="170"/>
      <x:c r="L53" s="173"/>
      <x:c r="M53" s="136"/>
      <x:c r="N53" s="136"/>
      <x:c r="O53" s="136"/>
      <x:c r="P53" s="136"/>
      <x:c r="Q53" s="136"/>
      <x:c r="R53" s="136"/>
      <x:c r="S53" s="136"/>
      <x:c r="T53" s="136"/>
      <x:c r="U53" s="136"/>
      <x:c r="V53" s="136"/>
      <x:c r="W53" s="136"/>
      <x:c r="X53" s="136"/>
      <x:c r="Y53" s="136"/>
      <x:c r="Z53" s="136"/>
    </x:row>
    <x:row r="54" ht="24" customHeight="1">
      <x:c r="A54" s="136"/>
      <x:c r="B54" s="136"/>
      <x:c r="C54" s="174" t="str">
        <x:f>"OLS beta "&amp;ROUND(E12,4)&amp;" has HC3 standard error "&amp;ROUND(E19,4)&amp;" and confidence limits "&amp;ROUND(E23,3)&amp;" to "&amp;ROUND(E24,3)&amp;". "&amp;"The estimation window contains returns from 8 October 2021 through 8 October 2026. MSFT and SPY dividend-adjusted prices are joined by date. SPY is a traded S&amp;P 500 proxy, not the entire global investable market."</x:f>
        <x:v>OLS beta 1.1278 has HC3 standard error 0.0396 and confidence limits 1.193 to 1.063. The estimation window contains returns from 8 October 2021 through 8 October 2026. MSFT and SPY dividend-adjusted prices are joined by date. SPY is a traded S&amp;P 500 proxy, not the entire global investable market.</x:v>
      </x:c>
      <x:c r="D54" s="174"/>
      <x:c r="E54" s="174"/>
      <x:c r="F54" s="174"/>
      <x:c r="G54" s="174"/>
      <x:c r="H54" s="174"/>
      <x:c r="I54" s="174"/>
      <x:c r="J54" s="174"/>
      <x:c r="K54" s="174"/>
      <x:c r="L54" s="174"/>
      <x:c r="M54" s="136"/>
      <x:c r="N54" s="136"/>
      <x:c r="O54" s="136"/>
      <x:c r="P54" s="136"/>
      <x:c r="Q54" s="136"/>
      <x:c r="R54" s="136"/>
      <x:c r="S54" s="136"/>
      <x:c r="T54" s="136"/>
      <x:c r="U54" s="136"/>
      <x:c r="V54" s="136"/>
      <x:c r="W54" s="136"/>
      <x:c r="X54" s="136"/>
      <x:c r="Y54" s="136"/>
      <x:c r="Z54" s="136"/>
    </x:row>
    <x:row r="55" ht="24" customHeight="1">
      <x:c r="A55" s="136"/>
      <x:c r="B55" s="136"/>
      <x:c r="C55" s="174"/>
      <x:c r="D55" s="174"/>
      <x:c r="E55" s="174"/>
      <x:c r="F55" s="174"/>
      <x:c r="G55" s="174"/>
      <x:c r="H55" s="174"/>
      <x:c r="I55" s="174"/>
      <x:c r="J55" s="174"/>
      <x:c r="K55" s="174"/>
      <x:c r="L55" s="174"/>
      <x:c r="M55" s="136"/>
      <x:c r="N55" s="136"/>
      <x:c r="O55" s="136"/>
      <x:c r="P55" s="136"/>
      <x:c r="Q55" s="136"/>
      <x:c r="R55" s="136"/>
      <x:c r="S55" s="136"/>
      <x:c r="T55" s="136"/>
      <x:c r="U55" s="136"/>
      <x:c r="V55" s="136"/>
      <x:c r="W55" s="136"/>
      <x:c r="X55" s="136"/>
      <x:c r="Y55" s="136"/>
      <x:c r="Z55" s="136"/>
    </x:row>
    <x:row r="56" ht="24" customHeight="1">
      <x:c r="A56" s="136"/>
      <x:c r="B56" s="136"/>
      <x:c r="C56" s="174"/>
      <x:c r="D56" s="174"/>
      <x:c r="E56" s="174"/>
      <x:c r="F56" s="174"/>
      <x:c r="G56" s="174"/>
      <x:c r="H56" s="174"/>
      <x:c r="I56" s="174"/>
      <x:c r="J56" s="174"/>
      <x:c r="K56" s="174"/>
      <x:c r="L56" s="174"/>
      <x:c r="M56" s="136"/>
      <x:c r="N56" s="136"/>
      <x:c r="O56" s="136"/>
      <x:c r="P56" s="136"/>
      <x:c r="Q56" s="136"/>
      <x:c r="R56" s="136"/>
      <x:c r="S56" s="136"/>
      <x:c r="T56" s="136"/>
      <x:c r="U56" s="136"/>
      <x:c r="V56" s="136"/>
      <x:c r="W56" s="136"/>
      <x:c r="X56" s="136"/>
      <x:c r="Y56" s="136"/>
      <x:c r="Z56" s="136"/>
    </x:row>
    <x:row r="57" ht="24" customHeight="1">
      <x:c r="A57" s="136"/>
      <x:c r="B57" s="136"/>
      <x:c r="C57" s="174" t="str">
        <x:v>HC3 changes standard errors and confidence limits, not beta or fitted returns. The intercept is a daily market-model alpha on total returns; it is not mislabeled as a CAPM excess-return alpha.</x:v>
      </x:c>
      <x:c r="D57" s="174"/>
      <x:c r="E57" s="174"/>
      <x:c r="F57" s="174"/>
      <x:c r="G57" s="174"/>
      <x:c r="H57" s="174"/>
      <x:c r="I57" s="174"/>
      <x:c r="J57" s="174"/>
      <x:c r="K57" s="174"/>
      <x:c r="L57" s="174"/>
      <x:c r="M57" s="136"/>
      <x:c r="N57" s="136"/>
      <x:c r="O57" s="136"/>
      <x:c r="P57" s="136"/>
      <x:c r="Q57" s="136"/>
      <x:c r="R57" s="136"/>
      <x:c r="S57" s="136"/>
      <x:c r="T57" s="136"/>
      <x:c r="U57" s="136"/>
      <x:c r="V57" s="136"/>
      <x:c r="W57" s="136"/>
      <x:c r="X57" s="136"/>
      <x:c r="Y57" s="136"/>
      <x:c r="Z57" s="136"/>
    </x:row>
    <x:row r="58" ht="24" customHeight="1">
      <x:c r="A58" s="136"/>
      <x:c r="B58" s="136"/>
      <x:c r="C58" s="174"/>
      <x:c r="D58" s="174"/>
      <x:c r="E58" s="174"/>
      <x:c r="F58" s="174"/>
      <x:c r="G58" s="174"/>
      <x:c r="H58" s="174"/>
      <x:c r="I58" s="174"/>
      <x:c r="J58" s="174"/>
      <x:c r="K58" s="174"/>
      <x:c r="L58" s="174"/>
      <x:c r="M58" s="136"/>
      <x:c r="N58" s="136"/>
      <x:c r="O58" s="136"/>
      <x:c r="P58" s="136"/>
      <x:c r="Q58" s="136"/>
      <x:c r="R58" s="136"/>
      <x:c r="S58" s="136"/>
      <x:c r="T58" s="136"/>
      <x:c r="U58" s="136"/>
      <x:c r="V58" s="136"/>
      <x:c r="W58" s="136"/>
      <x:c r="X58" s="136"/>
      <x:c r="Y58" s="136"/>
      <x:c r="Z58" s="136"/>
    </x:row>
    <x:row r="59" ht="24" customHeight="1">
      <x:c r="A59" s="136"/>
      <x:c r="B59" s="136"/>
      <x:c r="C59" s="174"/>
      <x:c r="D59" s="174"/>
      <x:c r="E59" s="174"/>
      <x:c r="F59" s="174"/>
      <x:c r="G59" s="174"/>
      <x:c r="H59" s="174"/>
      <x:c r="I59" s="174"/>
      <x:c r="J59" s="174"/>
      <x:c r="K59" s="174"/>
      <x:c r="L59" s="174"/>
      <x:c r="M59" s="136"/>
      <x:c r="N59" s="136"/>
      <x:c r="O59" s="136"/>
      <x:c r="P59" s="136"/>
      <x:c r="Q59" s="136"/>
      <x:c r="R59" s="136"/>
      <x:c r="S59" s="136"/>
      <x:c r="T59" s="136"/>
      <x:c r="U59" s="136"/>
      <x:c r="V59" s="136"/>
      <x:c r="W59" s="136"/>
      <x:c r="X59" s="136"/>
      <x:c r="Y59" s="136"/>
      <x:c r="Z59" s="136"/>
    </x:row>
    <x:row r="60" ht="24" customHeight="1">
      <x:c r="A60" s="136"/>
      <x:c r="B60" s="136"/>
      <x:c r="C60" s="174" t="str">
        <x:v>Daily returns can be serially dependent. Newey-West lag-five inference and the two-year slope are shown as diagnostics. Blume adjustment is a separate mean-reversion convention selected explicitly in Assumptions.</x:v>
      </x:c>
      <x:c r="D60" s="174"/>
      <x:c r="E60" s="174"/>
      <x:c r="F60" s="174"/>
      <x:c r="G60" s="174"/>
      <x:c r="H60" s="174"/>
      <x:c r="I60" s="174"/>
      <x:c r="J60" s="174"/>
      <x:c r="K60" s="174"/>
      <x:c r="L60" s="174"/>
      <x:c r="M60" s="136"/>
      <x:c r="N60" s="136"/>
      <x:c r="O60" s="136"/>
      <x:c r="P60" s="136"/>
      <x:c r="Q60" s="136"/>
      <x:c r="R60" s="136"/>
      <x:c r="S60" s="136"/>
      <x:c r="T60" s="136"/>
      <x:c r="U60" s="136"/>
      <x:c r="V60" s="136"/>
      <x:c r="W60" s="136"/>
      <x:c r="X60" s="136"/>
      <x:c r="Y60" s="136"/>
      <x:c r="Z60" s="136"/>
    </x:row>
    <x:row r="61" ht="24" customHeight="1">
      <x:c r="A61" s="136"/>
      <x:c r="B61" s="136"/>
      <x:c r="C61" s="174"/>
      <x:c r="D61" s="174"/>
      <x:c r="E61" s="174"/>
      <x:c r="F61" s="174"/>
      <x:c r="G61" s="174"/>
      <x:c r="H61" s="174"/>
      <x:c r="I61" s="174"/>
      <x:c r="J61" s="174"/>
      <x:c r="K61" s="174"/>
      <x:c r="L61" s="174"/>
      <x:c r="M61" s="136"/>
      <x:c r="N61" s="136"/>
      <x:c r="O61" s="136"/>
      <x:c r="P61" s="136"/>
      <x:c r="Q61" s="136"/>
      <x:c r="R61" s="136"/>
      <x:c r="S61" s="136"/>
      <x:c r="T61" s="136"/>
      <x:c r="U61" s="136"/>
      <x:c r="V61" s="136"/>
      <x:c r="W61" s="136"/>
      <x:c r="X61" s="136"/>
      <x:c r="Y61" s="136"/>
      <x:c r="Z61" s="136"/>
    </x:row>
    <x:row r="62" ht="24" customHeight="1">
      <x:c r="A62" s="136"/>
      <x:c r="B62" s="136"/>
      <x:c r="C62" s="174"/>
      <x:c r="D62" s="174"/>
      <x:c r="E62" s="174"/>
      <x:c r="F62" s="174"/>
      <x:c r="G62" s="174"/>
      <x:c r="H62" s="174"/>
      <x:c r="I62" s="174"/>
      <x:c r="J62" s="174"/>
      <x:c r="K62" s="174"/>
      <x:c r="L62" s="174"/>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54:L56"/>
    <x:mergeCell ref="C57:L59"/>
    <x:mergeCell ref="C60:L62"/>
  </x:mergeCells>
  <x:pageMargins left="0.7" right="0.7" top="0.75" bottom="0.75" header="0.3" footer="0.3"/>
  <x:drawing xmlns:r="http://schemas.openxmlformats.org/officeDocument/2006/relationships" r:id="R947f42e9a8f046a9"/>
  <x:legacyDrawing xmlns:r="http://schemas.openxmlformats.org/officeDocument/2006/relationships" r:id="R992041f65db0492d"/>
</x:worksheet>
</file>

<file path=xl/worksheets/sheet11.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Sensitivity</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67" t="str">
        <x:v>Linked native What-If grid: growth rows, WACC columns</x:v>
      </x:c>
      <x:c r="D8" s="170"/>
      <x:c r="E8" s="170"/>
      <x:c r="F8" s="170"/>
      <x:c r="G8" s="170"/>
      <x:c r="H8" s="170"/>
      <x:c r="I8" s="170"/>
      <x:c r="J8" s="170"/>
      <x:c r="K8" s="170"/>
      <x:c r="L8" s="173"/>
      <x:c r="M8" s="136"/>
      <x:c r="N8" s="136"/>
      <x:c r="O8" s="136"/>
      <x:c r="P8" s="136"/>
      <x:c r="Q8" s="136"/>
      <x:c r="R8" s="136"/>
      <x:c r="S8" s="136"/>
      <x:c r="T8" s="136"/>
      <x:c r="U8" s="136"/>
      <x:c r="V8" s="136"/>
      <x:c r="W8" s="136"/>
      <x:c r="X8" s="136"/>
      <x:c r="Y8" s="136"/>
      <x:c r="Z8" s="136"/>
    </x:row>
    <x:row r="9" ht="24" customHeight="1">
      <x:c r="A9" s="136"/>
      <x:c r="B9" s="136"/>
      <x:c r="C9" s="136"/>
      <x:c r="D9" s="136"/>
      <x:c r="E9" s="136"/>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x:c r="D10" s="136"/>
      <x:c r="E10" s="208" t="n">
        <x:f>'DCF'!E40</x:f>
        <x:v>286.35225469155296</x:v>
      </x:c>
      <x:c r="F10" s="208" t="n">
        <x:f>'DCF'!F40</x:f>
        <x:v>0.08314036929102632</x:v>
      </x:c>
      <x:c r="G10" s="208" t="n">
        <x:f>'DCF'!G40</x:f>
        <x:v>0.08814036929102632</x:v>
      </x:c>
      <x:c r="H10" s="208" t="n">
        <x:f>'DCF'!H40</x:f>
        <x:v>0.09314036929102631</x:v>
      </x:c>
      <x:c r="I10" s="208" t="n">
        <x:f>'DCF'!I40</x:f>
        <x:v>0.09814036929102632</x:v>
      </x:c>
      <x:c r="J10" s="208" t="n">
        <x:f>'DCF'!J40</x:f>
        <x:v>0.10314036929102632</x:v>
      </x:c>
      <x:c r="K10" s="208" t="n">
        <x:f>'DCF'!K40</x:f>
        <x:v>0.10814036929102631</x:v>
      </x:c>
      <x:c r="L10" s="208" t="n">
        <x:f>'DCF'!L40</x:f>
        <x:v>0.11314036929102632</x:v>
      </x:c>
      <x:c r="M10" s="136"/>
      <x:c r="N10" s="136"/>
      <x:c r="O10" s="136"/>
      <x:c r="P10" s="136"/>
      <x:c r="Q10" s="136"/>
      <x:c r="R10" s="136"/>
      <x:c r="S10" s="136"/>
      <x:c r="T10" s="136"/>
      <x:c r="U10" s="136"/>
      <x:c r="V10" s="136"/>
      <x:c r="W10" s="136"/>
      <x:c r="X10" s="136"/>
      <x:c r="Y10" s="136"/>
      <x:c r="Z10" s="136"/>
    </x:row>
    <x:row r="11" ht="24" customHeight="1">
      <x:c r="A11" s="136"/>
      <x:c r="B11" s="136"/>
      <x:c r="C11" s="136"/>
      <x:c r="D11" s="136"/>
      <x:c r="E11" s="162" t="n">
        <x:f>'DCF'!E41</x:f>
        <x:v>0.015</x:v>
      </x:c>
      <x:c r="F11" s="145" t="n">
        <x:f>'DCF'!F41</x:f>
        <x:v>321.8246519723084</x:v>
      </x:c>
      <x:c r="G11" s="145" t="n">
        <x:f>'DCF'!G41</x:f>
        <x:v>297.79305978404903</x:v>
      </x:c>
      <x:c r="H11" s="145" t="n">
        <x:f>'DCF'!H41</x:f>
        <x:v>276.8810325588969</x:v>
      </x:c>
      <x:c r="I11" s="145" t="n">
        <x:f>'DCF'!I41</x:f>
        <x:v>258.52447147611724</x:v>
      </x:c>
      <x:c r="J11" s="145" t="n">
        <x:f>'DCF'!J41</x:f>
        <x:v>242.28732147822066</x:v>
      </x:c>
      <x:c r="K11" s="145" t="n">
        <x:f>'DCF'!K41</x:f>
        <x:v>227.82720107815015</x:v>
      </x:c>
      <x:c r="L11" s="145" t="n">
        <x:f>'DCF'!L41</x:f>
        <x:v>214.87153867884606</x:v>
      </x:c>
      <x:c r="M11" s="136"/>
      <x:c r="N11" s="136"/>
      <x:c r="O11" s="136"/>
      <x:c r="P11" s="136"/>
      <x:c r="Q11" s="136"/>
      <x:c r="R11" s="136"/>
      <x:c r="S11" s="136"/>
      <x:c r="T11" s="136"/>
      <x:c r="U11" s="136"/>
      <x:c r="V11" s="136"/>
      <x:c r="W11" s="136"/>
      <x:c r="X11" s="136"/>
      <x:c r="Y11" s="136"/>
      <x:c r="Z11" s="136"/>
    </x:row>
    <x:row r="12" ht="24" customHeight="1">
      <x:c r="A12" s="136"/>
      <x:c r="B12" s="136"/>
      <x:c r="C12" s="136"/>
      <x:c r="D12" s="136"/>
      <x:c r="E12" s="162" t="n">
        <x:f>'DCF'!E42</x:f>
        <x:v>0.019999999999999997</x:v>
      </x:c>
      <x:c r="F12" s="145" t="n">
        <x:f>'DCF'!F42</x:f>
        <x:v>336.3404306543823</x:v>
      </x:c>
      <x:c r="G12" s="145" t="n">
        <x:f>'DCF'!G42</x:f>
        <x:v>309.66324857816204</x:v>
      </x:c>
      <x:c r="H12" s="145" t="n">
        <x:f>'DCF'!H42</x:f>
        <x:v>286.6765076160603</x:v>
      </x:c>
      <x:c r="I12" s="145" t="n">
        <x:f>'DCF'!I42</x:f>
        <x:v>266.670538418071</x:v>
      </x:c>
      <x:c r="J12" s="145" t="n">
        <x:f>'DCF'!J42</x:f>
        <x:v>249.10643033991164</x:v>
      </x:c>
      <x:c r="K12" s="145" t="n">
        <x:f>'DCF'!K42</x:f>
        <x:v>233.5675960343812</x:v>
      </x:c>
      <x:c r="L12" s="145" t="n">
        <x:f>'DCF'!L42</x:f>
        <x:v>219.72693689348688</x:v>
      </x:c>
      <x:c r="M12" s="136"/>
      <x:c r="N12" s="136"/>
      <x:c r="O12" s="136"/>
      <x:c r="P12" s="136"/>
      <x:c r="Q12" s="136"/>
      <x:c r="R12" s="136"/>
      <x:c r="S12" s="136"/>
      <x:c r="T12" s="136"/>
      <x:c r="U12" s="136"/>
      <x:c r="V12" s="136"/>
      <x:c r="W12" s="136"/>
      <x:c r="X12" s="136"/>
      <x:c r="Y12" s="136"/>
      <x:c r="Z12" s="136"/>
    </x:row>
    <x:row r="13" ht="24" customHeight="1">
      <x:c r="A13" s="136"/>
      <x:c r="B13" s="136"/>
      <x:c r="C13" s="136"/>
      <x:c r="D13" s="136"/>
      <x:c r="E13" s="162" t="n">
        <x:f>'DCF'!E43</x:f>
        <x:v>0.024999999999999998</x:v>
      </x:c>
      <x:c r="F13" s="145" t="n">
        <x:f>'DCF'!F43</x:f>
        <x:v>353.27081294764923</x:v>
      </x:c>
      <x:c r="G13" s="145" t="n">
        <x:f>'DCF'!G43</x:f>
        <x:v>323.3394576776526</x:v>
      </x:c>
      <x:c r="H13" s="145" t="n">
        <x:f>'DCF'!H43</x:f>
        <x:v>297.84247313065976</x:v>
      </x:c>
      <x:c r="I13" s="145" t="n">
        <x:f>'DCF'!I43</x:f>
        <x:v>275.86922695147877</x:v>
      </x:c>
      <x:c r="J13" s="145" t="n">
        <x:f>'DCF'!J43</x:f>
        <x:v>256.742204519062</x:v>
      </x:c>
      <x:c r="K13" s="145" t="n">
        <x:f>'DCF'!K43</x:f>
        <x:v>239.94690967648577</x:v>
      </x:c>
      <x:c r="L13" s="145" t="n">
        <x:f>'DCF'!L43</x:f>
        <x:v>225.08562495207732</x:v>
      </x:c>
      <x:c r="M13" s="136"/>
      <x:c r="N13" s="136"/>
      <x:c r="O13" s="136"/>
      <x:c r="P13" s="136"/>
      <x:c r="Q13" s="136"/>
      <x:c r="R13" s="136"/>
      <x:c r="S13" s="136"/>
      <x:c r="T13" s="136"/>
      <x:c r="U13" s="136"/>
      <x:c r="V13" s="136"/>
      <x:c r="W13" s="136"/>
      <x:c r="X13" s="136"/>
      <x:c r="Y13" s="136"/>
      <x:c r="Z13" s="136"/>
    </x:row>
    <x:row r="14" ht="24" customHeight="1">
      <x:c r="A14" s="136"/>
      <x:c r="B14" s="136"/>
      <x:c r="C14" s="136"/>
      <x:c r="D14" s="136"/>
      <x:c r="E14" s="162" t="n">
        <x:f>'DCF'!E44</x:f>
        <x:v>0.03</x:v>
      </x:c>
      <x:c r="F14" s="145" t="n">
        <x:f>'DCF'!F44</x:f>
        <x:v>373.297372101432</x:v>
      </x:c>
      <x:c r="G14" s="145" t="n">
        <x:f>'DCF'!G44</x:f>
        <x:v>339.28763363413384</x:v>
      </x:c>
      <x:c r="H14" s="145" t="n">
        <x:f>'DCF'!H44</x:f>
        <x:v>310.7045109308089</x:v>
      </x:c>
      <x:c r="I14" s="145" t="n">
        <x:f>'DCF'!I44</x:f>
        <x:v>286.35225469155296</x:v>
      </x:c>
      <x:c r="J14" s="145" t="n">
        <x:f>'DCF'!J44</x:f>
        <x:v>265.3621299045265</x:v>
      </x:c>
      <x:c r="K14" s="145" t="n">
        <x:f>'DCF'!K44</x:f>
        <x:v>247.08779026393665</x:v>
      </x:c>
      <x:c r="L14" s="145" t="n">
        <x:f>'DCF'!L44</x:f>
        <x:v>231.03840528577854</x:v>
      </x:c>
      <x:c r="M14" s="136"/>
      <x:c r="N14" s="136"/>
      <x:c r="O14" s="136"/>
      <x:c r="P14" s="136"/>
      <x:c r="Q14" s="136"/>
      <x:c r="R14" s="136"/>
      <x:c r="S14" s="136"/>
      <x:c r="T14" s="136"/>
      <x:c r="U14" s="136"/>
      <x:c r="V14" s="136"/>
      <x:c r="W14" s="136"/>
      <x:c r="X14" s="136"/>
      <x:c r="Y14" s="136"/>
      <x:c r="Z14" s="136"/>
    </x:row>
    <x:row r="15" ht="24" customHeight="1">
      <x:c r="A15" s="136"/>
      <x:c r="B15" s="136"/>
      <x:c r="C15" s="136"/>
      <x:c r="D15" s="136"/>
      <x:c r="E15" s="162" t="n">
        <x:f>'DCF'!E45</x:f>
        <x:v>0.034999999999999996</x:v>
      </x:c>
      <x:c r="F15" s="145" t="n">
        <x:f>'DCF'!F45</x:f>
        <x:v>397.3848421547857</x:v>
      </x:c>
      <x:c r="G15" s="145" t="n">
        <x:f>'DCF'!G45</x:f>
        <x:v>358.14908743790414</x:v>
      </x:c>
      <x:c r="H15" s="145" t="n">
        <x:f>'DCF'!H45</x:f>
        <x:v>325.7002013861111</x:v>
      </x:c>
      <x:c r="I15" s="145" t="n">
        <x:f>'DCF'!I45</x:f>
        <x:v>298.42473686514955</x:v>
      </x:c>
      <x:c r="J15" s="145" t="n">
        <x:f>'DCF'!J45</x:f>
        <x:v>275.1828514638673</x:v>
      </x:c>
      <x:c r="K15" s="145" t="n">
        <x:f>'DCF'!K45</x:f>
        <x:v>255.14642383039657</x:v>
      </x:c>
      <x:c r="L15" s="145" t="n">
        <x:f>'DCF'!L45</x:f>
        <x:v>237.6993211760276</x:v>
      </x:c>
      <x:c r="M15" s="136"/>
      <x:c r="N15" s="136"/>
      <x:c r="O15" s="136"/>
      <x:c r="P15" s="136"/>
      <x:c r="Q15" s="136"/>
      <x:c r="R15" s="136"/>
      <x:c r="S15" s="136"/>
      <x:c r="T15" s="136"/>
      <x:c r="U15" s="136"/>
      <x:c r="V15" s="136"/>
      <x:c r="W15" s="136"/>
      <x:c r="X15" s="136"/>
      <x:c r="Y15" s="136"/>
      <x:c r="Z15" s="136"/>
    </x:row>
    <x:row r="16" ht="24" customHeight="1">
      <x:c r="A16" s="136"/>
      <x:c r="B16" s="136"/>
      <x:c r="C16" s="136"/>
      <x:c r="D16" s="136"/>
      <x:c r="E16" s="162" t="n">
        <x:f>'DCF'!E46</x:f>
        <x:v>0.04</x:v>
      </x:c>
      <x:c r="F16" s="145" t="n">
        <x:f>'DCF'!F46</x:f>
        <x:v>426.94521063805894</x:v>
      </x:c>
      <x:c r="G16" s="145" t="n">
        <x:f>'DCF'!G46</x:f>
        <x:v>380.83156384358233</x:v>
      </x:c>
      <x:c r="H16" s="145" t="n">
        <x:f>'DCF'!H46</x:f>
        <x:v>343.4318133602247</x:v>
      </x:c>
      <x:c r="I16" s="145" t="n">
        <x:f>'DCF'!I46</x:f>
        <x:v>312.496746830824</x:v>
      </x:c>
      <x:c r="J16" s="145" t="n">
        <x:f>'DCF'!J46</x:f>
        <x:v>286.4896374463897</x:v>
      </x:c>
      <x:c r="K16" s="145" t="n">
        <x:f>'DCF'!K46</x:f>
        <x:v>264.32483884780316</x:v>
      </x:c>
      <x:c r="L16" s="145" t="n">
        <x:f>'DCF'!L46</x:f>
        <x:v>245.213600674736</x:v>
      </x:c>
      <x:c r="M16" s="136"/>
      <x:c r="N16" s="136"/>
      <x:c r="O16" s="136"/>
      <x:c r="P16" s="136"/>
      <x:c r="Q16" s="136"/>
      <x:c r="R16" s="136"/>
      <x:c r="S16" s="136"/>
      <x:c r="T16" s="136"/>
      <x:c r="U16" s="136"/>
      <x:c r="V16" s="136"/>
      <x:c r="W16" s="136"/>
      <x:c r="X16" s="136"/>
      <x:c r="Y16" s="136"/>
      <x:c r="Z16" s="136"/>
    </x:row>
    <x:row r="17" ht="24" customHeight="1">
      <x:c r="A17" s="136"/>
      <x:c r="B17" s="136"/>
      <x:c r="C17" s="136"/>
      <x:c r="D17" s="136"/>
      <x:c r="E17" s="162" t="n">
        <x:f>'DCF'!E47</x:f>
        <x:v>0.045</x:v>
      </x:c>
      <x:c r="F17" s="145" t="n">
        <x:f>'DCF'!F47</x:f>
        <x:v>464.13088136838275</x:v>
      </x:c>
      <x:c r="G17" s="145" t="n">
        <x:f>'DCF'!G47</x:f>
        <x:v>408.663640699957</x:v>
      </x:c>
      <x:c r="H17" s="145" t="n">
        <x:f>'DCF'!H47</x:f>
        <x:v>364.7518293618335</x:v>
      </x:c>
      <x:c r="I17" s="145" t="n">
        <x:f>'DCF'!I47</x:f>
        <x:v>329.13269385560477</x:v>
      </x:c>
      <x:c r="J17" s="145" t="n">
        <x:f>'DCF'!J47</x:f>
        <x:v>299.66588697080476</x:v>
      </x:c>
      <x:c r="K17" s="145" t="n">
        <x:f>'DCF'!K47</x:f>
        <x:v>274.88905722817253</x:v>
      </x:c>
      <x:c r="L17" s="145" t="n">
        <x:f>'DCF'!L47</x:f>
        <x:v>253.76909797553483</x:v>
      </x:c>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Scenario</x:v>
      </x:c>
      <x:c r="D21" s="158" t="str">
        <x:v>At own stable g</x:v>
      </x:c>
      <x:c r="E21" s="160" t="str">
        <x:v>Return to close</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Base</x:v>
      </x:c>
      <x:c r="D22" s="145" t="n">
        <x:f>'DCF'!F53</x:f>
        <x:v>286.352254691553</x:v>
      </x:c>
      <x:c r="E22" s="162" t="n">
        <x:f>D22/'Market Inputs'!E9-1</x:f>
        <x:v>-0.4520727603919692</x:v>
      </x:c>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Upside</x:v>
      </x:c>
      <x:c r="D23" s="145" t="n">
        <x:f>'DCF'!G54</x:f>
        <x:v>390.99452467720926</x:v>
      </x:c>
      <x:c r="E23" s="162" t="n">
        <x:f>D23/'Market Inputs'!E9-1</x:f>
        <x:v>-0.2518426270503641</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Downside</x:v>
      </x:c>
      <x:c r="D24" s="145" t="n">
        <x:f>'DCF'!H55</x:f>
        <x:v>169.9114012991664</x:v>
      </x:c>
      <x:c r="E24" s="162" t="n">
        <x:f>D24/'Market Inputs'!E9-1</x:f>
        <x:v>-0.6748791617091782</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56" t="str">
        <x:v>WACC</x:v>
      </x:c>
      <x:c r="D28" s="160" t="str">
        <x:v>At selected g</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08" t="n">
        <x:f>'DCF'!F40</x:f>
        <x:v>0.08314036929102632</x:v>
      </x:c>
      <x:c r="D29" s="145" t="n">
        <x:f>'DCF'!F44</x:f>
        <x:v>373.297372101432</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08" t="n">
        <x:f>'DCF'!G40</x:f>
        <x:v>0.08814036929102632</x:v>
      </x:c>
      <x:c r="D30" s="145" t="n">
        <x:f>'DCF'!G44</x:f>
        <x:v>339.28763363413384</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208" t="n">
        <x:f>'DCF'!H40</x:f>
        <x:v>0.09314036929102631</x:v>
      </x:c>
      <x:c r="D31" s="145" t="n">
        <x:f>'DCF'!H44</x:f>
        <x:v>310.7045109308089</x:v>
      </x:c>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208" t="n">
        <x:f>'DCF'!I40</x:f>
        <x:v>0.09814036929102632</x:v>
      </x:c>
      <x:c r="D32" s="145" t="n">
        <x:f>'DCF'!I44</x:f>
        <x:v>286.35225469155296</x:v>
      </x:c>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208" t="n">
        <x:f>'DCF'!J40</x:f>
        <x:v>0.10314036929102632</x:v>
      </x:c>
      <x:c r="D33" s="145" t="n">
        <x:f>'DCF'!J44</x:f>
        <x:v>265.3621299045265</x:v>
      </x:c>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208" t="n">
        <x:f>'DCF'!K40</x:f>
        <x:v>0.10814036929102631</x:v>
      </x:c>
      <x:c r="D34" s="145" t="n">
        <x:f>'DCF'!K44</x:f>
        <x:v>247.08779026393665</x:v>
      </x:c>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208" t="n">
        <x:f>'DCF'!L40</x:f>
        <x:v>0.11314036929102632</x:v>
      </x:c>
      <x:c r="D35" s="145" t="n">
        <x:f>'DCF'!L44</x:f>
        <x:v>231.03840528577854</x:v>
      </x:c>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67" t="str">
        <x:v>Selected case observations</x:v>
      </x:c>
      <x:c r="D39" s="170"/>
      <x:c r="E39" s="170"/>
      <x:c r="F39" s="170"/>
      <x:c r="G39" s="170"/>
      <x:c r="H39" s="170"/>
      <x:c r="I39" s="170"/>
      <x:c r="J39" s="170"/>
      <x:c r="K39" s="170"/>
      <x:c r="L39" s="173"/>
      <x:c r="M39" s="136"/>
      <x:c r="N39" s="136"/>
      <x:c r="O39" s="136"/>
      <x:c r="P39" s="136"/>
      <x:c r="Q39" s="136"/>
      <x:c r="R39" s="136"/>
      <x:c r="S39" s="136"/>
      <x:c r="T39" s="136"/>
      <x:c r="U39" s="136"/>
      <x:c r="V39" s="136"/>
      <x:c r="W39" s="136"/>
      <x:c r="X39" s="136"/>
      <x:c r="Y39" s="136"/>
      <x:c r="Z39" s="136"/>
    </x:row>
    <x:row r="40" ht="24" customHeight="1">
      <x:c r="A40" s="136"/>
      <x:c r="B40" s="136"/>
      <x:c r="C40" s="174" t="str">
        <x:v>Both axes come from native What-If calculations on the DCF sheet. WACC and stable growth are actual pricing inputs, while scenario changes flow through the same active forecast.</x:v>
      </x:c>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t="str">
        <x:v>Stable growth changes stable revenue and reinvestment together. A higher growth rate can be costly when ROIC is low; the grid does not simply increase final free cash flow without investment.</x:v>
      </x:c>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t="str">
        <x:v>Scenario prices are each calculated at their own stable growth. These are conditional outcomes with no assigned investment probability. Do not confuse the displayed spread with a statistically estimated price range.</x:v>
      </x:c>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74"/>
      <x:c r="D47" s="174"/>
      <x:c r="E47" s="174"/>
      <x:c r="F47" s="174"/>
      <x:c r="G47" s="174"/>
      <x:c r="H47" s="174"/>
      <x:c r="I47" s="174"/>
      <x:c r="J47" s="174"/>
      <x:c r="K47" s="174"/>
      <x:c r="L47" s="174"/>
      <x:c r="M47" s="136"/>
      <x:c r="N47" s="136"/>
      <x:c r="O47" s="136"/>
      <x:c r="P47" s="136"/>
      <x:c r="Q47" s="136"/>
      <x:c r="R47" s="136"/>
      <x:c r="S47" s="136"/>
      <x:c r="T47" s="136"/>
      <x:c r="U47" s="136"/>
      <x:c r="V47" s="136"/>
      <x:c r="W47" s="136"/>
      <x:c r="X47" s="136"/>
      <x:c r="Y47" s="136"/>
      <x:c r="Z47" s="136"/>
    </x:row>
    <x:row r="48" ht="24" customHeight="1">
      <x:c r="A48" s="136"/>
      <x:c r="B48" s="136"/>
      <x:c r="C48" s="174"/>
      <x:c r="D48" s="174"/>
      <x:c r="E48" s="174"/>
      <x:c r="F48" s="174"/>
      <x:c r="G48" s="174"/>
      <x:c r="H48" s="174"/>
      <x:c r="I48" s="174"/>
      <x:c r="J48" s="174"/>
      <x:c r="K48" s="174"/>
      <x:c r="L48" s="174"/>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40:L42"/>
    <x:mergeCell ref="C43:L45"/>
    <x:mergeCell ref="C46:L48"/>
  </x:mergeCells>
  <x:conditionalFormatting sqref="F11:L17">
    <x:cfRule type="colorScale" priority="1">
      <x:colorScale>
        <x:cfvo type="min"/>
        <x:cfvo type="percentile" val="50"/>
        <x:cfvo type="max"/>
        <x:color rgb="FFEFF4F8"/>
        <x:color rgb="FFB7CAD9"/>
        <x:color rgb="FF537991"/>
      </x:colorScale>
    </x:cfRule>
  </x:conditionalFormatting>
  <x:pageMargins left="0.7" right="0.7" top="0.75" bottom="0.75" header="0.3" footer="0.3"/>
  <x:drawing xmlns:r="http://schemas.openxmlformats.org/officeDocument/2006/relationships" r:id="R1c98de3286a74eef"/>
  <x:legacyDrawing xmlns:r="http://schemas.openxmlformats.org/officeDocument/2006/relationships" r:id="R3d7982a032374508"/>
</x:worksheet>
</file>

<file path=xl/worksheets/sheet12.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Exit Multiple</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Analyst exit EV / EBITDA</x:v>
      </x:c>
      <x:c r="D8" s="136"/>
      <x:c r="E8" s="242" t="n">
        <x:v>12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FY2031 EBITDA</x:v>
      </x:c>
      <x:c r="D9" s="136"/>
      <x:c r="E9" s="164" t="n">
        <x:f>'Forecast'!I15+'Forecast'!I18</x:f>
        <x:v>398785.1006277711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Terminal enterprise value</x:v>
      </x:c>
      <x:c r="D10" s="136"/>
      <x:c r="E10" s="164" t="n">
        <x:f>E8*E9</x:f>
        <x:v>4785421.207533253</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PV of exit enterprise value</x:v>
      </x:c>
      <x:c r="D11" s="136"/>
      <x:c r="E11" s="164" t="n">
        <x:f>E10/'DCF'!E20</x:f>
        <x:v>3074468.3252998944</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PV of explicit FCFF</x:v>
      </x:c>
      <x:c r="D12" s="136"/>
      <x:c r="E12" s="164" t="n">
        <x:f>'DCF'!E18</x:f>
        <x:v>436118.6238862739</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Exit multiple equity value</x:v>
      </x:c>
      <x:c r="D14" s="136"/>
      <x:c r="E14" s="164" t="n">
        <x:f>SUM(E11:E12)+'Equity Bridge'!E17</x:f>
        <x:v>3495683.949186168</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Exit multiple value per share</x:v>
      </x:c>
      <x:c r="D15" s="136"/>
      <x:c r="E15" s="145" t="n">
        <x:f>E14/'Equity Bridge'!E20</x:f>
        <x:v>469.2479498795463</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Reinvestment DCF value per share</x:v>
      </x:c>
      <x:c r="D16" s="136"/>
      <x:c r="E16" s="145" t="n">
        <x:f>'DCF'!E28</x:f>
        <x:v>286.35225469155296</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Required market exit multiple</x:v>
      </x:c>
      <x:c r="D17" s="136"/>
      <x:c r="E17" s="222" t="n">
        <x:f>'Reverse Multiple'!E12</x:f>
        <x:v>13.551577617219003</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Exit multiple</x:v>
      </x:c>
      <x:c r="D21" s="160" t="str">
        <x:v>Fair price</x:v>
      </x:c>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242" t="n">
        <x:v>4</x:v>
      </x:c>
      <x:c r="D22" s="145" t="n">
        <x:f>($E$12+C22*$E$9/'DCF'!E20+'Equity Bridge'!E17)/'Equity Bridge'!E20</x:f>
        <x:v>194.110956263471</x:v>
      </x:c>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242" t="n">
        <x:v>6</x:v>
      </x:c>
      <x:c r="D23" s="145" t="n">
        <x:f>($E$12+C23*$E$9/'DCF'!E20+'Equity Bridge'!E17)/'Equity Bridge'!E20</x:f>
        <x:v>262.89520466748985</x:v>
      </x:c>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242" t="n">
        <x:v>8</x:v>
      </x:c>
      <x:c r="D24" s="145" t="n">
        <x:f>($E$12+C24*$E$9/'DCF'!E20+'Equity Bridge'!E17)/'Equity Bridge'!E20</x:f>
        <x:v>331.67945307150865</x:v>
      </x:c>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242" t="n">
        <x:v>10</x:v>
      </x:c>
      <x:c r="D25" s="145" t="n">
        <x:f>($E$12+C25*$E$9/'DCF'!E20+'Equity Bridge'!E17)/'Equity Bridge'!E20</x:f>
        <x:v>400.4637014755275</x:v>
      </x:c>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242" t="n">
        <x:v>12</x:v>
      </x:c>
      <x:c r="D26" s="145" t="n">
        <x:f>($E$12+C26*$E$9/'DCF'!E20+'Equity Bridge'!E17)/'Equity Bridge'!E20</x:f>
        <x:v>469.2479498795463</x:v>
      </x:c>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242" t="n">
        <x:v>14</x:v>
      </x:c>
      <x:c r="D27" s="145" t="n">
        <x:f>($E$12+C27*$E$9/'DCF'!E20+'Equity Bridge'!E17)/'Equity Bridge'!E20</x:f>
        <x:v>538.0321982835651</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42" t="n">
        <x:v>16</x:v>
      </x:c>
      <x:c r="D28" s="145" t="n">
        <x:f>($E$12+C28*$E$9/'DCF'!E20+'Equity Bridge'!E17)/'Equity Bridge'!E20</x:f>
        <x:v>606.816446687584</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42" t="n">
        <x:v>18</x:v>
      </x:c>
      <x:c r="D29" s="145" t="n">
        <x:f>($E$12+C29*$E$9/'DCF'!E20+'Equity Bridge'!E17)/'Equity Bridge'!E20</x:f>
        <x:v>675.6006950916029</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42" t="n">
        <x:v>20</x:v>
      </x:c>
      <x:c r="D30" s="145" t="n">
        <x:f>($E$12+C30*$E$9/'DCF'!E20+'Equity Bridge'!E17)/'Equity Bridge'!E20</x:f>
        <x:v>744.3849434956217</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67" t="str">
        <x:v>Selected case observations</x:v>
      </x:c>
      <x:c r="D34" s="170"/>
      <x:c r="E34" s="170"/>
      <x:c r="F34" s="170"/>
      <x:c r="G34" s="170"/>
      <x:c r="H34" s="170"/>
      <x:c r="I34" s="170"/>
      <x:c r="J34" s="170"/>
      <x:c r="K34" s="170"/>
      <x:c r="L34" s="173"/>
      <x:c r="M34" s="136"/>
      <x:c r="N34" s="136"/>
      <x:c r="O34" s="136"/>
      <x:c r="P34" s="136"/>
      <x:c r="Q34" s="136"/>
      <x:c r="R34" s="136"/>
      <x:c r="S34" s="136"/>
      <x:c r="T34" s="136"/>
      <x:c r="U34" s="136"/>
      <x:c r="V34" s="136"/>
      <x:c r="W34" s="136"/>
      <x:c r="X34" s="136"/>
      <x:c r="Y34" s="136"/>
      <x:c r="Z34" s="136"/>
    </x:row>
    <x:row r="35" ht="24" customHeight="1">
      <x:c r="A35" s="136"/>
      <x:c r="B35" s="136"/>
      <x:c r="C35" s="174" t="str">
        <x:f>"At exit multiple "&amp;ROUND(E8,2)&amp;"x the crosscheck price is USD "&amp;ROUND(E15,2)&amp;". "&amp;"This crosscheck replaces the primary terminal cash-flow value with an illustrative EV / EBITDA multiple. It keeps explicit cash flows, discount timing and the bridge unchanged."</x:f>
        <x:v>At exit multiple 12x the crosscheck price is USD 469.25. This crosscheck replaces the primary terminal cash-flow value with an illustrative EV / EBITDA multiple. It keeps explicit cash flows, discount timing and the bridge unchanged.</x:v>
      </x:c>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t="str">
        <x:v>The primary valuation still uses stable growth, operating margin and ROIC. An exit multiple can imply substantially different terminal expectations and should be justified against industry economics and rates.</x:v>
      </x:c>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t="str">
        <x:v>Change the blue exit multiple to examine alternatives. The reverse multiple is the algebraic multiple needed for the observed closing price; it does not demonstrate a comparable-company market price.</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5:L37"/>
    <x:mergeCell ref="C38:L40"/>
    <x:mergeCell ref="C41:L43"/>
  </x:mergeCells>
  <x:pageMargins left="0.7" right="0.7" top="0.75" bottom="0.75" header="0.3" footer="0.3"/>
  <x:drawing xmlns:r="http://schemas.openxmlformats.org/officeDocument/2006/relationships" r:id="Rbd857d55a4a54683"/>
  <x:legacyDrawing xmlns:r="http://schemas.openxmlformats.org/officeDocument/2006/relationships" r:id="R526f43d1dd174ffe"/>
</x:worksheet>
</file>

<file path=xl/worksheets/sheet13.xml><?xml version="1.0" encoding="utf-8"?>
<x:worksheet xmlns:x="http://schemas.openxmlformats.org/spreadsheetml/2006/main">
  <x:sheetPr>
    <x:tabColor rgb="FF002060"/>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23" hidden="0" customWidth="1"/>
    <x:col min="5" max="5" width="42"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Summary</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56" t="str">
        <x:v>Criterion</x:v>
      </x:c>
      <x:c r="D8" s="158" t="str">
        <x:v>Required result</x:v>
      </x:c>
      <x:c r="E8" s="160" t="str">
        <x:v>Economic reading</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Revenue CAGR</x:v>
      </x:c>
      <x:c r="D9" s="162" t="n">
        <x:f>'Reverse Growth'!E12</x:f>
        <x:v>0.29776359901443183</x:v>
      </x:c>
      <x:c r="E9" s="136" t="str">
        <x:f>'Reverse Growth'!E14</x:f>
        <x:v>Inside analyst band</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Parallel margin shift</x:v>
      </x:c>
      <x:c r="D10" s="162" t="n">
        <x:f>'Reverse Margin'!E12</x:f>
        <x:v>0.3016708531973552</x:v>
      </x:c>
      <x:c r="E10" s="136" t="str">
        <x:f>'Reverse Margin'!E14</x:f>
        <x:v>Within absolute bounds</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Cash capex multiplier</x:v>
      </x:c>
      <x:c r="D11" s="222" t="n">
        <x:f>'Reverse Capex'!E12</x:f>
        <x:v>-2.6523036809224343</x:v>
      </x:c>
      <x:c r="E11" s="136" t="str">
        <x:f>'Reverse Capex'!E14</x:f>
        <x:v>Impossible negative cash capex</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NWC / revenue shift</x:v>
      </x:c>
      <x:c r="D12" s="162" t="n">
        <x:f>'Reverse NWC'!E12</x:f>
        <x:v>-3.7150980411428236</x:v>
      </x:c>
      <x:c r="E12" s="136" t="str">
        <x:f>'Reverse NWC'!E14</x:f>
        <x:v>Outside analyst NWC band</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t="str">
        <x:v>Required WACC</x:v>
      </x:c>
      <x:c r="D13" s="208" t="n">
        <x:f>'Reverse WACC'!E12</x:f>
        <x:v>0.06860366329986324</x:v>
      </x:c>
      <x:c r="E13" s="136" t="str">
        <x:f>'Reverse WACC'!E14</x:f>
        <x:v>Above risk-free rate</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Required stable growth</x:v>
      </x:c>
      <x:c r="D14" s="208" t="n">
        <x:f>'Reverse Terminal g'!E12</x:f>
        <x:v>0.07176903297964167</x:v>
      </x:c>
      <x:c r="E14" s="136" t="str">
        <x:f>'Reverse Terminal g'!E14</x:f>
        <x:v>Outside long-run band</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Required stable ROIC</x:v>
      </x:c>
      <x:c r="D15" s="162" t="str">
        <x:f>'Reverse ROIC'!E12</x:f>
        <x:v>No finite positive ROIC</x:v>
      </x:c>
      <x:c r="E15" s="136" t="str">
        <x:f>'Reverse ROIC'!E14</x:f>
        <x:v>ROIC alone cannot reach price</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Operating tax shift</x:v>
      </x:c>
      <x:c r="D16" s="162" t="n">
        <x:f>'Reverse Tax'!E12</x:f>
        <x:v>-0.6013991689954796</x:v>
      </x:c>
      <x:c r="E16" s="136" t="str">
        <x:f>'Reverse Tax'!E14</x:f>
        <x:v>Outside tax band</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Lease asset addition multiplier</x:v>
      </x:c>
      <x:c r="D17" s="222" t="n">
        <x:f>'Reverse Leases'!E12</x:f>
        <x:v>-13.140004645083591</x:v>
      </x:c>
      <x:c r="E17" s="136" t="str">
        <x:f>'Reverse Leases'!E14</x:f>
        <x:v>Impossible negative additions</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Normalized stable FCFF</x:v>
      </x:c>
      <x:c r="D18" s="164" t="n">
        <x:f>'Reverse FCF'!E12</x:f>
        <x:v>368241.9516994382</x:v>
      </x:c>
      <x:c r="E18" s="136" t="str">
        <x:f>'Reverse FCF'!E14</x:f>
        <x:v>Requires more cash than stable NOPAT</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Exit EV / EBITDA</x:v>
      </x:c>
      <x:c r="D19" s="222" t="n">
        <x:f>'Reverse Multiple'!E12</x:f>
        <x:v>13.551577617219003</x:v>
      </x:c>
      <x:c r="E19" s="136" t="str">
        <x:f>'Reverse Multiple'!E14</x:f>
        <x:v>Needs external peer and rate context</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Shares with unchanged equity</x:v>
      </x:c>
      <x:c r="D20" s="206" t="n">
        <x:f>'Ownership'!E12</x:f>
        <x:v>4081.808897218082</x:v>
      </x:c>
      <x:c r="E20" s="136" t="str">
        <x:f>'Ownership'!E14</x:f>
        <x:v>Cannot assume cost-free repurchases</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56" t="str">
        <x:v>Reference</x:v>
      </x:c>
      <x:c r="D24" s="160" t="str">
        <x:v>Price per share</x:v>
      </x:c>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Modeled value</x:v>
      </x:c>
      <x:c r="D25" s="145" t="n">
        <x:f>'DCF'!E28</x:f>
        <x:v>286.35225469155296</x:v>
      </x:c>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t="str">
        <x:v>Observed close</x:v>
      </x:c>
      <x:c r="D26" s="145" t="n">
        <x:f>'Market Inputs'!E9</x:f>
        <x:v>522.61</x:v>
      </x:c>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t="str">
        <x:v>ROIC-only upper ceiling</x:v>
      </x:c>
      <x:c r="D27" s="145" t="n">
        <x:f>'Reverse ROIC'!E17</x:f>
        <x:v>326.90692443910353</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67" t="str">
        <x:v>Selected case observations</x:v>
      </x:c>
      <x:c r="D31" s="170"/>
      <x:c r="E31" s="170"/>
      <x:c r="F31" s="170"/>
      <x:c r="G31" s="170"/>
      <x:c r="H31" s="170"/>
      <x:c r="I31" s="170"/>
      <x:c r="J31" s="170"/>
      <x:c r="K31" s="170"/>
      <x:c r="L31" s="173"/>
      <x:c r="M31" s="136"/>
      <x:c r="N31" s="136"/>
      <x:c r="O31" s="136"/>
      <x:c r="P31" s="136"/>
      <x:c r="Q31" s="136"/>
      <x:c r="R31" s="136"/>
      <x:c r="S31" s="136"/>
      <x:c r="T31" s="136"/>
      <x:c r="U31" s="136"/>
      <x:c r="V31" s="136"/>
      <x:c r="W31" s="136"/>
      <x:c r="X31" s="136"/>
      <x:c r="Y31" s="136"/>
      <x:c r="Z31" s="136"/>
    </x:row>
    <x:row r="32" ht="24" customHeight="1">
      <x:c r="A32" s="136"/>
      <x:c r="B32" s="136"/>
      <x:c r="C32" s="174" t="str">
        <x:v>Each line asks what one criterion would need to become to explain the market price while the remaining selected assumptions stay fixed. Multiple solutions must not be combined as if they were one coherent scenario.</x:v>
      </x:c>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74"/>
      <x:c r="D33" s="174"/>
      <x:c r="E33" s="174"/>
      <x:c r="F33" s="174"/>
      <x:c r="G33" s="174"/>
      <x:c r="H33" s="174"/>
      <x:c r="I33" s="174"/>
      <x:c r="J33" s="174"/>
      <x:c r="K33" s="174"/>
      <x:c r="L33" s="174"/>
      <x:c r="M33" s="136"/>
      <x:c r="N33" s="136"/>
      <x:c r="O33" s="136"/>
      <x:c r="P33" s="136"/>
      <x:c r="Q33" s="136"/>
      <x:c r="R33" s="136"/>
      <x:c r="S33" s="136"/>
      <x:c r="T33" s="136"/>
      <x:c r="U33" s="136"/>
      <x:c r="V33" s="136"/>
      <x:c r="W33" s="136"/>
      <x:c r="X33" s="136"/>
      <x:c r="Y33" s="136"/>
      <x:c r="Z33" s="136"/>
    </x:row>
    <x:row r="34" ht="24" customHeight="1">
      <x:c r="A34" s="136"/>
      <x:c r="B34" s="136"/>
      <x:c r="C34" s="174"/>
      <x:c r="D34" s="174"/>
      <x:c r="E34" s="174"/>
      <x:c r="F34" s="174"/>
      <x:c r="G34" s="174"/>
      <x:c r="H34" s="174"/>
      <x:c r="I34" s="174"/>
      <x:c r="J34" s="174"/>
      <x:c r="K34" s="174"/>
      <x:c r="L34" s="174"/>
      <x:c r="M34" s="136"/>
      <x:c r="N34" s="136"/>
      <x:c r="O34" s="136"/>
      <x:c r="P34" s="136"/>
      <x:c r="Q34" s="136"/>
      <x:c r="R34" s="136"/>
      <x:c r="S34" s="136"/>
      <x:c r="T34" s="136"/>
      <x:c r="U34" s="136"/>
      <x:c r="V34" s="136"/>
      <x:c r="W34" s="136"/>
      <x:c r="X34" s="136"/>
      <x:c r="Y34" s="136"/>
      <x:c r="Z34" s="136"/>
    </x:row>
    <x:row r="35" ht="24" customHeight="1">
      <x:c r="A35" s="136"/>
      <x:c r="B35" s="136"/>
      <x:c r="C35" s="174" t="str">
        <x:v>Economic readings distinguish mathematical roots from operating feasibility. Negative capex, excessive margin requirements and cash flow above NOPAT are not accepted as business explanations.</x:v>
      </x:c>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t="str">
        <x:v>Reverse DCF is a expectations diagnostic. It helps identify which growth, profitability, investment or discount assumptions deserve research; it does not establish that the market is wrong.</x:v>
      </x:c>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2:L34"/>
    <x:mergeCell ref="C35:L37"/>
    <x:mergeCell ref="C38:L40"/>
  </x:mergeCells>
  <x:pageMargins left="0.7" right="0.7" top="0.75" bottom="0.75" header="0.3" footer="0.3"/>
  <x:drawing xmlns:r="http://schemas.openxmlformats.org/officeDocument/2006/relationships" r:id="Rc0239326f3e8446d"/>
  <x:legacyDrawing xmlns:r="http://schemas.openxmlformats.org/officeDocument/2006/relationships" r:id="R25a3d6ca0b864d43"/>
</x:worksheet>
</file>

<file path=xl/worksheets/sheet14.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Growth</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x:c r="D11" s="136"/>
      <x:c r="E11" s="136"/>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Required revenue CAGR</x:v>
      </x:c>
      <x:c r="D12" s="139"/>
      <x:c r="E12" s="152" t="n">
        <x:f>IF(($E$20-$E$9)*($E$21-$E$9)&lt;=0,F81,"No bracket")</x:f>
        <x:v>0.29776359901443183</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Economically permitted?</x:v>
      </x:c>
      <x:c r="D14" s="136"/>
      <x:c r="E14" s="243" t="str">
        <x:f>IF(ISNUMBER(E12),IF(AND(E12&gt;=0,E12&lt;=0.35),"Inside analyst band","Outside analyst band"),"No solution")</x:f>
        <x:v>Inside analyst band</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9" t="str">
        <x:v>Lower solver bound</x:v>
      </x:c>
      <x:c r="D16" s="139"/>
      <x:c r="E16" s="189" t="n">
        <x:v>-0.15</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9" t="str">
        <x:v>Upper solver bound</x:v>
      </x:c>
      <x:c r="D17" s="139"/>
      <x:c r="E17" s="189" t="n">
        <x:v>0.75</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Final valuation residual</x:v>
      </x:c>
      <x:c r="D18" s="136"/>
      <x:c r="E18" s="191" t="n">
        <x:f>G81-E9</x:f>
        <x:v>-4.6566128730773926e-9</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Value at lower solver bound</x:v>
      </x:c>
      <x:c r="D20" s="136"/>
      <x:c r="E20" s="164" t="n">
        <x:f>(SUM((('Historical Inputs'!$N$9*(1+($E$16))^1)*(('Assumptions'!E37+(0))*(1-'Assumptions'!E42-(0))+'Assumptions'!E47-'Assumptions'!E52*(1)+'Assumptions'!E57-'Assumptions'!E62*(1)-'Assumptions'!E67-(0))+('Working Capital'!$E$6))*'DCF'!E12/(1+('DCF'!$E$6))^'DCF'!E13,(('Historical Inputs'!$N$9*(1+($E$16))^2)*(('Assumptions'!F37+(0))*(1-'Assumptions'!F42-(0))+'Assumptions'!F47-'Assumptions'!F52*(1)+'Assumptions'!F57-'Assumptions'!F62*(1)-'Assumptions'!F67-(0))+(('Historical Inputs'!$N$9*(1+($E$16))^1)*('Assumptions'!E67+(0))))*'DCF'!F12/(1+('DCF'!$E$6))^'DCF'!F13,(('Historical Inputs'!$N$9*(1+($E$16))^3)*(('Assumptions'!G37+(0))*(1-'Assumptions'!G42-(0))+'Assumptions'!G47-'Assumptions'!G52*(1)+'Assumptions'!G57-'Assumptions'!G62*(1)-'Assumptions'!G67-(0))+(('Historical Inputs'!$N$9*(1+($E$16))^2)*('Assumptions'!F67+(0))))*'DCF'!G12/(1+('DCF'!$E$6))^'DCF'!G13,(('Historical Inputs'!$N$9*(1+($E$16))^4)*(('Assumptions'!H37+(0))*(1-'Assumptions'!H42-(0))+'Assumptions'!H47-'Assumptions'!H52*(1)+'Assumptions'!H57-'Assumptions'!H62*(1)-'Assumptions'!H67-(0))+(('Historical Inputs'!$N$9*(1+($E$16))^3)*('Assumptions'!G67+(0))))*'DCF'!H12/(1+('DCF'!$E$6))^'DCF'!H13,(('Historical Inputs'!$N$9*(1+($E$16))^5)*(('Assumptions'!I37+(0))*(1-'Assumptions'!I42-(0))+'Assumptions'!I47-'Assumptions'!I52*(1)+'Assumptions'!I57-'Assumptions'!I62*(1)-'Assumptions'!I67-(0))+(('Historical Inputs'!$N$9*(1+($E$16))^4)*('Assumptions'!H67+(0))))*'DCF'!I12/(1+('DCF'!$E$6))^'DCF'!I13)+('Historical Inputs'!$N$9*(1+($E$16))^5)*(1+('DCF'!$E$7))*('Terminal Value'!$E$10+(0))*(1-'Assumptions'!$E$15-(0))*(1-('DCF'!$E$7)/('Terminal Value'!$E$12))/(('DCF'!$E$6)-('DCF'!$E$7))/(1+('DCF'!$E$6))^'DCF'!$E$19)</x:f>
        <x:v>553456.9925085518</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Value at upper solver bound</x:v>
      </x:c>
      <x:c r="D21" s="136"/>
      <x:c r="E21" s="164" t="n">
        <x:f>(SUM((('Historical Inputs'!$N$9*(1+($E$17))^1)*(('Assumptions'!E37+(0))*(1-'Assumptions'!E42-(0))+'Assumptions'!E47-'Assumptions'!E52*(1)+'Assumptions'!E57-'Assumptions'!E62*(1)-'Assumptions'!E67-(0))+('Working Capital'!$E$6))*'DCF'!E12/(1+('DCF'!$E$6))^'DCF'!E13,(('Historical Inputs'!$N$9*(1+($E$17))^2)*(('Assumptions'!F37+(0))*(1-'Assumptions'!F42-(0))+'Assumptions'!F47-'Assumptions'!F52*(1)+'Assumptions'!F57-'Assumptions'!F62*(1)-'Assumptions'!F67-(0))+(('Historical Inputs'!$N$9*(1+($E$17))^1)*('Assumptions'!E67+(0))))*'DCF'!F12/(1+('DCF'!$E$6))^'DCF'!F13,(('Historical Inputs'!$N$9*(1+($E$17))^3)*(('Assumptions'!G37+(0))*(1-'Assumptions'!G42-(0))+'Assumptions'!G47-'Assumptions'!G52*(1)+'Assumptions'!G57-'Assumptions'!G62*(1)-'Assumptions'!G67-(0))+(('Historical Inputs'!$N$9*(1+($E$17))^2)*('Assumptions'!F67+(0))))*'DCF'!G12/(1+('DCF'!$E$6))^'DCF'!G13,(('Historical Inputs'!$N$9*(1+($E$17))^4)*(('Assumptions'!H37+(0))*(1-'Assumptions'!H42-(0))+'Assumptions'!H47-'Assumptions'!H52*(1)+'Assumptions'!H57-'Assumptions'!H62*(1)-'Assumptions'!H67-(0))+(('Historical Inputs'!$N$9*(1+($E$17))^3)*('Assumptions'!G67+(0))))*'DCF'!H12/(1+('DCF'!$E$6))^'DCF'!H13,(('Historical Inputs'!$N$9*(1+($E$17))^5)*(('Assumptions'!I37+(0))*(1-'Assumptions'!I42-(0))+'Assumptions'!I47-'Assumptions'!I52*(1)+'Assumptions'!I57-'Assumptions'!I62*(1)-'Assumptions'!I67-(0))+(('Historical Inputs'!$N$9*(1+($E$17))^4)*('Assumptions'!H67+(0))))*'DCF'!I12/(1+('DCF'!$E$6))^'DCF'!I13)+('Historical Inputs'!$N$9*(1+($E$17))^5)*(1+('DCF'!$E$7))*('Terminal Value'!$E$10+(0))*(1-'Assumptions'!$E$15-(0))*(1-('DCF'!$E$7)/('Terminal Value'!$E$12))/(('DCF'!$E$6)-('DCF'!$E$7))/(1+('DCF'!$E$6))^'DCF'!$E$19)</x:f>
        <x:v>16612156.098572597</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67" t="str">
        <x:v>Selected case observations</x:v>
      </x:c>
      <x:c r="D23" s="170"/>
      <x:c r="E23" s="170"/>
      <x:c r="F23" s="170"/>
      <x:c r="G23" s="170"/>
      <x:c r="H23" s="170"/>
      <x:c r="I23" s="170"/>
      <x:c r="J23" s="170"/>
      <x:c r="K23" s="170"/>
      <x:c r="L23" s="173"/>
      <x:c r="M23" s="136"/>
      <x:c r="N23" s="136"/>
      <x:c r="O23" s="136"/>
      <x:c r="P23" s="136"/>
      <x:c r="Q23" s="136"/>
      <x:c r="R23" s="136"/>
      <x:c r="S23" s="136"/>
      <x:c r="T23" s="136"/>
      <x:c r="U23" s="136"/>
      <x:c r="V23" s="136"/>
      <x:c r="W23" s="136"/>
      <x:c r="X23" s="136"/>
      <x:c r="Y23" s="136"/>
      <x:c r="Z23" s="136"/>
    </x:row>
    <x:row r="24" ht="24" customHeight="1">
      <x:c r="A24" s="136"/>
      <x:c r="B24" s="136"/>
      <x:c r="C24" s="174" t="str">
        <x:f>IF(ISNUMBER(E12),"Required uniform revenue CAGR is "&amp;ROUND(E12*100,2)&amp;"%. ","No numeric root within solver bounds. ")&amp;"Revenue is reset to a uniform five-year CAGR from FY2026. This is a different path from the three segment growth schedules, even when final revenue matches. A 0% to 35% CAGR is the displayed analyst plausibility band, not a guaranteed business limit."</x:f>
        <x:v>Required uniform revenue CAGR is 29.78%. Revenue is reset to a uniform five-year CAGR from FY2026. This is a different path from the three segment growth schedules, even when final revenue matches. A 0% to 35% CAGR is the displayed analyst plausibility band, not a guaranteed business limit.</x:v>
      </x:c>
      <x:c r="D24" s="174"/>
      <x:c r="E24" s="174"/>
      <x:c r="F24" s="174"/>
      <x:c r="G24" s="174"/>
      <x:c r="H24" s="174"/>
      <x:c r="I24" s="174"/>
      <x:c r="J24" s="174"/>
      <x:c r="K24" s="174"/>
      <x:c r="L24" s="174"/>
      <x:c r="M24" s="136"/>
      <x:c r="N24" s="136"/>
      <x:c r="O24" s="136"/>
      <x:c r="P24" s="136"/>
      <x:c r="Q24" s="136"/>
      <x:c r="R24" s="136"/>
      <x:c r="S24" s="136"/>
      <x:c r="T24" s="136"/>
      <x:c r="U24" s="136"/>
      <x:c r="V24" s="136"/>
      <x:c r="W24" s="136"/>
      <x:c r="X24" s="136"/>
      <x:c r="Y24" s="136"/>
      <x:c r="Z24" s="136"/>
    </x:row>
    <x:row r="25" ht="24" customHeight="1">
      <x:c r="A25" s="136"/>
      <x:c r="B25" s="136"/>
      <x:c r="C25" s="174"/>
      <x:c r="D25" s="174"/>
      <x:c r="E25" s="174"/>
      <x:c r="F25" s="174"/>
      <x:c r="G25" s="174"/>
      <x:c r="H25" s="174"/>
      <x:c r="I25" s="174"/>
      <x:c r="J25" s="174"/>
      <x:c r="K25" s="174"/>
      <x:c r="L25" s="174"/>
      <x:c r="M25" s="136"/>
      <x:c r="N25" s="136"/>
      <x:c r="O25" s="136"/>
      <x:c r="P25" s="136"/>
      <x:c r="Q25" s="136"/>
      <x:c r="R25" s="136"/>
      <x:c r="S25" s="136"/>
      <x:c r="T25" s="136"/>
      <x:c r="U25" s="136"/>
      <x:c r="V25" s="136"/>
      <x:c r="W25" s="136"/>
      <x:c r="X25" s="136"/>
      <x:c r="Y25" s="136"/>
      <x:c r="Z25" s="136"/>
    </x:row>
    <x:row r="26" ht="24" customHeight="1">
      <x:c r="A26" s="136"/>
      <x:c r="B26" s="136"/>
      <x:c r="C26" s="174"/>
      <x:c r="D26" s="174"/>
      <x:c r="E26" s="174"/>
      <x:c r="F26" s="174"/>
      <x:c r="G26" s="174"/>
      <x:c r="H26" s="174"/>
      <x:c r="I26" s="174"/>
      <x:c r="J26" s="174"/>
      <x:c r="K26" s="174"/>
      <x:c r="L26" s="174"/>
      <x:c r="M26" s="136"/>
      <x:c r="N26" s="136"/>
      <x:c r="O26" s="136"/>
      <x:c r="P26" s="136"/>
      <x:c r="Q26" s="136"/>
      <x:c r="R26" s="136"/>
      <x:c r="S26" s="136"/>
      <x:c r="T26" s="136"/>
      <x:c r="U26" s="136"/>
      <x:c r="V26" s="136"/>
      <x:c r="W26" s="136"/>
      <x:c r="X26" s="136"/>
      <x:c r="Y26" s="136"/>
      <x:c r="Z26" s="136"/>
    </x:row>
    <x:row r="27" ht="24" customHeight="1">
      <x:c r="A27" s="136"/>
      <x:c r="B27" s="136"/>
      <x:c r="C27" s="174" t="str">
        <x:v>The selected fiscal operating margins, tax, D&amp;A, capital spending and NWC ratios stay fixed unless this sheet explicitly varies them. The stable ROIC and equity bridge stay fixed.</x:v>
      </x:c>
      <x:c r="D27" s="174"/>
      <x:c r="E27" s="174"/>
      <x:c r="F27" s="174"/>
      <x:c r="G27" s="174"/>
      <x:c r="H27" s="174"/>
      <x:c r="I27" s="174"/>
      <x:c r="J27" s="174"/>
      <x:c r="K27" s="174"/>
      <x:c r="L27" s="174"/>
      <x:c r="M27" s="136"/>
      <x:c r="N27" s="136"/>
      <x:c r="O27" s="136"/>
      <x:c r="P27" s="136"/>
      <x:c r="Q27" s="136"/>
      <x:c r="R27" s="136"/>
      <x:c r="S27" s="136"/>
      <x:c r="T27" s="136"/>
      <x:c r="U27" s="136"/>
      <x:c r="V27" s="136"/>
      <x:c r="W27" s="136"/>
      <x:c r="X27" s="136"/>
      <x:c r="Y27" s="136"/>
      <x:c r="Z27" s="136"/>
    </x:row>
    <x:row r="28" ht="24" customHeight="1">
      <x:c r="A28" s="136"/>
      <x:c r="B28" s="136"/>
      <x:c r="C28" s="174"/>
      <x:c r="D28" s="174"/>
      <x:c r="E28" s="174"/>
      <x:c r="F28" s="174"/>
      <x:c r="G28" s="174"/>
      <x:c r="H28" s="174"/>
      <x:c r="I28" s="174"/>
      <x:c r="J28" s="174"/>
      <x:c r="K28" s="174"/>
      <x:c r="L28" s="174"/>
      <x:c r="M28" s="136"/>
      <x:c r="N28" s="136"/>
      <x:c r="O28" s="136"/>
      <x:c r="P28" s="136"/>
      <x:c r="Q28" s="136"/>
      <x:c r="R28" s="136"/>
      <x:c r="S28" s="136"/>
      <x:c r="T28" s="136"/>
      <x:c r="U28" s="136"/>
      <x:c r="V28" s="136"/>
      <x:c r="W28" s="136"/>
      <x:c r="X28" s="136"/>
      <x:c r="Y28" s="136"/>
      <x:c r="Z28" s="136"/>
    </x:row>
    <x:row r="29" ht="24" customHeight="1">
      <x:c r="A29" s="136"/>
      <x:c r="B29" s="136"/>
      <x:c r="C29" s="174"/>
      <x:c r="D29" s="174"/>
      <x:c r="E29" s="174"/>
      <x:c r="F29" s="174"/>
      <x:c r="G29" s="174"/>
      <x:c r="H29" s="174"/>
      <x:c r="I29" s="174"/>
      <x:c r="J29" s="174"/>
      <x:c r="K29" s="174"/>
      <x:c r="L29" s="174"/>
      <x:c r="M29" s="136"/>
      <x:c r="N29" s="136"/>
      <x:c r="O29" s="136"/>
      <x:c r="P29" s="136"/>
      <x:c r="Q29" s="136"/>
      <x:c r="R29" s="136"/>
      <x:c r="S29" s="136"/>
      <x:c r="T29" s="136"/>
      <x:c r="U29" s="136"/>
      <x:c r="V29" s="136"/>
      <x:c r="W29" s="136"/>
      <x:c r="X29" s="136"/>
      <x:c r="Y29" s="136"/>
      <x:c r="Z29" s="136"/>
    </x:row>
    <x:row r="30" ht="24" customHeight="1">
      <x:c r="A30" s="136"/>
      <x:c r="B30" s="136"/>
      <x:c r="C30" s="174" t="str">
        <x:v>The solver table is formula driven and recalculates after case or input changes. Bracket validity is checked before reporting a root. Mathematical solutions outside operating bounds are identified explicitly.</x:v>
      </x:c>
      <x:c r="D30" s="174"/>
      <x:c r="E30" s="174"/>
      <x:c r="F30" s="174"/>
      <x:c r="G30" s="174"/>
      <x:c r="H30" s="174"/>
      <x:c r="I30" s="174"/>
      <x:c r="J30" s="174"/>
      <x:c r="K30" s="174"/>
      <x:c r="L30" s="174"/>
      <x:c r="M30" s="136"/>
      <x:c r="N30" s="136"/>
      <x:c r="O30" s="136"/>
      <x:c r="P30" s="136"/>
      <x:c r="Q30" s="136"/>
      <x:c r="R30" s="136"/>
      <x:c r="S30" s="136"/>
      <x:c r="T30" s="136"/>
      <x:c r="U30" s="136"/>
      <x:c r="V30" s="136"/>
      <x:c r="W30" s="136"/>
      <x:c r="X30" s="136"/>
      <x:c r="Y30" s="136"/>
      <x:c r="Z30" s="136"/>
    </x:row>
    <x:row r="31" ht="24" customHeight="1">
      <x:c r="A31" s="136"/>
      <x:c r="B31" s="136"/>
      <x:c r="C31" s="174"/>
      <x:c r="D31" s="174"/>
      <x:c r="E31" s="174"/>
      <x:c r="F31" s="174"/>
      <x:c r="G31" s="174"/>
      <x:c r="H31" s="174"/>
      <x:c r="I31" s="174"/>
      <x:c r="J31" s="174"/>
      <x:c r="K31" s="174"/>
      <x:c r="L31" s="174"/>
      <x:c r="M31" s="136"/>
      <x:c r="N31" s="136"/>
      <x:c r="O31" s="136"/>
      <x:c r="P31" s="136"/>
      <x:c r="Q31" s="136"/>
      <x:c r="R31" s="136"/>
      <x:c r="S31" s="136"/>
      <x:c r="T31" s="136"/>
      <x:c r="U31" s="136"/>
      <x:c r="V31" s="136"/>
      <x:c r="W31" s="136"/>
      <x:c r="X31" s="136"/>
      <x:c r="Y31" s="136"/>
      <x:c r="Z31" s="136"/>
    </x:row>
    <x:row r="32" ht="24" customHeight="1">
      <x:c r="A32" s="136"/>
      <x:c r="B32" s="136"/>
      <x:c r="C32" s="174"/>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56" t="str">
        <x:v>Step</x:v>
      </x:c>
      <x:c r="D33" s="158" t="str">
        <x:v>Lower bound</x:v>
      </x:c>
      <x:c r="E33" s="158" t="str">
        <x:v>Upper bound</x:v>
      </x:c>
      <x:c r="F33" s="158" t="str">
        <x:v>Midpoint</x:v>
      </x:c>
      <x:c r="G33" s="158" t="str">
        <x:v>Enterprise value</x:v>
      </x:c>
      <x:c r="H33" s="160" t="str">
        <x:v>Value residual</x:v>
      </x:c>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81" t="n">
        <x:v>1</x:v>
      </x:c>
      <x:c r="D34" s="162" t="n">
        <x:f>$E$16</x:f>
        <x:v>-0.15</x:v>
      </x:c>
      <x:c r="E34" s="162" t="n">
        <x:f>$E$17</x:f>
        <x:v>0.75</x:v>
      </x:c>
      <x:c r="F34" s="162" t="n">
        <x:f>(D34+E34)/2</x:f>
        <x:v>0.3</x:v>
      </x:c>
      <x:c r="G34" s="164" t="n">
        <x:f>(SUM((('Historical Inputs'!$N$9*(1+(F34))^1)*(('Assumptions'!E37+(0))*(1-'Assumptions'!E42-(0))+'Assumptions'!E47-'Assumptions'!E52*(1)+'Assumptions'!E57-'Assumptions'!E62*(1)-'Assumptions'!E67-(0))+('Working Capital'!$E$6))*'DCF'!E12/(1+('DCF'!$E$6))^'DCF'!E13,(('Historical Inputs'!$N$9*(1+(F34))^2)*(('Assumptions'!F37+(0))*(1-'Assumptions'!F42-(0))+'Assumptions'!F47-'Assumptions'!F52*(1)+'Assumptions'!F57-'Assumptions'!F62*(1)-'Assumptions'!F67-(0))+(('Historical Inputs'!$N$9*(1+(F34))^1)*('Assumptions'!E67+(0))))*'DCF'!F12/(1+('DCF'!$E$6))^'DCF'!F13,(('Historical Inputs'!$N$9*(1+(F34))^3)*(('Assumptions'!G37+(0))*(1-'Assumptions'!G42-(0))+'Assumptions'!G47-'Assumptions'!G52*(1)+'Assumptions'!G57-'Assumptions'!G62*(1)-'Assumptions'!G67-(0))+(('Historical Inputs'!$N$9*(1+(F34))^2)*('Assumptions'!F67+(0))))*'DCF'!G12/(1+('DCF'!$E$6))^'DCF'!G13,(('Historical Inputs'!$N$9*(1+(F34))^4)*(('Assumptions'!H37+(0))*(1-'Assumptions'!H42-(0))+'Assumptions'!H47-'Assumptions'!H52*(1)+'Assumptions'!H57-'Assumptions'!H62*(1)-'Assumptions'!H67-(0))+(('Historical Inputs'!$N$9*(1+(F34))^3)*('Assumptions'!G67+(0))))*'DCF'!H12/(1+('DCF'!$E$6))^'DCF'!H13,(('Historical Inputs'!$N$9*(1+(F34))^5)*(('Assumptions'!I37+(0))*(1-'Assumptions'!I42-(0))+'Assumptions'!I47-'Assumptions'!I52*(1)+'Assumptions'!I57-'Assumptions'!I62*(1)-'Assumptions'!I67-(0))+(('Historical Inputs'!$N$9*(1+(F34))^4)*('Assumptions'!H67+(0))))*'DCF'!I12/(1+('DCF'!$E$6))^'DCF'!I13)+('Historical Inputs'!$N$9*(1+(F34))^5)*(1+('DCF'!$E$7))*('Terminal Value'!$E$10+(0))*(1-'Assumptions'!$E$15-(0))*(1-('DCF'!$E$7)/('Terminal Value'!$E$12))/(('DCF'!$E$6)-('DCF'!$E$7))/(1+('DCF'!$E$6))^'DCF'!$E$19)</x:f>
        <x:v>3940414.145913863</x:v>
      </x:c>
      <x:c r="H34" s="164" t="n">
        <x:f>G34-$E$9</x:f>
        <x:v>32304.176862352993</x:v>
      </x:c>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81" t="n">
        <x:v>2</x:v>
      </x:c>
      <x:c r="D35" s="162" t="n">
        <x:f>IF(G34&lt;$E$9,F34,D34)</x:f>
        <x:v>-0.15</x:v>
      </x:c>
      <x:c r="E35" s="162" t="n">
        <x:f>IF(G34&lt;$E$9,E34,F34)</x:f>
        <x:v>0.3</x:v>
      </x:c>
      <x:c r="F35" s="162" t="n">
        <x:f>(D35+E35)/2</x:f>
        <x:v>0.075</x:v>
      </x:c>
      <x:c r="G35" s="164" t="n">
        <x:f>(SUM((('Historical Inputs'!$N$9*(1+(F35))^1)*(('Assumptions'!E37+(0))*(1-'Assumptions'!E42-(0))+'Assumptions'!E47-'Assumptions'!E52*(1)+'Assumptions'!E57-'Assumptions'!E62*(1)-'Assumptions'!E67-(0))+('Working Capital'!$E$6))*'DCF'!E12/(1+('DCF'!$E$6))^'DCF'!E13,(('Historical Inputs'!$N$9*(1+(F35))^2)*(('Assumptions'!F37+(0))*(1-'Assumptions'!F42-(0))+'Assumptions'!F47-'Assumptions'!F52*(1)+'Assumptions'!F57-'Assumptions'!F62*(1)-'Assumptions'!F67-(0))+(('Historical Inputs'!$N$9*(1+(F35))^1)*('Assumptions'!E67+(0))))*'DCF'!F12/(1+('DCF'!$E$6))^'DCF'!F13,(('Historical Inputs'!$N$9*(1+(F35))^3)*(('Assumptions'!G37+(0))*(1-'Assumptions'!G42-(0))+'Assumptions'!G47-'Assumptions'!G52*(1)+'Assumptions'!G57-'Assumptions'!G62*(1)-'Assumptions'!G67-(0))+(('Historical Inputs'!$N$9*(1+(F35))^2)*('Assumptions'!F67+(0))))*'DCF'!G12/(1+('DCF'!$E$6))^'DCF'!G13,(('Historical Inputs'!$N$9*(1+(F35))^4)*(('Assumptions'!H37+(0))*(1-'Assumptions'!H42-(0))+'Assumptions'!H47-'Assumptions'!H52*(1)+'Assumptions'!H57-'Assumptions'!H62*(1)-'Assumptions'!H67-(0))+(('Historical Inputs'!$N$9*(1+(F35))^3)*('Assumptions'!G67+(0))))*'DCF'!H12/(1+('DCF'!$E$6))^'DCF'!H13,(('Historical Inputs'!$N$9*(1+(F35))^5)*(('Assumptions'!I37+(0))*(1-'Assumptions'!I42-(0))+'Assumptions'!I47-'Assumptions'!I52*(1)+'Assumptions'!I57-'Assumptions'!I62*(1)-'Assumptions'!I67-(0))+(('Historical Inputs'!$N$9*(1+(F35))^4)*('Assumptions'!H67+(0))))*'DCF'!I12/(1+('DCF'!$E$6))^'DCF'!I13)+('Historical Inputs'!$N$9*(1+(F35))^5)*(1+('DCF'!$E$7))*('Terminal Value'!$E$10+(0))*(1-'Assumptions'!$E$15-(0))*(1-('DCF'!$E$7)/('Terminal Value'!$E$12))/(('DCF'!$E$6)-('DCF'!$E$7))/(1+('DCF'!$E$6))^'DCF'!$E$19)</x:f>
        <x:v>1605568.909276037</x:v>
      </x:c>
      <x:c r="H35" s="164" t="n">
        <x:f>G35-$E$9</x:f>
        <x:v>-2302541.059775473</x:v>
      </x:c>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81" t="n">
        <x:v>3</x:v>
      </x:c>
      <x:c r="D36" s="162" t="n">
        <x:f>IF(G35&lt;$E$9,F35,D35)</x:f>
        <x:v>0.075</x:v>
      </x:c>
      <x:c r="E36" s="162" t="n">
        <x:f>IF(G35&lt;$E$9,E35,F35)</x:f>
        <x:v>0.3</x:v>
      </x:c>
      <x:c r="F36" s="162" t="n">
        <x:f>(D36+E36)/2</x:f>
        <x:v>0.1875</x:v>
      </x:c>
      <x:c r="G36" s="164" t="n">
        <x:f>(SUM((('Historical Inputs'!$N$9*(1+(F36))^1)*(('Assumptions'!E37+(0))*(1-'Assumptions'!E42-(0))+'Assumptions'!E47-'Assumptions'!E52*(1)+'Assumptions'!E57-'Assumptions'!E62*(1)-'Assumptions'!E67-(0))+('Working Capital'!$E$6))*'DCF'!E12/(1+('DCF'!$E$6))^'DCF'!E13,(('Historical Inputs'!$N$9*(1+(F36))^2)*(('Assumptions'!F37+(0))*(1-'Assumptions'!F42-(0))+'Assumptions'!F47-'Assumptions'!F52*(1)+'Assumptions'!F57-'Assumptions'!F62*(1)-'Assumptions'!F67-(0))+(('Historical Inputs'!$N$9*(1+(F36))^1)*('Assumptions'!E67+(0))))*'DCF'!F12/(1+('DCF'!$E$6))^'DCF'!F13,(('Historical Inputs'!$N$9*(1+(F36))^3)*(('Assumptions'!G37+(0))*(1-'Assumptions'!G42-(0))+'Assumptions'!G47-'Assumptions'!G52*(1)+'Assumptions'!G57-'Assumptions'!G62*(1)-'Assumptions'!G67-(0))+(('Historical Inputs'!$N$9*(1+(F36))^2)*('Assumptions'!F67+(0))))*'DCF'!G12/(1+('DCF'!$E$6))^'DCF'!G13,(('Historical Inputs'!$N$9*(1+(F36))^4)*(('Assumptions'!H37+(0))*(1-'Assumptions'!H42-(0))+'Assumptions'!H47-'Assumptions'!H52*(1)+'Assumptions'!H57-'Assumptions'!H62*(1)-'Assumptions'!H67-(0))+(('Historical Inputs'!$N$9*(1+(F36))^3)*('Assumptions'!G67+(0))))*'DCF'!H12/(1+('DCF'!$E$6))^'DCF'!H13,(('Historical Inputs'!$N$9*(1+(F36))^5)*(('Assumptions'!I37+(0))*(1-'Assumptions'!I42-(0))+'Assumptions'!I47-'Assumptions'!I52*(1)+'Assumptions'!I57-'Assumptions'!I62*(1)-'Assumptions'!I67-(0))+(('Historical Inputs'!$N$9*(1+(F36))^4)*('Assumptions'!H67+(0))))*'DCF'!I12/(1+('DCF'!$E$6))^'DCF'!I13)+('Historical Inputs'!$N$9*(1+(F36))^5)*(1+('DCF'!$E$7))*('Terminal Value'!$E$10+(0))*(1-'Assumptions'!$E$15-(0))*(1-('DCF'!$E$7)/('Terminal Value'!$E$12))/(('DCF'!$E$6)-('DCF'!$E$7))/(1+('DCF'!$E$6))^'DCF'!$E$19)</x:f>
        <x:v>2561885.835164676</x:v>
      </x:c>
      <x:c r="H36" s="164" t="n">
        <x:f>G36-$E$9</x:f>
        <x:v>-1346224.1338868341</x:v>
      </x:c>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81" t="n">
        <x:v>4</x:v>
      </x:c>
      <x:c r="D37" s="162" t="n">
        <x:f>IF(G36&lt;$E$9,F36,D36)</x:f>
        <x:v>0.1875</x:v>
      </x:c>
      <x:c r="E37" s="162" t="n">
        <x:f>IF(G36&lt;$E$9,E36,F36)</x:f>
        <x:v>0.3</x:v>
      </x:c>
      <x:c r="F37" s="162" t="n">
        <x:f>(D37+E37)/2</x:f>
        <x:v>0.24375</x:v>
      </x:c>
      <x:c r="G37" s="164" t="n">
        <x:f>(SUM((('Historical Inputs'!$N$9*(1+(F37))^1)*(('Assumptions'!E37+(0))*(1-'Assumptions'!E42-(0))+'Assumptions'!E47-'Assumptions'!E52*(1)+'Assumptions'!E57-'Assumptions'!E62*(1)-'Assumptions'!E67-(0))+('Working Capital'!$E$6))*'DCF'!E12/(1+('DCF'!$E$6))^'DCF'!E13,(('Historical Inputs'!$N$9*(1+(F37))^2)*(('Assumptions'!F37+(0))*(1-'Assumptions'!F42-(0))+'Assumptions'!F47-'Assumptions'!F52*(1)+'Assumptions'!F57-'Assumptions'!F62*(1)-'Assumptions'!F67-(0))+(('Historical Inputs'!$N$9*(1+(F37))^1)*('Assumptions'!E67+(0))))*'DCF'!F12/(1+('DCF'!$E$6))^'DCF'!F13,(('Historical Inputs'!$N$9*(1+(F37))^3)*(('Assumptions'!G37+(0))*(1-'Assumptions'!G42-(0))+'Assumptions'!G47-'Assumptions'!G52*(1)+'Assumptions'!G57-'Assumptions'!G62*(1)-'Assumptions'!G67-(0))+(('Historical Inputs'!$N$9*(1+(F37))^2)*('Assumptions'!F67+(0))))*'DCF'!G12/(1+('DCF'!$E$6))^'DCF'!G13,(('Historical Inputs'!$N$9*(1+(F37))^4)*(('Assumptions'!H37+(0))*(1-'Assumptions'!H42-(0))+'Assumptions'!H47-'Assumptions'!H52*(1)+'Assumptions'!H57-'Assumptions'!H62*(1)-'Assumptions'!H67-(0))+(('Historical Inputs'!$N$9*(1+(F37))^3)*('Assumptions'!G67+(0))))*'DCF'!H12/(1+('DCF'!$E$6))^'DCF'!H13,(('Historical Inputs'!$N$9*(1+(F37))^5)*(('Assumptions'!I37+(0))*(1-'Assumptions'!I42-(0))+'Assumptions'!I47-'Assumptions'!I52*(1)+'Assumptions'!I57-'Assumptions'!I62*(1)-'Assumptions'!I67-(0))+(('Historical Inputs'!$N$9*(1+(F37))^4)*('Assumptions'!H67+(0))))*'DCF'!I12/(1+('DCF'!$E$6))^'DCF'!I13)+('Historical Inputs'!$N$9*(1+(F37))^5)*(1+('DCF'!$E$7))*('Terminal Value'!$E$10+(0))*(1-'Assumptions'!$E$15-(0))*(1-('DCF'!$E$7)/('Terminal Value'!$E$12))/(('DCF'!$E$6)-('DCF'!$E$7))/(1+('DCF'!$E$6))^'DCF'!$E$19)</x:f>
        <x:v>3190891.3726492412</x:v>
      </x:c>
      <x:c r="H37" s="164" t="n">
        <x:f>G37-$E$9</x:f>
        <x:v>-717218.5964022689</x:v>
      </x:c>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81" t="n">
        <x:v>5</x:v>
      </x:c>
      <x:c r="D38" s="162" t="n">
        <x:f>IF(G37&lt;$E$9,F37,D37)</x:f>
        <x:v>0.24375</x:v>
      </x:c>
      <x:c r="E38" s="162" t="n">
        <x:f>IF(G37&lt;$E$9,E37,F37)</x:f>
        <x:v>0.3</x:v>
      </x:c>
      <x:c r="F38" s="162" t="n">
        <x:f>(D38+E38)/2</x:f>
        <x:v>0.271875</x:v>
      </x:c>
      <x:c r="G38" s="164" t="n">
        <x:f>(SUM((('Historical Inputs'!$N$9*(1+(F38))^1)*(('Assumptions'!E37+(0))*(1-'Assumptions'!E42-(0))+'Assumptions'!E47-'Assumptions'!E52*(1)+'Assumptions'!E57-'Assumptions'!E62*(1)-'Assumptions'!E67-(0))+('Working Capital'!$E$6))*'DCF'!E12/(1+('DCF'!$E$6))^'DCF'!E13,(('Historical Inputs'!$N$9*(1+(F38))^2)*(('Assumptions'!F37+(0))*(1-'Assumptions'!F42-(0))+'Assumptions'!F47-'Assumptions'!F52*(1)+'Assumptions'!F57-'Assumptions'!F62*(1)-'Assumptions'!F67-(0))+(('Historical Inputs'!$N$9*(1+(F38))^1)*('Assumptions'!E67+(0))))*'DCF'!F12/(1+('DCF'!$E$6))^'DCF'!F13,(('Historical Inputs'!$N$9*(1+(F38))^3)*(('Assumptions'!G37+(0))*(1-'Assumptions'!G42-(0))+'Assumptions'!G47-'Assumptions'!G52*(1)+'Assumptions'!G57-'Assumptions'!G62*(1)-'Assumptions'!G67-(0))+(('Historical Inputs'!$N$9*(1+(F38))^2)*('Assumptions'!F67+(0))))*'DCF'!G12/(1+('DCF'!$E$6))^'DCF'!G13,(('Historical Inputs'!$N$9*(1+(F38))^4)*(('Assumptions'!H37+(0))*(1-'Assumptions'!H42-(0))+'Assumptions'!H47-'Assumptions'!H52*(1)+'Assumptions'!H57-'Assumptions'!H62*(1)-'Assumptions'!H67-(0))+(('Historical Inputs'!$N$9*(1+(F38))^3)*('Assumptions'!G67+(0))))*'DCF'!H12/(1+('DCF'!$E$6))^'DCF'!H13,(('Historical Inputs'!$N$9*(1+(F38))^5)*(('Assumptions'!I37+(0))*(1-'Assumptions'!I42-(0))+'Assumptions'!I47-'Assumptions'!I52*(1)+'Assumptions'!I57-'Assumptions'!I62*(1)-'Assumptions'!I67-(0))+(('Historical Inputs'!$N$9*(1+(F38))^4)*('Assumptions'!H67+(0))))*'DCF'!I12/(1+('DCF'!$E$6))^'DCF'!I13)+('Historical Inputs'!$N$9*(1+(F38))^5)*(1+('DCF'!$E$7))*('Terminal Value'!$E$10+(0))*(1-'Assumptions'!$E$15-(0))*(1-('DCF'!$E$7)/('Terminal Value'!$E$12))/(('DCF'!$E$6)-('DCF'!$E$7))/(1+('DCF'!$E$6))^'DCF'!$E$19)</x:f>
        <x:v>3549576.550266269</x:v>
      </x:c>
      <x:c r="H38" s="164" t="n">
        <x:f>G38-$E$9</x:f>
        <x:v>-358533.41878524097</x:v>
      </x:c>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81" t="n">
        <x:v>6</x:v>
      </x:c>
      <x:c r="D39" s="162" t="n">
        <x:f>IF(G38&lt;$E$9,F38,D38)</x:f>
        <x:v>0.271875</x:v>
      </x:c>
      <x:c r="E39" s="162" t="n">
        <x:f>IF(G38&lt;$E$9,E38,F38)</x:f>
        <x:v>0.3</x:v>
      </x:c>
      <x:c r="F39" s="162" t="n">
        <x:f>(D39+E39)/2</x:f>
        <x:v>0.28593749999999996</x:v>
      </x:c>
      <x:c r="G39" s="164" t="n">
        <x:f>(SUM((('Historical Inputs'!$N$9*(1+(F39))^1)*(('Assumptions'!E37+(0))*(1-'Assumptions'!E42-(0))+'Assumptions'!E47-'Assumptions'!E52*(1)+'Assumptions'!E57-'Assumptions'!E62*(1)-'Assumptions'!E67-(0))+('Working Capital'!$E$6))*'DCF'!E12/(1+('DCF'!$E$6))^'DCF'!E13,(('Historical Inputs'!$N$9*(1+(F39))^2)*(('Assumptions'!F37+(0))*(1-'Assumptions'!F42-(0))+'Assumptions'!F47-'Assumptions'!F52*(1)+'Assumptions'!F57-'Assumptions'!F62*(1)-'Assumptions'!F67-(0))+(('Historical Inputs'!$N$9*(1+(F39))^1)*('Assumptions'!E67+(0))))*'DCF'!F12/(1+('DCF'!$E$6))^'DCF'!F13,(('Historical Inputs'!$N$9*(1+(F39))^3)*(('Assumptions'!G37+(0))*(1-'Assumptions'!G42-(0))+'Assumptions'!G47-'Assumptions'!G52*(1)+'Assumptions'!G57-'Assumptions'!G62*(1)-'Assumptions'!G67-(0))+(('Historical Inputs'!$N$9*(1+(F39))^2)*('Assumptions'!F67+(0))))*'DCF'!G12/(1+('DCF'!$E$6))^'DCF'!G13,(('Historical Inputs'!$N$9*(1+(F39))^4)*(('Assumptions'!H37+(0))*(1-'Assumptions'!H42-(0))+'Assumptions'!H47-'Assumptions'!H52*(1)+'Assumptions'!H57-'Assumptions'!H62*(1)-'Assumptions'!H67-(0))+(('Historical Inputs'!$N$9*(1+(F39))^3)*('Assumptions'!G67+(0))))*'DCF'!H12/(1+('DCF'!$E$6))^'DCF'!H13,(('Historical Inputs'!$N$9*(1+(F39))^5)*(('Assumptions'!I37+(0))*(1-'Assumptions'!I42-(0))+'Assumptions'!I47-'Assumptions'!I52*(1)+'Assumptions'!I57-'Assumptions'!I62*(1)-'Assumptions'!I67-(0))+(('Historical Inputs'!$N$9*(1+(F39))^4)*('Assumptions'!H67+(0))))*'DCF'!I12/(1+('DCF'!$E$6))^'DCF'!I13)+('Historical Inputs'!$N$9*(1+(F39))^5)*(1+('DCF'!$E$7))*('Terminal Value'!$E$10+(0))*(1-'Assumptions'!$E$15-(0))*(1-('DCF'!$E$7)/('Terminal Value'!$E$12))/(('DCF'!$E$6)-('DCF'!$E$7))/(1+('DCF'!$E$6))^'DCF'!$E$19)</x:f>
        <x:v>3740844.920350413</x:v>
      </x:c>
      <x:c r="H39" s="164" t="n">
        <x:f>G39-$E$9</x:f>
        <x:v>-167265.04870109726</x:v>
      </x:c>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81" t="n">
        <x:v>7</x:v>
      </x:c>
      <x:c r="D40" s="162" t="n">
        <x:f>IF(G39&lt;$E$9,F39,D39)</x:f>
        <x:v>0.28593749999999996</x:v>
      </x:c>
      <x:c r="E40" s="162" t="n">
        <x:f>IF(G39&lt;$E$9,E39,F39)</x:f>
        <x:v>0.3</x:v>
      </x:c>
      <x:c r="F40" s="162" t="n">
        <x:f>(D40+E40)/2</x:f>
        <x:v>0.29296875</x:v>
      </x:c>
      <x:c r="G40" s="164" t="n">
        <x:f>(SUM((('Historical Inputs'!$N$9*(1+(F40))^1)*(('Assumptions'!E37+(0))*(1-'Assumptions'!E42-(0))+'Assumptions'!E47-'Assumptions'!E52*(1)+'Assumptions'!E57-'Assumptions'!E62*(1)-'Assumptions'!E67-(0))+('Working Capital'!$E$6))*'DCF'!E12/(1+('DCF'!$E$6))^'DCF'!E13,(('Historical Inputs'!$N$9*(1+(F40))^2)*(('Assumptions'!F37+(0))*(1-'Assumptions'!F42-(0))+'Assumptions'!F47-'Assumptions'!F52*(1)+'Assumptions'!F57-'Assumptions'!F62*(1)-'Assumptions'!F67-(0))+(('Historical Inputs'!$N$9*(1+(F40))^1)*('Assumptions'!E67+(0))))*'DCF'!F12/(1+('DCF'!$E$6))^'DCF'!F13,(('Historical Inputs'!$N$9*(1+(F40))^3)*(('Assumptions'!G37+(0))*(1-'Assumptions'!G42-(0))+'Assumptions'!G47-'Assumptions'!G52*(1)+'Assumptions'!G57-'Assumptions'!G62*(1)-'Assumptions'!G67-(0))+(('Historical Inputs'!$N$9*(1+(F40))^2)*('Assumptions'!F67+(0))))*'DCF'!G12/(1+('DCF'!$E$6))^'DCF'!G13,(('Historical Inputs'!$N$9*(1+(F40))^4)*(('Assumptions'!H37+(0))*(1-'Assumptions'!H42-(0))+'Assumptions'!H47-'Assumptions'!H52*(1)+'Assumptions'!H57-'Assumptions'!H62*(1)-'Assumptions'!H67-(0))+(('Historical Inputs'!$N$9*(1+(F40))^3)*('Assumptions'!G67+(0))))*'DCF'!H12/(1+('DCF'!$E$6))^'DCF'!H13,(('Historical Inputs'!$N$9*(1+(F40))^5)*(('Assumptions'!I37+(0))*(1-'Assumptions'!I42-(0))+'Assumptions'!I47-'Assumptions'!I52*(1)+'Assumptions'!I57-'Assumptions'!I62*(1)-'Assumptions'!I67-(0))+(('Historical Inputs'!$N$9*(1+(F40))^4)*('Assumptions'!H67+(0))))*'DCF'!I12/(1+('DCF'!$E$6))^'DCF'!I13)+('Historical Inputs'!$N$9*(1+(F40))^5)*(1+('DCF'!$E$7))*('Terminal Value'!$E$10+(0))*(1-'Assumptions'!$E$15-(0))*(1-('DCF'!$E$7)/('Terminal Value'!$E$12))/(('DCF'!$E$6)-('DCF'!$E$7))/(1+('DCF'!$E$6))^'DCF'!$E$19)</x:f>
        <x:v>3839575.190949254</x:v>
      </x:c>
      <x:c r="H40" s="164" t="n">
        <x:f>G40-$E$9</x:f>
        <x:v>-68534.77810225589</x:v>
      </x:c>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81" t="n">
        <x:v>8</x:v>
      </x:c>
      <x:c r="D41" s="162" t="n">
        <x:f>IF(G40&lt;$E$9,F40,D40)</x:f>
        <x:v>0.29296875</x:v>
      </x:c>
      <x:c r="E41" s="162" t="n">
        <x:f>IF(G40&lt;$E$9,E40,F40)</x:f>
        <x:v>0.3</x:v>
      </x:c>
      <x:c r="F41" s="162" t="n">
        <x:f>(D41+E41)/2</x:f>
        <x:v>0.296484375</x:v>
      </x:c>
      <x:c r="G41" s="164" t="n">
        <x:f>(SUM((('Historical Inputs'!$N$9*(1+(F41))^1)*(('Assumptions'!E37+(0))*(1-'Assumptions'!E42-(0))+'Assumptions'!E47-'Assumptions'!E52*(1)+'Assumptions'!E57-'Assumptions'!E62*(1)-'Assumptions'!E67-(0))+('Working Capital'!$E$6))*'DCF'!E12/(1+('DCF'!$E$6))^'DCF'!E13,(('Historical Inputs'!$N$9*(1+(F41))^2)*(('Assumptions'!F37+(0))*(1-'Assumptions'!F42-(0))+'Assumptions'!F47-'Assumptions'!F52*(1)+'Assumptions'!F57-'Assumptions'!F62*(1)-'Assumptions'!F67-(0))+(('Historical Inputs'!$N$9*(1+(F41))^1)*('Assumptions'!E67+(0))))*'DCF'!F12/(1+('DCF'!$E$6))^'DCF'!F13,(('Historical Inputs'!$N$9*(1+(F41))^3)*(('Assumptions'!G37+(0))*(1-'Assumptions'!G42-(0))+'Assumptions'!G47-'Assumptions'!G52*(1)+'Assumptions'!G57-'Assumptions'!G62*(1)-'Assumptions'!G67-(0))+(('Historical Inputs'!$N$9*(1+(F41))^2)*('Assumptions'!F67+(0))))*'DCF'!G12/(1+('DCF'!$E$6))^'DCF'!G13,(('Historical Inputs'!$N$9*(1+(F41))^4)*(('Assumptions'!H37+(0))*(1-'Assumptions'!H42-(0))+'Assumptions'!H47-'Assumptions'!H52*(1)+'Assumptions'!H57-'Assumptions'!H62*(1)-'Assumptions'!H67-(0))+(('Historical Inputs'!$N$9*(1+(F41))^3)*('Assumptions'!G67+(0))))*'DCF'!H12/(1+('DCF'!$E$6))^'DCF'!H13,(('Historical Inputs'!$N$9*(1+(F41))^5)*(('Assumptions'!I37+(0))*(1-'Assumptions'!I42-(0))+'Assumptions'!I47-'Assumptions'!I52*(1)+'Assumptions'!I57-'Assumptions'!I62*(1)-'Assumptions'!I67-(0))+(('Historical Inputs'!$N$9*(1+(F41))^4)*('Assumptions'!H67+(0))))*'DCF'!I12/(1+('DCF'!$E$6))^'DCF'!I13)+('Historical Inputs'!$N$9*(1+(F41))^5)*(1+('DCF'!$E$7))*('Terminal Value'!$E$10+(0))*(1-'Assumptions'!$E$15-(0))*(1-('DCF'!$E$7)/('Terminal Value'!$E$12))/(('DCF'!$E$6)-('DCF'!$E$7))/(1+('DCF'!$E$6))^'DCF'!$E$19)</x:f>
        <x:v>3889728.9712380036</x:v>
      </x:c>
      <x:c r="H41" s="164" t="n">
        <x:f>G41-$E$9</x:f>
        <x:v>-18380.997813506518</x:v>
      </x:c>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81" t="n">
        <x:v>9</x:v>
      </x:c>
      <x:c r="D42" s="162" t="n">
        <x:f>IF(G41&lt;$E$9,F41,D41)</x:f>
        <x:v>0.296484375</x:v>
      </x:c>
      <x:c r="E42" s="162" t="n">
        <x:f>IF(G41&lt;$E$9,E41,F41)</x:f>
        <x:v>0.3</x:v>
      </x:c>
      <x:c r="F42" s="162" t="n">
        <x:f>(D42+E42)/2</x:f>
        <x:v>0.2982421875</x:v>
      </x:c>
      <x:c r="G42" s="164" t="n">
        <x:f>(SUM((('Historical Inputs'!$N$9*(1+(F42))^1)*(('Assumptions'!E37+(0))*(1-'Assumptions'!E42-(0))+'Assumptions'!E47-'Assumptions'!E52*(1)+'Assumptions'!E57-'Assumptions'!E62*(1)-'Assumptions'!E67-(0))+('Working Capital'!$E$6))*'DCF'!E12/(1+('DCF'!$E$6))^'DCF'!E13,(('Historical Inputs'!$N$9*(1+(F42))^2)*(('Assumptions'!F37+(0))*(1-'Assumptions'!F42-(0))+'Assumptions'!F47-'Assumptions'!F52*(1)+'Assumptions'!F57-'Assumptions'!F62*(1)-'Assumptions'!F67-(0))+(('Historical Inputs'!$N$9*(1+(F42))^1)*('Assumptions'!E67+(0))))*'DCF'!F12/(1+('DCF'!$E$6))^'DCF'!F13,(('Historical Inputs'!$N$9*(1+(F42))^3)*(('Assumptions'!G37+(0))*(1-'Assumptions'!G42-(0))+'Assumptions'!G47-'Assumptions'!G52*(1)+'Assumptions'!G57-'Assumptions'!G62*(1)-'Assumptions'!G67-(0))+(('Historical Inputs'!$N$9*(1+(F42))^2)*('Assumptions'!F67+(0))))*'DCF'!G12/(1+('DCF'!$E$6))^'DCF'!G13,(('Historical Inputs'!$N$9*(1+(F42))^4)*(('Assumptions'!H37+(0))*(1-'Assumptions'!H42-(0))+'Assumptions'!H47-'Assumptions'!H52*(1)+'Assumptions'!H57-'Assumptions'!H62*(1)-'Assumptions'!H67-(0))+(('Historical Inputs'!$N$9*(1+(F42))^3)*('Assumptions'!G67+(0))))*'DCF'!H12/(1+('DCF'!$E$6))^'DCF'!H13,(('Historical Inputs'!$N$9*(1+(F42))^5)*(('Assumptions'!I37+(0))*(1-'Assumptions'!I42-(0))+'Assumptions'!I47-'Assumptions'!I52*(1)+'Assumptions'!I57-'Assumptions'!I62*(1)-'Assumptions'!I67-(0))+(('Historical Inputs'!$N$9*(1+(F42))^4)*('Assumptions'!H67+(0))))*'DCF'!I12/(1+('DCF'!$E$6))^'DCF'!I13)+('Historical Inputs'!$N$9*(1+(F42))^5)*(1+('DCF'!$E$7))*('Terminal Value'!$E$10+(0))*(1-'Assumptions'!$E$15-(0))*(1-('DCF'!$E$7)/('Terminal Value'!$E$12))/(('DCF'!$E$6)-('DCF'!$E$7))/(1+('DCF'!$E$6))^'DCF'!$E$19)</x:f>
        <x:v>3915004.869082709</x:v>
      </x:c>
      <x:c r="H42" s="164" t="n">
        <x:f>G42-$E$9</x:f>
        <x:v>6894.9000311987475</x:v>
      </x:c>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81" t="n">
        <x:v>10</x:v>
      </x:c>
      <x:c r="D43" s="162" t="n">
        <x:f>IF(G42&lt;$E$9,F42,D42)</x:f>
        <x:v>0.296484375</x:v>
      </x:c>
      <x:c r="E43" s="162" t="n">
        <x:f>IF(G42&lt;$E$9,E42,F42)</x:f>
        <x:v>0.2982421875</x:v>
      </x:c>
      <x:c r="F43" s="162" t="n">
        <x:f>(D43+E43)/2</x:f>
        <x:v>0.29736328125</x:v>
      </x:c>
      <x:c r="G43" s="164" t="n">
        <x:f>(SUM((('Historical Inputs'!$N$9*(1+(F43))^1)*(('Assumptions'!E37+(0))*(1-'Assumptions'!E42-(0))+'Assumptions'!E47-'Assumptions'!E52*(1)+'Assumptions'!E57-'Assumptions'!E62*(1)-'Assumptions'!E67-(0))+('Working Capital'!$E$6))*'DCF'!E12/(1+('DCF'!$E$6))^'DCF'!E13,(('Historical Inputs'!$N$9*(1+(F43))^2)*(('Assumptions'!F37+(0))*(1-'Assumptions'!F42-(0))+'Assumptions'!F47-'Assumptions'!F52*(1)+'Assumptions'!F57-'Assumptions'!F62*(1)-'Assumptions'!F67-(0))+(('Historical Inputs'!$N$9*(1+(F43))^1)*('Assumptions'!E67+(0))))*'DCF'!F12/(1+('DCF'!$E$6))^'DCF'!F13,(('Historical Inputs'!$N$9*(1+(F43))^3)*(('Assumptions'!G37+(0))*(1-'Assumptions'!G42-(0))+'Assumptions'!G47-'Assumptions'!G52*(1)+'Assumptions'!G57-'Assumptions'!G62*(1)-'Assumptions'!G67-(0))+(('Historical Inputs'!$N$9*(1+(F43))^2)*('Assumptions'!F67+(0))))*'DCF'!G12/(1+('DCF'!$E$6))^'DCF'!G13,(('Historical Inputs'!$N$9*(1+(F43))^4)*(('Assumptions'!H37+(0))*(1-'Assumptions'!H42-(0))+'Assumptions'!H47-'Assumptions'!H52*(1)+'Assumptions'!H57-'Assumptions'!H62*(1)-'Assumptions'!H67-(0))+(('Historical Inputs'!$N$9*(1+(F43))^3)*('Assumptions'!G67+(0))))*'DCF'!H12/(1+('DCF'!$E$6))^'DCF'!H13,(('Historical Inputs'!$N$9*(1+(F43))^5)*(('Assumptions'!I37+(0))*(1-'Assumptions'!I42-(0))+'Assumptions'!I47-'Assumptions'!I52*(1)+'Assumptions'!I57-'Assumptions'!I62*(1)-'Assumptions'!I67-(0))+(('Historical Inputs'!$N$9*(1+(F43))^4)*('Assumptions'!H67+(0))))*'DCF'!I12/(1+('DCF'!$E$6))^'DCF'!I13)+('Historical Inputs'!$N$9*(1+(F43))^5)*(1+('DCF'!$E$7))*('Terminal Value'!$E$10+(0))*(1-'Assumptions'!$E$15-(0))*(1-('DCF'!$E$7)/('Terminal Value'!$E$12))/(('DCF'!$E$6)-('DCF'!$E$7))/(1+('DCF'!$E$6))^'DCF'!$E$19)</x:f>
        <x:v>3902350.280991807</x:v>
      </x:c>
      <x:c r="H43" s="164" t="n">
        <x:f>G43-$E$9</x:f>
        <x:v>-5759.688059702981</x:v>
      </x:c>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81" t="n">
        <x:v>11</x:v>
      </x:c>
      <x:c r="D44" s="162" t="n">
        <x:f>IF(G43&lt;$E$9,F43,D43)</x:f>
        <x:v>0.29736328125</x:v>
      </x:c>
      <x:c r="E44" s="162" t="n">
        <x:f>IF(G43&lt;$E$9,E43,F43)</x:f>
        <x:v>0.2982421875</x:v>
      </x:c>
      <x:c r="F44" s="162" t="n">
        <x:f>(D44+E44)/2</x:f>
        <x:v>0.297802734375</x:v>
      </x:c>
      <x:c r="G44" s="164" t="n">
        <x:f>(SUM((('Historical Inputs'!$N$9*(1+(F44))^1)*(('Assumptions'!E37+(0))*(1-'Assumptions'!E42-(0))+'Assumptions'!E47-'Assumptions'!E52*(1)+'Assumptions'!E57-'Assumptions'!E62*(1)-'Assumptions'!E67-(0))+('Working Capital'!$E$6))*'DCF'!E12/(1+('DCF'!$E$6))^'DCF'!E13,(('Historical Inputs'!$N$9*(1+(F44))^2)*(('Assumptions'!F37+(0))*(1-'Assumptions'!F42-(0))+'Assumptions'!F47-'Assumptions'!F52*(1)+'Assumptions'!F57-'Assumptions'!F62*(1)-'Assumptions'!F67-(0))+(('Historical Inputs'!$N$9*(1+(F44))^1)*('Assumptions'!E67+(0))))*'DCF'!F12/(1+('DCF'!$E$6))^'DCF'!F13,(('Historical Inputs'!$N$9*(1+(F44))^3)*(('Assumptions'!G37+(0))*(1-'Assumptions'!G42-(0))+'Assumptions'!G47-'Assumptions'!G52*(1)+'Assumptions'!G57-'Assumptions'!G62*(1)-'Assumptions'!G67-(0))+(('Historical Inputs'!$N$9*(1+(F44))^2)*('Assumptions'!F67+(0))))*'DCF'!G12/(1+('DCF'!$E$6))^'DCF'!G13,(('Historical Inputs'!$N$9*(1+(F44))^4)*(('Assumptions'!H37+(0))*(1-'Assumptions'!H42-(0))+'Assumptions'!H47-'Assumptions'!H52*(1)+'Assumptions'!H57-'Assumptions'!H62*(1)-'Assumptions'!H67-(0))+(('Historical Inputs'!$N$9*(1+(F44))^3)*('Assumptions'!G67+(0))))*'DCF'!H12/(1+('DCF'!$E$6))^'DCF'!H13,(('Historical Inputs'!$N$9*(1+(F44))^5)*(('Assumptions'!I37+(0))*(1-'Assumptions'!I42-(0))+'Assumptions'!I47-'Assumptions'!I52*(1)+'Assumptions'!I57-'Assumptions'!I62*(1)-'Assumptions'!I67-(0))+(('Historical Inputs'!$N$9*(1+(F44))^4)*('Assumptions'!H67+(0))))*'DCF'!I12/(1+('DCF'!$E$6))^'DCF'!I13)+('Historical Inputs'!$N$9*(1+(F44))^5)*(1+('DCF'!$E$7))*('Terminal Value'!$E$10+(0))*(1-'Assumptions'!$E$15-(0))*(1-('DCF'!$E$7)/('Terminal Value'!$E$12))/(('DCF'!$E$6)-('DCF'!$E$7))/(1+('DCF'!$E$6))^'DCF'!$E$19)</x:f>
        <x:v>3908673.4110979913</x:v>
      </x:c>
      <x:c r="H44" s="164" t="n">
        <x:f>G44-$E$9</x:f>
        <x:v>563.4420464811847</x:v>
      </x:c>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81" t="n">
        <x:v>12</x:v>
      </x:c>
      <x:c r="D45" s="162" t="n">
        <x:f>IF(G44&lt;$E$9,F44,D44)</x:f>
        <x:v>0.29736328125</x:v>
      </x:c>
      <x:c r="E45" s="162" t="n">
        <x:f>IF(G44&lt;$E$9,E44,F44)</x:f>
        <x:v>0.297802734375</x:v>
      </x:c>
      <x:c r="F45" s="162" t="n">
        <x:f>(D45+E45)/2</x:f>
        <x:v>0.2975830078125</x:v>
      </x:c>
      <x:c r="G45" s="164" t="n">
        <x:f>(SUM((('Historical Inputs'!$N$9*(1+(F45))^1)*(('Assumptions'!E37+(0))*(1-'Assumptions'!E42-(0))+'Assumptions'!E47-'Assumptions'!E52*(1)+'Assumptions'!E57-'Assumptions'!E62*(1)-'Assumptions'!E67-(0))+('Working Capital'!$E$6))*'DCF'!E12/(1+('DCF'!$E$6))^'DCF'!E13,(('Historical Inputs'!$N$9*(1+(F45))^2)*(('Assumptions'!F37+(0))*(1-'Assumptions'!F42-(0))+'Assumptions'!F47-'Assumptions'!F52*(1)+'Assumptions'!F57-'Assumptions'!F62*(1)-'Assumptions'!F67-(0))+(('Historical Inputs'!$N$9*(1+(F45))^1)*('Assumptions'!E67+(0))))*'DCF'!F12/(1+('DCF'!$E$6))^'DCF'!F13,(('Historical Inputs'!$N$9*(1+(F45))^3)*(('Assumptions'!G37+(0))*(1-'Assumptions'!G42-(0))+'Assumptions'!G47-'Assumptions'!G52*(1)+'Assumptions'!G57-'Assumptions'!G62*(1)-'Assumptions'!G67-(0))+(('Historical Inputs'!$N$9*(1+(F45))^2)*('Assumptions'!F67+(0))))*'DCF'!G12/(1+('DCF'!$E$6))^'DCF'!G13,(('Historical Inputs'!$N$9*(1+(F45))^4)*(('Assumptions'!H37+(0))*(1-'Assumptions'!H42-(0))+'Assumptions'!H47-'Assumptions'!H52*(1)+'Assumptions'!H57-'Assumptions'!H62*(1)-'Assumptions'!H67-(0))+(('Historical Inputs'!$N$9*(1+(F45))^3)*('Assumptions'!G67+(0))))*'DCF'!H12/(1+('DCF'!$E$6))^'DCF'!H13,(('Historical Inputs'!$N$9*(1+(F45))^5)*(('Assumptions'!I37+(0))*(1-'Assumptions'!I42-(0))+'Assumptions'!I47-'Assumptions'!I52*(1)+'Assumptions'!I57-'Assumptions'!I62*(1)-'Assumptions'!I67-(0))+(('Historical Inputs'!$N$9*(1+(F45))^4)*('Assumptions'!H67+(0))))*'DCF'!I12/(1+('DCF'!$E$6))^'DCF'!I13)+('Historical Inputs'!$N$9*(1+(F45))^5)*(1+('DCF'!$E$7))*('Terminal Value'!$E$10+(0))*(1-'Assumptions'!$E$15-(0))*(1-('DCF'!$E$7)/('Terminal Value'!$E$12))/(('DCF'!$E$6)-('DCF'!$E$7))/(1+('DCF'!$E$6))^'DCF'!$E$19)</x:f>
        <x:v>3905510.8055786896</x:v>
      </x:c>
      <x:c r="H45" s="164" t="n">
        <x:f>G45-$E$9</x:f>
        <x:v>-2599.163472820539</x:v>
      </x:c>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81" t="n">
        <x:v>13</x:v>
      </x:c>
      <x:c r="D46" s="162" t="n">
        <x:f>IF(G45&lt;$E$9,F45,D45)</x:f>
        <x:v>0.2975830078125</x:v>
      </x:c>
      <x:c r="E46" s="162" t="n">
        <x:f>IF(G45&lt;$E$9,E45,F45)</x:f>
        <x:v>0.297802734375</x:v>
      </x:c>
      <x:c r="F46" s="162" t="n">
        <x:f>(D46+E46)/2</x:f>
        <x:v>0.29769287109375</x:v>
      </x:c>
      <x:c r="G46" s="164" t="n">
        <x:f>(SUM((('Historical Inputs'!$N$9*(1+(F46))^1)*(('Assumptions'!E37+(0))*(1-'Assumptions'!E42-(0))+'Assumptions'!E47-'Assumptions'!E52*(1)+'Assumptions'!E57-'Assumptions'!E62*(1)-'Assumptions'!E67-(0))+('Working Capital'!$E$6))*'DCF'!E12/(1+('DCF'!$E$6))^'DCF'!E13,(('Historical Inputs'!$N$9*(1+(F46))^2)*(('Assumptions'!F37+(0))*(1-'Assumptions'!F42-(0))+'Assumptions'!F47-'Assumptions'!F52*(1)+'Assumptions'!F57-'Assumptions'!F62*(1)-'Assumptions'!F67-(0))+(('Historical Inputs'!$N$9*(1+(F46))^1)*('Assumptions'!E67+(0))))*'DCF'!F12/(1+('DCF'!$E$6))^'DCF'!F13,(('Historical Inputs'!$N$9*(1+(F46))^3)*(('Assumptions'!G37+(0))*(1-'Assumptions'!G42-(0))+'Assumptions'!G47-'Assumptions'!G52*(1)+'Assumptions'!G57-'Assumptions'!G62*(1)-'Assumptions'!G67-(0))+(('Historical Inputs'!$N$9*(1+(F46))^2)*('Assumptions'!F67+(0))))*'DCF'!G12/(1+('DCF'!$E$6))^'DCF'!G13,(('Historical Inputs'!$N$9*(1+(F46))^4)*(('Assumptions'!H37+(0))*(1-'Assumptions'!H42-(0))+'Assumptions'!H47-'Assumptions'!H52*(1)+'Assumptions'!H57-'Assumptions'!H62*(1)-'Assumptions'!H67-(0))+(('Historical Inputs'!$N$9*(1+(F46))^3)*('Assumptions'!G67+(0))))*'DCF'!H12/(1+('DCF'!$E$6))^'DCF'!H13,(('Historical Inputs'!$N$9*(1+(F46))^5)*(('Assumptions'!I37+(0))*(1-'Assumptions'!I42-(0))+'Assumptions'!I47-'Assumptions'!I52*(1)+'Assumptions'!I57-'Assumptions'!I62*(1)-'Assumptions'!I67-(0))+(('Historical Inputs'!$N$9*(1+(F46))^4)*('Assumptions'!H67+(0))))*'DCF'!I12/(1+('DCF'!$E$6))^'DCF'!I13)+('Historical Inputs'!$N$9*(1+(F46))^5)*(1+('DCF'!$E$7))*('Terminal Value'!$E$10+(0))*(1-'Assumptions'!$E$15-(0))*(1-('DCF'!$E$7)/('Terminal Value'!$E$12))/(('DCF'!$E$6)-('DCF'!$E$7))/(1+('DCF'!$E$6))^'DCF'!$E$19)</x:f>
        <x:v>3907091.848156976</x:v>
      </x:c>
      <x:c r="H46" s="164" t="n">
        <x:f>G46-$E$9</x:f>
        <x:v>-1018.1208945340477</x:v>
      </x:c>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81" t="n">
        <x:v>14</x:v>
      </x:c>
      <x:c r="D47" s="162" t="n">
        <x:f>IF(G46&lt;$E$9,F46,D46)</x:f>
        <x:v>0.29769287109375</x:v>
      </x:c>
      <x:c r="E47" s="162" t="n">
        <x:f>IF(G46&lt;$E$9,E46,F46)</x:f>
        <x:v>0.297802734375</x:v>
      </x:c>
      <x:c r="F47" s="162" t="n">
        <x:f>(D47+E47)/2</x:f>
        <x:v>0.29774780273437496</x:v>
      </x:c>
      <x:c r="G47" s="164" t="n">
        <x:f>(SUM((('Historical Inputs'!$N$9*(1+(F47))^1)*(('Assumptions'!E37+(0))*(1-'Assumptions'!E42-(0))+'Assumptions'!E47-'Assumptions'!E52*(1)+'Assumptions'!E57-'Assumptions'!E62*(1)-'Assumptions'!E67-(0))+('Working Capital'!$E$6))*'DCF'!E12/(1+('DCF'!$E$6))^'DCF'!E13,(('Historical Inputs'!$N$9*(1+(F47))^2)*(('Assumptions'!F37+(0))*(1-'Assumptions'!F42-(0))+'Assumptions'!F47-'Assumptions'!F52*(1)+'Assumptions'!F57-'Assumptions'!F62*(1)-'Assumptions'!F67-(0))+(('Historical Inputs'!$N$9*(1+(F47))^1)*('Assumptions'!E67+(0))))*'DCF'!F12/(1+('DCF'!$E$6))^'DCF'!F13,(('Historical Inputs'!$N$9*(1+(F47))^3)*(('Assumptions'!G37+(0))*(1-'Assumptions'!G42-(0))+'Assumptions'!G47-'Assumptions'!G52*(1)+'Assumptions'!G57-'Assumptions'!G62*(1)-'Assumptions'!G67-(0))+(('Historical Inputs'!$N$9*(1+(F47))^2)*('Assumptions'!F67+(0))))*'DCF'!G12/(1+('DCF'!$E$6))^'DCF'!G13,(('Historical Inputs'!$N$9*(1+(F47))^4)*(('Assumptions'!H37+(0))*(1-'Assumptions'!H42-(0))+'Assumptions'!H47-'Assumptions'!H52*(1)+'Assumptions'!H57-'Assumptions'!H62*(1)-'Assumptions'!H67-(0))+(('Historical Inputs'!$N$9*(1+(F47))^3)*('Assumptions'!G67+(0))))*'DCF'!H12/(1+('DCF'!$E$6))^'DCF'!H13,(('Historical Inputs'!$N$9*(1+(F47))^5)*(('Assumptions'!I37+(0))*(1-'Assumptions'!I42-(0))+'Assumptions'!I47-'Assumptions'!I52*(1)+'Assumptions'!I57-'Assumptions'!I62*(1)-'Assumptions'!I67-(0))+(('Historical Inputs'!$N$9*(1+(F47))^4)*('Assumptions'!H67+(0))))*'DCF'!I12/(1+('DCF'!$E$6))^'DCF'!I13)+('Historical Inputs'!$N$9*(1+(F47))^5)*(1+('DCF'!$E$7))*('Terminal Value'!$E$10+(0))*(1-'Assumptions'!$E$15-(0))*(1-('DCF'!$E$7)/('Terminal Value'!$E$12))/(('DCF'!$E$6)-('DCF'!$E$7))/(1+('DCF'!$E$6))^'DCF'!$E$19)</x:f>
        <x:v>3907882.5645740395</x:v>
      </x:c>
      <x:c r="H47" s="164" t="n">
        <x:f>G47-$E$9</x:f>
        <x:v>-227.4044774705544</x:v>
      </x:c>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81" t="n">
        <x:v>15</x:v>
      </x:c>
      <x:c r="D48" s="162" t="n">
        <x:f>IF(G47&lt;$E$9,F47,D47)</x:f>
        <x:v>0.29774780273437496</x:v>
      </x:c>
      <x:c r="E48" s="162" t="n">
        <x:f>IF(G47&lt;$E$9,E47,F47)</x:f>
        <x:v>0.297802734375</x:v>
      </x:c>
      <x:c r="F48" s="162" t="n">
        <x:f>(D48+E48)/2</x:f>
        <x:v>0.2977752685546875</x:v>
      </x:c>
      <x:c r="G48" s="164" t="n">
        <x:f>(SUM((('Historical Inputs'!$N$9*(1+(F48))^1)*(('Assumptions'!E37+(0))*(1-'Assumptions'!E42-(0))+'Assumptions'!E47-'Assumptions'!E52*(1)+'Assumptions'!E57-'Assumptions'!E62*(1)-'Assumptions'!E67-(0))+('Working Capital'!$E$6))*'DCF'!E12/(1+('DCF'!$E$6))^'DCF'!E13,(('Historical Inputs'!$N$9*(1+(F48))^2)*(('Assumptions'!F37+(0))*(1-'Assumptions'!F42-(0))+'Assumptions'!F47-'Assumptions'!F52*(1)+'Assumptions'!F57-'Assumptions'!F62*(1)-'Assumptions'!F67-(0))+(('Historical Inputs'!$N$9*(1+(F48))^1)*('Assumptions'!E67+(0))))*'DCF'!F12/(1+('DCF'!$E$6))^'DCF'!F13,(('Historical Inputs'!$N$9*(1+(F48))^3)*(('Assumptions'!G37+(0))*(1-'Assumptions'!G42-(0))+'Assumptions'!G47-'Assumptions'!G52*(1)+'Assumptions'!G57-'Assumptions'!G62*(1)-'Assumptions'!G67-(0))+(('Historical Inputs'!$N$9*(1+(F48))^2)*('Assumptions'!F67+(0))))*'DCF'!G12/(1+('DCF'!$E$6))^'DCF'!G13,(('Historical Inputs'!$N$9*(1+(F48))^4)*(('Assumptions'!H37+(0))*(1-'Assumptions'!H42-(0))+'Assumptions'!H47-'Assumptions'!H52*(1)+'Assumptions'!H57-'Assumptions'!H62*(1)-'Assumptions'!H67-(0))+(('Historical Inputs'!$N$9*(1+(F48))^3)*('Assumptions'!G67+(0))))*'DCF'!H12/(1+('DCF'!$E$6))^'DCF'!H13,(('Historical Inputs'!$N$9*(1+(F48))^5)*(('Assumptions'!I37+(0))*(1-'Assumptions'!I42-(0))+'Assumptions'!I47-'Assumptions'!I52*(1)+'Assumptions'!I57-'Assumptions'!I62*(1)-'Assumptions'!I67-(0))+(('Historical Inputs'!$N$9*(1+(F48))^4)*('Assumptions'!H67+(0))))*'DCF'!I12/(1+('DCF'!$E$6))^'DCF'!I13)+('Historical Inputs'!$N$9*(1+(F48))^5)*(1+('DCF'!$E$7))*('Terminal Value'!$E$10+(0))*(1-'Assumptions'!$E$15-(0))*(1-('DCF'!$E$7)/('Terminal Value'!$E$12))/(('DCF'!$E$6)-('DCF'!$E$7))/(1+('DCF'!$E$6))^'DCF'!$E$19)</x:f>
        <x:v>3908277.971571641</x:v>
      </x:c>
      <x:c r="H48" s="164" t="n">
        <x:f>G48-$E$9</x:f>
        <x:v>168.00252013094723</x:v>
      </x:c>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81" t="n">
        <x:v>16</x:v>
      </x:c>
      <x:c r="D49" s="162" t="n">
        <x:f>IF(G48&lt;$E$9,F48,D48)</x:f>
        <x:v>0.29774780273437496</x:v>
      </x:c>
      <x:c r="E49" s="162" t="n">
        <x:f>IF(G48&lt;$E$9,E48,F48)</x:f>
        <x:v>0.2977752685546875</x:v>
      </x:c>
      <x:c r="F49" s="162" t="n">
        <x:f>(D49+E49)/2</x:f>
        <x:v>0.29776153564453123</x:v>
      </x:c>
      <x:c r="G49" s="164" t="n">
        <x:f>(SUM((('Historical Inputs'!$N$9*(1+(F49))^1)*(('Assumptions'!E37+(0))*(1-'Assumptions'!E42-(0))+'Assumptions'!E47-'Assumptions'!E52*(1)+'Assumptions'!E57-'Assumptions'!E62*(1)-'Assumptions'!E67-(0))+('Working Capital'!$E$6))*'DCF'!E12/(1+('DCF'!$E$6))^'DCF'!E13,(('Historical Inputs'!$N$9*(1+(F49))^2)*(('Assumptions'!F37+(0))*(1-'Assumptions'!F42-(0))+'Assumptions'!F47-'Assumptions'!F52*(1)+'Assumptions'!F57-'Assumptions'!F62*(1)-'Assumptions'!F67-(0))+(('Historical Inputs'!$N$9*(1+(F49))^1)*('Assumptions'!E67+(0))))*'DCF'!F12/(1+('DCF'!$E$6))^'DCF'!F13,(('Historical Inputs'!$N$9*(1+(F49))^3)*(('Assumptions'!G37+(0))*(1-'Assumptions'!G42-(0))+'Assumptions'!G47-'Assumptions'!G52*(1)+'Assumptions'!G57-'Assumptions'!G62*(1)-'Assumptions'!G67-(0))+(('Historical Inputs'!$N$9*(1+(F49))^2)*('Assumptions'!F67+(0))))*'DCF'!G12/(1+('DCF'!$E$6))^'DCF'!G13,(('Historical Inputs'!$N$9*(1+(F49))^4)*(('Assumptions'!H37+(0))*(1-'Assumptions'!H42-(0))+'Assumptions'!H47-'Assumptions'!H52*(1)+'Assumptions'!H57-'Assumptions'!H62*(1)-'Assumptions'!H67-(0))+(('Historical Inputs'!$N$9*(1+(F49))^3)*('Assumptions'!G67+(0))))*'DCF'!H12/(1+('DCF'!$E$6))^'DCF'!H13,(('Historical Inputs'!$N$9*(1+(F49))^5)*(('Assumptions'!I37+(0))*(1-'Assumptions'!I42-(0))+'Assumptions'!I47-'Assumptions'!I52*(1)+'Assumptions'!I57-'Assumptions'!I62*(1)-'Assumptions'!I67-(0))+(('Historical Inputs'!$N$9*(1+(F49))^4)*('Assumptions'!H67+(0))))*'DCF'!I12/(1+('DCF'!$E$6))^'DCF'!I13)+('Historical Inputs'!$N$9*(1+(F49))^5)*(1+('DCF'!$E$7))*('Terminal Value'!$E$10+(0))*(1-'Assumptions'!$E$15-(0))*(1-('DCF'!$E$7)/('Terminal Value'!$E$12))/(('DCF'!$E$6)-('DCF'!$E$7))/(1+('DCF'!$E$6))^'DCF'!$E$19)</x:f>
        <x:v>3908080.2640068745</x:v>
      </x:c>
      <x:c r="H49" s="164" t="n">
        <x:f>G49-$E$9</x:f>
        <x:v>-29.70504463557154</x:v>
      </x:c>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81" t="n">
        <x:v>17</x:v>
      </x:c>
      <x:c r="D50" s="162" t="n">
        <x:f>IF(G49&lt;$E$9,F49,D49)</x:f>
        <x:v>0.29776153564453123</x:v>
      </x:c>
      <x:c r="E50" s="162" t="n">
        <x:f>IF(G49&lt;$E$9,E49,F49)</x:f>
        <x:v>0.2977752685546875</x:v>
      </x:c>
      <x:c r="F50" s="162" t="n">
        <x:f>(D50+E50)/2</x:f>
        <x:v>0.29776840209960936</x:v>
      </x:c>
      <x:c r="G50" s="164" t="n">
        <x:f>(SUM((('Historical Inputs'!$N$9*(1+(F50))^1)*(('Assumptions'!E37+(0))*(1-'Assumptions'!E42-(0))+'Assumptions'!E47-'Assumptions'!E52*(1)+'Assumptions'!E57-'Assumptions'!E62*(1)-'Assumptions'!E67-(0))+('Working Capital'!$E$6))*'DCF'!E12/(1+('DCF'!$E$6))^'DCF'!E13,(('Historical Inputs'!$N$9*(1+(F50))^2)*(('Assumptions'!F37+(0))*(1-'Assumptions'!F42-(0))+'Assumptions'!F47-'Assumptions'!F52*(1)+'Assumptions'!F57-'Assumptions'!F62*(1)-'Assumptions'!F67-(0))+(('Historical Inputs'!$N$9*(1+(F50))^1)*('Assumptions'!E67+(0))))*'DCF'!F12/(1+('DCF'!$E$6))^'DCF'!F13,(('Historical Inputs'!$N$9*(1+(F50))^3)*(('Assumptions'!G37+(0))*(1-'Assumptions'!G42-(0))+'Assumptions'!G47-'Assumptions'!G52*(1)+'Assumptions'!G57-'Assumptions'!G62*(1)-'Assumptions'!G67-(0))+(('Historical Inputs'!$N$9*(1+(F50))^2)*('Assumptions'!F67+(0))))*'DCF'!G12/(1+('DCF'!$E$6))^'DCF'!G13,(('Historical Inputs'!$N$9*(1+(F50))^4)*(('Assumptions'!H37+(0))*(1-'Assumptions'!H42-(0))+'Assumptions'!H47-'Assumptions'!H52*(1)+'Assumptions'!H57-'Assumptions'!H62*(1)-'Assumptions'!H67-(0))+(('Historical Inputs'!$N$9*(1+(F50))^3)*('Assumptions'!G67+(0))))*'DCF'!H12/(1+('DCF'!$E$6))^'DCF'!H13,(('Historical Inputs'!$N$9*(1+(F50))^5)*(('Assumptions'!I37+(0))*(1-'Assumptions'!I42-(0))+'Assumptions'!I47-'Assumptions'!I52*(1)+'Assumptions'!I57-'Assumptions'!I62*(1)-'Assumptions'!I67-(0))+(('Historical Inputs'!$N$9*(1+(F50))^4)*('Assumptions'!H67+(0))))*'DCF'!I12/(1+('DCF'!$E$6))^'DCF'!I13)+('Historical Inputs'!$N$9*(1+(F50))^5)*(1+('DCF'!$E$7))*('Terminal Value'!$E$10+(0))*(1-'Assumptions'!$E$15-(0))*(1-('DCF'!$E$7)/('Terminal Value'!$E$12))/(('DCF'!$E$6)-('DCF'!$E$7))/(1+('DCF'!$E$6))^'DCF'!$E$19)</x:f>
        <x:v>3908179.1167727495</x:v>
      </x:c>
      <x:c r="H50" s="164" t="n">
        <x:f>G50-$E$9</x:f>
        <x:v>69.14772123936564</x:v>
      </x:c>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81" t="n">
        <x:v>18</x:v>
      </x:c>
      <x:c r="D51" s="162" t="n">
        <x:f>IF(G50&lt;$E$9,F50,D50)</x:f>
        <x:v>0.29776153564453123</x:v>
      </x:c>
      <x:c r="E51" s="162" t="n">
        <x:f>IF(G50&lt;$E$9,E50,F50)</x:f>
        <x:v>0.29776840209960936</x:v>
      </x:c>
      <x:c r="F51" s="162" t="n">
        <x:f>(D51+E51)/2</x:f>
        <x:v>0.29776496887207027</x:v>
      </x:c>
      <x:c r="G51" s="164" t="n">
        <x:f>(SUM((('Historical Inputs'!$N$9*(1+(F51))^1)*(('Assumptions'!E37+(0))*(1-'Assumptions'!E42-(0))+'Assumptions'!E47-'Assumptions'!E52*(1)+'Assumptions'!E57-'Assumptions'!E62*(1)-'Assumptions'!E67-(0))+('Working Capital'!$E$6))*'DCF'!E12/(1+('DCF'!$E$6))^'DCF'!E13,(('Historical Inputs'!$N$9*(1+(F51))^2)*(('Assumptions'!F37+(0))*(1-'Assumptions'!F42-(0))+'Assumptions'!F47-'Assumptions'!F52*(1)+'Assumptions'!F57-'Assumptions'!F62*(1)-'Assumptions'!F67-(0))+(('Historical Inputs'!$N$9*(1+(F51))^1)*('Assumptions'!E67+(0))))*'DCF'!F12/(1+('DCF'!$E$6))^'DCF'!F13,(('Historical Inputs'!$N$9*(1+(F51))^3)*(('Assumptions'!G37+(0))*(1-'Assumptions'!G42-(0))+'Assumptions'!G47-'Assumptions'!G52*(1)+'Assumptions'!G57-'Assumptions'!G62*(1)-'Assumptions'!G67-(0))+(('Historical Inputs'!$N$9*(1+(F51))^2)*('Assumptions'!F67+(0))))*'DCF'!G12/(1+('DCF'!$E$6))^'DCF'!G13,(('Historical Inputs'!$N$9*(1+(F51))^4)*(('Assumptions'!H37+(0))*(1-'Assumptions'!H42-(0))+'Assumptions'!H47-'Assumptions'!H52*(1)+'Assumptions'!H57-'Assumptions'!H62*(1)-'Assumptions'!H67-(0))+(('Historical Inputs'!$N$9*(1+(F51))^3)*('Assumptions'!G67+(0))))*'DCF'!H12/(1+('DCF'!$E$6))^'DCF'!H13,(('Historical Inputs'!$N$9*(1+(F51))^5)*(('Assumptions'!I37+(0))*(1-'Assumptions'!I42-(0))+'Assumptions'!I47-'Assumptions'!I52*(1)+'Assumptions'!I57-'Assumptions'!I62*(1)-'Assumptions'!I67-(0))+(('Historical Inputs'!$N$9*(1+(F51))^4)*('Assumptions'!H67+(0))))*'DCF'!I12/(1+('DCF'!$E$6))^'DCF'!I13)+('Historical Inputs'!$N$9*(1+(F51))^5)*(1+('DCF'!$E$7))*('Terminal Value'!$E$10+(0))*(1-'Assumptions'!$E$15-(0))*(1-('DCF'!$E$7)/('Terminal Value'!$E$12))/(('DCF'!$E$6)-('DCF'!$E$7))/(1+('DCF'!$E$6))^'DCF'!$E$19)</x:f>
        <x:v>3908129.6901356867</x:v>
      </x:c>
      <x:c r="H51" s="164" t="n">
        <x:f>G51-$E$9</x:f>
        <x:v>19.721084176562726</x:v>
      </x:c>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81" t="n">
        <x:v>19</x:v>
      </x:c>
      <x:c r="D52" s="162" t="n">
        <x:f>IF(G51&lt;$E$9,F51,D51)</x:f>
        <x:v>0.29776153564453123</x:v>
      </x:c>
      <x:c r="E52" s="162" t="n">
        <x:f>IF(G51&lt;$E$9,E51,F51)</x:f>
        <x:v>0.29776496887207027</x:v>
      </x:c>
      <x:c r="F52" s="162" t="n">
        <x:f>(D52+E52)/2</x:f>
        <x:v>0.29776325225830075</x:v>
      </x:c>
      <x:c r="G52" s="164" t="n">
        <x:f>(SUM((('Historical Inputs'!$N$9*(1+(F52))^1)*(('Assumptions'!E37+(0))*(1-'Assumptions'!E42-(0))+'Assumptions'!E47-'Assumptions'!E52*(1)+'Assumptions'!E57-'Assumptions'!E62*(1)-'Assumptions'!E67-(0))+('Working Capital'!$E$6))*'DCF'!E12/(1+('DCF'!$E$6))^'DCF'!E13,(('Historical Inputs'!$N$9*(1+(F52))^2)*(('Assumptions'!F37+(0))*(1-'Assumptions'!F42-(0))+'Assumptions'!F47-'Assumptions'!F52*(1)+'Assumptions'!F57-'Assumptions'!F62*(1)-'Assumptions'!F67-(0))+(('Historical Inputs'!$N$9*(1+(F52))^1)*('Assumptions'!E67+(0))))*'DCF'!F12/(1+('DCF'!$E$6))^'DCF'!F13,(('Historical Inputs'!$N$9*(1+(F52))^3)*(('Assumptions'!G37+(0))*(1-'Assumptions'!G42-(0))+'Assumptions'!G47-'Assumptions'!G52*(1)+'Assumptions'!G57-'Assumptions'!G62*(1)-'Assumptions'!G67-(0))+(('Historical Inputs'!$N$9*(1+(F52))^2)*('Assumptions'!F67+(0))))*'DCF'!G12/(1+('DCF'!$E$6))^'DCF'!G13,(('Historical Inputs'!$N$9*(1+(F52))^4)*(('Assumptions'!H37+(0))*(1-'Assumptions'!H42-(0))+'Assumptions'!H47-'Assumptions'!H52*(1)+'Assumptions'!H57-'Assumptions'!H62*(1)-'Assumptions'!H67-(0))+(('Historical Inputs'!$N$9*(1+(F52))^3)*('Assumptions'!G67+(0))))*'DCF'!H12/(1+('DCF'!$E$6))^'DCF'!H13,(('Historical Inputs'!$N$9*(1+(F52))^5)*(('Assumptions'!I37+(0))*(1-'Assumptions'!I42-(0))+'Assumptions'!I47-'Assumptions'!I52*(1)+'Assumptions'!I57-'Assumptions'!I62*(1)-'Assumptions'!I67-(0))+(('Historical Inputs'!$N$9*(1+(F52))^4)*('Assumptions'!H67+(0))))*'DCF'!I12/(1+('DCF'!$E$6))^'DCF'!I13)+('Historical Inputs'!$N$9*(1+(F52))^5)*(1+('DCF'!$E$7))*('Terminal Value'!$E$10+(0))*(1-'Assumptions'!$E$15-(0))*(1-('DCF'!$E$7)/('Terminal Value'!$E$12))/(('DCF'!$E$6)-('DCF'!$E$7))/(1+('DCF'!$E$6))^'DCF'!$E$19)</x:f>
        <x:v>3908104.9770077476</x:v>
      </x:c>
      <x:c r="H52" s="164" t="n">
        <x:f>G52-$E$9</x:f>
        <x:v>-4.992043762467802</x:v>
      </x:c>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81" t="n">
        <x:v>20</x:v>
      </x:c>
      <x:c r="D53" s="162" t="n">
        <x:f>IF(G52&lt;$E$9,F52,D52)</x:f>
        <x:v>0.29776325225830075</x:v>
      </x:c>
      <x:c r="E53" s="162" t="n">
        <x:f>IF(G52&lt;$E$9,E52,F52)</x:f>
        <x:v>0.29776496887207027</x:v>
      </x:c>
      <x:c r="F53" s="162" t="n">
        <x:f>(D53+E53)/2</x:f>
        <x:v>0.2977641105651855</x:v>
      </x:c>
      <x:c r="G53" s="164" t="n">
        <x:f>(SUM((('Historical Inputs'!$N$9*(1+(F53))^1)*(('Assumptions'!E37+(0))*(1-'Assumptions'!E42-(0))+'Assumptions'!E47-'Assumptions'!E52*(1)+'Assumptions'!E57-'Assumptions'!E62*(1)-'Assumptions'!E67-(0))+('Working Capital'!$E$6))*'DCF'!E12/(1+('DCF'!$E$6))^'DCF'!E13,(('Historical Inputs'!$N$9*(1+(F53))^2)*(('Assumptions'!F37+(0))*(1-'Assumptions'!F42-(0))+'Assumptions'!F47-'Assumptions'!F52*(1)+'Assumptions'!F57-'Assumptions'!F62*(1)-'Assumptions'!F67-(0))+(('Historical Inputs'!$N$9*(1+(F53))^1)*('Assumptions'!E67+(0))))*'DCF'!F12/(1+('DCF'!$E$6))^'DCF'!F13,(('Historical Inputs'!$N$9*(1+(F53))^3)*(('Assumptions'!G37+(0))*(1-'Assumptions'!G42-(0))+'Assumptions'!G47-'Assumptions'!G52*(1)+'Assumptions'!G57-'Assumptions'!G62*(1)-'Assumptions'!G67-(0))+(('Historical Inputs'!$N$9*(1+(F53))^2)*('Assumptions'!F67+(0))))*'DCF'!G12/(1+('DCF'!$E$6))^'DCF'!G13,(('Historical Inputs'!$N$9*(1+(F53))^4)*(('Assumptions'!H37+(0))*(1-'Assumptions'!H42-(0))+'Assumptions'!H47-'Assumptions'!H52*(1)+'Assumptions'!H57-'Assumptions'!H62*(1)-'Assumptions'!H67-(0))+(('Historical Inputs'!$N$9*(1+(F53))^3)*('Assumptions'!G67+(0))))*'DCF'!H12/(1+('DCF'!$E$6))^'DCF'!H13,(('Historical Inputs'!$N$9*(1+(F53))^5)*(('Assumptions'!I37+(0))*(1-'Assumptions'!I42-(0))+'Assumptions'!I47-'Assumptions'!I52*(1)+'Assumptions'!I57-'Assumptions'!I62*(1)-'Assumptions'!I67-(0))+(('Historical Inputs'!$N$9*(1+(F53))^4)*('Assumptions'!H67+(0))))*'DCF'!I12/(1+('DCF'!$E$6))^'DCF'!I13)+('Historical Inputs'!$N$9*(1+(F53))^5)*(1+('DCF'!$E$7))*('Terminal Value'!$E$10+(0))*(1-'Assumptions'!$E$15-(0))*(1-('DCF'!$E$7)/('Terminal Value'!$E$12))/(('DCF'!$E$6)-('DCF'!$E$7))/(1+('DCF'!$E$6))^'DCF'!$E$19)</x:f>
        <x:v>3908117.333555833</x:v>
      </x:c>
      <x:c r="H53" s="164" t="n">
        <x:f>G53-$E$9</x:f>
        <x:v>7.364504322875291</x:v>
      </x:c>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81" t="n">
        <x:v>21</x:v>
      </x:c>
      <x:c r="D54" s="162" t="n">
        <x:f>IF(G53&lt;$E$9,F53,D53)</x:f>
        <x:v>0.29776325225830075</x:v>
      </x:c>
      <x:c r="E54" s="162" t="n">
        <x:f>IF(G53&lt;$E$9,E53,F53)</x:f>
        <x:v>0.2977641105651855</x:v>
      </x:c>
      <x:c r="F54" s="162" t="n">
        <x:f>(D54+E54)/2</x:f>
        <x:v>0.29776368141174314</x:v>
      </x:c>
      <x:c r="G54" s="164" t="n">
        <x:f>(SUM((('Historical Inputs'!$N$9*(1+(F54))^1)*(('Assumptions'!E37+(0))*(1-'Assumptions'!E42-(0))+'Assumptions'!E47-'Assumptions'!E52*(1)+'Assumptions'!E57-'Assumptions'!E62*(1)-'Assumptions'!E67-(0))+('Working Capital'!$E$6))*'DCF'!E12/(1+('DCF'!$E$6))^'DCF'!E13,(('Historical Inputs'!$N$9*(1+(F54))^2)*(('Assumptions'!F37+(0))*(1-'Assumptions'!F42-(0))+'Assumptions'!F47-'Assumptions'!F52*(1)+'Assumptions'!F57-'Assumptions'!F62*(1)-'Assumptions'!F67-(0))+(('Historical Inputs'!$N$9*(1+(F54))^1)*('Assumptions'!E67+(0))))*'DCF'!F12/(1+('DCF'!$E$6))^'DCF'!F13,(('Historical Inputs'!$N$9*(1+(F54))^3)*(('Assumptions'!G37+(0))*(1-'Assumptions'!G42-(0))+'Assumptions'!G47-'Assumptions'!G52*(1)+'Assumptions'!G57-'Assumptions'!G62*(1)-'Assumptions'!G67-(0))+(('Historical Inputs'!$N$9*(1+(F54))^2)*('Assumptions'!F67+(0))))*'DCF'!G12/(1+('DCF'!$E$6))^'DCF'!G13,(('Historical Inputs'!$N$9*(1+(F54))^4)*(('Assumptions'!H37+(0))*(1-'Assumptions'!H42-(0))+'Assumptions'!H47-'Assumptions'!H52*(1)+'Assumptions'!H57-'Assumptions'!H62*(1)-'Assumptions'!H67-(0))+(('Historical Inputs'!$N$9*(1+(F54))^3)*('Assumptions'!G67+(0))))*'DCF'!H12/(1+('DCF'!$E$6))^'DCF'!H13,(('Historical Inputs'!$N$9*(1+(F54))^5)*(('Assumptions'!I37+(0))*(1-'Assumptions'!I42-(0))+'Assumptions'!I47-'Assumptions'!I52*(1)+'Assumptions'!I57-'Assumptions'!I62*(1)-'Assumptions'!I67-(0))+(('Historical Inputs'!$N$9*(1+(F54))^4)*('Assumptions'!H67+(0))))*'DCF'!I12/(1+('DCF'!$E$6))^'DCF'!I13)+('Historical Inputs'!$N$9*(1+(F54))^5)*(1+('DCF'!$E$7))*('Terminal Value'!$E$10+(0))*(1-'Assumptions'!$E$15-(0))*(1-('DCF'!$E$7)/('Terminal Value'!$E$12))/(('DCF'!$E$6)-('DCF'!$E$7))/(1+('DCF'!$E$6))^'DCF'!$E$19)</x:f>
        <x:v>3908111.1552778226</x:v>
      </x:c>
      <x:c r="H54" s="164" t="n">
        <x:f>G54-$E$9</x:f>
        <x:v>1.1862263125367463</x:v>
      </x:c>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81" t="n">
        <x:v>22</x:v>
      </x:c>
      <x:c r="D55" s="162" t="n">
        <x:f>IF(G54&lt;$E$9,F54,D54)</x:f>
        <x:v>0.29776325225830075</x:v>
      </x:c>
      <x:c r="E55" s="162" t="n">
        <x:f>IF(G54&lt;$E$9,E54,F54)</x:f>
        <x:v>0.29776368141174314</x:v>
      </x:c>
      <x:c r="F55" s="162" t="n">
        <x:f>(D55+E55)/2</x:f>
        <x:v>0.297763466835022</x:v>
      </x:c>
      <x:c r="G55" s="164" t="n">
        <x:f>(SUM((('Historical Inputs'!$N$9*(1+(F55))^1)*(('Assumptions'!E37+(0))*(1-'Assumptions'!E42-(0))+'Assumptions'!E47-'Assumptions'!E52*(1)+'Assumptions'!E57-'Assumptions'!E62*(1)-'Assumptions'!E67-(0))+('Working Capital'!$E$6))*'DCF'!E12/(1+('DCF'!$E$6))^'DCF'!E13,(('Historical Inputs'!$N$9*(1+(F55))^2)*(('Assumptions'!F37+(0))*(1-'Assumptions'!F42-(0))+'Assumptions'!F47-'Assumptions'!F52*(1)+'Assumptions'!F57-'Assumptions'!F62*(1)-'Assumptions'!F67-(0))+(('Historical Inputs'!$N$9*(1+(F55))^1)*('Assumptions'!E67+(0))))*'DCF'!F12/(1+('DCF'!$E$6))^'DCF'!F13,(('Historical Inputs'!$N$9*(1+(F55))^3)*(('Assumptions'!G37+(0))*(1-'Assumptions'!G42-(0))+'Assumptions'!G47-'Assumptions'!G52*(1)+'Assumptions'!G57-'Assumptions'!G62*(1)-'Assumptions'!G67-(0))+(('Historical Inputs'!$N$9*(1+(F55))^2)*('Assumptions'!F67+(0))))*'DCF'!G12/(1+('DCF'!$E$6))^'DCF'!G13,(('Historical Inputs'!$N$9*(1+(F55))^4)*(('Assumptions'!H37+(0))*(1-'Assumptions'!H42-(0))+'Assumptions'!H47-'Assumptions'!H52*(1)+'Assumptions'!H57-'Assumptions'!H62*(1)-'Assumptions'!H67-(0))+(('Historical Inputs'!$N$9*(1+(F55))^3)*('Assumptions'!G67+(0))))*'DCF'!H12/(1+('DCF'!$E$6))^'DCF'!H13,(('Historical Inputs'!$N$9*(1+(F55))^5)*(('Assumptions'!I37+(0))*(1-'Assumptions'!I42-(0))+'Assumptions'!I47-'Assumptions'!I52*(1)+'Assumptions'!I57-'Assumptions'!I62*(1)-'Assumptions'!I67-(0))+(('Historical Inputs'!$N$9*(1+(F55))^4)*('Assumptions'!H67+(0))))*'DCF'!I12/(1+('DCF'!$E$6))^'DCF'!I13)+('Historical Inputs'!$N$9*(1+(F55))^5)*(1+('DCF'!$E$7))*('Terminal Value'!$E$10+(0))*(1-'Assumptions'!$E$15-(0))*(1-('DCF'!$E$7)/('Terminal Value'!$E$12))/(('DCF'!$E$6)-('DCF'!$E$7))/(1+('DCF'!$E$6))^'DCF'!$E$19)</x:f>
        <x:v>3908108.0661417935</x:v>
      </x:c>
      <x:c r="H55" s="164" t="n">
        <x:f>G55-$E$9</x:f>
        <x:v>-1.902909716591239</x:v>
      </x:c>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81" t="n">
        <x:v>23</x:v>
      </x:c>
      <x:c r="D56" s="162" t="n">
        <x:f>IF(G55&lt;$E$9,F55,D55)</x:f>
        <x:v>0.297763466835022</x:v>
      </x:c>
      <x:c r="E56" s="162" t="n">
        <x:f>IF(G55&lt;$E$9,E55,F55)</x:f>
        <x:v>0.29776368141174314</x:v>
      </x:c>
      <x:c r="F56" s="162" t="n">
        <x:f>(D56+E56)/2</x:f>
        <x:v>0.29776357412338256</x:v>
      </x:c>
      <x:c r="G56" s="164" t="n">
        <x:f>(SUM((('Historical Inputs'!$N$9*(1+(F56))^1)*(('Assumptions'!E37+(0))*(1-'Assumptions'!E42-(0))+'Assumptions'!E47-'Assumptions'!E52*(1)+'Assumptions'!E57-'Assumptions'!E62*(1)-'Assumptions'!E67-(0))+('Working Capital'!$E$6))*'DCF'!E12/(1+('DCF'!$E$6))^'DCF'!E13,(('Historical Inputs'!$N$9*(1+(F56))^2)*(('Assumptions'!F37+(0))*(1-'Assumptions'!F42-(0))+'Assumptions'!F47-'Assumptions'!F52*(1)+'Assumptions'!F57-'Assumptions'!F62*(1)-'Assumptions'!F67-(0))+(('Historical Inputs'!$N$9*(1+(F56))^1)*('Assumptions'!E67+(0))))*'DCF'!F12/(1+('DCF'!$E$6))^'DCF'!F13,(('Historical Inputs'!$N$9*(1+(F56))^3)*(('Assumptions'!G37+(0))*(1-'Assumptions'!G42-(0))+'Assumptions'!G47-'Assumptions'!G52*(1)+'Assumptions'!G57-'Assumptions'!G62*(1)-'Assumptions'!G67-(0))+(('Historical Inputs'!$N$9*(1+(F56))^2)*('Assumptions'!F67+(0))))*'DCF'!G12/(1+('DCF'!$E$6))^'DCF'!G13,(('Historical Inputs'!$N$9*(1+(F56))^4)*(('Assumptions'!H37+(0))*(1-'Assumptions'!H42-(0))+'Assumptions'!H47-'Assumptions'!H52*(1)+'Assumptions'!H57-'Assumptions'!H62*(1)-'Assumptions'!H67-(0))+(('Historical Inputs'!$N$9*(1+(F56))^3)*('Assumptions'!G67+(0))))*'DCF'!H12/(1+('DCF'!$E$6))^'DCF'!H13,(('Historical Inputs'!$N$9*(1+(F56))^5)*(('Assumptions'!I37+(0))*(1-'Assumptions'!I42-(0))+'Assumptions'!I47-'Assumptions'!I52*(1)+'Assumptions'!I57-'Assumptions'!I62*(1)-'Assumptions'!I67-(0))+(('Historical Inputs'!$N$9*(1+(F56))^4)*('Assumptions'!H67+(0))))*'DCF'!I12/(1+('DCF'!$E$6))^'DCF'!I13)+('Historical Inputs'!$N$9*(1+(F56))^5)*(1+('DCF'!$E$7))*('Terminal Value'!$E$10+(0))*(1-'Assumptions'!$E$15-(0))*(1-('DCF'!$E$7)/('Terminal Value'!$E$12))/(('DCF'!$E$6)-('DCF'!$E$7))/(1+('DCF'!$E$6))^'DCF'!$E$19)</x:f>
        <x:v>3908109.6107095596</x:v>
      </x:c>
      <x:c r="H56" s="164" t="n">
        <x:f>G56-$E$9</x:f>
        <x:v>-0.35834195045754313</x:v>
      </x:c>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81" t="n">
        <x:v>24</x:v>
      </x:c>
      <x:c r="D57" s="162" t="n">
        <x:f>IF(G56&lt;$E$9,F56,D56)</x:f>
        <x:v>0.29776357412338256</x:v>
      </x:c>
      <x:c r="E57" s="162" t="n">
        <x:f>IF(G56&lt;$E$9,E56,F56)</x:f>
        <x:v>0.29776368141174314</x:v>
      </x:c>
      <x:c r="F57" s="162" t="n">
        <x:f>(D57+E57)/2</x:f>
        <x:v>0.2977636277675628</x:v>
      </x:c>
      <x:c r="G57" s="164" t="n">
        <x:f>(SUM((('Historical Inputs'!$N$9*(1+(F57))^1)*(('Assumptions'!E37+(0))*(1-'Assumptions'!E42-(0))+'Assumptions'!E47-'Assumptions'!E52*(1)+'Assumptions'!E57-'Assumptions'!E62*(1)-'Assumptions'!E67-(0))+('Working Capital'!$E$6))*'DCF'!E12/(1+('DCF'!$E$6))^'DCF'!E13,(('Historical Inputs'!$N$9*(1+(F57))^2)*(('Assumptions'!F37+(0))*(1-'Assumptions'!F42-(0))+'Assumptions'!F47-'Assumptions'!F52*(1)+'Assumptions'!F57-'Assumptions'!F62*(1)-'Assumptions'!F67-(0))+(('Historical Inputs'!$N$9*(1+(F57))^1)*('Assumptions'!E67+(0))))*'DCF'!F12/(1+('DCF'!$E$6))^'DCF'!F13,(('Historical Inputs'!$N$9*(1+(F57))^3)*(('Assumptions'!G37+(0))*(1-'Assumptions'!G42-(0))+'Assumptions'!G47-'Assumptions'!G52*(1)+'Assumptions'!G57-'Assumptions'!G62*(1)-'Assumptions'!G67-(0))+(('Historical Inputs'!$N$9*(1+(F57))^2)*('Assumptions'!F67+(0))))*'DCF'!G12/(1+('DCF'!$E$6))^'DCF'!G13,(('Historical Inputs'!$N$9*(1+(F57))^4)*(('Assumptions'!H37+(0))*(1-'Assumptions'!H42-(0))+'Assumptions'!H47-'Assumptions'!H52*(1)+'Assumptions'!H57-'Assumptions'!H62*(1)-'Assumptions'!H67-(0))+(('Historical Inputs'!$N$9*(1+(F57))^3)*('Assumptions'!G67+(0))))*'DCF'!H12/(1+('DCF'!$E$6))^'DCF'!H13,(('Historical Inputs'!$N$9*(1+(F57))^5)*(('Assumptions'!I37+(0))*(1-'Assumptions'!I42-(0))+'Assumptions'!I47-'Assumptions'!I52*(1)+'Assumptions'!I57-'Assumptions'!I62*(1)-'Assumptions'!I67-(0))+(('Historical Inputs'!$N$9*(1+(F57))^4)*('Assumptions'!H67+(0))))*'DCF'!I12/(1+('DCF'!$E$6))^'DCF'!I13)+('Historical Inputs'!$N$9*(1+(F57))^5)*(1+('DCF'!$E$7))*('Terminal Value'!$E$10+(0))*(1-'Assumptions'!$E$15-(0))*(1-('DCF'!$E$7)/('Terminal Value'!$E$12))/(('DCF'!$E$6)-('DCF'!$E$7))/(1+('DCF'!$E$6))^'DCF'!$E$19)</x:f>
        <x:v>3908110.3829936283</x:v>
      </x:c>
      <x:c r="H57" s="164" t="n">
        <x:f>G57-$E$9</x:f>
        <x:v>0.4139421181753278</x:v>
      </x:c>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81" t="n">
        <x:v>25</x:v>
      </x:c>
      <x:c r="D58" s="162" t="n">
        <x:f>IF(G57&lt;$E$9,F57,D57)</x:f>
        <x:v>0.29776357412338256</x:v>
      </x:c>
      <x:c r="E58" s="162" t="n">
        <x:f>IF(G57&lt;$E$9,E57,F57)</x:f>
        <x:v>0.2977636277675628</x:v>
      </x:c>
      <x:c r="F58" s="162" t="n">
        <x:f>(D58+E58)/2</x:f>
        <x:v>0.2977636009454727</x:v>
      </x:c>
      <x:c r="G58" s="164" t="n">
        <x:f>(SUM((('Historical Inputs'!$N$9*(1+(F58))^1)*(('Assumptions'!E37+(0))*(1-'Assumptions'!E42-(0))+'Assumptions'!E47-'Assumptions'!E52*(1)+'Assumptions'!E57-'Assumptions'!E62*(1)-'Assumptions'!E67-(0))+('Working Capital'!$E$6))*'DCF'!E12/(1+('DCF'!$E$6))^'DCF'!E13,(('Historical Inputs'!$N$9*(1+(F58))^2)*(('Assumptions'!F37+(0))*(1-'Assumptions'!F42-(0))+'Assumptions'!F47-'Assumptions'!F52*(1)+'Assumptions'!F57-'Assumptions'!F62*(1)-'Assumptions'!F67-(0))+(('Historical Inputs'!$N$9*(1+(F58))^1)*('Assumptions'!E67+(0))))*'DCF'!F12/(1+('DCF'!$E$6))^'DCF'!F13,(('Historical Inputs'!$N$9*(1+(F58))^3)*(('Assumptions'!G37+(0))*(1-'Assumptions'!G42-(0))+'Assumptions'!G47-'Assumptions'!G52*(1)+'Assumptions'!G57-'Assumptions'!G62*(1)-'Assumptions'!G67-(0))+(('Historical Inputs'!$N$9*(1+(F58))^2)*('Assumptions'!F67+(0))))*'DCF'!G12/(1+('DCF'!$E$6))^'DCF'!G13,(('Historical Inputs'!$N$9*(1+(F58))^4)*(('Assumptions'!H37+(0))*(1-'Assumptions'!H42-(0))+'Assumptions'!H47-'Assumptions'!H52*(1)+'Assumptions'!H57-'Assumptions'!H62*(1)-'Assumptions'!H67-(0))+(('Historical Inputs'!$N$9*(1+(F58))^3)*('Assumptions'!G67+(0))))*'DCF'!H12/(1+('DCF'!$E$6))^'DCF'!H13,(('Historical Inputs'!$N$9*(1+(F58))^5)*(('Assumptions'!I37+(0))*(1-'Assumptions'!I42-(0))+'Assumptions'!I47-'Assumptions'!I52*(1)+'Assumptions'!I57-'Assumptions'!I62*(1)-'Assumptions'!I67-(0))+(('Historical Inputs'!$N$9*(1+(F58))^4)*('Assumptions'!H67+(0))))*'DCF'!I12/(1+('DCF'!$E$6))^'DCF'!I13)+('Historical Inputs'!$N$9*(1+(F58))^5)*(1+('DCF'!$E$7))*('Terminal Value'!$E$10+(0))*(1-'Assumptions'!$E$15-(0))*(1-('DCF'!$E$7)/('Terminal Value'!$E$12))/(('DCF'!$E$6)-('DCF'!$E$7))/(1+('DCF'!$E$6))^'DCF'!$E$19)</x:f>
        <x:v>3908109.9968515774</x:v>
      </x:c>
      <x:c r="H58" s="164" t="n">
        <x:f>G58-$E$9</x:f>
        <x:v>0.027800067327916622</x:v>
      </x:c>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81" t="n">
        <x:v>26</x:v>
      </x:c>
      <x:c r="D59" s="162" t="n">
        <x:f>IF(G58&lt;$E$9,F58,D58)</x:f>
        <x:v>0.29776357412338256</x:v>
      </x:c>
      <x:c r="E59" s="162" t="n">
        <x:f>IF(G58&lt;$E$9,E58,F58)</x:f>
        <x:v>0.2977636009454727</x:v>
      </x:c>
      <x:c r="F59" s="162" t="n">
        <x:f>(D59+E59)/2</x:f>
        <x:v>0.29776358753442767</x:v>
      </x:c>
      <x:c r="G59" s="164" t="n">
        <x:f>(SUM((('Historical Inputs'!$N$9*(1+(F59))^1)*(('Assumptions'!E37+(0))*(1-'Assumptions'!E42-(0))+'Assumptions'!E47-'Assumptions'!E52*(1)+'Assumptions'!E57-'Assumptions'!E62*(1)-'Assumptions'!E67-(0))+('Working Capital'!$E$6))*'DCF'!E12/(1+('DCF'!$E$6))^'DCF'!E13,(('Historical Inputs'!$N$9*(1+(F59))^2)*(('Assumptions'!F37+(0))*(1-'Assumptions'!F42-(0))+'Assumptions'!F47-'Assumptions'!F52*(1)+'Assumptions'!F57-'Assumptions'!F62*(1)-'Assumptions'!F67-(0))+(('Historical Inputs'!$N$9*(1+(F59))^1)*('Assumptions'!E67+(0))))*'DCF'!F12/(1+('DCF'!$E$6))^'DCF'!F13,(('Historical Inputs'!$N$9*(1+(F59))^3)*(('Assumptions'!G37+(0))*(1-'Assumptions'!G42-(0))+'Assumptions'!G47-'Assumptions'!G52*(1)+'Assumptions'!G57-'Assumptions'!G62*(1)-'Assumptions'!G67-(0))+(('Historical Inputs'!$N$9*(1+(F59))^2)*('Assumptions'!F67+(0))))*'DCF'!G12/(1+('DCF'!$E$6))^'DCF'!G13,(('Historical Inputs'!$N$9*(1+(F59))^4)*(('Assumptions'!H37+(0))*(1-'Assumptions'!H42-(0))+'Assumptions'!H47-'Assumptions'!H52*(1)+'Assumptions'!H57-'Assumptions'!H62*(1)-'Assumptions'!H67-(0))+(('Historical Inputs'!$N$9*(1+(F59))^3)*('Assumptions'!G67+(0))))*'DCF'!H12/(1+('DCF'!$E$6))^'DCF'!H13,(('Historical Inputs'!$N$9*(1+(F59))^5)*(('Assumptions'!I37+(0))*(1-'Assumptions'!I42-(0))+'Assumptions'!I47-'Assumptions'!I52*(1)+'Assumptions'!I57-'Assumptions'!I62*(1)-'Assumptions'!I67-(0))+(('Historical Inputs'!$N$9*(1+(F59))^4)*('Assumptions'!H67+(0))))*'DCF'!I12/(1+('DCF'!$E$6))^'DCF'!I13)+('Historical Inputs'!$N$9*(1+(F59))^5)*(1+('DCF'!$E$7))*('Terminal Value'!$E$10+(0))*(1-'Assumptions'!$E$15-(0))*(1-('DCF'!$E$7)/('Terminal Value'!$E$12))/(('DCF'!$E$6)-('DCF'!$E$7))/(1+('DCF'!$E$6))^'DCF'!$E$19)</x:f>
        <x:v>3908109.803780563</x:v>
      </x:c>
      <x:c r="H59" s="164" t="n">
        <x:f>G59-$E$9</x:f>
        <x:v>-0.16527094691991806</x:v>
      </x:c>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81" t="n">
        <x:v>27</x:v>
      </x:c>
      <x:c r="D60" s="162" t="n">
        <x:f>IF(G59&lt;$E$9,F59,D59)</x:f>
        <x:v>0.29776358753442767</x:v>
      </x:c>
      <x:c r="E60" s="162" t="n">
        <x:f>IF(G59&lt;$E$9,E59,F59)</x:f>
        <x:v>0.2977636009454727</x:v>
      </x:c>
      <x:c r="F60" s="162" t="n">
        <x:f>(D60+E60)/2</x:f>
        <x:v>0.2977635942399502</x:v>
      </x:c>
      <x:c r="G60" s="164" t="n">
        <x:f>(SUM((('Historical Inputs'!$N$9*(1+(F60))^1)*(('Assumptions'!E37+(0))*(1-'Assumptions'!E42-(0))+'Assumptions'!E47-'Assumptions'!E52*(1)+'Assumptions'!E57-'Assumptions'!E62*(1)-'Assumptions'!E67-(0))+('Working Capital'!$E$6))*'DCF'!E12/(1+('DCF'!$E$6))^'DCF'!E13,(('Historical Inputs'!$N$9*(1+(F60))^2)*(('Assumptions'!F37+(0))*(1-'Assumptions'!F42-(0))+'Assumptions'!F47-'Assumptions'!F52*(1)+'Assumptions'!F57-'Assumptions'!F62*(1)-'Assumptions'!F67-(0))+(('Historical Inputs'!$N$9*(1+(F60))^1)*('Assumptions'!E67+(0))))*'DCF'!F12/(1+('DCF'!$E$6))^'DCF'!F13,(('Historical Inputs'!$N$9*(1+(F60))^3)*(('Assumptions'!G37+(0))*(1-'Assumptions'!G42-(0))+'Assumptions'!G47-'Assumptions'!G52*(1)+'Assumptions'!G57-'Assumptions'!G62*(1)-'Assumptions'!G67-(0))+(('Historical Inputs'!$N$9*(1+(F60))^2)*('Assumptions'!F67+(0))))*'DCF'!G12/(1+('DCF'!$E$6))^'DCF'!G13,(('Historical Inputs'!$N$9*(1+(F60))^4)*(('Assumptions'!H37+(0))*(1-'Assumptions'!H42-(0))+'Assumptions'!H47-'Assumptions'!H52*(1)+'Assumptions'!H57-'Assumptions'!H62*(1)-'Assumptions'!H67-(0))+(('Historical Inputs'!$N$9*(1+(F60))^3)*('Assumptions'!G67+(0))))*'DCF'!H12/(1+('DCF'!$E$6))^'DCF'!H13,(('Historical Inputs'!$N$9*(1+(F60))^5)*(('Assumptions'!I37+(0))*(1-'Assumptions'!I42-(0))+'Assumptions'!I47-'Assumptions'!I52*(1)+'Assumptions'!I57-'Assumptions'!I62*(1)-'Assumptions'!I67-(0))+(('Historical Inputs'!$N$9*(1+(F60))^4)*('Assumptions'!H67+(0))))*'DCF'!I12/(1+('DCF'!$E$6))^'DCF'!I13)+('Historical Inputs'!$N$9*(1+(F60))^5)*(1+('DCF'!$E$7))*('Terminal Value'!$E$10+(0))*(1-'Assumptions'!$E$15-(0))*(1-('DCF'!$E$7)/('Terminal Value'!$E$12))/(('DCF'!$E$6)-('DCF'!$E$7))/(1+('DCF'!$E$6))^'DCF'!$E$19)</x:f>
        <x:v>3908109.9003160703</x:v>
      </x:c>
      <x:c r="H60" s="164" t="n">
        <x:f>G60-$E$9</x:f>
        <x:v>-0.06873543979600072</x:v>
      </x:c>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81" t="n">
        <x:v>28</x:v>
      </x:c>
      <x:c r="D61" s="162" t="n">
        <x:f>IF(G60&lt;$E$9,F60,D60)</x:f>
        <x:v>0.2977635942399502</x:v>
      </x:c>
      <x:c r="E61" s="162" t="n">
        <x:f>IF(G60&lt;$E$9,E60,F60)</x:f>
        <x:v>0.2977636009454727</x:v>
      </x:c>
      <x:c r="F61" s="162" t="n">
        <x:f>(D61+E61)/2</x:f>
        <x:v>0.2977635975927114</x:v>
      </x:c>
      <x:c r="G61" s="164" t="n">
        <x:f>(SUM((('Historical Inputs'!$N$9*(1+(F61))^1)*(('Assumptions'!E37+(0))*(1-'Assumptions'!E42-(0))+'Assumptions'!E47-'Assumptions'!E52*(1)+'Assumptions'!E57-'Assumptions'!E62*(1)-'Assumptions'!E67-(0))+('Working Capital'!$E$6))*'DCF'!E12/(1+('DCF'!$E$6))^'DCF'!E13,(('Historical Inputs'!$N$9*(1+(F61))^2)*(('Assumptions'!F37+(0))*(1-'Assumptions'!F42-(0))+'Assumptions'!F47-'Assumptions'!F52*(1)+'Assumptions'!F57-'Assumptions'!F62*(1)-'Assumptions'!F67-(0))+(('Historical Inputs'!$N$9*(1+(F61))^1)*('Assumptions'!E67+(0))))*'DCF'!F12/(1+('DCF'!$E$6))^'DCF'!F13,(('Historical Inputs'!$N$9*(1+(F61))^3)*(('Assumptions'!G37+(0))*(1-'Assumptions'!G42-(0))+'Assumptions'!G47-'Assumptions'!G52*(1)+'Assumptions'!G57-'Assumptions'!G62*(1)-'Assumptions'!G67-(0))+(('Historical Inputs'!$N$9*(1+(F61))^2)*('Assumptions'!F67+(0))))*'DCF'!G12/(1+('DCF'!$E$6))^'DCF'!G13,(('Historical Inputs'!$N$9*(1+(F61))^4)*(('Assumptions'!H37+(0))*(1-'Assumptions'!H42-(0))+'Assumptions'!H47-'Assumptions'!H52*(1)+'Assumptions'!H57-'Assumptions'!H62*(1)-'Assumptions'!H67-(0))+(('Historical Inputs'!$N$9*(1+(F61))^3)*('Assumptions'!G67+(0))))*'DCF'!H12/(1+('DCF'!$E$6))^'DCF'!H13,(('Historical Inputs'!$N$9*(1+(F61))^5)*(('Assumptions'!I37+(0))*(1-'Assumptions'!I42-(0))+'Assumptions'!I47-'Assumptions'!I52*(1)+'Assumptions'!I57-'Assumptions'!I62*(1)-'Assumptions'!I67-(0))+(('Historical Inputs'!$N$9*(1+(F61))^4)*('Assumptions'!H67+(0))))*'DCF'!I12/(1+('DCF'!$E$6))^'DCF'!I13)+('Historical Inputs'!$N$9*(1+(F61))^5)*(1+('DCF'!$E$7))*('Terminal Value'!$E$10+(0))*(1-'Assumptions'!$E$15-(0))*(1-('DCF'!$E$7)/('Terminal Value'!$E$12))/(('DCF'!$E$6)-('DCF'!$E$7))/(1+('DCF'!$E$6))^'DCF'!$E$19)</x:f>
        <x:v>3908109.9485838246</x:v>
      </x:c>
      <x:c r="H61" s="164" t="n">
        <x:f>G61-$E$9</x:f>
        <x:v>-0.020467685535550117</x:v>
      </x:c>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81" t="n">
        <x:v>29</x:v>
      </x:c>
      <x:c r="D62" s="162" t="n">
        <x:f>IF(G61&lt;$E$9,F61,D61)</x:f>
        <x:v>0.2977635975927114</x:v>
      </x:c>
      <x:c r="E62" s="162" t="n">
        <x:f>IF(G61&lt;$E$9,E61,F61)</x:f>
        <x:v>0.2977636009454727</x:v>
      </x:c>
      <x:c r="F62" s="162" t="n">
        <x:f>(D62+E62)/2</x:f>
        <x:v>0.29776359926909207</x:v>
      </x:c>
      <x:c r="G62" s="164" t="n">
        <x:f>(SUM((('Historical Inputs'!$N$9*(1+(F62))^1)*(('Assumptions'!E37+(0))*(1-'Assumptions'!E42-(0))+'Assumptions'!E47-'Assumptions'!E52*(1)+'Assumptions'!E57-'Assumptions'!E62*(1)-'Assumptions'!E67-(0))+('Working Capital'!$E$6))*'DCF'!E12/(1+('DCF'!$E$6))^'DCF'!E13,(('Historical Inputs'!$N$9*(1+(F62))^2)*(('Assumptions'!F37+(0))*(1-'Assumptions'!F42-(0))+'Assumptions'!F47-'Assumptions'!F52*(1)+'Assumptions'!F57-'Assumptions'!F62*(1)-'Assumptions'!F67-(0))+(('Historical Inputs'!$N$9*(1+(F62))^1)*('Assumptions'!E67+(0))))*'DCF'!F12/(1+('DCF'!$E$6))^'DCF'!F13,(('Historical Inputs'!$N$9*(1+(F62))^3)*(('Assumptions'!G37+(0))*(1-'Assumptions'!G42-(0))+'Assumptions'!G47-'Assumptions'!G52*(1)+'Assumptions'!G57-'Assumptions'!G62*(1)-'Assumptions'!G67-(0))+(('Historical Inputs'!$N$9*(1+(F62))^2)*('Assumptions'!F67+(0))))*'DCF'!G12/(1+('DCF'!$E$6))^'DCF'!G13,(('Historical Inputs'!$N$9*(1+(F62))^4)*(('Assumptions'!H37+(0))*(1-'Assumptions'!H42-(0))+'Assumptions'!H47-'Assumptions'!H52*(1)+'Assumptions'!H57-'Assumptions'!H62*(1)-'Assumptions'!H67-(0))+(('Historical Inputs'!$N$9*(1+(F62))^3)*('Assumptions'!G67+(0))))*'DCF'!H12/(1+('DCF'!$E$6))^'DCF'!H13,(('Historical Inputs'!$N$9*(1+(F62))^5)*(('Assumptions'!I37+(0))*(1-'Assumptions'!I42-(0))+'Assumptions'!I47-'Assumptions'!I52*(1)+'Assumptions'!I57-'Assumptions'!I62*(1)-'Assumptions'!I67-(0))+(('Historical Inputs'!$N$9*(1+(F62))^4)*('Assumptions'!H67+(0))))*'DCF'!I12/(1+('DCF'!$E$6))^'DCF'!I13)+('Historical Inputs'!$N$9*(1+(F62))^5)*(1+('DCF'!$E$7))*('Terminal Value'!$E$10+(0))*(1-'Assumptions'!$E$15-(0))*(1-('DCF'!$E$7)/('Terminal Value'!$E$12))/(('DCF'!$E$6)-('DCF'!$E$7))/(1+('DCF'!$E$6))^'DCF'!$E$19)</x:f>
        <x:v>3908109.9727177015</x:v>
      </x:c>
      <x:c r="H62" s="164" t="n">
        <x:f>G62-$E$9</x:f>
        <x:v>0.0036661913618445396</x:v>
      </x:c>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81" t="n">
        <x:v>30</x:v>
      </x:c>
      <x:c r="D63" s="162" t="n">
        <x:f>IF(G62&lt;$E$9,F62,D62)</x:f>
        <x:v>0.2977635975927114</x:v>
      </x:c>
      <x:c r="E63" s="162" t="n">
        <x:f>IF(G62&lt;$E$9,E62,F62)</x:f>
        <x:v>0.29776359926909207</x:v>
      </x:c>
      <x:c r="F63" s="162" t="n">
        <x:f>(D63+E63)/2</x:f>
        <x:v>0.2977635984309017</x:v>
      </x:c>
      <x:c r="G63" s="164" t="n">
        <x:f>(SUM((('Historical Inputs'!$N$9*(1+(F63))^1)*(('Assumptions'!E37+(0))*(1-'Assumptions'!E42-(0))+'Assumptions'!E47-'Assumptions'!E52*(1)+'Assumptions'!E57-'Assumptions'!E62*(1)-'Assumptions'!E67-(0))+('Working Capital'!$E$6))*'DCF'!E12/(1+('DCF'!$E$6))^'DCF'!E13,(('Historical Inputs'!$N$9*(1+(F63))^2)*(('Assumptions'!F37+(0))*(1-'Assumptions'!F42-(0))+'Assumptions'!F47-'Assumptions'!F52*(1)+'Assumptions'!F57-'Assumptions'!F62*(1)-'Assumptions'!F67-(0))+(('Historical Inputs'!$N$9*(1+(F63))^1)*('Assumptions'!E67+(0))))*'DCF'!F12/(1+('DCF'!$E$6))^'DCF'!F13,(('Historical Inputs'!$N$9*(1+(F63))^3)*(('Assumptions'!G37+(0))*(1-'Assumptions'!G42-(0))+'Assumptions'!G47-'Assumptions'!G52*(1)+'Assumptions'!G57-'Assumptions'!G62*(1)-'Assumptions'!G67-(0))+(('Historical Inputs'!$N$9*(1+(F63))^2)*('Assumptions'!F67+(0))))*'DCF'!G12/(1+('DCF'!$E$6))^'DCF'!G13,(('Historical Inputs'!$N$9*(1+(F63))^4)*(('Assumptions'!H37+(0))*(1-'Assumptions'!H42-(0))+'Assumptions'!H47-'Assumptions'!H52*(1)+'Assumptions'!H57-'Assumptions'!H62*(1)-'Assumptions'!H67-(0))+(('Historical Inputs'!$N$9*(1+(F63))^3)*('Assumptions'!G67+(0))))*'DCF'!H12/(1+('DCF'!$E$6))^'DCF'!H13,(('Historical Inputs'!$N$9*(1+(F63))^5)*(('Assumptions'!I37+(0))*(1-'Assumptions'!I42-(0))+'Assumptions'!I47-'Assumptions'!I52*(1)+'Assumptions'!I57-'Assumptions'!I62*(1)-'Assumptions'!I67-(0))+(('Historical Inputs'!$N$9*(1+(F63))^4)*('Assumptions'!H67+(0))))*'DCF'!I12/(1+('DCF'!$E$6))^'DCF'!I13)+('Historical Inputs'!$N$9*(1+(F63))^5)*(1+('DCF'!$E$7))*('Terminal Value'!$E$10+(0))*(1-'Assumptions'!$E$15-(0))*(1-('DCF'!$E$7)/('Terminal Value'!$E$12))/(('DCF'!$E$6)-('DCF'!$E$7))/(1+('DCF'!$E$6))^'DCF'!$E$19)</x:f>
        <x:v>3908109.960650762</x:v>
      </x:c>
      <x:c r="H63" s="164" t="n">
        <x:f>G63-$E$9</x:f>
        <x:v>-0.008400748018175364</x:v>
      </x:c>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81" t="n">
        <x:v>31</x:v>
      </x:c>
      <x:c r="D64" s="162" t="n">
        <x:f>IF(G63&lt;$E$9,F63,D63)</x:f>
        <x:v>0.2977635984309017</x:v>
      </x:c>
      <x:c r="E64" s="162" t="n">
        <x:f>IF(G63&lt;$E$9,E63,F63)</x:f>
        <x:v>0.29776359926909207</x:v>
      </x:c>
      <x:c r="F64" s="162" t="n">
        <x:f>(D64+E64)/2</x:f>
        <x:v>0.2977635988499969</x:v>
      </x:c>
      <x:c r="G64" s="164" t="n">
        <x:f>(SUM((('Historical Inputs'!$N$9*(1+(F64))^1)*(('Assumptions'!E37+(0))*(1-'Assumptions'!E42-(0))+'Assumptions'!E47-'Assumptions'!E52*(1)+'Assumptions'!E57-'Assumptions'!E62*(1)-'Assumptions'!E67-(0))+('Working Capital'!$E$6))*'DCF'!E12/(1+('DCF'!$E$6))^'DCF'!E13,(('Historical Inputs'!$N$9*(1+(F64))^2)*(('Assumptions'!F37+(0))*(1-'Assumptions'!F42-(0))+'Assumptions'!F47-'Assumptions'!F52*(1)+'Assumptions'!F57-'Assumptions'!F62*(1)-'Assumptions'!F67-(0))+(('Historical Inputs'!$N$9*(1+(F64))^1)*('Assumptions'!E67+(0))))*'DCF'!F12/(1+('DCF'!$E$6))^'DCF'!F13,(('Historical Inputs'!$N$9*(1+(F64))^3)*(('Assumptions'!G37+(0))*(1-'Assumptions'!G42-(0))+'Assumptions'!G47-'Assumptions'!G52*(1)+'Assumptions'!G57-'Assumptions'!G62*(1)-'Assumptions'!G67-(0))+(('Historical Inputs'!$N$9*(1+(F64))^2)*('Assumptions'!F67+(0))))*'DCF'!G12/(1+('DCF'!$E$6))^'DCF'!G13,(('Historical Inputs'!$N$9*(1+(F64))^4)*(('Assumptions'!H37+(0))*(1-'Assumptions'!H42-(0))+'Assumptions'!H47-'Assumptions'!H52*(1)+'Assumptions'!H57-'Assumptions'!H62*(1)-'Assumptions'!H67-(0))+(('Historical Inputs'!$N$9*(1+(F64))^3)*('Assumptions'!G67+(0))))*'DCF'!H12/(1+('DCF'!$E$6))^'DCF'!H13,(('Historical Inputs'!$N$9*(1+(F64))^5)*(('Assumptions'!I37+(0))*(1-'Assumptions'!I42-(0))+'Assumptions'!I47-'Assumptions'!I52*(1)+'Assumptions'!I57-'Assumptions'!I62*(1)-'Assumptions'!I67-(0))+(('Historical Inputs'!$N$9*(1+(F64))^4)*('Assumptions'!H67+(0))))*'DCF'!I12/(1+('DCF'!$E$6))^'DCF'!I13)+('Historical Inputs'!$N$9*(1+(F64))^5)*(1+('DCF'!$E$7))*('Terminal Value'!$E$10+(0))*(1-'Assumptions'!$E$15-(0))*(1-('DCF'!$E$7)/('Terminal Value'!$E$12))/(('DCF'!$E$6)-('DCF'!$E$7))/(1+('DCF'!$E$6))^'DCF'!$E$19)</x:f>
        <x:v>3908109.9666842315</x:v>
      </x:c>
      <x:c r="H64" s="164" t="n">
        <x:f>G64-$E$9</x:f>
        <x:v>-0.0023672785609960556</x:v>
      </x:c>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81" t="n">
        <x:v>32</x:v>
      </x:c>
      <x:c r="D65" s="162" t="n">
        <x:f>IF(G64&lt;$E$9,F64,D64)</x:f>
        <x:v>0.2977635988499969</x:v>
      </x:c>
      <x:c r="E65" s="162" t="n">
        <x:f>IF(G64&lt;$E$9,E64,F64)</x:f>
        <x:v>0.29776359926909207</x:v>
      </x:c>
      <x:c r="F65" s="162" t="n">
        <x:f>(D65+E65)/2</x:f>
        <x:v>0.2977635990595445</x:v>
      </x:c>
      <x:c r="G65" s="164" t="n">
        <x:f>(SUM((('Historical Inputs'!$N$9*(1+(F65))^1)*(('Assumptions'!E37+(0))*(1-'Assumptions'!E42-(0))+'Assumptions'!E47-'Assumptions'!E52*(1)+'Assumptions'!E57-'Assumptions'!E62*(1)-'Assumptions'!E67-(0))+('Working Capital'!$E$6))*'DCF'!E12/(1+('DCF'!$E$6))^'DCF'!E13,(('Historical Inputs'!$N$9*(1+(F65))^2)*(('Assumptions'!F37+(0))*(1-'Assumptions'!F42-(0))+'Assumptions'!F47-'Assumptions'!F52*(1)+'Assumptions'!F57-'Assumptions'!F62*(1)-'Assumptions'!F67-(0))+(('Historical Inputs'!$N$9*(1+(F65))^1)*('Assumptions'!E67+(0))))*'DCF'!F12/(1+('DCF'!$E$6))^'DCF'!F13,(('Historical Inputs'!$N$9*(1+(F65))^3)*(('Assumptions'!G37+(0))*(1-'Assumptions'!G42-(0))+'Assumptions'!G47-'Assumptions'!G52*(1)+'Assumptions'!G57-'Assumptions'!G62*(1)-'Assumptions'!G67-(0))+(('Historical Inputs'!$N$9*(1+(F65))^2)*('Assumptions'!F67+(0))))*'DCF'!G12/(1+('DCF'!$E$6))^'DCF'!G13,(('Historical Inputs'!$N$9*(1+(F65))^4)*(('Assumptions'!H37+(0))*(1-'Assumptions'!H42-(0))+'Assumptions'!H47-'Assumptions'!H52*(1)+'Assumptions'!H57-'Assumptions'!H62*(1)-'Assumptions'!H67-(0))+(('Historical Inputs'!$N$9*(1+(F65))^3)*('Assumptions'!G67+(0))))*'DCF'!H12/(1+('DCF'!$E$6))^'DCF'!H13,(('Historical Inputs'!$N$9*(1+(F65))^5)*(('Assumptions'!I37+(0))*(1-'Assumptions'!I42-(0))+'Assumptions'!I47-'Assumptions'!I52*(1)+'Assumptions'!I57-'Assumptions'!I62*(1)-'Assumptions'!I67-(0))+(('Historical Inputs'!$N$9*(1+(F65))^4)*('Assumptions'!H67+(0))))*'DCF'!I12/(1+('DCF'!$E$6))^'DCF'!I13)+('Historical Inputs'!$N$9*(1+(F65))^5)*(1+('DCF'!$E$7))*('Terminal Value'!$E$10+(0))*(1-'Assumptions'!$E$15-(0))*(1-('DCF'!$E$7)/('Terminal Value'!$E$12))/(('DCF'!$E$6)-('DCF'!$E$7))/(1+('DCF'!$E$6))^'DCF'!$E$19)</x:f>
        <x:v>3908109.969700965</x:v>
      </x:c>
      <x:c r="H65" s="164" t="n">
        <x:f>G65-$E$9</x:f>
        <x:v>0.0006494550034403801</x:v>
      </x:c>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81" t="n">
        <x:v>33</x:v>
      </x:c>
      <x:c r="D66" s="162" t="n">
        <x:f>IF(G65&lt;$E$9,F65,D65)</x:f>
        <x:v>0.2977635988499969</x:v>
      </x:c>
      <x:c r="E66" s="162" t="n">
        <x:f>IF(G65&lt;$E$9,E65,F65)</x:f>
        <x:v>0.2977635990595445</x:v>
      </x:c>
      <x:c r="F66" s="162" t="n">
        <x:f>(D66+E66)/2</x:f>
        <x:v>0.2977635989547707</x:v>
      </x:c>
      <x:c r="G66" s="164" t="n">
        <x:f>(SUM((('Historical Inputs'!$N$9*(1+(F66))^1)*(('Assumptions'!E37+(0))*(1-'Assumptions'!E42-(0))+'Assumptions'!E47-'Assumptions'!E52*(1)+'Assumptions'!E57-'Assumptions'!E62*(1)-'Assumptions'!E67-(0))+('Working Capital'!$E$6))*'DCF'!E12/(1+('DCF'!$E$6))^'DCF'!E13,(('Historical Inputs'!$N$9*(1+(F66))^2)*(('Assumptions'!F37+(0))*(1-'Assumptions'!F42-(0))+'Assumptions'!F47-'Assumptions'!F52*(1)+'Assumptions'!F57-'Assumptions'!F62*(1)-'Assumptions'!F67-(0))+(('Historical Inputs'!$N$9*(1+(F66))^1)*('Assumptions'!E67+(0))))*'DCF'!F12/(1+('DCF'!$E$6))^'DCF'!F13,(('Historical Inputs'!$N$9*(1+(F66))^3)*(('Assumptions'!G37+(0))*(1-'Assumptions'!G42-(0))+'Assumptions'!G47-'Assumptions'!G52*(1)+'Assumptions'!G57-'Assumptions'!G62*(1)-'Assumptions'!G67-(0))+(('Historical Inputs'!$N$9*(1+(F66))^2)*('Assumptions'!F67+(0))))*'DCF'!G12/(1+('DCF'!$E$6))^'DCF'!G13,(('Historical Inputs'!$N$9*(1+(F66))^4)*(('Assumptions'!H37+(0))*(1-'Assumptions'!H42-(0))+'Assumptions'!H47-'Assumptions'!H52*(1)+'Assumptions'!H57-'Assumptions'!H62*(1)-'Assumptions'!H67-(0))+(('Historical Inputs'!$N$9*(1+(F66))^3)*('Assumptions'!G67+(0))))*'DCF'!H12/(1+('DCF'!$E$6))^'DCF'!H13,(('Historical Inputs'!$N$9*(1+(F66))^5)*(('Assumptions'!I37+(0))*(1-'Assumptions'!I42-(0))+'Assumptions'!I47-'Assumptions'!I52*(1)+'Assumptions'!I57-'Assumptions'!I62*(1)-'Assumptions'!I67-(0))+(('Historical Inputs'!$N$9*(1+(F66))^4)*('Assumptions'!H67+(0))))*'DCF'!I12/(1+('DCF'!$E$6))^'DCF'!I13)+('Historical Inputs'!$N$9*(1+(F66))^5)*(1+('DCF'!$E$7))*('Terminal Value'!$E$10+(0))*(1-'Assumptions'!$E$15-(0))*(1-('DCF'!$E$7)/('Terminal Value'!$E$12))/(('DCF'!$E$6)-('DCF'!$E$7))/(1+('DCF'!$E$6))^'DCF'!$E$19)</x:f>
        <x:v>3908109.9681925983</x:v>
      </x:c>
      <x:c r="H66" s="164" t="n">
        <x:f>G66-$E$9</x:f>
        <x:v>-0.0008589117787778378</x:v>
      </x:c>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81" t="n">
        <x:v>34</x:v>
      </x:c>
      <x:c r="D67" s="162" t="n">
        <x:f>IF(G66&lt;$E$9,F66,D66)</x:f>
        <x:v>0.2977635989547707</x:v>
      </x:c>
      <x:c r="E67" s="162" t="n">
        <x:f>IF(G66&lt;$E$9,E66,F66)</x:f>
        <x:v>0.2977635990595445</x:v>
      </x:c>
      <x:c r="F67" s="162" t="n">
        <x:f>(D67+E67)/2</x:f>
        <x:v>0.29776359900715765</x:v>
      </x:c>
      <x:c r="G67" s="164" t="n">
        <x:f>(SUM((('Historical Inputs'!$N$9*(1+(F67))^1)*(('Assumptions'!E37+(0))*(1-'Assumptions'!E42-(0))+'Assumptions'!E47-'Assumptions'!E52*(1)+'Assumptions'!E57-'Assumptions'!E62*(1)-'Assumptions'!E67-(0))+('Working Capital'!$E$6))*'DCF'!E12/(1+('DCF'!$E$6))^'DCF'!E13,(('Historical Inputs'!$N$9*(1+(F67))^2)*(('Assumptions'!F37+(0))*(1-'Assumptions'!F42-(0))+'Assumptions'!F47-'Assumptions'!F52*(1)+'Assumptions'!F57-'Assumptions'!F62*(1)-'Assumptions'!F67-(0))+(('Historical Inputs'!$N$9*(1+(F67))^1)*('Assumptions'!E67+(0))))*'DCF'!F12/(1+('DCF'!$E$6))^'DCF'!F13,(('Historical Inputs'!$N$9*(1+(F67))^3)*(('Assumptions'!G37+(0))*(1-'Assumptions'!G42-(0))+'Assumptions'!G47-'Assumptions'!G52*(1)+'Assumptions'!G57-'Assumptions'!G62*(1)-'Assumptions'!G67-(0))+(('Historical Inputs'!$N$9*(1+(F67))^2)*('Assumptions'!F67+(0))))*'DCF'!G12/(1+('DCF'!$E$6))^'DCF'!G13,(('Historical Inputs'!$N$9*(1+(F67))^4)*(('Assumptions'!H37+(0))*(1-'Assumptions'!H42-(0))+'Assumptions'!H47-'Assumptions'!H52*(1)+'Assumptions'!H57-'Assumptions'!H62*(1)-'Assumptions'!H67-(0))+(('Historical Inputs'!$N$9*(1+(F67))^3)*('Assumptions'!G67+(0))))*'DCF'!H12/(1+('DCF'!$E$6))^'DCF'!H13,(('Historical Inputs'!$N$9*(1+(F67))^5)*(('Assumptions'!I37+(0))*(1-'Assumptions'!I42-(0))+'Assumptions'!I47-'Assumptions'!I52*(1)+'Assumptions'!I57-'Assumptions'!I62*(1)-'Assumptions'!I67-(0))+(('Historical Inputs'!$N$9*(1+(F67))^4)*('Assumptions'!H67+(0))))*'DCF'!I12/(1+('DCF'!$E$6))^'DCF'!I13)+('Historical Inputs'!$N$9*(1+(F67))^5)*(1+('DCF'!$E$7))*('Terminal Value'!$E$10+(0))*(1-'Assumptions'!$E$15-(0))*(1-('DCF'!$E$7)/('Terminal Value'!$E$12))/(('DCF'!$E$6)-('DCF'!$E$7))/(1+('DCF'!$E$6))^'DCF'!$E$19)</x:f>
        <x:v>3908109.9689467843</x:v>
      </x:c>
      <x:c r="H67" s="164" t="n">
        <x:f>G67-$E$9</x:f>
        <x:v>-0.00010472582653164864</x:v>
      </x:c>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81" t="n">
        <x:v>35</x:v>
      </x:c>
      <x:c r="D68" s="162" t="n">
        <x:f>IF(G67&lt;$E$9,F67,D67)</x:f>
        <x:v>0.29776359900715765</x:v>
      </x:c>
      <x:c r="E68" s="162" t="n">
        <x:f>IF(G67&lt;$E$9,E67,F67)</x:f>
        <x:v>0.2977635990595445</x:v>
      </x:c>
      <x:c r="F68" s="162" t="n">
        <x:f>(D68+E68)/2</x:f>
        <x:v>0.2977635990333511</x:v>
      </x:c>
      <x:c r="G68" s="164" t="n">
        <x:f>(SUM((('Historical Inputs'!$N$9*(1+(F68))^1)*(('Assumptions'!E37+(0))*(1-'Assumptions'!E42-(0))+'Assumptions'!E47-'Assumptions'!E52*(1)+'Assumptions'!E57-'Assumptions'!E62*(1)-'Assumptions'!E67-(0))+('Working Capital'!$E$6))*'DCF'!E12/(1+('DCF'!$E$6))^'DCF'!E13,(('Historical Inputs'!$N$9*(1+(F68))^2)*(('Assumptions'!F37+(0))*(1-'Assumptions'!F42-(0))+'Assumptions'!F47-'Assumptions'!F52*(1)+'Assumptions'!F57-'Assumptions'!F62*(1)-'Assumptions'!F67-(0))+(('Historical Inputs'!$N$9*(1+(F68))^1)*('Assumptions'!E67+(0))))*'DCF'!F12/(1+('DCF'!$E$6))^'DCF'!F13,(('Historical Inputs'!$N$9*(1+(F68))^3)*(('Assumptions'!G37+(0))*(1-'Assumptions'!G42-(0))+'Assumptions'!G47-'Assumptions'!G52*(1)+'Assumptions'!G57-'Assumptions'!G62*(1)-'Assumptions'!G67-(0))+(('Historical Inputs'!$N$9*(1+(F68))^2)*('Assumptions'!F67+(0))))*'DCF'!G12/(1+('DCF'!$E$6))^'DCF'!G13,(('Historical Inputs'!$N$9*(1+(F68))^4)*(('Assumptions'!H37+(0))*(1-'Assumptions'!H42-(0))+'Assumptions'!H47-'Assumptions'!H52*(1)+'Assumptions'!H57-'Assumptions'!H62*(1)-'Assumptions'!H67-(0))+(('Historical Inputs'!$N$9*(1+(F68))^3)*('Assumptions'!G67+(0))))*'DCF'!H12/(1+('DCF'!$E$6))^'DCF'!H13,(('Historical Inputs'!$N$9*(1+(F68))^5)*(('Assumptions'!I37+(0))*(1-'Assumptions'!I42-(0))+'Assumptions'!I47-'Assumptions'!I52*(1)+'Assumptions'!I57-'Assumptions'!I62*(1)-'Assumptions'!I67-(0))+(('Historical Inputs'!$N$9*(1+(F68))^4)*('Assumptions'!H67+(0))))*'DCF'!I12/(1+('DCF'!$E$6))^'DCF'!I13)+('Historical Inputs'!$N$9*(1+(F68))^5)*(1+('DCF'!$E$7))*('Terminal Value'!$E$10+(0))*(1-'Assumptions'!$E$15-(0))*(1-('DCF'!$E$7)/('Terminal Value'!$E$12))/(('DCF'!$E$6)-('DCF'!$E$7))/(1+('DCF'!$E$6))^'DCF'!$E$19)</x:f>
        <x:v>3908109.969323876</x:v>
      </x:c>
      <x:c r="H68" s="164" t="n">
        <x:f>G68-$E$9</x:f>
        <x:v>0.000272365752607584</x:v>
      </x:c>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81" t="n">
        <x:v>36</x:v>
      </x:c>
      <x:c r="D69" s="162" t="n">
        <x:f>IF(G68&lt;$E$9,F68,D68)</x:f>
        <x:v>0.29776359900715765</x:v>
      </x:c>
      <x:c r="E69" s="162" t="n">
        <x:f>IF(G68&lt;$E$9,E68,F68)</x:f>
        <x:v>0.2977635990333511</x:v>
      </x:c>
      <x:c r="F69" s="162" t="n">
        <x:f>(D69+E69)/2</x:f>
        <x:v>0.2977635990202544</x:v>
      </x:c>
      <x:c r="G69" s="164" t="n">
        <x:f>(SUM((('Historical Inputs'!$N$9*(1+(F69))^1)*(('Assumptions'!E37+(0))*(1-'Assumptions'!E42-(0))+'Assumptions'!E47-'Assumptions'!E52*(1)+'Assumptions'!E57-'Assumptions'!E62*(1)-'Assumptions'!E67-(0))+('Working Capital'!$E$6))*'DCF'!E12/(1+('DCF'!$E$6))^'DCF'!E13,(('Historical Inputs'!$N$9*(1+(F69))^2)*(('Assumptions'!F37+(0))*(1-'Assumptions'!F42-(0))+'Assumptions'!F47-'Assumptions'!F52*(1)+'Assumptions'!F57-'Assumptions'!F62*(1)-'Assumptions'!F67-(0))+(('Historical Inputs'!$N$9*(1+(F69))^1)*('Assumptions'!E67+(0))))*'DCF'!F12/(1+('DCF'!$E$6))^'DCF'!F13,(('Historical Inputs'!$N$9*(1+(F69))^3)*(('Assumptions'!G37+(0))*(1-'Assumptions'!G42-(0))+'Assumptions'!G47-'Assumptions'!G52*(1)+'Assumptions'!G57-'Assumptions'!G62*(1)-'Assumptions'!G67-(0))+(('Historical Inputs'!$N$9*(1+(F69))^2)*('Assumptions'!F67+(0))))*'DCF'!G12/(1+('DCF'!$E$6))^'DCF'!G13,(('Historical Inputs'!$N$9*(1+(F69))^4)*(('Assumptions'!H37+(0))*(1-'Assumptions'!H42-(0))+'Assumptions'!H47-'Assumptions'!H52*(1)+'Assumptions'!H57-'Assumptions'!H62*(1)-'Assumptions'!H67-(0))+(('Historical Inputs'!$N$9*(1+(F69))^3)*('Assumptions'!G67+(0))))*'DCF'!H12/(1+('DCF'!$E$6))^'DCF'!H13,(('Historical Inputs'!$N$9*(1+(F69))^5)*(('Assumptions'!I37+(0))*(1-'Assumptions'!I42-(0))+'Assumptions'!I47-'Assumptions'!I52*(1)+'Assumptions'!I57-'Assumptions'!I62*(1)-'Assumptions'!I67-(0))+(('Historical Inputs'!$N$9*(1+(F69))^4)*('Assumptions'!H67+(0))))*'DCF'!I12/(1+('DCF'!$E$6))^'DCF'!I13)+('Historical Inputs'!$N$9*(1+(F69))^5)*(1+('DCF'!$E$7))*('Terminal Value'!$E$10+(0))*(1-'Assumptions'!$E$15-(0))*(1-('DCF'!$E$7)/('Terminal Value'!$E$12))/(('DCF'!$E$6)-('DCF'!$E$7))/(1+('DCF'!$E$6))^'DCF'!$E$19)</x:f>
        <x:v>3908109.969135331</x:v>
      </x:c>
      <x:c r="H69" s="164" t="n">
        <x:f>G69-$E$9</x:f>
        <x:v>0.0000838208943605423</x:v>
      </x:c>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81" t="n">
        <x:v>37</x:v>
      </x:c>
      <x:c r="D70" s="162" t="n">
        <x:f>IF(G69&lt;$E$9,F69,D69)</x:f>
        <x:v>0.29776359900715765</x:v>
      </x:c>
      <x:c r="E70" s="162" t="n">
        <x:f>IF(G69&lt;$E$9,E69,F69)</x:f>
        <x:v>0.2977635990202544</x:v>
      </x:c>
      <x:c r="F70" s="162" t="n">
        <x:f>(D70+E70)/2</x:f>
        <x:v>0.297763599013706</x:v>
      </x:c>
      <x:c r="G70" s="164" t="n">
        <x:f>(SUM((('Historical Inputs'!$N$9*(1+(F70))^1)*(('Assumptions'!E37+(0))*(1-'Assumptions'!E42-(0))+'Assumptions'!E47-'Assumptions'!E52*(1)+'Assumptions'!E57-'Assumptions'!E62*(1)-'Assumptions'!E67-(0))+('Working Capital'!$E$6))*'DCF'!E12/(1+('DCF'!$E$6))^'DCF'!E13,(('Historical Inputs'!$N$9*(1+(F70))^2)*(('Assumptions'!F37+(0))*(1-'Assumptions'!F42-(0))+'Assumptions'!F47-'Assumptions'!F52*(1)+'Assumptions'!F57-'Assumptions'!F62*(1)-'Assumptions'!F67-(0))+(('Historical Inputs'!$N$9*(1+(F70))^1)*('Assumptions'!E67+(0))))*'DCF'!F12/(1+('DCF'!$E$6))^'DCF'!F13,(('Historical Inputs'!$N$9*(1+(F70))^3)*(('Assumptions'!G37+(0))*(1-'Assumptions'!G42-(0))+'Assumptions'!G47-'Assumptions'!G52*(1)+'Assumptions'!G57-'Assumptions'!G62*(1)-'Assumptions'!G67-(0))+(('Historical Inputs'!$N$9*(1+(F70))^2)*('Assumptions'!F67+(0))))*'DCF'!G12/(1+('DCF'!$E$6))^'DCF'!G13,(('Historical Inputs'!$N$9*(1+(F70))^4)*(('Assumptions'!H37+(0))*(1-'Assumptions'!H42-(0))+'Assumptions'!H47-'Assumptions'!H52*(1)+'Assumptions'!H57-'Assumptions'!H62*(1)-'Assumptions'!H67-(0))+(('Historical Inputs'!$N$9*(1+(F70))^3)*('Assumptions'!G67+(0))))*'DCF'!H12/(1+('DCF'!$E$6))^'DCF'!H13,(('Historical Inputs'!$N$9*(1+(F70))^5)*(('Assumptions'!I37+(0))*(1-'Assumptions'!I42-(0))+'Assumptions'!I47-'Assumptions'!I52*(1)+'Assumptions'!I57-'Assumptions'!I62*(1)-'Assumptions'!I67-(0))+(('Historical Inputs'!$N$9*(1+(F70))^4)*('Assumptions'!H67+(0))))*'DCF'!I12/(1+('DCF'!$E$6))^'DCF'!I13)+('Historical Inputs'!$N$9*(1+(F70))^5)*(1+('DCF'!$E$7))*('Terminal Value'!$E$10+(0))*(1-'Assumptions'!$E$15-(0))*(1-('DCF'!$E$7)/('Terminal Value'!$E$12))/(('DCF'!$E$6)-('DCF'!$E$7))/(1+('DCF'!$E$6))^'DCF'!$E$19)</x:f>
        <x:v>3908109.969041055</x:v>
      </x:c>
      <x:c r="H70" s="164" t="n">
        <x:f>G70-$E$9</x:f>
        <x:v>-0.000010455027222633362</x:v>
      </x:c>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81" t="n">
        <x:v>38</x:v>
      </x:c>
      <x:c r="D71" s="162" t="n">
        <x:f>IF(G70&lt;$E$9,F70,D70)</x:f>
        <x:v>0.297763599013706</x:v>
      </x:c>
      <x:c r="E71" s="162" t="n">
        <x:f>IF(G70&lt;$E$9,E70,F70)</x:f>
        <x:v>0.2977635990202544</x:v>
      </x:c>
      <x:c r="F71" s="162" t="n">
        <x:f>(D71+E71)/2</x:f>
        <x:v>0.29776359901698024</x:v>
      </x:c>
      <x:c r="G71" s="164" t="n">
        <x:f>(SUM((('Historical Inputs'!$N$9*(1+(F71))^1)*(('Assumptions'!E37+(0))*(1-'Assumptions'!E42-(0))+'Assumptions'!E47-'Assumptions'!E52*(1)+'Assumptions'!E57-'Assumptions'!E62*(1)-'Assumptions'!E67-(0))+('Working Capital'!$E$6))*'DCF'!E12/(1+('DCF'!$E$6))^'DCF'!E13,(('Historical Inputs'!$N$9*(1+(F71))^2)*(('Assumptions'!F37+(0))*(1-'Assumptions'!F42-(0))+'Assumptions'!F47-'Assumptions'!F52*(1)+'Assumptions'!F57-'Assumptions'!F62*(1)-'Assumptions'!F67-(0))+(('Historical Inputs'!$N$9*(1+(F71))^1)*('Assumptions'!E67+(0))))*'DCF'!F12/(1+('DCF'!$E$6))^'DCF'!F13,(('Historical Inputs'!$N$9*(1+(F71))^3)*(('Assumptions'!G37+(0))*(1-'Assumptions'!G42-(0))+'Assumptions'!G47-'Assumptions'!G52*(1)+'Assumptions'!G57-'Assumptions'!G62*(1)-'Assumptions'!G67-(0))+(('Historical Inputs'!$N$9*(1+(F71))^2)*('Assumptions'!F67+(0))))*'DCF'!G12/(1+('DCF'!$E$6))^'DCF'!G13,(('Historical Inputs'!$N$9*(1+(F71))^4)*(('Assumptions'!H37+(0))*(1-'Assumptions'!H42-(0))+'Assumptions'!H47-'Assumptions'!H52*(1)+'Assumptions'!H57-'Assumptions'!H62*(1)-'Assumptions'!H67-(0))+(('Historical Inputs'!$N$9*(1+(F71))^3)*('Assumptions'!G67+(0))))*'DCF'!H12/(1+('DCF'!$E$6))^'DCF'!H13,(('Historical Inputs'!$N$9*(1+(F71))^5)*(('Assumptions'!I37+(0))*(1-'Assumptions'!I42-(0))+'Assumptions'!I47-'Assumptions'!I52*(1)+'Assumptions'!I57-'Assumptions'!I62*(1)-'Assumptions'!I67-(0))+(('Historical Inputs'!$N$9*(1+(F71))^4)*('Assumptions'!H67+(0))))*'DCF'!I12/(1+('DCF'!$E$6))^'DCF'!I13)+('Historical Inputs'!$N$9*(1+(F71))^5)*(1+('DCF'!$E$7))*('Terminal Value'!$E$10+(0))*(1-'Assumptions'!$E$15-(0))*(1-('DCF'!$E$7)/('Terminal Value'!$E$12))/(('DCF'!$E$6)-('DCF'!$E$7))/(1+('DCF'!$E$6))^'DCF'!$E$19)</x:f>
        <x:v>3908109.969088193</x:v>
      </x:c>
      <x:c r="H71" s="164" t="n">
        <x:f>G71-$E$9</x:f>
        <x:v>0.00003668293356895447</x:v>
      </x:c>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81" t="n">
        <x:v>39</x:v>
      </x:c>
      <x:c r="D72" s="162" t="n">
        <x:f>IF(G71&lt;$E$9,F71,D71)</x:f>
        <x:v>0.297763599013706</x:v>
      </x:c>
      <x:c r="E72" s="162" t="n">
        <x:f>IF(G71&lt;$E$9,E71,F71)</x:f>
        <x:v>0.29776359901698024</x:v>
      </x:c>
      <x:c r="F72" s="162" t="n">
        <x:f>(D72+E72)/2</x:f>
        <x:v>0.2977635990153431</x:v>
      </x:c>
      <x:c r="G72" s="164" t="n">
        <x:f>(SUM((('Historical Inputs'!$N$9*(1+(F72))^1)*(('Assumptions'!E37+(0))*(1-'Assumptions'!E42-(0))+'Assumptions'!E47-'Assumptions'!E52*(1)+'Assumptions'!E57-'Assumptions'!E62*(1)-'Assumptions'!E67-(0))+('Working Capital'!$E$6))*'DCF'!E12/(1+('DCF'!$E$6))^'DCF'!E13,(('Historical Inputs'!$N$9*(1+(F72))^2)*(('Assumptions'!F37+(0))*(1-'Assumptions'!F42-(0))+'Assumptions'!F47-'Assumptions'!F52*(1)+'Assumptions'!F57-'Assumptions'!F62*(1)-'Assumptions'!F67-(0))+(('Historical Inputs'!$N$9*(1+(F72))^1)*('Assumptions'!E67+(0))))*'DCF'!F12/(1+('DCF'!$E$6))^'DCF'!F13,(('Historical Inputs'!$N$9*(1+(F72))^3)*(('Assumptions'!G37+(0))*(1-'Assumptions'!G42-(0))+'Assumptions'!G47-'Assumptions'!G52*(1)+'Assumptions'!G57-'Assumptions'!G62*(1)-'Assumptions'!G67-(0))+(('Historical Inputs'!$N$9*(1+(F72))^2)*('Assumptions'!F67+(0))))*'DCF'!G12/(1+('DCF'!$E$6))^'DCF'!G13,(('Historical Inputs'!$N$9*(1+(F72))^4)*(('Assumptions'!H37+(0))*(1-'Assumptions'!H42-(0))+'Assumptions'!H47-'Assumptions'!H52*(1)+'Assumptions'!H57-'Assumptions'!H62*(1)-'Assumptions'!H67-(0))+(('Historical Inputs'!$N$9*(1+(F72))^3)*('Assumptions'!G67+(0))))*'DCF'!H12/(1+('DCF'!$E$6))^'DCF'!H13,(('Historical Inputs'!$N$9*(1+(F72))^5)*(('Assumptions'!I37+(0))*(1-'Assumptions'!I42-(0))+'Assumptions'!I47-'Assumptions'!I52*(1)+'Assumptions'!I57-'Assumptions'!I62*(1)-'Assumptions'!I67-(0))+(('Historical Inputs'!$N$9*(1+(F72))^4)*('Assumptions'!H67+(0))))*'DCF'!I12/(1+('DCF'!$E$6))^'DCF'!I13)+('Historical Inputs'!$N$9*(1+(F72))^5)*(1+('DCF'!$E$7))*('Terminal Value'!$E$10+(0))*(1-'Assumptions'!$E$15-(0))*(1-('DCF'!$E$7)/('Terminal Value'!$E$12))/(('DCF'!$E$6)-('DCF'!$E$7))/(1+('DCF'!$E$6))^'DCF'!$E$19)</x:f>
        <x:v>3908109.969064625</x:v>
      </x:c>
      <x:c r="H72" s="164" t="n">
        <x:f>G72-$E$9</x:f>
        <x:v>0.000013114884495735168</x:v>
      </x:c>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81" t="n">
        <x:v>40</x:v>
      </x:c>
      <x:c r="D73" s="162" t="n">
        <x:f>IF(G72&lt;$E$9,F72,D72)</x:f>
        <x:v>0.297763599013706</x:v>
      </x:c>
      <x:c r="E73" s="162" t="n">
        <x:f>IF(G72&lt;$E$9,E72,F72)</x:f>
        <x:v>0.2977635990153431</x:v>
      </x:c>
      <x:c r="F73" s="162" t="n">
        <x:f>(D73+E73)/2</x:f>
        <x:v>0.29776359901452454</x:v>
      </x:c>
      <x:c r="G73" s="164" t="n">
        <x:f>(SUM((('Historical Inputs'!$N$9*(1+(F73))^1)*(('Assumptions'!E37+(0))*(1-'Assumptions'!E42-(0))+'Assumptions'!E47-'Assumptions'!E52*(1)+'Assumptions'!E57-'Assumptions'!E62*(1)-'Assumptions'!E67-(0))+('Working Capital'!$E$6))*'DCF'!E12/(1+('DCF'!$E$6))^'DCF'!E13,(('Historical Inputs'!$N$9*(1+(F73))^2)*(('Assumptions'!F37+(0))*(1-'Assumptions'!F42-(0))+'Assumptions'!F47-'Assumptions'!F52*(1)+'Assumptions'!F57-'Assumptions'!F62*(1)-'Assumptions'!F67-(0))+(('Historical Inputs'!$N$9*(1+(F73))^1)*('Assumptions'!E67+(0))))*'DCF'!F12/(1+('DCF'!$E$6))^'DCF'!F13,(('Historical Inputs'!$N$9*(1+(F73))^3)*(('Assumptions'!G37+(0))*(1-'Assumptions'!G42-(0))+'Assumptions'!G47-'Assumptions'!G52*(1)+'Assumptions'!G57-'Assumptions'!G62*(1)-'Assumptions'!G67-(0))+(('Historical Inputs'!$N$9*(1+(F73))^2)*('Assumptions'!F67+(0))))*'DCF'!G12/(1+('DCF'!$E$6))^'DCF'!G13,(('Historical Inputs'!$N$9*(1+(F73))^4)*(('Assumptions'!H37+(0))*(1-'Assumptions'!H42-(0))+'Assumptions'!H47-'Assumptions'!H52*(1)+'Assumptions'!H57-'Assumptions'!H62*(1)-'Assumptions'!H67-(0))+(('Historical Inputs'!$N$9*(1+(F73))^3)*('Assumptions'!G67+(0))))*'DCF'!H12/(1+('DCF'!$E$6))^'DCF'!H13,(('Historical Inputs'!$N$9*(1+(F73))^5)*(('Assumptions'!I37+(0))*(1-'Assumptions'!I42-(0))+'Assumptions'!I47-'Assumptions'!I52*(1)+'Assumptions'!I57-'Assumptions'!I62*(1)-'Assumptions'!I67-(0))+(('Historical Inputs'!$N$9*(1+(F73))^4)*('Assumptions'!H67+(0))))*'DCF'!I12/(1+('DCF'!$E$6))^'DCF'!I13)+('Historical Inputs'!$N$9*(1+(F73))^5)*(1+('DCF'!$E$7))*('Terminal Value'!$E$10+(0))*(1-'Assumptions'!$E$15-(0))*(1-('DCF'!$E$7)/('Terminal Value'!$E$12))/(('DCF'!$E$6)-('DCF'!$E$7))/(1+('DCF'!$E$6))^'DCF'!$E$19)</x:f>
        <x:v>3908109.969052839</x:v>
      </x:c>
      <x:c r="H73" s="164" t="n">
        <x:f>G73-$E$9</x:f>
        <x:v>0.0000013289973139762878</x:v>
      </x:c>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81" t="n">
        <x:v>41</x:v>
      </x:c>
      <x:c r="D74" s="162" t="n">
        <x:f>IF(G73&lt;$E$9,F73,D73)</x:f>
        <x:v>0.297763599013706</x:v>
      </x:c>
      <x:c r="E74" s="162" t="n">
        <x:f>IF(G73&lt;$E$9,E73,F73)</x:f>
        <x:v>0.29776359901452454</x:v>
      </x:c>
      <x:c r="F74" s="162" t="n">
        <x:f>(D74+E74)/2</x:f>
        <x:v>0.2977635990141153</x:v>
      </x:c>
      <x:c r="G74" s="164" t="n">
        <x:f>(SUM((('Historical Inputs'!$N$9*(1+(F74))^1)*(('Assumptions'!E37+(0))*(1-'Assumptions'!E42-(0))+'Assumptions'!E47-'Assumptions'!E52*(1)+'Assumptions'!E57-'Assumptions'!E62*(1)-'Assumptions'!E67-(0))+('Working Capital'!$E$6))*'DCF'!E12/(1+('DCF'!$E$6))^'DCF'!E13,(('Historical Inputs'!$N$9*(1+(F74))^2)*(('Assumptions'!F37+(0))*(1-'Assumptions'!F42-(0))+'Assumptions'!F47-'Assumptions'!F52*(1)+'Assumptions'!F57-'Assumptions'!F62*(1)-'Assumptions'!F67-(0))+(('Historical Inputs'!$N$9*(1+(F74))^1)*('Assumptions'!E67+(0))))*'DCF'!F12/(1+('DCF'!$E$6))^'DCF'!F13,(('Historical Inputs'!$N$9*(1+(F74))^3)*(('Assumptions'!G37+(0))*(1-'Assumptions'!G42-(0))+'Assumptions'!G47-'Assumptions'!G52*(1)+'Assumptions'!G57-'Assumptions'!G62*(1)-'Assumptions'!G67-(0))+(('Historical Inputs'!$N$9*(1+(F74))^2)*('Assumptions'!F67+(0))))*'DCF'!G12/(1+('DCF'!$E$6))^'DCF'!G13,(('Historical Inputs'!$N$9*(1+(F74))^4)*(('Assumptions'!H37+(0))*(1-'Assumptions'!H42-(0))+'Assumptions'!H47-'Assumptions'!H52*(1)+'Assumptions'!H57-'Assumptions'!H62*(1)-'Assumptions'!H67-(0))+(('Historical Inputs'!$N$9*(1+(F74))^3)*('Assumptions'!G67+(0))))*'DCF'!H12/(1+('DCF'!$E$6))^'DCF'!H13,(('Historical Inputs'!$N$9*(1+(F74))^5)*(('Assumptions'!I37+(0))*(1-'Assumptions'!I42-(0))+'Assumptions'!I47-'Assumptions'!I52*(1)+'Assumptions'!I57-'Assumptions'!I62*(1)-'Assumptions'!I67-(0))+(('Historical Inputs'!$N$9*(1+(F74))^4)*('Assumptions'!H67+(0))))*'DCF'!I12/(1+('DCF'!$E$6))^'DCF'!I13)+('Historical Inputs'!$N$9*(1+(F74))^5)*(1+('DCF'!$E$7))*('Terminal Value'!$E$10+(0))*(1-'Assumptions'!$E$15-(0))*(1-('DCF'!$E$7)/('Terminal Value'!$E$12))/(('DCF'!$E$6)-('DCF'!$E$7))/(1+('DCF'!$E$6))^'DCF'!$E$19)</x:f>
        <x:v>3908109.969046951</x:v>
      </x:c>
      <x:c r="H74" s="164" t="n">
        <x:f>G74-$E$9</x:f>
        <x:v>-0.000004559289664030075</x:v>
      </x:c>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81" t="n">
        <x:v>42</x:v>
      </x:c>
      <x:c r="D75" s="162" t="n">
        <x:f>IF(G74&lt;$E$9,F74,D74)</x:f>
        <x:v>0.2977635990141153</x:v>
      </x:c>
      <x:c r="E75" s="162" t="n">
        <x:f>IF(G74&lt;$E$9,E74,F74)</x:f>
        <x:v>0.29776359901452454</x:v>
      </x:c>
      <x:c r="F75" s="162" t="n">
        <x:f>(D75+E75)/2</x:f>
        <x:v>0.2977635990143199</x:v>
      </x:c>
      <x:c r="G75" s="164" t="n">
        <x:f>(SUM((('Historical Inputs'!$N$9*(1+(F75))^1)*(('Assumptions'!E37+(0))*(1-'Assumptions'!E42-(0))+'Assumptions'!E47-'Assumptions'!E52*(1)+'Assumptions'!E57-'Assumptions'!E62*(1)-'Assumptions'!E67-(0))+('Working Capital'!$E$6))*'DCF'!E12/(1+('DCF'!$E$6))^'DCF'!E13,(('Historical Inputs'!$N$9*(1+(F75))^2)*(('Assumptions'!F37+(0))*(1-'Assumptions'!F42-(0))+'Assumptions'!F47-'Assumptions'!F52*(1)+'Assumptions'!F57-'Assumptions'!F62*(1)-'Assumptions'!F67-(0))+(('Historical Inputs'!$N$9*(1+(F75))^1)*('Assumptions'!E67+(0))))*'DCF'!F12/(1+('DCF'!$E$6))^'DCF'!F13,(('Historical Inputs'!$N$9*(1+(F75))^3)*(('Assumptions'!G37+(0))*(1-'Assumptions'!G42-(0))+'Assumptions'!G47-'Assumptions'!G52*(1)+'Assumptions'!G57-'Assumptions'!G62*(1)-'Assumptions'!G67-(0))+(('Historical Inputs'!$N$9*(1+(F75))^2)*('Assumptions'!F67+(0))))*'DCF'!G12/(1+('DCF'!$E$6))^'DCF'!G13,(('Historical Inputs'!$N$9*(1+(F75))^4)*(('Assumptions'!H37+(0))*(1-'Assumptions'!H42-(0))+'Assumptions'!H47-'Assumptions'!H52*(1)+'Assumptions'!H57-'Assumptions'!H62*(1)-'Assumptions'!H67-(0))+(('Historical Inputs'!$N$9*(1+(F75))^3)*('Assumptions'!G67+(0))))*'DCF'!H12/(1+('DCF'!$E$6))^'DCF'!H13,(('Historical Inputs'!$N$9*(1+(F75))^5)*(('Assumptions'!I37+(0))*(1-'Assumptions'!I42-(0))+'Assumptions'!I47-'Assumptions'!I52*(1)+'Assumptions'!I57-'Assumptions'!I62*(1)-'Assumptions'!I67-(0))+(('Historical Inputs'!$N$9*(1+(F75))^4)*('Assumptions'!H67+(0))))*'DCF'!I12/(1+('DCF'!$E$6))^'DCF'!I13)+('Historical Inputs'!$N$9*(1+(F75))^5)*(1+('DCF'!$E$7))*('Terminal Value'!$E$10+(0))*(1-'Assumptions'!$E$15-(0))*(1-('DCF'!$E$7)/('Terminal Value'!$E$12))/(('DCF'!$E$6)-('DCF'!$E$7))/(1+('DCF'!$E$6))^'DCF'!$E$19)</x:f>
        <x:v>3908109.9690498943</x:v>
      </x:c>
      <x:c r="H75" s="164" t="n">
        <x:f>G75-$E$9</x:f>
        <x:v>-0.0000016158446669578552</x:v>
      </x:c>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81" t="n">
        <x:v>43</x:v>
      </x:c>
      <x:c r="D76" s="162" t="n">
        <x:f>IF(G75&lt;$E$9,F75,D75)</x:f>
        <x:v>0.2977635990143199</x:v>
      </x:c>
      <x:c r="E76" s="162" t="n">
        <x:f>IF(G75&lt;$E$9,E75,F75)</x:f>
        <x:v>0.29776359901452454</x:v>
      </x:c>
      <x:c r="F76" s="162" t="n">
        <x:f>(D76+E76)/2</x:f>
        <x:v>0.29776359901442223</x:v>
      </x:c>
      <x:c r="G76" s="164" t="n">
        <x:f>(SUM((('Historical Inputs'!$N$9*(1+(F76))^1)*(('Assumptions'!E37+(0))*(1-'Assumptions'!E42-(0))+'Assumptions'!E47-'Assumptions'!E52*(1)+'Assumptions'!E57-'Assumptions'!E62*(1)-'Assumptions'!E67-(0))+('Working Capital'!$E$6))*'DCF'!E12/(1+('DCF'!$E$6))^'DCF'!E13,(('Historical Inputs'!$N$9*(1+(F76))^2)*(('Assumptions'!F37+(0))*(1-'Assumptions'!F42-(0))+'Assumptions'!F47-'Assumptions'!F52*(1)+'Assumptions'!F57-'Assumptions'!F62*(1)-'Assumptions'!F67-(0))+(('Historical Inputs'!$N$9*(1+(F76))^1)*('Assumptions'!E67+(0))))*'DCF'!F12/(1+('DCF'!$E$6))^'DCF'!F13,(('Historical Inputs'!$N$9*(1+(F76))^3)*(('Assumptions'!G37+(0))*(1-'Assumptions'!G42-(0))+'Assumptions'!G47-'Assumptions'!G52*(1)+'Assumptions'!G57-'Assumptions'!G62*(1)-'Assumptions'!G67-(0))+(('Historical Inputs'!$N$9*(1+(F76))^2)*('Assumptions'!F67+(0))))*'DCF'!G12/(1+('DCF'!$E$6))^'DCF'!G13,(('Historical Inputs'!$N$9*(1+(F76))^4)*(('Assumptions'!H37+(0))*(1-'Assumptions'!H42-(0))+'Assumptions'!H47-'Assumptions'!H52*(1)+'Assumptions'!H57-'Assumptions'!H62*(1)-'Assumptions'!H67-(0))+(('Historical Inputs'!$N$9*(1+(F76))^3)*('Assumptions'!G67+(0))))*'DCF'!H12/(1+('DCF'!$E$6))^'DCF'!H13,(('Historical Inputs'!$N$9*(1+(F76))^5)*(('Assumptions'!I37+(0))*(1-'Assumptions'!I42-(0))+'Assumptions'!I47-'Assumptions'!I52*(1)+'Assumptions'!I57-'Assumptions'!I62*(1)-'Assumptions'!I67-(0))+(('Historical Inputs'!$N$9*(1+(F76))^4)*('Assumptions'!H67+(0))))*'DCF'!I12/(1+('DCF'!$E$6))^'DCF'!I13)+('Historical Inputs'!$N$9*(1+(F76))^5)*(1+('DCF'!$E$7))*('Terminal Value'!$E$10+(0))*(1-'Assumptions'!$E$15-(0))*(1-('DCF'!$E$7)/('Terminal Value'!$E$12))/(('DCF'!$E$6)-('DCF'!$E$7))/(1+('DCF'!$E$6))^'DCF'!$E$19)</x:f>
        <x:v>3908109.9690513676</x:v>
      </x:c>
      <x:c r="H76" s="164" t="n">
        <x:f>G76-$E$9</x:f>
        <x:v>-1.424923539161682e-7</x:v>
      </x:c>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81" t="n">
        <x:v>44</x:v>
      </x:c>
      <x:c r="D77" s="162" t="n">
        <x:f>IF(G76&lt;$E$9,F76,D76)</x:f>
        <x:v>0.29776359901442223</x:v>
      </x:c>
      <x:c r="E77" s="162" t="n">
        <x:f>IF(G76&lt;$E$9,E76,F76)</x:f>
        <x:v>0.29776359901452454</x:v>
      </x:c>
      <x:c r="F77" s="162" t="n">
        <x:f>(D77+E77)/2</x:f>
        <x:v>0.29776359901447336</x:v>
      </x:c>
      <x:c r="G77" s="164" t="n">
        <x:f>(SUM((('Historical Inputs'!$N$9*(1+(F77))^1)*(('Assumptions'!E37+(0))*(1-'Assumptions'!E42-(0))+'Assumptions'!E47-'Assumptions'!E52*(1)+'Assumptions'!E57-'Assumptions'!E62*(1)-'Assumptions'!E67-(0))+('Working Capital'!$E$6))*'DCF'!E12/(1+('DCF'!$E$6))^'DCF'!E13,(('Historical Inputs'!$N$9*(1+(F77))^2)*(('Assumptions'!F37+(0))*(1-'Assumptions'!F42-(0))+'Assumptions'!F47-'Assumptions'!F52*(1)+'Assumptions'!F57-'Assumptions'!F62*(1)-'Assumptions'!F67-(0))+(('Historical Inputs'!$N$9*(1+(F77))^1)*('Assumptions'!E67+(0))))*'DCF'!F12/(1+('DCF'!$E$6))^'DCF'!F13,(('Historical Inputs'!$N$9*(1+(F77))^3)*(('Assumptions'!G37+(0))*(1-'Assumptions'!G42-(0))+'Assumptions'!G47-'Assumptions'!G52*(1)+'Assumptions'!G57-'Assumptions'!G62*(1)-'Assumptions'!G67-(0))+(('Historical Inputs'!$N$9*(1+(F77))^2)*('Assumptions'!F67+(0))))*'DCF'!G12/(1+('DCF'!$E$6))^'DCF'!G13,(('Historical Inputs'!$N$9*(1+(F77))^4)*(('Assumptions'!H37+(0))*(1-'Assumptions'!H42-(0))+'Assumptions'!H47-'Assumptions'!H52*(1)+'Assumptions'!H57-'Assumptions'!H62*(1)-'Assumptions'!H67-(0))+(('Historical Inputs'!$N$9*(1+(F77))^3)*('Assumptions'!G67+(0))))*'DCF'!H12/(1+('DCF'!$E$6))^'DCF'!H13,(('Historical Inputs'!$N$9*(1+(F77))^5)*(('Assumptions'!I37+(0))*(1-'Assumptions'!I42-(0))+'Assumptions'!I47-'Assumptions'!I52*(1)+'Assumptions'!I57-'Assumptions'!I62*(1)-'Assumptions'!I67-(0))+(('Historical Inputs'!$N$9*(1+(F77))^4)*('Assumptions'!H67+(0))))*'DCF'!I12/(1+('DCF'!$E$6))^'DCF'!I13)+('Historical Inputs'!$N$9*(1+(F77))^5)*(1+('DCF'!$E$7))*('Terminal Value'!$E$10+(0))*(1-'Assumptions'!$E$15-(0))*(1-('DCF'!$E$7)/('Terminal Value'!$E$12))/(('DCF'!$E$6)-('DCF'!$E$7))/(1+('DCF'!$E$6))^'DCF'!$E$19)</x:f>
        <x:v>3908109.969052103</x:v>
      </x:c>
      <x:c r="H77" s="164" t="n">
        <x:f>G77-$E$9</x:f>
        <x:v>5.927868187427521e-7</x:v>
      </x:c>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81" t="n">
        <x:v>45</x:v>
      </x:c>
      <x:c r="D78" s="162" t="n">
        <x:f>IF(G77&lt;$E$9,F77,D77)</x:f>
        <x:v>0.29776359901442223</x:v>
      </x:c>
      <x:c r="E78" s="162" t="n">
        <x:f>IF(G77&lt;$E$9,E77,F77)</x:f>
        <x:v>0.29776359901447336</x:v>
      </x:c>
      <x:c r="F78" s="162" t="n">
        <x:f>(D78+E78)/2</x:f>
        <x:v>0.2977635990144478</x:v>
      </x:c>
      <x:c r="G78" s="164" t="n">
        <x:f>(SUM((('Historical Inputs'!$N$9*(1+(F78))^1)*(('Assumptions'!E37+(0))*(1-'Assumptions'!E42-(0))+'Assumptions'!E47-'Assumptions'!E52*(1)+'Assumptions'!E57-'Assumptions'!E62*(1)-'Assumptions'!E67-(0))+('Working Capital'!$E$6))*'DCF'!E12/(1+('DCF'!$E$6))^'DCF'!E13,(('Historical Inputs'!$N$9*(1+(F78))^2)*(('Assumptions'!F37+(0))*(1-'Assumptions'!F42-(0))+'Assumptions'!F47-'Assumptions'!F52*(1)+'Assumptions'!F57-'Assumptions'!F62*(1)-'Assumptions'!F67-(0))+(('Historical Inputs'!$N$9*(1+(F78))^1)*('Assumptions'!E67+(0))))*'DCF'!F12/(1+('DCF'!$E$6))^'DCF'!F13,(('Historical Inputs'!$N$9*(1+(F78))^3)*(('Assumptions'!G37+(0))*(1-'Assumptions'!G42-(0))+'Assumptions'!G47-'Assumptions'!G52*(1)+'Assumptions'!G57-'Assumptions'!G62*(1)-'Assumptions'!G67-(0))+(('Historical Inputs'!$N$9*(1+(F78))^2)*('Assumptions'!F67+(0))))*'DCF'!G12/(1+('DCF'!$E$6))^'DCF'!G13,(('Historical Inputs'!$N$9*(1+(F78))^4)*(('Assumptions'!H37+(0))*(1-'Assumptions'!H42-(0))+'Assumptions'!H47-'Assumptions'!H52*(1)+'Assumptions'!H57-'Assumptions'!H62*(1)-'Assumptions'!H67-(0))+(('Historical Inputs'!$N$9*(1+(F78))^3)*('Assumptions'!G67+(0))))*'DCF'!H12/(1+('DCF'!$E$6))^'DCF'!H13,(('Historical Inputs'!$N$9*(1+(F78))^5)*(('Assumptions'!I37+(0))*(1-'Assumptions'!I42-(0))+'Assumptions'!I47-'Assumptions'!I52*(1)+'Assumptions'!I57-'Assumptions'!I62*(1)-'Assumptions'!I67-(0))+(('Historical Inputs'!$N$9*(1+(F78))^4)*('Assumptions'!H67+(0))))*'DCF'!I12/(1+('DCF'!$E$6))^'DCF'!I13)+('Historical Inputs'!$N$9*(1+(F78))^5)*(1+('DCF'!$E$7))*('Terminal Value'!$E$10+(0))*(1-'Assumptions'!$E$15-(0))*(1-('DCF'!$E$7)/('Terminal Value'!$E$12))/(('DCF'!$E$6)-('DCF'!$E$7))/(1+('DCF'!$E$6))^'DCF'!$E$19)</x:f>
        <x:v>3908109.969051735</x:v>
      </x:c>
      <x:c r="H78" s="164" t="n">
        <x:f>G78-$E$9</x:f>
        <x:v>2.2491440176963806e-7</x:v>
      </x:c>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81" t="n">
        <x:v>46</x:v>
      </x:c>
      <x:c r="D79" s="162" t="n">
        <x:f>IF(G78&lt;$E$9,F78,D78)</x:f>
        <x:v>0.29776359901442223</x:v>
      </x:c>
      <x:c r="E79" s="162" t="n">
        <x:f>IF(G78&lt;$E$9,E78,F78)</x:f>
        <x:v>0.2977635990144478</x:v>
      </x:c>
      <x:c r="F79" s="162" t="n">
        <x:f>(D79+E79)/2</x:f>
        <x:v>0.29776359901443505</x:v>
      </x:c>
      <x:c r="G79" s="164" t="n">
        <x:f>(SUM((('Historical Inputs'!$N$9*(1+(F79))^1)*(('Assumptions'!E37+(0))*(1-'Assumptions'!E42-(0))+'Assumptions'!E47-'Assumptions'!E52*(1)+'Assumptions'!E57-'Assumptions'!E62*(1)-'Assumptions'!E67-(0))+('Working Capital'!$E$6))*'DCF'!E12/(1+('DCF'!$E$6))^'DCF'!E13,(('Historical Inputs'!$N$9*(1+(F79))^2)*(('Assumptions'!F37+(0))*(1-'Assumptions'!F42-(0))+'Assumptions'!F47-'Assumptions'!F52*(1)+'Assumptions'!F57-'Assumptions'!F62*(1)-'Assumptions'!F67-(0))+(('Historical Inputs'!$N$9*(1+(F79))^1)*('Assumptions'!E67+(0))))*'DCF'!F12/(1+('DCF'!$E$6))^'DCF'!F13,(('Historical Inputs'!$N$9*(1+(F79))^3)*(('Assumptions'!G37+(0))*(1-'Assumptions'!G42-(0))+'Assumptions'!G47-'Assumptions'!G52*(1)+'Assumptions'!G57-'Assumptions'!G62*(1)-'Assumptions'!G67-(0))+(('Historical Inputs'!$N$9*(1+(F79))^2)*('Assumptions'!F67+(0))))*'DCF'!G12/(1+('DCF'!$E$6))^'DCF'!G13,(('Historical Inputs'!$N$9*(1+(F79))^4)*(('Assumptions'!H37+(0))*(1-'Assumptions'!H42-(0))+'Assumptions'!H47-'Assumptions'!H52*(1)+'Assumptions'!H57-'Assumptions'!H62*(1)-'Assumptions'!H67-(0))+(('Historical Inputs'!$N$9*(1+(F79))^3)*('Assumptions'!G67+(0))))*'DCF'!H12/(1+('DCF'!$E$6))^'DCF'!H13,(('Historical Inputs'!$N$9*(1+(F79))^5)*(('Assumptions'!I37+(0))*(1-'Assumptions'!I42-(0))+'Assumptions'!I47-'Assumptions'!I52*(1)+'Assumptions'!I57-'Assumptions'!I62*(1)-'Assumptions'!I67-(0))+(('Historical Inputs'!$N$9*(1+(F79))^4)*('Assumptions'!H67+(0))))*'DCF'!I12/(1+('DCF'!$E$6))^'DCF'!I13)+('Historical Inputs'!$N$9*(1+(F79))^5)*(1+('DCF'!$E$7))*('Terminal Value'!$E$10+(0))*(1-'Assumptions'!$E$15-(0))*(1-('DCF'!$E$7)/('Terminal Value'!$E$12))/(('DCF'!$E$6)-('DCF'!$E$7))/(1+('DCF'!$E$6))^'DCF'!$E$19)</x:f>
        <x:v>3908109.969051553</x:v>
      </x:c>
      <x:c r="H79" s="164" t="n">
        <x:f>G79-$E$9</x:f>
        <x:v>4.284083843231201e-8</x:v>
      </x:c>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81" t="n">
        <x:v>47</x:v>
      </x:c>
      <x:c r="D80" s="162" t="n">
        <x:f>IF(G79&lt;$E$9,F79,D79)</x:f>
        <x:v>0.29776359901442223</x:v>
      </x:c>
      <x:c r="E80" s="162" t="n">
        <x:f>IF(G79&lt;$E$9,E79,F79)</x:f>
        <x:v>0.29776359901443505</x:v>
      </x:c>
      <x:c r="F80" s="162" t="n">
        <x:f>(D80+E80)/2</x:f>
        <x:v>0.2977635990144286</x:v>
      </x:c>
      <x:c r="G80" s="164" t="n">
        <x:f>(SUM((('Historical Inputs'!$N$9*(1+(F80))^1)*(('Assumptions'!E37+(0))*(1-'Assumptions'!E42-(0))+'Assumptions'!E47-'Assumptions'!E52*(1)+'Assumptions'!E57-'Assumptions'!E62*(1)-'Assumptions'!E67-(0))+('Working Capital'!$E$6))*'DCF'!E12/(1+('DCF'!$E$6))^'DCF'!E13,(('Historical Inputs'!$N$9*(1+(F80))^2)*(('Assumptions'!F37+(0))*(1-'Assumptions'!F42-(0))+'Assumptions'!F47-'Assumptions'!F52*(1)+'Assumptions'!F57-'Assumptions'!F62*(1)-'Assumptions'!F67-(0))+(('Historical Inputs'!$N$9*(1+(F80))^1)*('Assumptions'!E67+(0))))*'DCF'!F12/(1+('DCF'!$E$6))^'DCF'!F13,(('Historical Inputs'!$N$9*(1+(F80))^3)*(('Assumptions'!G37+(0))*(1-'Assumptions'!G42-(0))+'Assumptions'!G47-'Assumptions'!G52*(1)+'Assumptions'!G57-'Assumptions'!G62*(1)-'Assumptions'!G67-(0))+(('Historical Inputs'!$N$9*(1+(F80))^2)*('Assumptions'!F67+(0))))*'DCF'!G12/(1+('DCF'!$E$6))^'DCF'!G13,(('Historical Inputs'!$N$9*(1+(F80))^4)*(('Assumptions'!H37+(0))*(1-'Assumptions'!H42-(0))+'Assumptions'!H47-'Assumptions'!H52*(1)+'Assumptions'!H57-'Assumptions'!H62*(1)-'Assumptions'!H67-(0))+(('Historical Inputs'!$N$9*(1+(F80))^3)*('Assumptions'!G67+(0))))*'DCF'!H12/(1+('DCF'!$E$6))^'DCF'!H13,(('Historical Inputs'!$N$9*(1+(F80))^5)*(('Assumptions'!I37+(0))*(1-'Assumptions'!I42-(0))+'Assumptions'!I47-'Assumptions'!I52*(1)+'Assumptions'!I57-'Assumptions'!I62*(1)-'Assumptions'!I67-(0))+(('Historical Inputs'!$N$9*(1+(F80))^4)*('Assumptions'!H67+(0))))*'DCF'!I12/(1+('DCF'!$E$6))^'DCF'!I13)+('Historical Inputs'!$N$9*(1+(F80))^5)*(1+('DCF'!$E$7))*('Terminal Value'!$E$10+(0))*(1-'Assumptions'!$E$15-(0))*(1-('DCF'!$E$7)/('Terminal Value'!$E$12))/(('DCF'!$E$6)-('DCF'!$E$7))/(1+('DCF'!$E$6))^'DCF'!$E$19)</x:f>
        <x:v>3908109.969051458</x:v>
      </x:c>
      <x:c r="H80" s="164" t="n">
        <x:f>G80-$E$9</x:f>
        <x:v>-5.21540641784668e-8</x:v>
      </x:c>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81" t="n">
        <x:v>48</x:v>
      </x:c>
      <x:c r="D81" s="162" t="n">
        <x:f>IF(G80&lt;$E$9,F80,D80)</x:f>
        <x:v>0.2977635990144286</x:v>
      </x:c>
      <x:c r="E81" s="162" t="n">
        <x:f>IF(G80&lt;$E$9,E80,F80)</x:f>
        <x:v>0.29776359901443505</x:v>
      </x:c>
      <x:c r="F81" s="162" t="n">
        <x:f>(D81+E81)/2</x:f>
        <x:v>0.29776359901443183</x:v>
      </x:c>
      <x:c r="G81" s="164" t="n">
        <x:f>(SUM((('Historical Inputs'!$N$9*(1+(F81))^1)*(('Assumptions'!E37+(0))*(1-'Assumptions'!E42-(0))+'Assumptions'!E47-'Assumptions'!E52*(1)+'Assumptions'!E57-'Assumptions'!E62*(1)-'Assumptions'!E67-(0))+('Working Capital'!$E$6))*'DCF'!E12/(1+('DCF'!$E$6))^'DCF'!E13,(('Historical Inputs'!$N$9*(1+(F81))^2)*(('Assumptions'!F37+(0))*(1-'Assumptions'!F42-(0))+'Assumptions'!F47-'Assumptions'!F52*(1)+'Assumptions'!F57-'Assumptions'!F62*(1)-'Assumptions'!F67-(0))+(('Historical Inputs'!$N$9*(1+(F81))^1)*('Assumptions'!E67+(0))))*'DCF'!F12/(1+('DCF'!$E$6))^'DCF'!F13,(('Historical Inputs'!$N$9*(1+(F81))^3)*(('Assumptions'!G37+(0))*(1-'Assumptions'!G42-(0))+'Assumptions'!G47-'Assumptions'!G52*(1)+'Assumptions'!G57-'Assumptions'!G62*(1)-'Assumptions'!G67-(0))+(('Historical Inputs'!$N$9*(1+(F81))^2)*('Assumptions'!F67+(0))))*'DCF'!G12/(1+('DCF'!$E$6))^'DCF'!G13,(('Historical Inputs'!$N$9*(1+(F81))^4)*(('Assumptions'!H37+(0))*(1-'Assumptions'!H42-(0))+'Assumptions'!H47-'Assumptions'!H52*(1)+'Assumptions'!H57-'Assumptions'!H62*(1)-'Assumptions'!H67-(0))+(('Historical Inputs'!$N$9*(1+(F81))^3)*('Assumptions'!G67+(0))))*'DCF'!H12/(1+('DCF'!$E$6))^'DCF'!H13,(('Historical Inputs'!$N$9*(1+(F81))^5)*(('Assumptions'!I37+(0))*(1-'Assumptions'!I42-(0))+'Assumptions'!I47-'Assumptions'!I52*(1)+'Assumptions'!I57-'Assumptions'!I62*(1)-'Assumptions'!I67-(0))+(('Historical Inputs'!$N$9*(1+(F81))^4)*('Assumptions'!H67+(0))))*'DCF'!I12/(1+('DCF'!$E$6))^'DCF'!I13)+('Historical Inputs'!$N$9*(1+(F81))^5)*(1+('DCF'!$E$7))*('Terminal Value'!$E$10+(0))*(1-'Assumptions'!$E$15-(0))*(1-('DCF'!$E$7)/('Terminal Value'!$E$12))/(('DCF'!$E$6)-('DCF'!$E$7))/(1+('DCF'!$E$6))^'DCF'!$E$19)</x:f>
        <x:v>3908109.9690515054</x:v>
      </x:c>
      <x:c r="H81" s="164" t="n">
        <x:f>G81-$E$9</x:f>
        <x:v>-4.6566128730773926e-9</x:v>
      </x:c>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56" t="str">
        <x:v>revenue CAGR</x:v>
      </x:c>
      <x:c r="D86" s="160" t="str">
        <x:v>Fair price</x:v>
      </x:c>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62" t="n">
        <x:f>$E$16+($E$17-$E$16)*0/8</x:f>
        <x:v>-0.15</x:v>
      </x:c>
      <x:c r="D87" s="145" t="n">
        <x:f>((SUM((('Historical Inputs'!$N$9*(1+(C87))^1)*(('Assumptions'!E37+(0))*(1-'Assumptions'!E42-(0))+'Assumptions'!E47-'Assumptions'!E52*(1)+'Assumptions'!E57-'Assumptions'!E62*(1)-'Assumptions'!E67-(0))+('Working Capital'!$E$6))*'DCF'!E12/(1+('DCF'!$E$6))^'DCF'!E13,(('Historical Inputs'!$N$9*(1+(C87))^2)*(('Assumptions'!F37+(0))*(1-'Assumptions'!F42-(0))+'Assumptions'!F47-'Assumptions'!F52*(1)+'Assumptions'!F57-'Assumptions'!F62*(1)-'Assumptions'!F67-(0))+(('Historical Inputs'!$N$9*(1+(C87))^1)*('Assumptions'!E67+(0))))*'DCF'!F12/(1+('DCF'!$E$6))^'DCF'!F13,(('Historical Inputs'!$N$9*(1+(C87))^3)*(('Assumptions'!G37+(0))*(1-'Assumptions'!G42-(0))+'Assumptions'!G47-'Assumptions'!G52*(1)+'Assumptions'!G57-'Assumptions'!G62*(1)-'Assumptions'!G67-(0))+(('Historical Inputs'!$N$9*(1+(C87))^2)*('Assumptions'!F67+(0))))*'DCF'!G12/(1+('DCF'!$E$6))^'DCF'!G13,(('Historical Inputs'!$N$9*(1+(C87))^4)*(('Assumptions'!H37+(0))*(1-'Assumptions'!H42-(0))+'Assumptions'!H47-'Assumptions'!H52*(1)+'Assumptions'!H57-'Assumptions'!H62*(1)-'Assumptions'!H67-(0))+(('Historical Inputs'!$N$9*(1+(C87))^3)*('Assumptions'!G67+(0))))*'DCF'!H12/(1+('DCF'!$E$6))^'DCF'!H13,(('Historical Inputs'!$N$9*(1+(C87))^5)*(('Assumptions'!I37+(0))*(1-'Assumptions'!I42-(0))+'Assumptions'!I47-'Assumptions'!I52*(1)+'Assumptions'!I57-'Assumptions'!I62*(1)-'Assumptions'!I67-(0))+(('Historical Inputs'!$N$9*(1+(C87))^4)*('Assumptions'!H67+(0))))*'DCF'!I12/(1+('DCF'!$E$6))^'DCF'!I13)+('Historical Inputs'!$N$9*(1+(C87))^5)*(1+('DCF'!$E$7))*('Terminal Value'!$E$10+(0))*(1-'Assumptions'!$E$15-(0))*(1-('DCF'!$E$7)/('Terminal Value'!$E$12))/(('DCF'!$E$6)-('DCF'!$E$7))/(1+('DCF'!$E$6))^'DCF'!$E$19)+'Equity Bridge'!$E$17)/'Equity Bridge'!$E$20</x:f>
        <x:v>72.29353698949737</x:v>
      </x:c>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62" t="n">
        <x:f>$E$16+($E$17-$E$16)*1/8</x:f>
        <x:v>-0.03749999999999999</x:v>
      </x:c>
      <x:c r="D88" s="145" t="n">
        <x:f>((SUM((('Historical Inputs'!$N$9*(1+(C88))^1)*(('Assumptions'!E37+(0))*(1-'Assumptions'!E42-(0))+'Assumptions'!E47-'Assumptions'!E52*(1)+'Assumptions'!E57-'Assumptions'!E62*(1)-'Assumptions'!E67-(0))+('Working Capital'!$E$6))*'DCF'!E12/(1+('DCF'!$E$6))^'DCF'!E13,(('Historical Inputs'!$N$9*(1+(C88))^2)*(('Assumptions'!F37+(0))*(1-'Assumptions'!F42-(0))+'Assumptions'!F47-'Assumptions'!F52*(1)+'Assumptions'!F57-'Assumptions'!F62*(1)-'Assumptions'!F67-(0))+(('Historical Inputs'!$N$9*(1+(C88))^1)*('Assumptions'!E67+(0))))*'DCF'!F12/(1+('DCF'!$E$6))^'DCF'!F13,(('Historical Inputs'!$N$9*(1+(C88))^3)*(('Assumptions'!G37+(0))*(1-'Assumptions'!G42-(0))+'Assumptions'!G47-'Assumptions'!G52*(1)+'Assumptions'!G57-'Assumptions'!G62*(1)-'Assumptions'!G67-(0))+(('Historical Inputs'!$N$9*(1+(C88))^2)*('Assumptions'!F67+(0))))*'DCF'!G12/(1+('DCF'!$E$6))^'DCF'!G13,(('Historical Inputs'!$N$9*(1+(C88))^4)*(('Assumptions'!H37+(0))*(1-'Assumptions'!H42-(0))+'Assumptions'!H47-'Assumptions'!H52*(1)+'Assumptions'!H57-'Assumptions'!H62*(1)-'Assumptions'!H67-(0))+(('Historical Inputs'!$N$9*(1+(C88))^3)*('Assumptions'!G67+(0))))*'DCF'!H12/(1+('DCF'!$E$6))^'DCF'!H13,(('Historical Inputs'!$N$9*(1+(C88))^5)*(('Assumptions'!I37+(0))*(1-'Assumptions'!I42-(0))+'Assumptions'!I47-'Assumptions'!I52*(1)+'Assumptions'!I57-'Assumptions'!I62*(1)-'Assumptions'!I67-(0))+(('Historical Inputs'!$N$9*(1+(C88))^4)*('Assumptions'!H67+(0))))*'DCF'!I12/(1+('DCF'!$E$6))^'DCF'!I13)+('Historical Inputs'!$N$9*(1+(C88))^5)*(1+('DCF'!$E$7))*('Terminal Value'!$E$10+(0))*(1-'Assumptions'!$E$15-(0))*(1-('DCF'!$E$7)/('Terminal Value'!$E$12))/(('DCF'!$E$6)-('DCF'!$E$7))/(1+('DCF'!$E$6))^'DCF'!$E$19)+'Equity Bridge'!$E$17)/'Equity Bridge'!$E$20</x:f>
        <x:v>127.53682443699046</x:v>
      </x:c>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62" t="n">
        <x:f>$E$16+($E$17-$E$16)*2/8</x:f>
        <x:v>0.07500000000000001</x:v>
      </x:c>
      <x:c r="D89" s="145" t="n">
        <x:f>((SUM((('Historical Inputs'!$N$9*(1+(C89))^1)*(('Assumptions'!E37+(0))*(1-'Assumptions'!E42-(0))+'Assumptions'!E47-'Assumptions'!E52*(1)+'Assumptions'!E57-'Assumptions'!E62*(1)-'Assumptions'!E67-(0))+('Working Capital'!$E$6))*'DCF'!E12/(1+('DCF'!$E$6))^'DCF'!E13,(('Historical Inputs'!$N$9*(1+(C89))^2)*(('Assumptions'!F37+(0))*(1-'Assumptions'!F42-(0))+'Assumptions'!F47-'Assumptions'!F52*(1)+'Assumptions'!F57-'Assumptions'!F62*(1)-'Assumptions'!F67-(0))+(('Historical Inputs'!$N$9*(1+(C89))^1)*('Assumptions'!E67+(0))))*'DCF'!F12/(1+('DCF'!$E$6))^'DCF'!F13,(('Historical Inputs'!$N$9*(1+(C89))^3)*(('Assumptions'!G37+(0))*(1-'Assumptions'!G42-(0))+'Assumptions'!G47-'Assumptions'!G52*(1)+'Assumptions'!G57-'Assumptions'!G62*(1)-'Assumptions'!G67-(0))+(('Historical Inputs'!$N$9*(1+(C89))^2)*('Assumptions'!F67+(0))))*'DCF'!G12/(1+('DCF'!$E$6))^'DCF'!G13,(('Historical Inputs'!$N$9*(1+(C89))^4)*(('Assumptions'!H37+(0))*(1-'Assumptions'!H42-(0))+'Assumptions'!H47-'Assumptions'!H52*(1)+'Assumptions'!H57-'Assumptions'!H62*(1)-'Assumptions'!H67-(0))+(('Historical Inputs'!$N$9*(1+(C89))^3)*('Assumptions'!G67+(0))))*'DCF'!H12/(1+('DCF'!$E$6))^'DCF'!H13,(('Historical Inputs'!$N$9*(1+(C89))^5)*(('Assumptions'!I37+(0))*(1-'Assumptions'!I42-(0))+'Assumptions'!I47-'Assumptions'!I52*(1)+'Assumptions'!I57-'Assumptions'!I62*(1)-'Assumptions'!I67-(0))+(('Historical Inputs'!$N$9*(1+(C89))^4)*('Assumptions'!H67+(0))))*'DCF'!I12/(1+('DCF'!$E$6))^'DCF'!I13)+('Historical Inputs'!$N$9*(1+(C89))^5)*(1+('DCF'!$E$7))*('Terminal Value'!$E$10+(0))*(1-'Assumptions'!$E$15-(0))*(1-('DCF'!$E$7)/('Terminal Value'!$E$12))/(('DCF'!$E$6)-('DCF'!$E$7))/(1+('DCF'!$E$6))^'DCF'!$E$19)+'Equity Bridge'!$E$17)/'Equity Bridge'!$E$20</x:f>
        <x:v>213.52522931738105</x:v>
      </x:c>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62" t="n">
        <x:f>$E$16+($E$17-$E$16)*3/8</x:f>
        <x:v>0.18750000000000003</x:v>
      </x:c>
      <x:c r="D90" s="145" t="n">
        <x:f>((SUM((('Historical Inputs'!$N$9*(1+(C90))^1)*(('Assumptions'!E37+(0))*(1-'Assumptions'!E42-(0))+'Assumptions'!E47-'Assumptions'!E52*(1)+'Assumptions'!E57-'Assumptions'!E62*(1)-'Assumptions'!E67-(0))+('Working Capital'!$E$6))*'DCF'!E12/(1+('DCF'!$E$6))^'DCF'!E13,(('Historical Inputs'!$N$9*(1+(C90))^2)*(('Assumptions'!F37+(0))*(1-'Assumptions'!F42-(0))+'Assumptions'!F47-'Assumptions'!F52*(1)+'Assumptions'!F57-'Assumptions'!F62*(1)-'Assumptions'!F67-(0))+(('Historical Inputs'!$N$9*(1+(C90))^1)*('Assumptions'!E67+(0))))*'DCF'!F12/(1+('DCF'!$E$6))^'DCF'!F13,(('Historical Inputs'!$N$9*(1+(C90))^3)*(('Assumptions'!G37+(0))*(1-'Assumptions'!G42-(0))+'Assumptions'!G47-'Assumptions'!G52*(1)+'Assumptions'!G57-'Assumptions'!G62*(1)-'Assumptions'!G67-(0))+(('Historical Inputs'!$N$9*(1+(C90))^2)*('Assumptions'!F67+(0))))*'DCF'!G12/(1+('DCF'!$E$6))^'DCF'!G13,(('Historical Inputs'!$N$9*(1+(C90))^4)*(('Assumptions'!H37+(0))*(1-'Assumptions'!H42-(0))+'Assumptions'!H47-'Assumptions'!H52*(1)+'Assumptions'!H57-'Assumptions'!H62*(1)-'Assumptions'!H67-(0))+(('Historical Inputs'!$N$9*(1+(C90))^3)*('Assumptions'!G67+(0))))*'DCF'!H12/(1+('DCF'!$E$6))^'DCF'!H13,(('Historical Inputs'!$N$9*(1+(C90))^5)*(('Assumptions'!I37+(0))*(1-'Assumptions'!I42-(0))+'Assumptions'!I47-'Assumptions'!I52*(1)+'Assumptions'!I57-'Assumptions'!I62*(1)-'Assumptions'!I67-(0))+(('Historical Inputs'!$N$9*(1+(C90))^4)*('Assumptions'!H67+(0))))*'DCF'!I12/(1+('DCF'!$E$6))^'DCF'!I13)+('Historical Inputs'!$N$9*(1+(C90))^5)*(1+('DCF'!$E$7))*('Terminal Value'!$E$10+(0))*(1-'Assumptions'!$E$15-(0))*(1-('DCF'!$E$7)/('Terminal Value'!$E$12))/(('DCF'!$E$6)-('DCF'!$E$7))/(1+('DCF'!$E$6))^'DCF'!$E$19)+'Equity Bridge'!$E$17)/'Equity Bridge'!$E$20</x:f>
        <x:v>341.8977490964725</x:v>
      </x:c>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62" t="n">
        <x:f>$E$16+($E$17-$E$16)*4/8</x:f>
        <x:v>0.30000000000000004</x:v>
      </x:c>
      <x:c r="D91" s="145" t="n">
        <x:f>((SUM((('Historical Inputs'!$N$9*(1+(C91))^1)*(('Assumptions'!E37+(0))*(1-'Assumptions'!E42-(0))+'Assumptions'!E47-'Assumptions'!E52*(1)+'Assumptions'!E57-'Assumptions'!E62*(1)-'Assumptions'!E67-(0))+('Working Capital'!$E$6))*'DCF'!E12/(1+('DCF'!$E$6))^'DCF'!E13,(('Historical Inputs'!$N$9*(1+(C91))^2)*(('Assumptions'!F37+(0))*(1-'Assumptions'!F42-(0))+'Assumptions'!F47-'Assumptions'!F52*(1)+'Assumptions'!F57-'Assumptions'!F62*(1)-'Assumptions'!F67-(0))+(('Historical Inputs'!$N$9*(1+(C91))^1)*('Assumptions'!E67+(0))))*'DCF'!F12/(1+('DCF'!$E$6))^'DCF'!F13,(('Historical Inputs'!$N$9*(1+(C91))^3)*(('Assumptions'!G37+(0))*(1-'Assumptions'!G42-(0))+'Assumptions'!G47-'Assumptions'!G52*(1)+'Assumptions'!G57-'Assumptions'!G62*(1)-'Assumptions'!G67-(0))+(('Historical Inputs'!$N$9*(1+(C91))^2)*('Assumptions'!F67+(0))))*'DCF'!G12/(1+('DCF'!$E$6))^'DCF'!G13,(('Historical Inputs'!$N$9*(1+(C91))^4)*(('Assumptions'!H37+(0))*(1-'Assumptions'!H42-(0))+'Assumptions'!H47-'Assumptions'!H52*(1)+'Assumptions'!H57-'Assumptions'!H62*(1)-'Assumptions'!H67-(0))+(('Historical Inputs'!$N$9*(1+(C91))^3)*('Assumptions'!G67+(0))))*'DCF'!H12/(1+('DCF'!$E$6))^'DCF'!H13,(('Historical Inputs'!$N$9*(1+(C91))^5)*(('Assumptions'!I37+(0))*(1-'Assumptions'!I42-(0))+'Assumptions'!I47-'Assumptions'!I52*(1)+'Assumptions'!I57-'Assumptions'!I62*(1)-'Assumptions'!I67-(0))+(('Historical Inputs'!$N$9*(1+(C91))^4)*('Assumptions'!H67+(0))))*'DCF'!I12/(1+('DCF'!$E$6))^'DCF'!I13)+('Historical Inputs'!$N$9*(1+(C91))^5)*(1+('DCF'!$E$7))*('Terminal Value'!$E$10+(0))*(1-'Assumptions'!$E$15-(0))*(1-('DCF'!$E$7)/('Terminal Value'!$E$12))/(('DCF'!$E$6)-('DCF'!$E$7))/(1+('DCF'!$E$6))^'DCF'!$E$19)+'Equity Bridge'!$E$17)/'Equity Bridge'!$E$20</x:f>
        <x:v>526.9463956769417</x:v>
      </x:c>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62" t="n">
        <x:f>$E$16+($E$17-$E$16)*5/8</x:f>
        <x:v>0.4125</x:v>
      </x:c>
      <x:c r="D92" s="145" t="n">
        <x:f>((SUM((('Historical Inputs'!$N$9*(1+(C92))^1)*(('Assumptions'!E37+(0))*(1-'Assumptions'!E42-(0))+'Assumptions'!E47-'Assumptions'!E52*(1)+'Assumptions'!E57-'Assumptions'!E62*(1)-'Assumptions'!E67-(0))+('Working Capital'!$E$6))*'DCF'!E12/(1+('DCF'!$E$6))^'DCF'!E13,(('Historical Inputs'!$N$9*(1+(C92))^2)*(('Assumptions'!F37+(0))*(1-'Assumptions'!F42-(0))+'Assumptions'!F47-'Assumptions'!F52*(1)+'Assumptions'!F57-'Assumptions'!F62*(1)-'Assumptions'!F67-(0))+(('Historical Inputs'!$N$9*(1+(C92))^1)*('Assumptions'!E67+(0))))*'DCF'!F12/(1+('DCF'!$E$6))^'DCF'!F13,(('Historical Inputs'!$N$9*(1+(C92))^3)*(('Assumptions'!G37+(0))*(1-'Assumptions'!G42-(0))+'Assumptions'!G47-'Assumptions'!G52*(1)+'Assumptions'!G57-'Assumptions'!G62*(1)-'Assumptions'!G67-(0))+(('Historical Inputs'!$N$9*(1+(C92))^2)*('Assumptions'!F67+(0))))*'DCF'!G12/(1+('DCF'!$E$6))^'DCF'!G13,(('Historical Inputs'!$N$9*(1+(C92))^4)*(('Assumptions'!H37+(0))*(1-'Assumptions'!H42-(0))+'Assumptions'!H47-'Assumptions'!H52*(1)+'Assumptions'!H57-'Assumptions'!H62*(1)-'Assumptions'!H67-(0))+(('Historical Inputs'!$N$9*(1+(C92))^3)*('Assumptions'!G67+(0))))*'DCF'!H12/(1+('DCF'!$E$6))^'DCF'!H13,(('Historical Inputs'!$N$9*(1+(C92))^5)*(('Assumptions'!I37+(0))*(1-'Assumptions'!I42-(0))+'Assumptions'!I47-'Assumptions'!I52*(1)+'Assumptions'!I57-'Assumptions'!I62*(1)-'Assumptions'!I67-(0))+(('Historical Inputs'!$N$9*(1+(C92))^4)*('Assumptions'!H67+(0))))*'DCF'!I12/(1+('DCF'!$E$6))^'DCF'!I13)+('Historical Inputs'!$N$9*(1+(C92))^5)*(1+('DCF'!$E$7))*('Terminal Value'!$E$10+(0))*(1-'Assumptions'!$E$15-(0))*(1-('DCF'!$E$7)/('Terminal Value'!$E$12))/(('DCF'!$E$6)-('DCF'!$E$7))/(1+('DCF'!$E$6))^'DCF'!$E$19)+'Equity Bridge'!$E$17)/'Equity Bridge'!$E$20</x:f>
        <x:v>785.8904299949927</x:v>
      </x:c>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62" t="n">
        <x:f>$E$16+($E$17-$E$16)*6/8</x:f>
        <x:v>0.525</x:v>
      </x:c>
      <x:c r="D93" s="145" t="n">
        <x:f>((SUM((('Historical Inputs'!$N$9*(1+(C93))^1)*(('Assumptions'!E37+(0))*(1-'Assumptions'!E42-(0))+'Assumptions'!E47-'Assumptions'!E52*(1)+'Assumptions'!E57-'Assumptions'!E62*(1)-'Assumptions'!E67-(0))+('Working Capital'!$E$6))*'DCF'!E12/(1+('DCF'!$E$6))^'DCF'!E13,(('Historical Inputs'!$N$9*(1+(C93))^2)*(('Assumptions'!F37+(0))*(1-'Assumptions'!F42-(0))+'Assumptions'!F47-'Assumptions'!F52*(1)+'Assumptions'!F57-'Assumptions'!F62*(1)-'Assumptions'!F67-(0))+(('Historical Inputs'!$N$9*(1+(C93))^1)*('Assumptions'!E67+(0))))*'DCF'!F12/(1+('DCF'!$E$6))^'DCF'!F13,(('Historical Inputs'!$N$9*(1+(C93))^3)*(('Assumptions'!G37+(0))*(1-'Assumptions'!G42-(0))+'Assumptions'!G47-'Assumptions'!G52*(1)+'Assumptions'!G57-'Assumptions'!G62*(1)-'Assumptions'!G67-(0))+(('Historical Inputs'!$N$9*(1+(C93))^2)*('Assumptions'!F67+(0))))*'DCF'!G12/(1+('DCF'!$E$6))^'DCF'!G13,(('Historical Inputs'!$N$9*(1+(C93))^4)*(('Assumptions'!H37+(0))*(1-'Assumptions'!H42-(0))+'Assumptions'!H47-'Assumptions'!H52*(1)+'Assumptions'!H57-'Assumptions'!H62*(1)-'Assumptions'!H67-(0))+(('Historical Inputs'!$N$9*(1+(C93))^3)*('Assumptions'!G67+(0))))*'DCF'!H12/(1+('DCF'!$E$6))^'DCF'!H13,(('Historical Inputs'!$N$9*(1+(C93))^5)*(('Assumptions'!I37+(0))*(1-'Assumptions'!I42-(0))+'Assumptions'!I47-'Assumptions'!I52*(1)+'Assumptions'!I57-'Assumptions'!I62*(1)-'Assumptions'!I67-(0))+(('Historical Inputs'!$N$9*(1+(C93))^4)*('Assumptions'!H67+(0))))*'DCF'!I12/(1+('DCF'!$E$6))^'DCF'!I13)+('Historical Inputs'!$N$9*(1+(C93))^5)*(1+('DCF'!$E$7))*('Terminal Value'!$E$10+(0))*(1-'Assumptions'!$E$15-(0))*(1-('DCF'!$E$7)/('Terminal Value'!$E$12))/(('DCF'!$E$6)-('DCF'!$E$7))/(1+('DCF'!$E$6))^'DCF'!$E$19)+'Equity Bridge'!$E$17)/'Equity Bridge'!$E$20</x:f>
        <x:v>1139.1505966170077</x:v>
      </x:c>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62" t="n">
        <x:f>$E$16+($E$17-$E$16)*7/8</x:f>
        <x:v>0.6375</x:v>
      </x:c>
      <x:c r="D94" s="145" t="n">
        <x:f>((SUM((('Historical Inputs'!$N$9*(1+(C94))^1)*(('Assumptions'!E37+(0))*(1-'Assumptions'!E42-(0))+'Assumptions'!E47-'Assumptions'!E52*(1)+'Assumptions'!E57-'Assumptions'!E62*(1)-'Assumptions'!E67-(0))+('Working Capital'!$E$6))*'DCF'!E12/(1+('DCF'!$E$6))^'DCF'!E13,(('Historical Inputs'!$N$9*(1+(C94))^2)*(('Assumptions'!F37+(0))*(1-'Assumptions'!F42-(0))+'Assumptions'!F47-'Assumptions'!F52*(1)+'Assumptions'!F57-'Assumptions'!F62*(1)-'Assumptions'!F67-(0))+(('Historical Inputs'!$N$9*(1+(C94))^1)*('Assumptions'!E67+(0))))*'DCF'!F12/(1+('DCF'!$E$6))^'DCF'!F13,(('Historical Inputs'!$N$9*(1+(C94))^3)*(('Assumptions'!G37+(0))*(1-'Assumptions'!G42-(0))+'Assumptions'!G47-'Assumptions'!G52*(1)+'Assumptions'!G57-'Assumptions'!G62*(1)-'Assumptions'!G67-(0))+(('Historical Inputs'!$N$9*(1+(C94))^2)*('Assumptions'!F67+(0))))*'DCF'!G12/(1+('DCF'!$E$6))^'DCF'!G13,(('Historical Inputs'!$N$9*(1+(C94))^4)*(('Assumptions'!H37+(0))*(1-'Assumptions'!H42-(0))+'Assumptions'!H47-'Assumptions'!H52*(1)+'Assumptions'!H57-'Assumptions'!H62*(1)-'Assumptions'!H67-(0))+(('Historical Inputs'!$N$9*(1+(C94))^3)*('Assumptions'!G67+(0))))*'DCF'!H12/(1+('DCF'!$E$6))^'DCF'!H13,(('Historical Inputs'!$N$9*(1+(C94))^5)*(('Assumptions'!I37+(0))*(1-'Assumptions'!I42-(0))+'Assumptions'!I47-'Assumptions'!I52*(1)+'Assumptions'!I57-'Assumptions'!I62*(1)-'Assumptions'!I67-(0))+(('Historical Inputs'!$N$9*(1+(C94))^4)*('Assumptions'!H67+(0))))*'DCF'!I12/(1+('DCF'!$E$6))^'DCF'!I13)+('Historical Inputs'!$N$9*(1+(C94))^5)*(1+('DCF'!$E$7))*('Terminal Value'!$E$10+(0))*(1-'Assumptions'!$E$15-(0))*(1-('DCF'!$E$7)/('Terminal Value'!$E$12))/(('DCF'!$E$6)-('DCF'!$E$7))/(1+('DCF'!$E$6))^'DCF'!$E$19)+'Equity Bridge'!$E$17)/'Equity Bridge'!$E$20</x:f>
        <x:v>1610.6233583362034</x:v>
      </x:c>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62" t="n">
        <x:f>$E$16+($E$17-$E$16)*8/8</x:f>
        <x:v>0.75</x:v>
      </x:c>
      <x:c r="D95" s="145" t="n">
        <x:f>((SUM((('Historical Inputs'!$N$9*(1+(C95))^1)*(('Assumptions'!E37+(0))*(1-'Assumptions'!E42-(0))+'Assumptions'!E47-'Assumptions'!E52*(1)+'Assumptions'!E57-'Assumptions'!E62*(1)-'Assumptions'!E67-(0))+('Working Capital'!$E$6))*'DCF'!E12/(1+('DCF'!$E$6))^'DCF'!E13,(('Historical Inputs'!$N$9*(1+(C95))^2)*(('Assumptions'!F37+(0))*(1-'Assumptions'!F42-(0))+'Assumptions'!F47-'Assumptions'!F52*(1)+'Assumptions'!F57-'Assumptions'!F62*(1)-'Assumptions'!F67-(0))+(('Historical Inputs'!$N$9*(1+(C95))^1)*('Assumptions'!E67+(0))))*'DCF'!F12/(1+('DCF'!$E$6))^'DCF'!F13,(('Historical Inputs'!$N$9*(1+(C95))^3)*(('Assumptions'!G37+(0))*(1-'Assumptions'!G42-(0))+'Assumptions'!G47-'Assumptions'!G52*(1)+'Assumptions'!G57-'Assumptions'!G62*(1)-'Assumptions'!G67-(0))+(('Historical Inputs'!$N$9*(1+(C95))^2)*('Assumptions'!F67+(0))))*'DCF'!G12/(1+('DCF'!$E$6))^'DCF'!G13,(('Historical Inputs'!$N$9*(1+(C95))^4)*(('Assumptions'!H37+(0))*(1-'Assumptions'!H42-(0))+'Assumptions'!H47-'Assumptions'!H52*(1)+'Assumptions'!H57-'Assumptions'!H62*(1)-'Assumptions'!H67-(0))+(('Historical Inputs'!$N$9*(1+(C95))^3)*('Assumptions'!G67+(0))))*'DCF'!H12/(1+('DCF'!$E$6))^'DCF'!H13,(('Historical Inputs'!$N$9*(1+(C95))^5)*(('Assumptions'!I37+(0))*(1-'Assumptions'!I42-(0))+'Assumptions'!I47-'Assumptions'!I52*(1)+'Assumptions'!I57-'Assumptions'!I62*(1)-'Assumptions'!I67-(0))+(('Historical Inputs'!$N$9*(1+(C95))^4)*('Assumptions'!H67+(0))))*'DCF'!I12/(1+('DCF'!$E$6))^'DCF'!I13)+('Historical Inputs'!$N$9*(1+(C95))^5)*(1+('DCF'!$E$7))*('Terminal Value'!$E$10+(0))*(1-'Assumptions'!$E$15-(0))*(1-('DCF'!$E$7)/('Terminal Value'!$E$12))/(('DCF'!$E$6)-('DCF'!$E$7))/(1+('DCF'!$E$6))^'DCF'!$E$19)+'Equity Bridge'!$E$17)/'Equity Bridge'!$E$20</x:f>
        <x:v>2227.955130769279</x:v>
      </x:c>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24:L26"/>
    <x:mergeCell ref="C27:L29"/>
    <x:mergeCell ref="C30:L32"/>
  </x:mergeCells>
  <x:pageMargins left="0.7" right="0.7" top="0.75" bottom="0.75" header="0.3" footer="0.3"/>
  <x:drawing xmlns:r="http://schemas.openxmlformats.org/officeDocument/2006/relationships" r:id="Rb41fa3e09c9c480d"/>
  <x:legacyDrawing xmlns:r="http://schemas.openxmlformats.org/officeDocument/2006/relationships" r:id="Rbbd08738742b45a3"/>
</x:worksheet>
</file>

<file path=xl/worksheets/sheet15.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Margin</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Value slope per unit margin</x:v>
      </x:c>
      <x:c r="D11" s="136"/>
      <x:c r="E11" s="164" t="n">
        <x:f>SUM('Forecast'!E12*(1-'Forecast'!E16)*'DCF'!E12/'DCF'!E14,'Forecast'!F12*(1-'Forecast'!F16)*'DCF'!F12/'DCF'!F14,'Forecast'!G12*(1-'Forecast'!G16)*'DCF'!G12/'DCF'!G14,'Forecast'!H12*(1-'Forecast'!H16)*'DCF'!H12/'DCF'!H14,'Forecast'!I12*(1-'Forecast'!I16)*'DCF'!I12/'DCF'!I14)+('Terminal Value'!E8*(1+'DCF'!E7)*(1-'Assumptions'!E15)*(1-'DCF'!E7/'Terminal Value'!E12)/('DCF'!E6-'DCF'!E7)/'DCF'!E20)</x:f>
        <x:v>5834215.677856538</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Required parallel margin shift</x:v>
      </x:c>
      <x:c r="D12" s="139"/>
      <x:c r="E12" s="152" t="n">
        <x:f>E10/E11</x:f>
        <x:v>0.3016708531973552</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9" t="str">
        <x:v>Required stable operating margin</x:v>
      </x:c>
      <x:c r="D13" s="139"/>
      <x:c r="E13" s="152" t="n">
        <x:f>'Terminal Value'!E10+E12</x:f>
        <x:v>0.7016708531973552</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All implied margins within 0 to 100?</x:v>
      </x:c>
      <x:c r="D14" s="136"/>
      <x:c r="E14" s="243" t="str">
        <x:f>IF(AND(MIN('Forecast'!E14:I14)+E12&gt;=0,MAX('Forecast'!E14:I14)+E12&lt;=1,E13&gt;=0,E13&lt;=1),"Within absolute bounds","Outside absolute bounds")</x:f>
        <x:v>Within absolute bounds</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Value slope from terminal margin</x:v>
      </x:c>
      <x:c r="D16" s="136"/>
      <x:c r="E16" s="164" t="n">
        <x:f>'Terminal Value'!E8*(1+'DCF'!E7)*(1-'Assumptions'!E15)*(1-'DCF'!E7/'Terminal Value'!E12)/('DCF'!E6-'DCF'!E7)/'DCF'!E20</x:f>
        <x:v>4279946.30972217</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9" t="str">
        <x:v>Terminal-only required margin</x:v>
      </x:c>
      <x:c r="D17" s="139"/>
      <x:c r="E17" s="152" t="n">
        <x:f>'Terminal Value'!E10+E10/E16</x:f>
        <x:v>0.8112231074671163</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9" t="str">
        <x:v>Forecast-only required margin shift</x:v>
      </x:c>
      <x:c r="D18" s="139"/>
      <x:c r="E18" s="152" t="n">
        <x:f>E10/(E11-E16)</x:f>
        <x:v>1.1323730991295025</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x:c r="D21" s="136"/>
      <x:c r="E21" s="156" t="str">
        <x:v>FY2027</x:v>
      </x:c>
      <x:c r="F21" s="158" t="str">
        <x:v>FY2028</x:v>
      </x:c>
      <x:c r="G21" s="158" t="str">
        <x:v>FY2029</x:v>
      </x:c>
      <x:c r="H21" s="158" t="str">
        <x:v>FY2030</x:v>
      </x:c>
      <x:c r="I21" s="160" t="str">
        <x:v>FY2031</x:v>
      </x:c>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9" t="str">
        <x:v>Baseline operating margin</x:v>
      </x:c>
      <x:c r="D22" s="139"/>
      <x:c r="E22" s="152" t="n">
        <x:f>'Forecast'!E14</x:f>
        <x:v>0.45637874221208147</x:v>
      </x:c>
      <x:c r="F22" s="152" t="n">
        <x:f>'Forecast'!F14</x:f>
        <x:v>0.425622954183409</x:v>
      </x:c>
      <x:c r="G22" s="152" t="n">
        <x:f>'Forecast'!G14</x:f>
        <x:v>0.4022939964496796</x:v>
      </x:c>
      <x:c r="H22" s="152" t="n">
        <x:f>'Forecast'!H14</x:f>
        <x:v>0.38630180822151133</x:v>
      </x:c>
      <x:c r="I22" s="152" t="n">
        <x:f>'Forecast'!I14</x:f>
        <x:v>0.3746364321844728</x:v>
      </x:c>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9" t="str">
        <x:v>Required parallel operating margin</x:v>
      </x:c>
      <x:c r="D23" s="139"/>
      <x:c r="E23" s="152" t="n">
        <x:f>E22+$E$12</x:f>
        <x:v>0.7580495954094366</x:v>
      </x:c>
      <x:c r="F23" s="152" t="n">
        <x:f>F22+$E$12</x:f>
        <x:v>0.7272938073807642</x:v>
      </x:c>
      <x:c r="G23" s="152" t="n">
        <x:f>G22+$E$12</x:f>
        <x:v>0.7039648496470348</x:v>
      </x:c>
      <x:c r="H23" s="152" t="n">
        <x:f>H22+$E$12</x:f>
        <x:v>0.6879726614188666</x:v>
      </x:c>
      <x:c r="I23" s="152" t="n">
        <x:f>I22+$E$12</x:f>
        <x:v>0.6763072853818279</x:v>
      </x:c>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56" t="str">
        <x:v>Margin shift</x:v>
      </x:c>
      <x:c r="D27" s="160" t="str">
        <x:v>Fair price</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01" t="n">
        <x:v>-0.1</x:v>
      </x:c>
      <x:c r="D28" s="145" t="n">
        <x:f>((SUM((('Forecast'!E12)*(('Assumptions'!E37+(C28))*(1-'Assumptions'!E42-(0))+'Assumptions'!E47-'Assumptions'!E52*(1)+'Assumptions'!E57-'Assumptions'!E62*(1)-'Assumptions'!E67-(0))+('Working Capital'!$E$6))*'DCF'!E12/(1+('DCF'!$E$6))^'DCF'!E13,(('Forecast'!F12)*(('Assumptions'!F37+(C28))*(1-'Assumptions'!F42-(0))+'Assumptions'!F47-'Assumptions'!F52*(1)+'Assumptions'!F57-'Assumptions'!F62*(1)-'Assumptions'!F67-(0))+(('Forecast'!E12)*('Assumptions'!E67+(0))))*'DCF'!F12/(1+('DCF'!$E$6))^'DCF'!F13,(('Forecast'!G12)*(('Assumptions'!G37+(C28))*(1-'Assumptions'!G42-(0))+'Assumptions'!G47-'Assumptions'!G52*(1)+'Assumptions'!G57-'Assumptions'!G62*(1)-'Assumptions'!G67-(0))+(('Forecast'!F12)*('Assumptions'!F67+(0))))*'DCF'!G12/(1+('DCF'!$E$6))^'DCF'!G13,(('Forecast'!H12)*(('Assumptions'!H37+(C28))*(1-'Assumptions'!H42-(0))+'Assumptions'!H47-'Assumptions'!H52*(1)+'Assumptions'!H57-'Assumptions'!H62*(1)-'Assumptions'!H67-(0))+(('Forecast'!G12)*('Assumptions'!G67+(0))))*'DCF'!H12/(1+('DCF'!$E$6))^'DCF'!H13,(('Forecast'!I12)*(('Assumptions'!I37+(C28))*(1-'Assumptions'!I42-(0))+'Assumptions'!I47-'Assumptions'!I52*(1)+'Assumptions'!I57-'Assumptions'!I62*(1)-'Assumptions'!I67-(0))+(('Forecast'!H12)*('Assumptions'!H67+(0))))*'DCF'!I12/(1+('DCF'!$E$6))^'DCF'!I13)+('Forecast'!I12)*(1+('DCF'!$E$7))*('Terminal Value'!$E$10+(C28))*(1-'Assumptions'!$E$15-(0))*(1-('DCF'!$E$7)/('Terminal Value'!$E$12))/(('DCF'!$E$6)-('DCF'!$E$7))/(1+('DCF'!$E$6))^'DCF'!$E$19)+'Equity Bridge'!$E$17)/'Equity Bridge'!$E$20</x:f>
        <x:v>208.03585693406544</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01" t="n">
        <x:v>-0.05</x:v>
      </x:c>
      <x:c r="D29" s="145" t="n">
        <x:f>((SUM((('Forecast'!E12)*(('Assumptions'!E37+(C29))*(1-'Assumptions'!E42-(0))+'Assumptions'!E47-'Assumptions'!E52*(1)+'Assumptions'!E57-'Assumptions'!E62*(1)-'Assumptions'!E67-(0))+('Working Capital'!$E$6))*'DCF'!E12/(1+('DCF'!$E$6))^'DCF'!E13,(('Forecast'!F12)*(('Assumptions'!F37+(C29))*(1-'Assumptions'!F42-(0))+'Assumptions'!F47-'Assumptions'!F52*(1)+'Assumptions'!F57-'Assumptions'!F62*(1)-'Assumptions'!F67-(0))+(('Forecast'!E12)*('Assumptions'!E67+(0))))*'DCF'!F12/(1+('DCF'!$E$6))^'DCF'!F13,(('Forecast'!G12)*(('Assumptions'!G37+(C29))*(1-'Assumptions'!G42-(0))+'Assumptions'!G47-'Assumptions'!G52*(1)+'Assumptions'!G57-'Assumptions'!G62*(1)-'Assumptions'!G67-(0))+(('Forecast'!F12)*('Assumptions'!F67+(0))))*'DCF'!G12/(1+('DCF'!$E$6))^'DCF'!G13,(('Forecast'!H12)*(('Assumptions'!H37+(C29))*(1-'Assumptions'!H42-(0))+'Assumptions'!H47-'Assumptions'!H52*(1)+'Assumptions'!H57-'Assumptions'!H62*(1)-'Assumptions'!H67-(0))+(('Forecast'!G12)*('Assumptions'!G67+(0))))*'DCF'!H12/(1+('DCF'!$E$6))^'DCF'!H13,(('Forecast'!I12)*(('Assumptions'!I37+(C29))*(1-'Assumptions'!I42-(0))+'Assumptions'!I47-'Assumptions'!I52*(1)+'Assumptions'!I57-'Assumptions'!I62*(1)-'Assumptions'!I67-(0))+(('Forecast'!H12)*('Assumptions'!H67+(0))))*'DCF'!I12/(1+('DCF'!$E$6))^'DCF'!I13)+('Forecast'!I12)*(1+('DCF'!$E$7))*('Terminal Value'!$E$10+(C29))*(1-'Assumptions'!$E$15-(0))*(1-('DCF'!$E$7)/('Terminal Value'!$E$12))/(('DCF'!$E$6)-('DCF'!$E$7))/(1+('DCF'!$E$6))^'DCF'!$E$19)+'Equity Bridge'!$E$17)/'Equity Bridge'!$E$20</x:f>
        <x:v>247.19405581280924</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01" t="n">
        <x:v>0</x:v>
      </x:c>
      <x:c r="D30" s="145" t="n">
        <x:f>((SUM((('Forecast'!E12)*(('Assumptions'!E37+(C30))*(1-'Assumptions'!E42-(0))+'Assumptions'!E47-'Assumptions'!E52*(1)+'Assumptions'!E57-'Assumptions'!E62*(1)-'Assumptions'!E67-(0))+('Working Capital'!$E$6))*'DCF'!E12/(1+('DCF'!$E$6))^'DCF'!E13,(('Forecast'!F12)*(('Assumptions'!F37+(C30))*(1-'Assumptions'!F42-(0))+'Assumptions'!F47-'Assumptions'!F52*(1)+'Assumptions'!F57-'Assumptions'!F62*(1)-'Assumptions'!F67-(0))+(('Forecast'!E12)*('Assumptions'!E67+(0))))*'DCF'!F12/(1+('DCF'!$E$6))^'DCF'!F13,(('Forecast'!G12)*(('Assumptions'!G37+(C30))*(1-'Assumptions'!G42-(0))+'Assumptions'!G47-'Assumptions'!G52*(1)+'Assumptions'!G57-'Assumptions'!G62*(1)-'Assumptions'!G67-(0))+(('Forecast'!F12)*('Assumptions'!F67+(0))))*'DCF'!G12/(1+('DCF'!$E$6))^'DCF'!G13,(('Forecast'!H12)*(('Assumptions'!H37+(C30))*(1-'Assumptions'!H42-(0))+'Assumptions'!H47-'Assumptions'!H52*(1)+'Assumptions'!H57-'Assumptions'!H62*(1)-'Assumptions'!H67-(0))+(('Forecast'!G12)*('Assumptions'!G67+(0))))*'DCF'!H12/(1+('DCF'!$E$6))^'DCF'!H13,(('Forecast'!I12)*(('Assumptions'!I37+(C30))*(1-'Assumptions'!I42-(0))+'Assumptions'!I47-'Assumptions'!I52*(1)+'Assumptions'!I57-'Assumptions'!I62*(1)-'Assumptions'!I67-(0))+(('Forecast'!H12)*('Assumptions'!H67+(0))))*'DCF'!I12/(1+('DCF'!$E$6))^'DCF'!I13)+('Forecast'!I12)*(1+('DCF'!$E$7))*('Terminal Value'!$E$10+(C30))*(1-'Assumptions'!$E$15-(0))*(1-('DCF'!$E$7)/('Terminal Value'!$E$12))/(('DCF'!$E$6)-('DCF'!$E$7))/(1+('DCF'!$E$6))^'DCF'!$E$19)+'Equity Bridge'!$E$17)/'Equity Bridge'!$E$20</x:f>
        <x:v>286.35225469155296</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201" t="n">
        <x:v>0.05000000000000002</x:v>
      </x:c>
      <x:c r="D31" s="145" t="n">
        <x:f>((SUM((('Forecast'!E12)*(('Assumptions'!E37+(C31))*(1-'Assumptions'!E42-(0))+'Assumptions'!E47-'Assumptions'!E52*(1)+'Assumptions'!E57-'Assumptions'!E62*(1)-'Assumptions'!E67-(0))+('Working Capital'!$E$6))*'DCF'!E12/(1+('DCF'!$E$6))^'DCF'!E13,(('Forecast'!F12)*(('Assumptions'!F37+(C31))*(1-'Assumptions'!F42-(0))+'Assumptions'!F47-'Assumptions'!F52*(1)+'Assumptions'!F57-'Assumptions'!F62*(1)-'Assumptions'!F67-(0))+(('Forecast'!E12)*('Assumptions'!E67+(0))))*'DCF'!F12/(1+('DCF'!$E$6))^'DCF'!F13,(('Forecast'!G12)*(('Assumptions'!G37+(C31))*(1-'Assumptions'!G42-(0))+'Assumptions'!G47-'Assumptions'!G52*(1)+'Assumptions'!G57-'Assumptions'!G62*(1)-'Assumptions'!G67-(0))+(('Forecast'!F12)*('Assumptions'!F67+(0))))*'DCF'!G12/(1+('DCF'!$E$6))^'DCF'!G13,(('Forecast'!H12)*(('Assumptions'!H37+(C31))*(1-'Assumptions'!H42-(0))+'Assumptions'!H47-'Assumptions'!H52*(1)+'Assumptions'!H57-'Assumptions'!H62*(1)-'Assumptions'!H67-(0))+(('Forecast'!G12)*('Assumptions'!G67+(0))))*'DCF'!H12/(1+('DCF'!$E$6))^'DCF'!H13,(('Forecast'!I12)*(('Assumptions'!I37+(C31))*(1-'Assumptions'!I42-(0))+'Assumptions'!I47-'Assumptions'!I52*(1)+'Assumptions'!I57-'Assumptions'!I62*(1)-'Assumptions'!I67-(0))+(('Forecast'!H12)*('Assumptions'!H67+(0))))*'DCF'!I12/(1+('DCF'!$E$6))^'DCF'!I13)+('Forecast'!I12)*(1+('DCF'!$E$7))*('Terminal Value'!$E$10+(C31))*(1-'Assumptions'!$E$15-(0))*(1-('DCF'!$E$7)/('Terminal Value'!$E$12))/(('DCF'!$E$6)-('DCF'!$E$7))/(1+('DCF'!$E$6))^'DCF'!$E$19)+'Equity Bridge'!$E$17)/'Equity Bridge'!$E$20</x:f>
        <x:v>325.51045357029676</x:v>
      </x:c>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201" t="n">
        <x:v>0.1</x:v>
      </x:c>
      <x:c r="D32" s="145" t="n">
        <x:f>((SUM((('Forecast'!E12)*(('Assumptions'!E37+(C32))*(1-'Assumptions'!E42-(0))+'Assumptions'!E47-'Assumptions'!E52*(1)+'Assumptions'!E57-'Assumptions'!E62*(1)-'Assumptions'!E67-(0))+('Working Capital'!$E$6))*'DCF'!E12/(1+('DCF'!$E$6))^'DCF'!E13,(('Forecast'!F12)*(('Assumptions'!F37+(C32))*(1-'Assumptions'!F42-(0))+'Assumptions'!F47-'Assumptions'!F52*(1)+'Assumptions'!F57-'Assumptions'!F62*(1)-'Assumptions'!F67-(0))+(('Forecast'!E12)*('Assumptions'!E67+(0))))*'DCF'!F12/(1+('DCF'!$E$6))^'DCF'!F13,(('Forecast'!G12)*(('Assumptions'!G37+(C32))*(1-'Assumptions'!G42-(0))+'Assumptions'!G47-'Assumptions'!G52*(1)+'Assumptions'!G57-'Assumptions'!G62*(1)-'Assumptions'!G67-(0))+(('Forecast'!F12)*('Assumptions'!F67+(0))))*'DCF'!G12/(1+('DCF'!$E$6))^'DCF'!G13,(('Forecast'!H12)*(('Assumptions'!H37+(C32))*(1-'Assumptions'!H42-(0))+'Assumptions'!H47-'Assumptions'!H52*(1)+'Assumptions'!H57-'Assumptions'!H62*(1)-'Assumptions'!H67-(0))+(('Forecast'!G12)*('Assumptions'!G67+(0))))*'DCF'!H12/(1+('DCF'!$E$6))^'DCF'!H13,(('Forecast'!I12)*(('Assumptions'!I37+(C32))*(1-'Assumptions'!I42-(0))+'Assumptions'!I47-'Assumptions'!I52*(1)+'Assumptions'!I57-'Assumptions'!I62*(1)-'Assumptions'!I67-(0))+(('Forecast'!H12)*('Assumptions'!H67+(0))))*'DCF'!I12/(1+('DCF'!$E$6))^'DCF'!I13)+('Forecast'!I12)*(1+('DCF'!$E$7))*('Terminal Value'!$E$10+(C32))*(1-'Assumptions'!$E$15-(0))*(1-('DCF'!$E$7)/('Terminal Value'!$E$12))/(('DCF'!$E$6)-('DCF'!$E$7))/(1+('DCF'!$E$6))^'DCF'!$E$19)+'Equity Bridge'!$E$17)/'Equity Bridge'!$E$20</x:f>
        <x:v>364.6686524490405</x:v>
      </x:c>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201" t="n">
        <x:v>0.15</x:v>
      </x:c>
      <x:c r="D33" s="145" t="n">
        <x:f>((SUM((('Forecast'!E12)*(('Assumptions'!E37+(C33))*(1-'Assumptions'!E42-(0))+'Assumptions'!E47-'Assumptions'!E52*(1)+'Assumptions'!E57-'Assumptions'!E62*(1)-'Assumptions'!E67-(0))+('Working Capital'!$E$6))*'DCF'!E12/(1+('DCF'!$E$6))^'DCF'!E13,(('Forecast'!F12)*(('Assumptions'!F37+(C33))*(1-'Assumptions'!F42-(0))+'Assumptions'!F47-'Assumptions'!F52*(1)+'Assumptions'!F57-'Assumptions'!F62*(1)-'Assumptions'!F67-(0))+(('Forecast'!E12)*('Assumptions'!E67+(0))))*'DCF'!F12/(1+('DCF'!$E$6))^'DCF'!F13,(('Forecast'!G12)*(('Assumptions'!G37+(C33))*(1-'Assumptions'!G42-(0))+'Assumptions'!G47-'Assumptions'!G52*(1)+'Assumptions'!G57-'Assumptions'!G62*(1)-'Assumptions'!G67-(0))+(('Forecast'!F12)*('Assumptions'!F67+(0))))*'DCF'!G12/(1+('DCF'!$E$6))^'DCF'!G13,(('Forecast'!H12)*(('Assumptions'!H37+(C33))*(1-'Assumptions'!H42-(0))+'Assumptions'!H47-'Assumptions'!H52*(1)+'Assumptions'!H57-'Assumptions'!H62*(1)-'Assumptions'!H67-(0))+(('Forecast'!G12)*('Assumptions'!G67+(0))))*'DCF'!H12/(1+('DCF'!$E$6))^'DCF'!H13,(('Forecast'!I12)*(('Assumptions'!I37+(C33))*(1-'Assumptions'!I42-(0))+'Assumptions'!I47-'Assumptions'!I52*(1)+'Assumptions'!I57-'Assumptions'!I62*(1)-'Assumptions'!I67-(0))+(('Forecast'!H12)*('Assumptions'!H67+(0))))*'DCF'!I12/(1+('DCF'!$E$6))^'DCF'!I13)+('Forecast'!I12)*(1+('DCF'!$E$7))*('Terminal Value'!$E$10+(C33))*(1-'Assumptions'!$E$15-(0))*(1-('DCF'!$E$7)/('Terminal Value'!$E$12))/(('DCF'!$E$6)-('DCF'!$E$7))/(1+('DCF'!$E$6))^'DCF'!$E$19)+'Equity Bridge'!$E$17)/'Equity Bridge'!$E$20</x:f>
        <x:v>403.8268513277843</x:v>
      </x:c>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201" t="n">
        <x:v>0.20000000000000004</x:v>
      </x:c>
      <x:c r="D34" s="145" t="n">
        <x:f>((SUM((('Forecast'!E12)*(('Assumptions'!E37+(C34))*(1-'Assumptions'!E42-(0))+'Assumptions'!E47-'Assumptions'!E52*(1)+'Assumptions'!E57-'Assumptions'!E62*(1)-'Assumptions'!E67-(0))+('Working Capital'!$E$6))*'DCF'!E12/(1+('DCF'!$E$6))^'DCF'!E13,(('Forecast'!F12)*(('Assumptions'!F37+(C34))*(1-'Assumptions'!F42-(0))+'Assumptions'!F47-'Assumptions'!F52*(1)+'Assumptions'!F57-'Assumptions'!F62*(1)-'Assumptions'!F67-(0))+(('Forecast'!E12)*('Assumptions'!E67+(0))))*'DCF'!F12/(1+('DCF'!$E$6))^'DCF'!F13,(('Forecast'!G12)*(('Assumptions'!G37+(C34))*(1-'Assumptions'!G42-(0))+'Assumptions'!G47-'Assumptions'!G52*(1)+'Assumptions'!G57-'Assumptions'!G62*(1)-'Assumptions'!G67-(0))+(('Forecast'!F12)*('Assumptions'!F67+(0))))*'DCF'!G12/(1+('DCF'!$E$6))^'DCF'!G13,(('Forecast'!H12)*(('Assumptions'!H37+(C34))*(1-'Assumptions'!H42-(0))+'Assumptions'!H47-'Assumptions'!H52*(1)+'Assumptions'!H57-'Assumptions'!H62*(1)-'Assumptions'!H67-(0))+(('Forecast'!G12)*('Assumptions'!G67+(0))))*'DCF'!H12/(1+('DCF'!$E$6))^'DCF'!H13,(('Forecast'!I12)*(('Assumptions'!I37+(C34))*(1-'Assumptions'!I42-(0))+'Assumptions'!I47-'Assumptions'!I52*(1)+'Assumptions'!I57-'Assumptions'!I62*(1)-'Assumptions'!I67-(0))+(('Forecast'!H12)*('Assumptions'!H67+(0))))*'DCF'!I12/(1+('DCF'!$E$6))^'DCF'!I13)+('Forecast'!I12)*(1+('DCF'!$E$7))*('Terminal Value'!$E$10+(C34))*(1-'Assumptions'!$E$15-(0))*(1-('DCF'!$E$7)/('Terminal Value'!$E$12))/(('DCF'!$E$6)-('DCF'!$E$7))/(1+('DCF'!$E$6))^'DCF'!$E$19)+'Equity Bridge'!$E$17)/'Equity Bridge'!$E$20</x:f>
        <x:v>442.9850502065281</x:v>
      </x:c>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201" t="n">
        <x:v>0.25</x:v>
      </x:c>
      <x:c r="D35" s="145" t="n">
        <x:f>((SUM((('Forecast'!E12)*(('Assumptions'!E37+(C35))*(1-'Assumptions'!E42-(0))+'Assumptions'!E47-'Assumptions'!E52*(1)+'Assumptions'!E57-'Assumptions'!E62*(1)-'Assumptions'!E67-(0))+('Working Capital'!$E$6))*'DCF'!E12/(1+('DCF'!$E$6))^'DCF'!E13,(('Forecast'!F12)*(('Assumptions'!F37+(C35))*(1-'Assumptions'!F42-(0))+'Assumptions'!F47-'Assumptions'!F52*(1)+'Assumptions'!F57-'Assumptions'!F62*(1)-'Assumptions'!F67-(0))+(('Forecast'!E12)*('Assumptions'!E67+(0))))*'DCF'!F12/(1+('DCF'!$E$6))^'DCF'!F13,(('Forecast'!G12)*(('Assumptions'!G37+(C35))*(1-'Assumptions'!G42-(0))+'Assumptions'!G47-'Assumptions'!G52*(1)+'Assumptions'!G57-'Assumptions'!G62*(1)-'Assumptions'!G67-(0))+(('Forecast'!F12)*('Assumptions'!F67+(0))))*'DCF'!G12/(1+('DCF'!$E$6))^'DCF'!G13,(('Forecast'!H12)*(('Assumptions'!H37+(C35))*(1-'Assumptions'!H42-(0))+'Assumptions'!H47-'Assumptions'!H52*(1)+'Assumptions'!H57-'Assumptions'!H62*(1)-'Assumptions'!H67-(0))+(('Forecast'!G12)*('Assumptions'!G67+(0))))*'DCF'!H12/(1+('DCF'!$E$6))^'DCF'!H13,(('Forecast'!I12)*(('Assumptions'!I37+(C35))*(1-'Assumptions'!I42-(0))+'Assumptions'!I47-'Assumptions'!I52*(1)+'Assumptions'!I57-'Assumptions'!I62*(1)-'Assumptions'!I67-(0))+(('Forecast'!H12)*('Assumptions'!H67+(0))))*'DCF'!I12/(1+('DCF'!$E$6))^'DCF'!I13)+('Forecast'!I12)*(1+('DCF'!$E$7))*('Terminal Value'!$E$10+(C35))*(1-'Assumptions'!$E$15-(0))*(1-('DCF'!$E$7)/('Terminal Value'!$E$12))/(('DCF'!$E$6)-('DCF'!$E$7))/(1+('DCF'!$E$6))^'DCF'!$E$19)+'Equity Bridge'!$E$17)/'Equity Bridge'!$E$20</x:f>
        <x:v>482.14324908527175</x:v>
      </x:c>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201" t="n">
        <x:v>0.30000000000000004</x:v>
      </x:c>
      <x:c r="D36" s="145" t="n">
        <x:f>((SUM((('Forecast'!E12)*(('Assumptions'!E37+(C36))*(1-'Assumptions'!E42-(0))+'Assumptions'!E47-'Assumptions'!E52*(1)+'Assumptions'!E57-'Assumptions'!E62*(1)-'Assumptions'!E67-(0))+('Working Capital'!$E$6))*'DCF'!E12/(1+('DCF'!$E$6))^'DCF'!E13,(('Forecast'!F12)*(('Assumptions'!F37+(C36))*(1-'Assumptions'!F42-(0))+'Assumptions'!F47-'Assumptions'!F52*(1)+'Assumptions'!F57-'Assumptions'!F62*(1)-'Assumptions'!F67-(0))+(('Forecast'!E12)*('Assumptions'!E67+(0))))*'DCF'!F12/(1+('DCF'!$E$6))^'DCF'!F13,(('Forecast'!G12)*(('Assumptions'!G37+(C36))*(1-'Assumptions'!G42-(0))+'Assumptions'!G47-'Assumptions'!G52*(1)+'Assumptions'!G57-'Assumptions'!G62*(1)-'Assumptions'!G67-(0))+(('Forecast'!F12)*('Assumptions'!F67+(0))))*'DCF'!G12/(1+('DCF'!$E$6))^'DCF'!G13,(('Forecast'!H12)*(('Assumptions'!H37+(C36))*(1-'Assumptions'!H42-(0))+'Assumptions'!H47-'Assumptions'!H52*(1)+'Assumptions'!H57-'Assumptions'!H62*(1)-'Assumptions'!H67-(0))+(('Forecast'!G12)*('Assumptions'!G67+(0))))*'DCF'!H12/(1+('DCF'!$E$6))^'DCF'!H13,(('Forecast'!I12)*(('Assumptions'!I37+(C36))*(1-'Assumptions'!I42-(0))+'Assumptions'!I47-'Assumptions'!I52*(1)+'Assumptions'!I57-'Assumptions'!I62*(1)-'Assumptions'!I67-(0))+(('Forecast'!H12)*('Assumptions'!H67+(0))))*'DCF'!I12/(1+('DCF'!$E$6))^'DCF'!I13)+('Forecast'!I12)*(1+('DCF'!$E$7))*('Terminal Value'!$E$10+(C36))*(1-'Assumptions'!$E$15-(0))*(1-('DCF'!$E$7)/('Terminal Value'!$E$12))/(('DCF'!$E$6)-('DCF'!$E$7))/(1+('DCF'!$E$6))^'DCF'!$E$19)+'Equity Bridge'!$E$17)/'Equity Bridge'!$E$20</x:f>
        <x:v>521.3014479640157</x:v>
      </x:c>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67" t="str">
        <x:v>Selected case observations</x:v>
      </x:c>
      <x:c r="D40" s="170"/>
      <x:c r="E40" s="170"/>
      <x:c r="F40" s="170"/>
      <x:c r="G40" s="170"/>
      <x:c r="H40" s="170"/>
      <x:c r="I40" s="170"/>
      <x:c r="J40" s="170"/>
      <x:c r="K40" s="170"/>
      <x:c r="L40" s="173"/>
      <x:c r="M40" s="136"/>
      <x:c r="N40" s="136"/>
      <x:c r="O40" s="136"/>
      <x:c r="P40" s="136"/>
      <x:c r="Q40" s="136"/>
      <x:c r="R40" s="136"/>
      <x:c r="S40" s="136"/>
      <x:c r="T40" s="136"/>
      <x:c r="U40" s="136"/>
      <x:c r="V40" s="136"/>
      <x:c r="W40" s="136"/>
      <x:c r="X40" s="136"/>
      <x:c r="Y40" s="136"/>
      <x:c r="Z40" s="136"/>
    </x:row>
    <x:row r="41" ht="24" customHeight="1">
      <x:c r="A41" s="136"/>
      <x:c r="B41" s="136"/>
      <x:c r="C41" s="174" t="str">
        <x:f>"The parallel margin shift is "&amp;ROUND(E12*100,2)&amp;" pp; required stable margin "&amp;ROUND(E13*100,2)&amp;"%. "&amp;"The parallel test changes every explicit operating margin and the stable operating margin by the same percentage-point amount. Tax, investment ratios and stable ROIC remain fixed."</x:f>
        <x:v>The parallel margin shift is 30.17 pp; required stable margin 70.17%. The parallel test changes every explicit operating margin and the stable operating margin by the same percentage-point amount. Tax, investment ratios and stable ROIC remain fixed.</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t="str">
        <x:v>Two separate tests isolate the stable margin and explicit forecast margins. A computed margin above 100% is a rejected operating interpretation even when the algebra returns a number.</x:v>
      </x:c>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74" t="str">
        <x:v>The required shift is the enterprise value gap divided by the PV contribution of a one-unit margin increase. The comparison is conditional and does not model the spending needed to attain higher margins.</x:v>
      </x:c>
      <x:c r="D47" s="174"/>
      <x:c r="E47" s="174"/>
      <x:c r="F47" s="174"/>
      <x:c r="G47" s="174"/>
      <x:c r="H47" s="174"/>
      <x:c r="I47" s="174"/>
      <x:c r="J47" s="174"/>
      <x:c r="K47" s="174"/>
      <x:c r="L47" s="174"/>
      <x:c r="M47" s="136"/>
      <x:c r="N47" s="136"/>
      <x:c r="O47" s="136"/>
      <x:c r="P47" s="136"/>
      <x:c r="Q47" s="136"/>
      <x:c r="R47" s="136"/>
      <x:c r="S47" s="136"/>
      <x:c r="T47" s="136"/>
      <x:c r="U47" s="136"/>
      <x:c r="V47" s="136"/>
      <x:c r="W47" s="136"/>
      <x:c r="X47" s="136"/>
      <x:c r="Y47" s="136"/>
      <x:c r="Z47" s="136"/>
    </x:row>
    <x:row r="48" ht="24" customHeight="1">
      <x:c r="A48" s="136"/>
      <x:c r="B48" s="136"/>
      <x:c r="C48" s="174"/>
      <x:c r="D48" s="174"/>
      <x:c r="E48" s="174"/>
      <x:c r="F48" s="174"/>
      <x:c r="G48" s="174"/>
      <x:c r="H48" s="174"/>
      <x:c r="I48" s="174"/>
      <x:c r="J48" s="174"/>
      <x:c r="K48" s="174"/>
      <x:c r="L48" s="174"/>
      <x:c r="M48" s="136"/>
      <x:c r="N48" s="136"/>
      <x:c r="O48" s="136"/>
      <x:c r="P48" s="136"/>
      <x:c r="Q48" s="136"/>
      <x:c r="R48" s="136"/>
      <x:c r="S48" s="136"/>
      <x:c r="T48" s="136"/>
      <x:c r="U48" s="136"/>
      <x:c r="V48" s="136"/>
      <x:c r="W48" s="136"/>
      <x:c r="X48" s="136"/>
      <x:c r="Y48" s="136"/>
      <x:c r="Z48" s="136"/>
    </x:row>
    <x:row r="49" ht="24" customHeight="1">
      <x:c r="A49" s="136"/>
      <x:c r="B49" s="136"/>
      <x:c r="C49" s="174"/>
      <x:c r="D49" s="174"/>
      <x:c r="E49" s="174"/>
      <x:c r="F49" s="174"/>
      <x:c r="G49" s="174"/>
      <x:c r="H49" s="174"/>
      <x:c r="I49" s="174"/>
      <x:c r="J49" s="174"/>
      <x:c r="K49" s="174"/>
      <x:c r="L49" s="174"/>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41:L43"/>
    <x:mergeCell ref="C44:L46"/>
    <x:mergeCell ref="C47:L49"/>
  </x:mergeCells>
  <x:pageMargins left="0.7" right="0.7" top="0.75" bottom="0.75" header="0.3" footer="0.3"/>
  <x:drawing xmlns:r="http://schemas.openxmlformats.org/officeDocument/2006/relationships" r:id="R60f29d3e349b4201"/>
  <x:legacyDrawing xmlns:r="http://schemas.openxmlformats.org/officeDocument/2006/relationships" r:id="R8dea414bbb21470f"/>
</x:worksheet>
</file>

<file path=xl/worksheets/sheet16.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Capex</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Value slope per unit driver</x:v>
      </x:c>
      <x:c r="D11" s="136"/>
      <x:c r="E11" s="164" t="n">
        <x:f>-SUM('Capital Spending'!E9*'DCF'!E12/'DCF'!E14,'Capital Spending'!F9*'DCF'!F12/'DCF'!F14,'Capital Spending'!G9*'DCF'!G12/'DCF'!G14,'Capital Spending'!H9*'DCF'!H12/'DCF'!H14,'Capital Spending'!I9*'DCF'!I12/'DCF'!I14)</x:f>
        <x:v>-481891.1500896484</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Required cash capex multiplier</x:v>
      </x:c>
      <x:c r="D12" s="136"/>
      <x:c r="E12" s="222" t="n">
        <x:f>1+E10/E11</x:f>
        <x:v>-2.6523036809224343</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Economic interpretation</x:v>
      </x:c>
      <x:c r="D14" s="136"/>
      <x:c r="E14" s="243" t="str">
        <x:f>IF(E12&gt;=0,"Nonnegative cash spending","Impossible negative cash capex")</x:f>
        <x:v>Impossible negative cash capex</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Solved enterprise value</x:v>
      </x:c>
      <x:c r="D16" s="136"/>
      <x:c r="E16" s="164" t="n">
        <x:f>E8+(E12-(1))*E11</x:f>
        <x:v>3908109.96905151</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Valuation residual</x:v>
      </x:c>
      <x:c r="D17" s="136"/>
      <x:c r="E17" s="191" t="n">
        <x:f>E16-E9</x:f>
        <x:v>0</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Driver test</x:v>
      </x:c>
      <x:c r="D21" s="160" t="str">
        <x:v>Fair price</x:v>
      </x:c>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242" t="n">
        <x:v>0</x:v>
      </x:c>
      <x:c r="D22" s="145" t="n">
        <x:f>((SUM((('Forecast'!E12)*(('Assumptions'!E37+(0))*(1-'Assumptions'!E42-(0))+'Assumptions'!E47-'Assumptions'!E52*(C22)+'Assumptions'!E57-'Assumptions'!E62*(1)-'Assumptions'!E67-(0))+('Working Capital'!$E$6))*'DCF'!E12/(1+('DCF'!$E$6))^'DCF'!E13,(('Forecast'!F12)*(('Assumptions'!F37+(0))*(1-'Assumptions'!F42-(0))+'Assumptions'!F47-'Assumptions'!F52*(C22)+'Assumptions'!F57-'Assumptions'!F62*(1)-'Assumptions'!F67-(0))+(('Forecast'!E12)*('Assumptions'!E67+(0))))*'DCF'!F12/(1+('DCF'!$E$6))^'DCF'!F13,(('Forecast'!G12)*(('Assumptions'!G37+(0))*(1-'Assumptions'!G42-(0))+'Assumptions'!G47-'Assumptions'!G52*(C22)+'Assumptions'!G57-'Assumptions'!G62*(1)-'Assumptions'!G67-(0))+(('Forecast'!F12)*('Assumptions'!F67+(0))))*'DCF'!G12/(1+('DCF'!$E$6))^'DCF'!G13,(('Forecast'!H12)*(('Assumptions'!H37+(0))*(1-'Assumptions'!H42-(0))+'Assumptions'!H47-'Assumptions'!H52*(C22)+'Assumptions'!H57-'Assumptions'!H62*(1)-'Assumptions'!H67-(0))+(('Forecast'!G12)*('Assumptions'!G67+(0))))*'DCF'!H12/(1+('DCF'!$E$6))^'DCF'!H13,(('Forecast'!I12)*(('Assumptions'!I37+(0))*(1-'Assumptions'!I42-(0))+'Assumptions'!I47-'Assumptions'!I52*(C22)+'Assumptions'!I57-'Assumptions'!I62*(1)-'Assumptions'!I67-(0))+(('Forecast'!H12)*('Assumptions'!H67+(0))))*'DCF'!I12/(1+('DCF'!$E$6))^'DCF'!I13)+('Forecast'!I12)*(1+('DCF'!$E$7))*('Terminal Value'!$E$10+(0))*(1-'Assumptions'!$E$15-(0))*(1-('DCF'!$E$7)/('Terminal Value'!$E$12))/(('DCF'!$E$6)-('DCF'!$E$7))/(1+('DCF'!$E$6))^'DCF'!$E$19)+'Equity Bridge'!$E$17)/'Equity Bridge'!$E$20</x:f>
        <x:v>351.039576981461</x:v>
      </x:c>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242" t="n">
        <x:v>0.25</x:v>
      </x:c>
      <x:c r="D23" s="145" t="n">
        <x:f>((SUM((('Forecast'!E12)*(('Assumptions'!E37+(0))*(1-'Assumptions'!E42-(0))+'Assumptions'!E47-'Assumptions'!E52*(C23)+'Assumptions'!E57-'Assumptions'!E62*(1)-'Assumptions'!E67-(0))+('Working Capital'!$E$6))*'DCF'!E12/(1+('DCF'!$E$6))^'DCF'!E13,(('Forecast'!F12)*(('Assumptions'!F37+(0))*(1-'Assumptions'!F42-(0))+'Assumptions'!F47-'Assumptions'!F52*(C23)+'Assumptions'!F57-'Assumptions'!F62*(1)-'Assumptions'!F67-(0))+(('Forecast'!E12)*('Assumptions'!E67+(0))))*'DCF'!F12/(1+('DCF'!$E$6))^'DCF'!F13,(('Forecast'!G12)*(('Assumptions'!G37+(0))*(1-'Assumptions'!G42-(0))+'Assumptions'!G47-'Assumptions'!G52*(C23)+'Assumptions'!G57-'Assumptions'!G62*(1)-'Assumptions'!G67-(0))+(('Forecast'!F12)*('Assumptions'!F67+(0))))*'DCF'!G12/(1+('DCF'!$E$6))^'DCF'!G13,(('Forecast'!H12)*(('Assumptions'!H37+(0))*(1-'Assumptions'!H42-(0))+'Assumptions'!H47-'Assumptions'!H52*(C23)+'Assumptions'!H57-'Assumptions'!H62*(1)-'Assumptions'!H67-(0))+(('Forecast'!G12)*('Assumptions'!G67+(0))))*'DCF'!H12/(1+('DCF'!$E$6))^'DCF'!H13,(('Forecast'!I12)*(('Assumptions'!I37+(0))*(1-'Assumptions'!I42-(0))+'Assumptions'!I47-'Assumptions'!I52*(C23)+'Assumptions'!I57-'Assumptions'!I62*(1)-'Assumptions'!I67-(0))+(('Forecast'!H12)*('Assumptions'!H67+(0))))*'DCF'!I12/(1+('DCF'!$E$6))^'DCF'!I13)+('Forecast'!I12)*(1+('DCF'!$E$7))*('Terminal Value'!$E$10+(0))*(1-'Assumptions'!$E$15-(0))*(1-('DCF'!$E$7)/('Terminal Value'!$E$12))/(('DCF'!$E$6)-('DCF'!$E$7))/(1+('DCF'!$E$6))^'DCF'!$E$19)+'Equity Bridge'!$E$17)/'Equity Bridge'!$E$20</x:f>
        <x:v>334.867746408984</x:v>
      </x:c>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242" t="n">
        <x:v>0.5</x:v>
      </x:c>
      <x:c r="D24" s="145" t="n">
        <x:f>((SUM((('Forecast'!E12)*(('Assumptions'!E37+(0))*(1-'Assumptions'!E42-(0))+'Assumptions'!E47-'Assumptions'!E52*(C24)+'Assumptions'!E57-'Assumptions'!E62*(1)-'Assumptions'!E67-(0))+('Working Capital'!$E$6))*'DCF'!E12/(1+('DCF'!$E$6))^'DCF'!E13,(('Forecast'!F12)*(('Assumptions'!F37+(0))*(1-'Assumptions'!F42-(0))+'Assumptions'!F47-'Assumptions'!F52*(C24)+'Assumptions'!F57-'Assumptions'!F62*(1)-'Assumptions'!F67-(0))+(('Forecast'!E12)*('Assumptions'!E67+(0))))*'DCF'!F12/(1+('DCF'!$E$6))^'DCF'!F13,(('Forecast'!G12)*(('Assumptions'!G37+(0))*(1-'Assumptions'!G42-(0))+'Assumptions'!G47-'Assumptions'!G52*(C24)+'Assumptions'!G57-'Assumptions'!G62*(1)-'Assumptions'!G67-(0))+(('Forecast'!F12)*('Assumptions'!F67+(0))))*'DCF'!G12/(1+('DCF'!$E$6))^'DCF'!G13,(('Forecast'!H12)*(('Assumptions'!H37+(0))*(1-'Assumptions'!H42-(0))+'Assumptions'!H47-'Assumptions'!H52*(C24)+'Assumptions'!H57-'Assumptions'!H62*(1)-'Assumptions'!H67-(0))+(('Forecast'!G12)*('Assumptions'!G67+(0))))*'DCF'!H12/(1+('DCF'!$E$6))^'DCF'!H13,(('Forecast'!I12)*(('Assumptions'!I37+(0))*(1-'Assumptions'!I42-(0))+'Assumptions'!I47-'Assumptions'!I52*(C24)+'Assumptions'!I57-'Assumptions'!I62*(1)-'Assumptions'!I67-(0))+(('Forecast'!H12)*('Assumptions'!H67+(0))))*'DCF'!I12/(1+('DCF'!$E$6))^'DCF'!I13)+('Forecast'!I12)*(1+('DCF'!$E$7))*('Terminal Value'!$E$10+(0))*(1-'Assumptions'!$E$15-(0))*(1-('DCF'!$E$7)/('Terminal Value'!$E$12))/(('DCF'!$E$6)-('DCF'!$E$7))/(1+('DCF'!$E$6))^'DCF'!$E$19)+'Equity Bridge'!$E$17)/'Equity Bridge'!$E$20</x:f>
        <x:v>318.695915836507</x:v>
      </x:c>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242" t="n">
        <x:v>0.75</x:v>
      </x:c>
      <x:c r="D25" s="145" t="n">
        <x:f>((SUM((('Forecast'!E12)*(('Assumptions'!E37+(0))*(1-'Assumptions'!E42-(0))+'Assumptions'!E47-'Assumptions'!E52*(C25)+'Assumptions'!E57-'Assumptions'!E62*(1)-'Assumptions'!E67-(0))+('Working Capital'!$E$6))*'DCF'!E12/(1+('DCF'!$E$6))^'DCF'!E13,(('Forecast'!F12)*(('Assumptions'!F37+(0))*(1-'Assumptions'!F42-(0))+'Assumptions'!F47-'Assumptions'!F52*(C25)+'Assumptions'!F57-'Assumptions'!F62*(1)-'Assumptions'!F67-(0))+(('Forecast'!E12)*('Assumptions'!E67+(0))))*'DCF'!F12/(1+('DCF'!$E$6))^'DCF'!F13,(('Forecast'!G12)*(('Assumptions'!G37+(0))*(1-'Assumptions'!G42-(0))+'Assumptions'!G47-'Assumptions'!G52*(C25)+'Assumptions'!G57-'Assumptions'!G62*(1)-'Assumptions'!G67-(0))+(('Forecast'!F12)*('Assumptions'!F67+(0))))*'DCF'!G12/(1+('DCF'!$E$6))^'DCF'!G13,(('Forecast'!H12)*(('Assumptions'!H37+(0))*(1-'Assumptions'!H42-(0))+'Assumptions'!H47-'Assumptions'!H52*(C25)+'Assumptions'!H57-'Assumptions'!H62*(1)-'Assumptions'!H67-(0))+(('Forecast'!G12)*('Assumptions'!G67+(0))))*'DCF'!H12/(1+('DCF'!$E$6))^'DCF'!H13,(('Forecast'!I12)*(('Assumptions'!I37+(0))*(1-'Assumptions'!I42-(0))+'Assumptions'!I47-'Assumptions'!I52*(C25)+'Assumptions'!I57-'Assumptions'!I62*(1)-'Assumptions'!I67-(0))+(('Forecast'!H12)*('Assumptions'!H67+(0))))*'DCF'!I12/(1+('DCF'!$E$6))^'DCF'!I13)+('Forecast'!I12)*(1+('DCF'!$E$7))*('Terminal Value'!$E$10+(0))*(1-'Assumptions'!$E$15-(0))*(1-('DCF'!$E$7)/('Terminal Value'!$E$12))/(('DCF'!$E$6)-('DCF'!$E$7))/(1+('DCF'!$E$6))^'DCF'!$E$19)+'Equity Bridge'!$E$17)/'Equity Bridge'!$E$20</x:f>
        <x:v>302.52408526403</x:v>
      </x:c>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242" t="n">
        <x:v>1</x:v>
      </x:c>
      <x:c r="D26" s="145" t="n">
        <x:f>((SUM((('Forecast'!E12)*(('Assumptions'!E37+(0))*(1-'Assumptions'!E42-(0))+'Assumptions'!E47-'Assumptions'!E52*(C26)+'Assumptions'!E57-'Assumptions'!E62*(1)-'Assumptions'!E67-(0))+('Working Capital'!$E$6))*'DCF'!E12/(1+('DCF'!$E$6))^'DCF'!E13,(('Forecast'!F12)*(('Assumptions'!F37+(0))*(1-'Assumptions'!F42-(0))+'Assumptions'!F47-'Assumptions'!F52*(C26)+'Assumptions'!F57-'Assumptions'!F62*(1)-'Assumptions'!F67-(0))+(('Forecast'!E12)*('Assumptions'!E67+(0))))*'DCF'!F12/(1+('DCF'!$E$6))^'DCF'!F13,(('Forecast'!G12)*(('Assumptions'!G37+(0))*(1-'Assumptions'!G42-(0))+'Assumptions'!G47-'Assumptions'!G52*(C26)+'Assumptions'!G57-'Assumptions'!G62*(1)-'Assumptions'!G67-(0))+(('Forecast'!F12)*('Assumptions'!F67+(0))))*'DCF'!G12/(1+('DCF'!$E$6))^'DCF'!G13,(('Forecast'!H12)*(('Assumptions'!H37+(0))*(1-'Assumptions'!H42-(0))+'Assumptions'!H47-'Assumptions'!H52*(C26)+'Assumptions'!H57-'Assumptions'!H62*(1)-'Assumptions'!H67-(0))+(('Forecast'!G12)*('Assumptions'!G67+(0))))*'DCF'!H12/(1+('DCF'!$E$6))^'DCF'!H13,(('Forecast'!I12)*(('Assumptions'!I37+(0))*(1-'Assumptions'!I42-(0))+'Assumptions'!I47-'Assumptions'!I52*(C26)+'Assumptions'!I57-'Assumptions'!I62*(1)-'Assumptions'!I67-(0))+(('Forecast'!H12)*('Assumptions'!H67+(0))))*'DCF'!I12/(1+('DCF'!$E$6))^'DCF'!I13)+('Forecast'!I12)*(1+('DCF'!$E$7))*('Terminal Value'!$E$10+(0))*(1-'Assumptions'!$E$15-(0))*(1-('DCF'!$E$7)/('Terminal Value'!$E$12))/(('DCF'!$E$6)-('DCF'!$E$7))/(1+('DCF'!$E$6))^'DCF'!$E$19)+'Equity Bridge'!$E$17)/'Equity Bridge'!$E$20</x:f>
        <x:v>286.35225469155296</x:v>
      </x:c>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242" t="n">
        <x:v>1.25</x:v>
      </x:c>
      <x:c r="D27" s="145" t="n">
        <x:f>((SUM((('Forecast'!E12)*(('Assumptions'!E37+(0))*(1-'Assumptions'!E42-(0))+'Assumptions'!E47-'Assumptions'!E52*(C27)+'Assumptions'!E57-'Assumptions'!E62*(1)-'Assumptions'!E67-(0))+('Working Capital'!$E$6))*'DCF'!E12/(1+('DCF'!$E$6))^'DCF'!E13,(('Forecast'!F12)*(('Assumptions'!F37+(0))*(1-'Assumptions'!F42-(0))+'Assumptions'!F47-'Assumptions'!F52*(C27)+'Assumptions'!F57-'Assumptions'!F62*(1)-'Assumptions'!F67-(0))+(('Forecast'!E12)*('Assumptions'!E67+(0))))*'DCF'!F12/(1+('DCF'!$E$6))^'DCF'!F13,(('Forecast'!G12)*(('Assumptions'!G37+(0))*(1-'Assumptions'!G42-(0))+'Assumptions'!G47-'Assumptions'!G52*(C27)+'Assumptions'!G57-'Assumptions'!G62*(1)-'Assumptions'!G67-(0))+(('Forecast'!F12)*('Assumptions'!F67+(0))))*'DCF'!G12/(1+('DCF'!$E$6))^'DCF'!G13,(('Forecast'!H12)*(('Assumptions'!H37+(0))*(1-'Assumptions'!H42-(0))+'Assumptions'!H47-'Assumptions'!H52*(C27)+'Assumptions'!H57-'Assumptions'!H62*(1)-'Assumptions'!H67-(0))+(('Forecast'!G12)*('Assumptions'!G67+(0))))*'DCF'!H12/(1+('DCF'!$E$6))^'DCF'!H13,(('Forecast'!I12)*(('Assumptions'!I37+(0))*(1-'Assumptions'!I42-(0))+'Assumptions'!I47-'Assumptions'!I52*(C27)+'Assumptions'!I57-'Assumptions'!I62*(1)-'Assumptions'!I67-(0))+(('Forecast'!H12)*('Assumptions'!H67+(0))))*'DCF'!I12/(1+('DCF'!$E$6))^'DCF'!I13)+('Forecast'!I12)*(1+('DCF'!$E$7))*('Terminal Value'!$E$10+(0))*(1-'Assumptions'!$E$15-(0))*(1-('DCF'!$E$7)/('Terminal Value'!$E$12))/(('DCF'!$E$6)-('DCF'!$E$7))/(1+('DCF'!$E$6))^'DCF'!$E$19)+'Equity Bridge'!$E$17)/'Equity Bridge'!$E$20</x:f>
        <x:v>270.18042411907595</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42" t="n">
        <x:v>1.5</x:v>
      </x:c>
      <x:c r="D28" s="145" t="n">
        <x:f>((SUM((('Forecast'!E12)*(('Assumptions'!E37+(0))*(1-'Assumptions'!E42-(0))+'Assumptions'!E47-'Assumptions'!E52*(C28)+'Assumptions'!E57-'Assumptions'!E62*(1)-'Assumptions'!E67-(0))+('Working Capital'!$E$6))*'DCF'!E12/(1+('DCF'!$E$6))^'DCF'!E13,(('Forecast'!F12)*(('Assumptions'!F37+(0))*(1-'Assumptions'!F42-(0))+'Assumptions'!F47-'Assumptions'!F52*(C28)+'Assumptions'!F57-'Assumptions'!F62*(1)-'Assumptions'!F67-(0))+(('Forecast'!E12)*('Assumptions'!E67+(0))))*'DCF'!F12/(1+('DCF'!$E$6))^'DCF'!F13,(('Forecast'!G12)*(('Assumptions'!G37+(0))*(1-'Assumptions'!G42-(0))+'Assumptions'!G47-'Assumptions'!G52*(C28)+'Assumptions'!G57-'Assumptions'!G62*(1)-'Assumptions'!G67-(0))+(('Forecast'!F12)*('Assumptions'!F67+(0))))*'DCF'!G12/(1+('DCF'!$E$6))^'DCF'!G13,(('Forecast'!H12)*(('Assumptions'!H37+(0))*(1-'Assumptions'!H42-(0))+'Assumptions'!H47-'Assumptions'!H52*(C28)+'Assumptions'!H57-'Assumptions'!H62*(1)-'Assumptions'!H67-(0))+(('Forecast'!G12)*('Assumptions'!G67+(0))))*'DCF'!H12/(1+('DCF'!$E$6))^'DCF'!H13,(('Forecast'!I12)*(('Assumptions'!I37+(0))*(1-'Assumptions'!I42-(0))+'Assumptions'!I47-'Assumptions'!I52*(C28)+'Assumptions'!I57-'Assumptions'!I62*(1)-'Assumptions'!I67-(0))+(('Forecast'!H12)*('Assumptions'!H67+(0))))*'DCF'!I12/(1+('DCF'!$E$6))^'DCF'!I13)+('Forecast'!I12)*(1+('DCF'!$E$7))*('Terminal Value'!$E$10+(0))*(1-'Assumptions'!$E$15-(0))*(1-('DCF'!$E$7)/('Terminal Value'!$E$12))/(('DCF'!$E$6)-('DCF'!$E$7))/(1+('DCF'!$E$6))^'DCF'!$E$19)+'Equity Bridge'!$E$17)/'Equity Bridge'!$E$20</x:f>
        <x:v>254.00859354659892</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42" t="n">
        <x:v>1.75</x:v>
      </x:c>
      <x:c r="D29" s="145" t="n">
        <x:f>((SUM((('Forecast'!E12)*(('Assumptions'!E37+(0))*(1-'Assumptions'!E42-(0))+'Assumptions'!E47-'Assumptions'!E52*(C29)+'Assumptions'!E57-'Assumptions'!E62*(1)-'Assumptions'!E67-(0))+('Working Capital'!$E$6))*'DCF'!E12/(1+('DCF'!$E$6))^'DCF'!E13,(('Forecast'!F12)*(('Assumptions'!F37+(0))*(1-'Assumptions'!F42-(0))+'Assumptions'!F47-'Assumptions'!F52*(C29)+'Assumptions'!F57-'Assumptions'!F62*(1)-'Assumptions'!F67-(0))+(('Forecast'!E12)*('Assumptions'!E67+(0))))*'DCF'!F12/(1+('DCF'!$E$6))^'DCF'!F13,(('Forecast'!G12)*(('Assumptions'!G37+(0))*(1-'Assumptions'!G42-(0))+'Assumptions'!G47-'Assumptions'!G52*(C29)+'Assumptions'!G57-'Assumptions'!G62*(1)-'Assumptions'!G67-(0))+(('Forecast'!F12)*('Assumptions'!F67+(0))))*'DCF'!G12/(1+('DCF'!$E$6))^'DCF'!G13,(('Forecast'!H12)*(('Assumptions'!H37+(0))*(1-'Assumptions'!H42-(0))+'Assumptions'!H47-'Assumptions'!H52*(C29)+'Assumptions'!H57-'Assumptions'!H62*(1)-'Assumptions'!H67-(0))+(('Forecast'!G12)*('Assumptions'!G67+(0))))*'DCF'!H12/(1+('DCF'!$E$6))^'DCF'!H13,(('Forecast'!I12)*(('Assumptions'!I37+(0))*(1-'Assumptions'!I42-(0))+'Assumptions'!I47-'Assumptions'!I52*(C29)+'Assumptions'!I57-'Assumptions'!I62*(1)-'Assumptions'!I67-(0))+(('Forecast'!H12)*('Assumptions'!H67+(0))))*'DCF'!I12/(1+('DCF'!$E$6))^'DCF'!I13)+('Forecast'!I12)*(1+('DCF'!$E$7))*('Terminal Value'!$E$10+(0))*(1-'Assumptions'!$E$15-(0))*(1-('DCF'!$E$7)/('Terminal Value'!$E$12))/(('DCF'!$E$6)-('DCF'!$E$7))/(1+('DCF'!$E$6))^'DCF'!$E$19)+'Equity Bridge'!$E$17)/'Equity Bridge'!$E$20</x:f>
        <x:v>237.8367629741219</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42" t="n">
        <x:v>2</x:v>
      </x:c>
      <x:c r="D30" s="145" t="n">
        <x:f>((SUM((('Forecast'!E12)*(('Assumptions'!E37+(0))*(1-'Assumptions'!E42-(0))+'Assumptions'!E47-'Assumptions'!E52*(C30)+'Assumptions'!E57-'Assumptions'!E62*(1)-'Assumptions'!E67-(0))+('Working Capital'!$E$6))*'DCF'!E12/(1+('DCF'!$E$6))^'DCF'!E13,(('Forecast'!F12)*(('Assumptions'!F37+(0))*(1-'Assumptions'!F42-(0))+'Assumptions'!F47-'Assumptions'!F52*(C30)+'Assumptions'!F57-'Assumptions'!F62*(1)-'Assumptions'!F67-(0))+(('Forecast'!E12)*('Assumptions'!E67+(0))))*'DCF'!F12/(1+('DCF'!$E$6))^'DCF'!F13,(('Forecast'!G12)*(('Assumptions'!G37+(0))*(1-'Assumptions'!G42-(0))+'Assumptions'!G47-'Assumptions'!G52*(C30)+'Assumptions'!G57-'Assumptions'!G62*(1)-'Assumptions'!G67-(0))+(('Forecast'!F12)*('Assumptions'!F67+(0))))*'DCF'!G12/(1+('DCF'!$E$6))^'DCF'!G13,(('Forecast'!H12)*(('Assumptions'!H37+(0))*(1-'Assumptions'!H42-(0))+'Assumptions'!H47-'Assumptions'!H52*(C30)+'Assumptions'!H57-'Assumptions'!H62*(1)-'Assumptions'!H67-(0))+(('Forecast'!G12)*('Assumptions'!G67+(0))))*'DCF'!H12/(1+('DCF'!$E$6))^'DCF'!H13,(('Forecast'!I12)*(('Assumptions'!I37+(0))*(1-'Assumptions'!I42-(0))+'Assumptions'!I47-'Assumptions'!I52*(C30)+'Assumptions'!I57-'Assumptions'!I62*(1)-'Assumptions'!I67-(0))+(('Forecast'!H12)*('Assumptions'!H67+(0))))*'DCF'!I12/(1+('DCF'!$E$6))^'DCF'!I13)+('Forecast'!I12)*(1+('DCF'!$E$7))*('Terminal Value'!$E$10+(0))*(1-'Assumptions'!$E$15-(0))*(1-('DCF'!$E$7)/('Terminal Value'!$E$12))/(('DCF'!$E$6)-('DCF'!$E$7))/(1+('DCF'!$E$6))^'DCF'!$E$19)+'Equity Bridge'!$E$17)/'Equity Bridge'!$E$20</x:f>
        <x:v>221.66493240164488</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67" t="str">
        <x:v>Selected case observations</x:v>
      </x:c>
      <x:c r="D34" s="170"/>
      <x:c r="E34" s="170"/>
      <x:c r="F34" s="170"/>
      <x:c r="G34" s="170"/>
      <x:c r="H34" s="170"/>
      <x:c r="I34" s="170"/>
      <x:c r="J34" s="170"/>
      <x:c r="K34" s="170"/>
      <x:c r="L34" s="173"/>
      <x:c r="M34" s="136"/>
      <x:c r="N34" s="136"/>
      <x:c r="O34" s="136"/>
      <x:c r="P34" s="136"/>
      <x:c r="Q34" s="136"/>
      <x:c r="R34" s="136"/>
      <x:c r="S34" s="136"/>
      <x:c r="T34" s="136"/>
      <x:c r="U34" s="136"/>
      <x:c r="V34" s="136"/>
      <x:c r="W34" s="136"/>
      <x:c r="X34" s="136"/>
      <x:c r="Y34" s="136"/>
      <x:c r="Z34" s="136"/>
    </x:row>
    <x:row r="35" ht="24" customHeight="1">
      <x:c r="A35" s="136"/>
      <x:c r="B35" s="136"/>
      <x:c r="C35" s="174" t="str">
        <x:f>"Required cash capex multiplier is "&amp;ROUND(E12,2)&amp;"x. "&amp;"Only reported cash capital spending is scaled. Capitalized financing interest, new finance lease assets and D&amp;A retain their selected values. A negative multiplier would require cash receipts from buying assets and is rejected."</x:f>
        <x:v>Required cash capex multiplier is -2.65x. Only reported cash capital spending is scaled. Capitalized financing interest, new finance lease assets and D&amp;A retain their selected values. A negative multiplier would require cash receipts from buying assets and is rejected.</x:v>
      </x:c>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t="str">
        <x:v>This is a one-factor PV derivative. The required driver equals its selected baseline plus the market value gap divided by that derivative. The resulting price is checked against the same enterprise value target.</x:v>
      </x:c>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t="str">
        <x:v>D&amp;A and stable ROIC retain their calibrated values. The analysis does not create an independent asset-capacity, sales cycle or tax-planning forecast. Required investment and other affected assumptions must be reassessed for an investable alternative.</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5:L37"/>
    <x:mergeCell ref="C38:L40"/>
    <x:mergeCell ref="C41:L43"/>
  </x:mergeCells>
  <x:pageMargins left="0.7" right="0.7" top="0.75" bottom="0.75" header="0.3" footer="0.3"/>
  <x:drawing xmlns:r="http://schemas.openxmlformats.org/officeDocument/2006/relationships" r:id="R731ff968c9864f04"/>
  <x:legacyDrawing xmlns:r="http://schemas.openxmlformats.org/officeDocument/2006/relationships" r:id="R16b36421633a41c4"/>
</x:worksheet>
</file>

<file path=xl/worksheets/sheet17.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NWC</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Value slope per unit driver</x:v>
      </x:c>
      <x:c r="D11" s="136"/>
      <x:c r="E11" s="164" t="n">
        <x:f>-SUM(('Forecast'!E12)*'DCF'!E12/'DCF'!E14,('Forecast'!F12-'Forecast'!E12)*'DCF'!F12/'DCF'!F14,('Forecast'!G12-'Forecast'!F12)*'DCF'!G12/'DCF'!G14,('Forecast'!H12-'Forecast'!G12)*'DCF'!H12/'DCF'!H14,('Forecast'!I12-'Forecast'!H12)*'DCF'!I12/'DCF'!I14)</x:f>
        <x:v>-473745.99587551126</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Required NWC / revenue shift</x:v>
      </x:c>
      <x:c r="D12" s="139"/>
      <x:c r="E12" s="152" t="n">
        <x:f>0+E10/E11</x:f>
        <x:v>-3.7150980411428236</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Economic interpretation</x:v>
      </x:c>
      <x:c r="D14" s="136"/>
      <x:c r="E14" s="243" t="str">
        <x:f>IF(AND(E12&gt;=-0.10,E12&lt;=0.10),"Inside +/-10 pp analyst band","Outside analyst NWC band")</x:f>
        <x:v>Outside analyst NWC band</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Solved enterprise value</x:v>
      </x:c>
      <x:c r="D16" s="136"/>
      <x:c r="E16" s="164" t="n">
        <x:f>E8+(E12-(0))*E11</x:f>
        <x:v>3908109.96905151</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Valuation residual</x:v>
      </x:c>
      <x:c r="D17" s="136"/>
      <x:c r="E17" s="191" t="n">
        <x:f>E16-E9</x:f>
        <x:v>0</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Receivables-only DSO equivalent</x:v>
      </x:c>
      <x:c r="D19" s="136"/>
      <x:c r="E19" s="245" t="n">
        <x:f>E12*365</x:f>
        <x:v>-1356.0107850171307</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Driver test</x:v>
      </x:c>
      <x:c r="D21" s="160" t="str">
        <x:v>Fair price</x:v>
      </x:c>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201" t="n">
        <x:v>-0.1</x:v>
      </x:c>
      <x:c r="D22" s="145" t="n">
        <x:f>((SUM((('Forecast'!E12)*(('Assumptions'!E37+(0))*(1-'Assumptions'!E42-(0))+'Assumptions'!E47-'Assumptions'!E52*(1)+'Assumptions'!E57-'Assumptions'!E62*(1)-'Assumptions'!E67-(C22))+('Working Capital'!$E$6))*'DCF'!E12/(1+('DCF'!$E$6))^'DCF'!E13,(('Forecast'!F12)*(('Assumptions'!F37+(0))*(1-'Assumptions'!F42-(0))+'Assumptions'!F47-'Assumptions'!F52*(1)+'Assumptions'!F57-'Assumptions'!F62*(1)-'Assumptions'!F67-(C22))+(('Forecast'!E12)*('Assumptions'!E67+(C22))))*'DCF'!F12/(1+('DCF'!$E$6))^'DCF'!F13,(('Forecast'!G12)*(('Assumptions'!G37+(0))*(1-'Assumptions'!G42-(0))+'Assumptions'!G47-'Assumptions'!G52*(1)+'Assumptions'!G57-'Assumptions'!G62*(1)-'Assumptions'!G67-(C22))+(('Forecast'!F12)*('Assumptions'!F67+(C22))))*'DCF'!G12/(1+('DCF'!$E$6))^'DCF'!G13,(('Forecast'!H12)*(('Assumptions'!H37+(0))*(1-'Assumptions'!H42-(0))+'Assumptions'!H47-'Assumptions'!H52*(1)+'Assumptions'!H57-'Assumptions'!H62*(1)-'Assumptions'!H67-(C22))+(('Forecast'!G12)*('Assumptions'!G67+(C22))))*'DCF'!H12/(1+('DCF'!$E$6))^'DCF'!H13,(('Forecast'!I12)*(('Assumptions'!I37+(0))*(1-'Assumptions'!I42-(0))+'Assumptions'!I47-'Assumptions'!I52*(1)+'Assumptions'!I57-'Assumptions'!I62*(1)-'Assumptions'!I67-(C22))+(('Forecast'!H12)*('Assumptions'!H67+(C22))))*'DCF'!I12/(1+('DCF'!$E$6))^'DCF'!I13)+('Forecast'!I12)*(1+('DCF'!$E$7))*('Terminal Value'!$E$10+(0))*(1-'Assumptions'!$E$15-(0))*(1-('DCF'!$E$7)/('Terminal Value'!$E$12))/(('DCF'!$E$6)-('DCF'!$E$7))/(1+('DCF'!$E$6))^'DCF'!$E$19)+'Equity Bridge'!$E$17)/'Equity Bridge'!$E$20</x:f>
        <x:v>292.71164932103545</x:v>
      </x:c>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201" t="n">
        <x:v>-0.07500000000000001</x:v>
      </x:c>
      <x:c r="D23" s="145" t="n">
        <x:f>((SUM((('Forecast'!E12)*(('Assumptions'!E37+(0))*(1-'Assumptions'!E42-(0))+'Assumptions'!E47-'Assumptions'!E52*(1)+'Assumptions'!E57-'Assumptions'!E62*(1)-'Assumptions'!E67-(C23))+('Working Capital'!$E$6))*'DCF'!E12/(1+('DCF'!$E$6))^'DCF'!E13,(('Forecast'!F12)*(('Assumptions'!F37+(0))*(1-'Assumptions'!F42-(0))+'Assumptions'!F47-'Assumptions'!F52*(1)+'Assumptions'!F57-'Assumptions'!F62*(1)-'Assumptions'!F67-(C23))+(('Forecast'!E12)*('Assumptions'!E67+(C23))))*'DCF'!F12/(1+('DCF'!$E$6))^'DCF'!F13,(('Forecast'!G12)*(('Assumptions'!G37+(0))*(1-'Assumptions'!G42-(0))+'Assumptions'!G47-'Assumptions'!G52*(1)+'Assumptions'!G57-'Assumptions'!G62*(1)-'Assumptions'!G67-(C23))+(('Forecast'!F12)*('Assumptions'!F67+(C23))))*'DCF'!G12/(1+('DCF'!$E$6))^'DCF'!G13,(('Forecast'!H12)*(('Assumptions'!H37+(0))*(1-'Assumptions'!H42-(0))+'Assumptions'!H47-'Assumptions'!H52*(1)+'Assumptions'!H57-'Assumptions'!H62*(1)-'Assumptions'!H67-(C23))+(('Forecast'!G12)*('Assumptions'!G67+(C23))))*'DCF'!H12/(1+('DCF'!$E$6))^'DCF'!H13,(('Forecast'!I12)*(('Assumptions'!I37+(0))*(1-'Assumptions'!I42-(0))+'Assumptions'!I47-'Assumptions'!I52*(1)+'Assumptions'!I57-'Assumptions'!I62*(1)-'Assumptions'!I67-(C23))+(('Forecast'!H12)*('Assumptions'!H67+(C23))))*'DCF'!I12/(1+('DCF'!$E$6))^'DCF'!I13)+('Forecast'!I12)*(1+('DCF'!$E$7))*('Terminal Value'!$E$10+(0))*(1-'Assumptions'!$E$15-(0))*(1-('DCF'!$E$7)/('Terminal Value'!$E$12))/(('DCF'!$E$6)-('DCF'!$E$7))/(1+('DCF'!$E$6))^'DCF'!$E$19)+'Equity Bridge'!$E$17)/'Equity Bridge'!$E$20</x:f>
        <x:v>291.1218006636648</x:v>
      </x:c>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201" t="n">
        <x:v>-0.05</x:v>
      </x:c>
      <x:c r="D24" s="145" t="n">
        <x:f>((SUM((('Forecast'!E12)*(('Assumptions'!E37+(0))*(1-'Assumptions'!E42-(0))+'Assumptions'!E47-'Assumptions'!E52*(1)+'Assumptions'!E57-'Assumptions'!E62*(1)-'Assumptions'!E67-(C24))+('Working Capital'!$E$6))*'DCF'!E12/(1+('DCF'!$E$6))^'DCF'!E13,(('Forecast'!F12)*(('Assumptions'!F37+(0))*(1-'Assumptions'!F42-(0))+'Assumptions'!F47-'Assumptions'!F52*(1)+'Assumptions'!F57-'Assumptions'!F62*(1)-'Assumptions'!F67-(C24))+(('Forecast'!E12)*('Assumptions'!E67+(C24))))*'DCF'!F12/(1+('DCF'!$E$6))^'DCF'!F13,(('Forecast'!G12)*(('Assumptions'!G37+(0))*(1-'Assumptions'!G42-(0))+'Assumptions'!G47-'Assumptions'!G52*(1)+'Assumptions'!G57-'Assumptions'!G62*(1)-'Assumptions'!G67-(C24))+(('Forecast'!F12)*('Assumptions'!F67+(C24))))*'DCF'!G12/(1+('DCF'!$E$6))^'DCF'!G13,(('Forecast'!H12)*(('Assumptions'!H37+(0))*(1-'Assumptions'!H42-(0))+'Assumptions'!H47-'Assumptions'!H52*(1)+'Assumptions'!H57-'Assumptions'!H62*(1)-'Assumptions'!H67-(C24))+(('Forecast'!G12)*('Assumptions'!G67+(C24))))*'DCF'!H12/(1+('DCF'!$E$6))^'DCF'!H13,(('Forecast'!I12)*(('Assumptions'!I37+(0))*(1-'Assumptions'!I42-(0))+'Assumptions'!I47-'Assumptions'!I52*(1)+'Assumptions'!I57-'Assumptions'!I62*(1)-'Assumptions'!I67-(C24))+(('Forecast'!H12)*('Assumptions'!H67+(C24))))*'DCF'!I12/(1+('DCF'!$E$6))^'DCF'!I13)+('Forecast'!I12)*(1+('DCF'!$E$7))*('Terminal Value'!$E$10+(0))*(1-'Assumptions'!$E$15-(0))*(1-('DCF'!$E$7)/('Terminal Value'!$E$12))/(('DCF'!$E$6)-('DCF'!$E$7))/(1+('DCF'!$E$6))^'DCF'!$E$19)+'Equity Bridge'!$E$17)/'Equity Bridge'!$E$20</x:f>
        <x:v>289.53195200629426</x:v>
      </x:c>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201" t="n">
        <x:v>-0.024999999999999994</x:v>
      </x:c>
      <x:c r="D25" s="145" t="n">
        <x:f>((SUM((('Forecast'!E12)*(('Assumptions'!E37+(0))*(1-'Assumptions'!E42-(0))+'Assumptions'!E47-'Assumptions'!E52*(1)+'Assumptions'!E57-'Assumptions'!E62*(1)-'Assumptions'!E67-(C25))+('Working Capital'!$E$6))*'DCF'!E12/(1+('DCF'!$E$6))^'DCF'!E13,(('Forecast'!F12)*(('Assumptions'!F37+(0))*(1-'Assumptions'!F42-(0))+'Assumptions'!F47-'Assumptions'!F52*(1)+'Assumptions'!F57-'Assumptions'!F62*(1)-'Assumptions'!F67-(C25))+(('Forecast'!E12)*('Assumptions'!E67+(C25))))*'DCF'!F12/(1+('DCF'!$E$6))^'DCF'!F13,(('Forecast'!G12)*(('Assumptions'!G37+(0))*(1-'Assumptions'!G42-(0))+'Assumptions'!G47-'Assumptions'!G52*(1)+'Assumptions'!G57-'Assumptions'!G62*(1)-'Assumptions'!G67-(C25))+(('Forecast'!F12)*('Assumptions'!F67+(C25))))*'DCF'!G12/(1+('DCF'!$E$6))^'DCF'!G13,(('Forecast'!H12)*(('Assumptions'!H37+(0))*(1-'Assumptions'!H42-(0))+'Assumptions'!H47-'Assumptions'!H52*(1)+'Assumptions'!H57-'Assumptions'!H62*(1)-'Assumptions'!H67-(C25))+(('Forecast'!G12)*('Assumptions'!G67+(C25))))*'DCF'!H12/(1+('DCF'!$E$6))^'DCF'!H13,(('Forecast'!I12)*(('Assumptions'!I37+(0))*(1-'Assumptions'!I42-(0))+'Assumptions'!I47-'Assumptions'!I52*(1)+'Assumptions'!I57-'Assumptions'!I62*(1)-'Assumptions'!I67-(C25))+(('Forecast'!H12)*('Assumptions'!H67+(C25))))*'DCF'!I12/(1+('DCF'!$E$6))^'DCF'!I13)+('Forecast'!I12)*(1+('DCF'!$E$7))*('Terminal Value'!$E$10+(0))*(1-'Assumptions'!$E$15-(0))*(1-('DCF'!$E$7)/('Terminal Value'!$E$12))/(('DCF'!$E$6)-('DCF'!$E$7))/(1+('DCF'!$E$6))^'DCF'!$E$19)+'Equity Bridge'!$E$17)/'Equity Bridge'!$E$20</x:f>
        <x:v>287.9421033489236</x:v>
      </x:c>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201" t="n">
        <x:v>0</x:v>
      </x:c>
      <x:c r="D26" s="145" t="n">
        <x:f>((SUM((('Forecast'!E12)*(('Assumptions'!E37+(0))*(1-'Assumptions'!E42-(0))+'Assumptions'!E47-'Assumptions'!E52*(1)+'Assumptions'!E57-'Assumptions'!E62*(1)-'Assumptions'!E67-(C26))+('Working Capital'!$E$6))*'DCF'!E12/(1+('DCF'!$E$6))^'DCF'!E13,(('Forecast'!F12)*(('Assumptions'!F37+(0))*(1-'Assumptions'!F42-(0))+'Assumptions'!F47-'Assumptions'!F52*(1)+'Assumptions'!F57-'Assumptions'!F62*(1)-'Assumptions'!F67-(C26))+(('Forecast'!E12)*('Assumptions'!E67+(C26))))*'DCF'!F12/(1+('DCF'!$E$6))^'DCF'!F13,(('Forecast'!G12)*(('Assumptions'!G37+(0))*(1-'Assumptions'!G42-(0))+'Assumptions'!G47-'Assumptions'!G52*(1)+'Assumptions'!G57-'Assumptions'!G62*(1)-'Assumptions'!G67-(C26))+(('Forecast'!F12)*('Assumptions'!F67+(C26))))*'DCF'!G12/(1+('DCF'!$E$6))^'DCF'!G13,(('Forecast'!H12)*(('Assumptions'!H37+(0))*(1-'Assumptions'!H42-(0))+'Assumptions'!H47-'Assumptions'!H52*(1)+'Assumptions'!H57-'Assumptions'!H62*(1)-'Assumptions'!H67-(C26))+(('Forecast'!G12)*('Assumptions'!G67+(C26))))*'DCF'!H12/(1+('DCF'!$E$6))^'DCF'!H13,(('Forecast'!I12)*(('Assumptions'!I37+(0))*(1-'Assumptions'!I42-(0))+'Assumptions'!I47-'Assumptions'!I52*(1)+'Assumptions'!I57-'Assumptions'!I62*(1)-'Assumptions'!I67-(C26))+(('Forecast'!H12)*('Assumptions'!H67+(C26))))*'DCF'!I12/(1+('DCF'!$E$6))^'DCF'!I13)+('Forecast'!I12)*(1+('DCF'!$E$7))*('Terminal Value'!$E$10+(0))*(1-'Assumptions'!$E$15-(0))*(1-('DCF'!$E$7)/('Terminal Value'!$E$12))/(('DCF'!$E$6)-('DCF'!$E$7))/(1+('DCF'!$E$6))^'DCF'!$E$19)+'Equity Bridge'!$E$17)/'Equity Bridge'!$E$20</x:f>
        <x:v>286.35225469155296</x:v>
      </x:c>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201" t="n">
        <x:v>0.024999999999999994</x:v>
      </x:c>
      <x:c r="D27" s="145" t="n">
        <x:f>((SUM((('Forecast'!E12)*(('Assumptions'!E37+(0))*(1-'Assumptions'!E42-(0))+'Assumptions'!E47-'Assumptions'!E52*(1)+'Assumptions'!E57-'Assumptions'!E62*(1)-'Assumptions'!E67-(C27))+('Working Capital'!$E$6))*'DCF'!E12/(1+('DCF'!$E$6))^'DCF'!E13,(('Forecast'!F12)*(('Assumptions'!F37+(0))*(1-'Assumptions'!F42-(0))+'Assumptions'!F47-'Assumptions'!F52*(1)+'Assumptions'!F57-'Assumptions'!F62*(1)-'Assumptions'!F67-(C27))+(('Forecast'!E12)*('Assumptions'!E67+(C27))))*'DCF'!F12/(1+('DCF'!$E$6))^'DCF'!F13,(('Forecast'!G12)*(('Assumptions'!G37+(0))*(1-'Assumptions'!G42-(0))+'Assumptions'!G47-'Assumptions'!G52*(1)+'Assumptions'!G57-'Assumptions'!G62*(1)-'Assumptions'!G67-(C27))+(('Forecast'!F12)*('Assumptions'!F67+(C27))))*'DCF'!G12/(1+('DCF'!$E$6))^'DCF'!G13,(('Forecast'!H12)*(('Assumptions'!H37+(0))*(1-'Assumptions'!H42-(0))+'Assumptions'!H47-'Assumptions'!H52*(1)+'Assumptions'!H57-'Assumptions'!H62*(1)-'Assumptions'!H67-(C27))+(('Forecast'!G12)*('Assumptions'!G67+(C27))))*'DCF'!H12/(1+('DCF'!$E$6))^'DCF'!H13,(('Forecast'!I12)*(('Assumptions'!I37+(0))*(1-'Assumptions'!I42-(0))+'Assumptions'!I47-'Assumptions'!I52*(1)+'Assumptions'!I57-'Assumptions'!I62*(1)-'Assumptions'!I67-(C27))+(('Forecast'!H12)*('Assumptions'!H67+(C27))))*'DCF'!I12/(1+('DCF'!$E$6))^'DCF'!I13)+('Forecast'!I12)*(1+('DCF'!$E$7))*('Terminal Value'!$E$10+(0))*(1-'Assumptions'!$E$15-(0))*(1-('DCF'!$E$7)/('Terminal Value'!$E$12))/(('DCF'!$E$6)-('DCF'!$E$7))/(1+('DCF'!$E$6))^'DCF'!$E$19)+'Equity Bridge'!$E$17)/'Equity Bridge'!$E$20</x:f>
        <x:v>284.7624060341824</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01" t="n">
        <x:v>0.05000000000000002</x:v>
      </x:c>
      <x:c r="D28" s="145" t="n">
        <x:f>((SUM((('Forecast'!E12)*(('Assumptions'!E37+(0))*(1-'Assumptions'!E42-(0))+'Assumptions'!E47-'Assumptions'!E52*(1)+'Assumptions'!E57-'Assumptions'!E62*(1)-'Assumptions'!E67-(C28))+('Working Capital'!$E$6))*'DCF'!E12/(1+('DCF'!$E$6))^'DCF'!E13,(('Forecast'!F12)*(('Assumptions'!F37+(0))*(1-'Assumptions'!F42-(0))+'Assumptions'!F47-'Assumptions'!F52*(1)+'Assumptions'!F57-'Assumptions'!F62*(1)-'Assumptions'!F67-(C28))+(('Forecast'!E12)*('Assumptions'!E67+(C28))))*'DCF'!F12/(1+('DCF'!$E$6))^'DCF'!F13,(('Forecast'!G12)*(('Assumptions'!G37+(0))*(1-'Assumptions'!G42-(0))+'Assumptions'!G47-'Assumptions'!G52*(1)+'Assumptions'!G57-'Assumptions'!G62*(1)-'Assumptions'!G67-(C28))+(('Forecast'!F12)*('Assumptions'!F67+(C28))))*'DCF'!G12/(1+('DCF'!$E$6))^'DCF'!G13,(('Forecast'!H12)*(('Assumptions'!H37+(0))*(1-'Assumptions'!H42-(0))+'Assumptions'!H47-'Assumptions'!H52*(1)+'Assumptions'!H57-'Assumptions'!H62*(1)-'Assumptions'!H67-(C28))+(('Forecast'!G12)*('Assumptions'!G67+(C28))))*'DCF'!H12/(1+('DCF'!$E$6))^'DCF'!H13,(('Forecast'!I12)*(('Assumptions'!I37+(0))*(1-'Assumptions'!I42-(0))+'Assumptions'!I47-'Assumptions'!I52*(1)+'Assumptions'!I57-'Assumptions'!I62*(1)-'Assumptions'!I67-(C28))+(('Forecast'!H12)*('Assumptions'!H67+(C28))))*'DCF'!I12/(1+('DCF'!$E$6))^'DCF'!I13)+('Forecast'!I12)*(1+('DCF'!$E$7))*('Terminal Value'!$E$10+(0))*(1-'Assumptions'!$E$15-(0))*(1-('DCF'!$E$7)/('Terminal Value'!$E$12))/(('DCF'!$E$6)-('DCF'!$E$7))/(1+('DCF'!$E$6))^'DCF'!$E$19)+'Equity Bridge'!$E$17)/'Equity Bridge'!$E$20</x:f>
        <x:v>283.1725573768117</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01" t="n">
        <x:v>0.07500000000000001</x:v>
      </x:c>
      <x:c r="D29" s="145" t="n">
        <x:f>((SUM((('Forecast'!E12)*(('Assumptions'!E37+(0))*(1-'Assumptions'!E42-(0))+'Assumptions'!E47-'Assumptions'!E52*(1)+'Assumptions'!E57-'Assumptions'!E62*(1)-'Assumptions'!E67-(C29))+('Working Capital'!$E$6))*'DCF'!E12/(1+('DCF'!$E$6))^'DCF'!E13,(('Forecast'!F12)*(('Assumptions'!F37+(0))*(1-'Assumptions'!F42-(0))+'Assumptions'!F47-'Assumptions'!F52*(1)+'Assumptions'!F57-'Assumptions'!F62*(1)-'Assumptions'!F67-(C29))+(('Forecast'!E12)*('Assumptions'!E67+(C29))))*'DCF'!F12/(1+('DCF'!$E$6))^'DCF'!F13,(('Forecast'!G12)*(('Assumptions'!G37+(0))*(1-'Assumptions'!G42-(0))+'Assumptions'!G47-'Assumptions'!G52*(1)+'Assumptions'!G57-'Assumptions'!G62*(1)-'Assumptions'!G67-(C29))+(('Forecast'!F12)*('Assumptions'!F67+(C29))))*'DCF'!G12/(1+('DCF'!$E$6))^'DCF'!G13,(('Forecast'!H12)*(('Assumptions'!H37+(0))*(1-'Assumptions'!H42-(0))+'Assumptions'!H47-'Assumptions'!H52*(1)+'Assumptions'!H57-'Assumptions'!H62*(1)-'Assumptions'!H67-(C29))+(('Forecast'!G12)*('Assumptions'!G67+(C29))))*'DCF'!H12/(1+('DCF'!$E$6))^'DCF'!H13,(('Forecast'!I12)*(('Assumptions'!I37+(0))*(1-'Assumptions'!I42-(0))+'Assumptions'!I47-'Assumptions'!I52*(1)+'Assumptions'!I57-'Assumptions'!I62*(1)-'Assumptions'!I67-(C29))+(('Forecast'!H12)*('Assumptions'!H67+(C29))))*'DCF'!I12/(1+('DCF'!$E$6))^'DCF'!I13)+('Forecast'!I12)*(1+('DCF'!$E$7))*('Terminal Value'!$E$10+(0))*(1-'Assumptions'!$E$15-(0))*(1-('DCF'!$E$7)/('Terminal Value'!$E$12))/(('DCF'!$E$6)-('DCF'!$E$7))/(1+('DCF'!$E$6))^'DCF'!$E$19)+'Equity Bridge'!$E$17)/'Equity Bridge'!$E$20</x:f>
        <x:v>281.5827087194411</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01" t="n">
        <x:v>0.1</x:v>
      </x:c>
      <x:c r="D30" s="145" t="n">
        <x:f>((SUM((('Forecast'!E12)*(('Assumptions'!E37+(0))*(1-'Assumptions'!E42-(0))+'Assumptions'!E47-'Assumptions'!E52*(1)+'Assumptions'!E57-'Assumptions'!E62*(1)-'Assumptions'!E67-(C30))+('Working Capital'!$E$6))*'DCF'!E12/(1+('DCF'!$E$6))^'DCF'!E13,(('Forecast'!F12)*(('Assumptions'!F37+(0))*(1-'Assumptions'!F42-(0))+'Assumptions'!F47-'Assumptions'!F52*(1)+'Assumptions'!F57-'Assumptions'!F62*(1)-'Assumptions'!F67-(C30))+(('Forecast'!E12)*('Assumptions'!E67+(C30))))*'DCF'!F12/(1+('DCF'!$E$6))^'DCF'!F13,(('Forecast'!G12)*(('Assumptions'!G37+(0))*(1-'Assumptions'!G42-(0))+'Assumptions'!G47-'Assumptions'!G52*(1)+'Assumptions'!G57-'Assumptions'!G62*(1)-'Assumptions'!G67-(C30))+(('Forecast'!F12)*('Assumptions'!F67+(C30))))*'DCF'!G12/(1+('DCF'!$E$6))^'DCF'!G13,(('Forecast'!H12)*(('Assumptions'!H37+(0))*(1-'Assumptions'!H42-(0))+'Assumptions'!H47-'Assumptions'!H52*(1)+'Assumptions'!H57-'Assumptions'!H62*(1)-'Assumptions'!H67-(C30))+(('Forecast'!G12)*('Assumptions'!G67+(C30))))*'DCF'!H12/(1+('DCF'!$E$6))^'DCF'!H13,(('Forecast'!I12)*(('Assumptions'!I37+(0))*(1-'Assumptions'!I42-(0))+'Assumptions'!I47-'Assumptions'!I52*(1)+'Assumptions'!I57-'Assumptions'!I62*(1)-'Assumptions'!I67-(C30))+(('Forecast'!H12)*('Assumptions'!H67+(C30))))*'DCF'!I12/(1+('DCF'!$E$6))^'DCF'!I13)+('Forecast'!I12)*(1+('DCF'!$E$7))*('Terminal Value'!$E$10+(0))*(1-'Assumptions'!$E$15-(0))*(1-('DCF'!$E$7)/('Terminal Value'!$E$12))/(('DCF'!$E$6)-('DCF'!$E$7))/(1+('DCF'!$E$6))^'DCF'!$E$19)+'Equity Bridge'!$E$17)/'Equity Bridge'!$E$20</x:f>
        <x:v>279.9928600620704</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67" t="str">
        <x:v>Selected case observations</x:v>
      </x:c>
      <x:c r="D34" s="170"/>
      <x:c r="E34" s="170"/>
      <x:c r="F34" s="170"/>
      <x:c r="G34" s="170"/>
      <x:c r="H34" s="170"/>
      <x:c r="I34" s="170"/>
      <x:c r="J34" s="170"/>
      <x:c r="K34" s="170"/>
      <x:c r="L34" s="173"/>
      <x:c r="M34" s="136"/>
      <x:c r="N34" s="136"/>
      <x:c r="O34" s="136"/>
      <x:c r="P34" s="136"/>
      <x:c r="Q34" s="136"/>
      <x:c r="R34" s="136"/>
      <x:c r="S34" s="136"/>
      <x:c r="T34" s="136"/>
      <x:c r="U34" s="136"/>
      <x:c r="V34" s="136"/>
      <x:c r="W34" s="136"/>
      <x:c r="X34" s="136"/>
      <x:c r="Y34" s="136"/>
      <x:c r="Z34" s="136"/>
    </x:row>
    <x:row r="35" ht="24" customHeight="1">
      <x:c r="A35" s="136"/>
      <x:c r="B35" s="136"/>
      <x:c r="C35" s="174" t="str">
        <x:f>"Required NWC ratio shift is "&amp;ROUND(E12*100,2)&amp;" pp. "&amp;"The same percentage-point shift applies to operating NWC / revenue in every forecast year. The opening actual NWC stays fixed. Very negative shifts can imply implausible customer or supplier financing."</x:f>
        <x:v>Required NWC ratio shift is -371.51 pp. The same percentage-point shift applies to operating NWC / revenue in every forecast year. The opening actual NWC stays fixed. Very negative shifts can imply implausible customer or supplier financing.</x:v>
      </x:c>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t="str">
        <x:v>This is a one-factor PV derivative. The required driver equals its selected baseline plus the market value gap divided by that derivative. The resulting price is checked against the same enterprise value target.</x:v>
      </x:c>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t="str">
        <x:v>D&amp;A and stable ROIC retain their calibrated values. The analysis does not create an independent asset-capacity, sales cycle or tax-planning forecast. Required investment and other affected assumptions must be reassessed for an investable alternative.</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5:L37"/>
    <x:mergeCell ref="C38:L40"/>
    <x:mergeCell ref="C41:L43"/>
  </x:mergeCells>
  <x:pageMargins left="0.7" right="0.7" top="0.75" bottom="0.75" header="0.3" footer="0.3"/>
  <x:drawing xmlns:r="http://schemas.openxmlformats.org/officeDocument/2006/relationships" r:id="Rbf9baac245a44382"/>
  <x:legacyDrawing xmlns:r="http://schemas.openxmlformats.org/officeDocument/2006/relationships" r:id="Rab53b097aa4c4a49"/>
</x:worksheet>
</file>

<file path=xl/worksheets/sheet18.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WACC</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x:c r="D11" s="136"/>
      <x:c r="E11" s="136"/>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Required WACC</x:v>
      </x:c>
      <x:c r="D12" s="139"/>
      <x:c r="E12" s="154" t="n">
        <x:f>IF(($E$20-$E$9)*($E$21-$E$9)&lt;=0,F81,"No bracket")</x:f>
        <x:v>0.06860366329986324</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Economically permitted?</x:v>
      </x:c>
      <x:c r="D14" s="136"/>
      <x:c r="E14" s="243" t="str">
        <x:f>IF(ISNUMBER(E12),IF(E12&gt;'Market Inputs'!E10,"Above risk-free rate","Below risk-free rate"),"No solution")</x:f>
        <x:v>Above risk-free rate</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9" t="str">
        <x:v>Lower solver bound</x:v>
      </x:c>
      <x:c r="D16" s="139"/>
      <x:c r="E16" s="154" t="n">
        <x:f>'DCF'!E7+0.001</x:f>
        <x:v>0.031</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9" t="str">
        <x:v>Upper solver bound</x:v>
      </x:c>
      <x:c r="D17" s="139"/>
      <x:c r="E17" s="247" t="n">
        <x:v>0.3</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Final valuation residual</x:v>
      </x:c>
      <x:c r="D18" s="136"/>
      <x:c r="E18" s="191" t="n">
        <x:f>G81-E9</x:f>
        <x:v>-8.102506399154663e-8</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Value at lower solver bound</x:v>
      </x:c>
      <x:c r="D20" s="136"/>
      <x:c r="E20" s="164" t="n">
        <x:f>(SUM((('Forecast'!E12)*(('Assumptions'!E37+(0))*(1-'Assumptions'!E42-(0))+'Assumptions'!E47-'Assumptions'!E52*(1)+'Assumptions'!E57-'Assumptions'!E62*(1)-'Assumptions'!E67-(0))+('Working Capital'!$E$6))*'DCF'!E12/(1+($E$16))^'DCF'!E13,(('Forecast'!F12)*(('Assumptions'!F37+(0))*(1-'Assumptions'!F42-(0))+'Assumptions'!F47-'Assumptions'!F52*(1)+'Assumptions'!F57-'Assumptions'!F62*(1)-'Assumptions'!F67-(0))+(('Forecast'!E12)*('Assumptions'!E67+(0))))*'DCF'!F12/(1+($E$16))^'DCF'!F13,(('Forecast'!G12)*(('Assumptions'!G37+(0))*(1-'Assumptions'!G42-(0))+'Assumptions'!G47-'Assumptions'!G52*(1)+'Assumptions'!G57-'Assumptions'!G62*(1)-'Assumptions'!G67-(0))+(('Forecast'!F12)*('Assumptions'!F67+(0))))*'DCF'!G12/(1+($E$16))^'DCF'!G13,(('Forecast'!H12)*(('Assumptions'!H37+(0))*(1-'Assumptions'!H42-(0))+'Assumptions'!H47-'Assumptions'!H52*(1)+'Assumptions'!H57-'Assumptions'!H62*(1)-'Assumptions'!H67-(0))+(('Forecast'!G12)*('Assumptions'!G67+(0))))*'DCF'!H12/(1+($E$16))^'DCF'!H13,(('Forecast'!I12)*(('Assumptions'!I37+(0))*(1-'Assumptions'!I42-(0))+'Assumptions'!I47-'Assumptions'!I52*(1)+'Assumptions'!I57-'Assumptions'!I62*(1)-'Assumptions'!I67-(0))+(('Forecast'!H12)*('Assumptions'!H67+(0))))*'DCF'!I12/(1+($E$16))^'DCF'!I13)+('Forecast'!I12)*(1+('DCF'!$E$7))*('Terminal Value'!$E$10+(0))*(1-'Assumptions'!$E$15-(0))*(1-('DCF'!$E$7)/('Terminal Value'!$E$12))/(($E$16)-('DCF'!$E$7))/(1+($E$16))^'DCF'!$E$19)</x:f>
        <x:v>157699280.1132137</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Value at upper solver bound</x:v>
      </x:c>
      <x:c r="D21" s="136"/>
      <x:c r="E21" s="164" t="n">
        <x:f>(SUM((('Forecast'!E12)*(('Assumptions'!E37+(0))*(1-'Assumptions'!E42-(0))+'Assumptions'!E47-'Assumptions'!E52*(1)+'Assumptions'!E57-'Assumptions'!E62*(1)-'Assumptions'!E67-(0))+('Working Capital'!$E$6))*'DCF'!E12/(1+($E$17))^'DCF'!E13,(('Forecast'!F12)*(('Assumptions'!F37+(0))*(1-'Assumptions'!F42-(0))+'Assumptions'!F47-'Assumptions'!F52*(1)+'Assumptions'!F57-'Assumptions'!F62*(1)-'Assumptions'!F67-(0))+(('Forecast'!E12)*('Assumptions'!E67+(0))))*'DCF'!F12/(1+($E$17))^'DCF'!F13,(('Forecast'!G12)*(('Assumptions'!G37+(0))*(1-'Assumptions'!G42-(0))+'Assumptions'!G47-'Assumptions'!G52*(1)+'Assumptions'!G57-'Assumptions'!G62*(1)-'Assumptions'!G67-(0))+(('Forecast'!F12)*('Assumptions'!F67+(0))))*'DCF'!G12/(1+($E$17))^'DCF'!G13,(('Forecast'!H12)*(('Assumptions'!H37+(0))*(1-'Assumptions'!H42-(0))+'Assumptions'!H47-'Assumptions'!H52*(1)+'Assumptions'!H57-'Assumptions'!H62*(1)-'Assumptions'!H67-(0))+(('Forecast'!G12)*('Assumptions'!G67+(0))))*'DCF'!H12/(1+($E$17))^'DCF'!H13,(('Forecast'!I12)*(('Assumptions'!I37+(0))*(1-'Assumptions'!I42-(0))+'Assumptions'!I47-'Assumptions'!I52*(1)+'Assumptions'!I57-'Assumptions'!I62*(1)-'Assumptions'!I67-(0))+(('Forecast'!H12)*('Assumptions'!H67+(0))))*'DCF'!I12/(1+($E$17))^'DCF'!I13)+('Forecast'!I12)*(1+('DCF'!$E$7))*('Terminal Value'!$E$10+(0))*(1-'Assumptions'!$E$15-(0))*(1-('DCF'!$E$7)/('Terminal Value'!$E$12))/(($E$17)-('DCF'!$E$7))/(1+($E$17))^'DCF'!$E$19)</x:f>
        <x:v>473974.3769533156</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67" t="str">
        <x:v>Selected case observations</x:v>
      </x:c>
      <x:c r="D23" s="170"/>
      <x:c r="E23" s="170"/>
      <x:c r="F23" s="170"/>
      <x:c r="G23" s="170"/>
      <x:c r="H23" s="170"/>
      <x:c r="I23" s="170"/>
      <x:c r="J23" s="170"/>
      <x:c r="K23" s="170"/>
      <x:c r="L23" s="173"/>
      <x:c r="M23" s="136"/>
      <x:c r="N23" s="136"/>
      <x:c r="O23" s="136"/>
      <x:c r="P23" s="136"/>
      <x:c r="Q23" s="136"/>
      <x:c r="R23" s="136"/>
      <x:c r="S23" s="136"/>
      <x:c r="T23" s="136"/>
      <x:c r="U23" s="136"/>
      <x:c r="V23" s="136"/>
      <x:c r="W23" s="136"/>
      <x:c r="X23" s="136"/>
      <x:c r="Y23" s="136"/>
      <x:c r="Z23" s="136"/>
    </x:row>
    <x:row r="24" ht="24" customHeight="1">
      <x:c r="A24" s="136"/>
      <x:c r="B24" s="136"/>
      <x:c r="C24" s="174" t="str">
        <x:f>IF(ISNUMBER(E12),"Required discount rate is "&amp;ROUND(E12*100,3)&amp;"%. ","No numeric root within solver bounds. ")&amp;"The required WACC changes discounting only. Compare it with the modeled cost of capital and the risk-free yield. A discount rate above growth is mathematically necessary; being above the risk-free rate alone does not establish economic credibility."</x:f>
        <x:v>Required discount rate is 6.86%. The required WACC changes discounting only. Compare it with the modeled cost of capital and the risk-free yield. A discount rate above growth is mathematically necessary; being above the risk-free rate alone does not establish economic credibility.</x:v>
      </x:c>
      <x:c r="D24" s="174"/>
      <x:c r="E24" s="174"/>
      <x:c r="F24" s="174"/>
      <x:c r="G24" s="174"/>
      <x:c r="H24" s="174"/>
      <x:c r="I24" s="174"/>
      <x:c r="J24" s="174"/>
      <x:c r="K24" s="174"/>
      <x:c r="L24" s="174"/>
      <x:c r="M24" s="136"/>
      <x:c r="N24" s="136"/>
      <x:c r="O24" s="136"/>
      <x:c r="P24" s="136"/>
      <x:c r="Q24" s="136"/>
      <x:c r="R24" s="136"/>
      <x:c r="S24" s="136"/>
      <x:c r="T24" s="136"/>
      <x:c r="U24" s="136"/>
      <x:c r="V24" s="136"/>
      <x:c r="W24" s="136"/>
      <x:c r="X24" s="136"/>
      <x:c r="Y24" s="136"/>
      <x:c r="Z24" s="136"/>
    </x:row>
    <x:row r="25" ht="24" customHeight="1">
      <x:c r="A25" s="136"/>
      <x:c r="B25" s="136"/>
      <x:c r="C25" s="174"/>
      <x:c r="D25" s="174"/>
      <x:c r="E25" s="174"/>
      <x:c r="F25" s="174"/>
      <x:c r="G25" s="174"/>
      <x:c r="H25" s="174"/>
      <x:c r="I25" s="174"/>
      <x:c r="J25" s="174"/>
      <x:c r="K25" s="174"/>
      <x:c r="L25" s="174"/>
      <x:c r="M25" s="136"/>
      <x:c r="N25" s="136"/>
      <x:c r="O25" s="136"/>
      <x:c r="P25" s="136"/>
      <x:c r="Q25" s="136"/>
      <x:c r="R25" s="136"/>
      <x:c r="S25" s="136"/>
      <x:c r="T25" s="136"/>
      <x:c r="U25" s="136"/>
      <x:c r="V25" s="136"/>
      <x:c r="W25" s="136"/>
      <x:c r="X25" s="136"/>
      <x:c r="Y25" s="136"/>
      <x:c r="Z25" s="136"/>
    </x:row>
    <x:row r="26" ht="24" customHeight="1">
      <x:c r="A26" s="136"/>
      <x:c r="B26" s="136"/>
      <x:c r="C26" s="174"/>
      <x:c r="D26" s="174"/>
      <x:c r="E26" s="174"/>
      <x:c r="F26" s="174"/>
      <x:c r="G26" s="174"/>
      <x:c r="H26" s="174"/>
      <x:c r="I26" s="174"/>
      <x:c r="J26" s="174"/>
      <x:c r="K26" s="174"/>
      <x:c r="L26" s="174"/>
      <x:c r="M26" s="136"/>
      <x:c r="N26" s="136"/>
      <x:c r="O26" s="136"/>
      <x:c r="P26" s="136"/>
      <x:c r="Q26" s="136"/>
      <x:c r="R26" s="136"/>
      <x:c r="S26" s="136"/>
      <x:c r="T26" s="136"/>
      <x:c r="U26" s="136"/>
      <x:c r="V26" s="136"/>
      <x:c r="W26" s="136"/>
      <x:c r="X26" s="136"/>
      <x:c r="Y26" s="136"/>
      <x:c r="Z26" s="136"/>
    </x:row>
    <x:row r="27" ht="24" customHeight="1">
      <x:c r="A27" s="136"/>
      <x:c r="B27" s="136"/>
      <x:c r="C27" s="174" t="str">
        <x:v>The selected fiscal operating margins, tax, D&amp;A, capital spending and NWC ratios stay fixed unless this sheet explicitly varies them. The stable ROIC and equity bridge stay fixed.</x:v>
      </x:c>
      <x:c r="D27" s="174"/>
      <x:c r="E27" s="174"/>
      <x:c r="F27" s="174"/>
      <x:c r="G27" s="174"/>
      <x:c r="H27" s="174"/>
      <x:c r="I27" s="174"/>
      <x:c r="J27" s="174"/>
      <x:c r="K27" s="174"/>
      <x:c r="L27" s="174"/>
      <x:c r="M27" s="136"/>
      <x:c r="N27" s="136"/>
      <x:c r="O27" s="136"/>
      <x:c r="P27" s="136"/>
      <x:c r="Q27" s="136"/>
      <x:c r="R27" s="136"/>
      <x:c r="S27" s="136"/>
      <x:c r="T27" s="136"/>
      <x:c r="U27" s="136"/>
      <x:c r="V27" s="136"/>
      <x:c r="W27" s="136"/>
      <x:c r="X27" s="136"/>
      <x:c r="Y27" s="136"/>
      <x:c r="Z27" s="136"/>
    </x:row>
    <x:row r="28" ht="24" customHeight="1">
      <x:c r="A28" s="136"/>
      <x:c r="B28" s="136"/>
      <x:c r="C28" s="174"/>
      <x:c r="D28" s="174"/>
      <x:c r="E28" s="174"/>
      <x:c r="F28" s="174"/>
      <x:c r="G28" s="174"/>
      <x:c r="H28" s="174"/>
      <x:c r="I28" s="174"/>
      <x:c r="J28" s="174"/>
      <x:c r="K28" s="174"/>
      <x:c r="L28" s="174"/>
      <x:c r="M28" s="136"/>
      <x:c r="N28" s="136"/>
      <x:c r="O28" s="136"/>
      <x:c r="P28" s="136"/>
      <x:c r="Q28" s="136"/>
      <x:c r="R28" s="136"/>
      <x:c r="S28" s="136"/>
      <x:c r="T28" s="136"/>
      <x:c r="U28" s="136"/>
      <x:c r="V28" s="136"/>
      <x:c r="W28" s="136"/>
      <x:c r="X28" s="136"/>
      <x:c r="Y28" s="136"/>
      <x:c r="Z28" s="136"/>
    </x:row>
    <x:row r="29" ht="24" customHeight="1">
      <x:c r="A29" s="136"/>
      <x:c r="B29" s="136"/>
      <x:c r="C29" s="174"/>
      <x:c r="D29" s="174"/>
      <x:c r="E29" s="174"/>
      <x:c r="F29" s="174"/>
      <x:c r="G29" s="174"/>
      <x:c r="H29" s="174"/>
      <x:c r="I29" s="174"/>
      <x:c r="J29" s="174"/>
      <x:c r="K29" s="174"/>
      <x:c r="L29" s="174"/>
      <x:c r="M29" s="136"/>
      <x:c r="N29" s="136"/>
      <x:c r="O29" s="136"/>
      <x:c r="P29" s="136"/>
      <x:c r="Q29" s="136"/>
      <x:c r="R29" s="136"/>
      <x:c r="S29" s="136"/>
      <x:c r="T29" s="136"/>
      <x:c r="U29" s="136"/>
      <x:c r="V29" s="136"/>
      <x:c r="W29" s="136"/>
      <x:c r="X29" s="136"/>
      <x:c r="Y29" s="136"/>
      <x:c r="Z29" s="136"/>
    </x:row>
    <x:row r="30" ht="24" customHeight="1">
      <x:c r="A30" s="136"/>
      <x:c r="B30" s="136"/>
      <x:c r="C30" s="174" t="str">
        <x:v>The solver table is formula driven and recalculates after case or input changes. Bracket validity is checked before reporting a root. Mathematical solutions outside operating bounds are identified explicitly.</x:v>
      </x:c>
      <x:c r="D30" s="174"/>
      <x:c r="E30" s="174"/>
      <x:c r="F30" s="174"/>
      <x:c r="G30" s="174"/>
      <x:c r="H30" s="174"/>
      <x:c r="I30" s="174"/>
      <x:c r="J30" s="174"/>
      <x:c r="K30" s="174"/>
      <x:c r="L30" s="174"/>
      <x:c r="M30" s="136"/>
      <x:c r="N30" s="136"/>
      <x:c r="O30" s="136"/>
      <x:c r="P30" s="136"/>
      <x:c r="Q30" s="136"/>
      <x:c r="R30" s="136"/>
      <x:c r="S30" s="136"/>
      <x:c r="T30" s="136"/>
      <x:c r="U30" s="136"/>
      <x:c r="V30" s="136"/>
      <x:c r="W30" s="136"/>
      <x:c r="X30" s="136"/>
      <x:c r="Y30" s="136"/>
      <x:c r="Z30" s="136"/>
    </x:row>
    <x:row r="31" ht="24" customHeight="1">
      <x:c r="A31" s="136"/>
      <x:c r="B31" s="136"/>
      <x:c r="C31" s="174"/>
      <x:c r="D31" s="174"/>
      <x:c r="E31" s="174"/>
      <x:c r="F31" s="174"/>
      <x:c r="G31" s="174"/>
      <x:c r="H31" s="174"/>
      <x:c r="I31" s="174"/>
      <x:c r="J31" s="174"/>
      <x:c r="K31" s="174"/>
      <x:c r="L31" s="174"/>
      <x:c r="M31" s="136"/>
      <x:c r="N31" s="136"/>
      <x:c r="O31" s="136"/>
      <x:c r="P31" s="136"/>
      <x:c r="Q31" s="136"/>
      <x:c r="R31" s="136"/>
      <x:c r="S31" s="136"/>
      <x:c r="T31" s="136"/>
      <x:c r="U31" s="136"/>
      <x:c r="V31" s="136"/>
      <x:c r="W31" s="136"/>
      <x:c r="X31" s="136"/>
      <x:c r="Y31" s="136"/>
      <x:c r="Z31" s="136"/>
    </x:row>
    <x:row r="32" ht="24" customHeight="1">
      <x:c r="A32" s="136"/>
      <x:c r="B32" s="136"/>
      <x:c r="C32" s="174"/>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56" t="str">
        <x:v>Step</x:v>
      </x:c>
      <x:c r="D33" s="158" t="str">
        <x:v>Lower bound</x:v>
      </x:c>
      <x:c r="E33" s="158" t="str">
        <x:v>Upper bound</x:v>
      </x:c>
      <x:c r="F33" s="158" t="str">
        <x:v>Midpoint</x:v>
      </x:c>
      <x:c r="G33" s="158" t="str">
        <x:v>Enterprise value</x:v>
      </x:c>
      <x:c r="H33" s="160" t="str">
        <x:v>Value residual</x:v>
      </x:c>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81" t="n">
        <x:v>1</x:v>
      </x:c>
      <x:c r="D34" s="208" t="n">
        <x:f>$E$16</x:f>
        <x:v>0.031</x:v>
      </x:c>
      <x:c r="E34" s="208" t="n">
        <x:f>$E$17</x:f>
        <x:v>0.3</x:v>
      </x:c>
      <x:c r="F34" s="208" t="n">
        <x:f>(D34+E34)/2</x:f>
        <x:v>0.16549999999999998</x:v>
      </x:c>
      <x:c r="G34" s="164" t="n">
        <x:f>(SUM((('Forecast'!E12)*(('Assumptions'!E37+(0))*(1-'Assumptions'!E42-(0))+'Assumptions'!E47-'Assumptions'!E52*(1)+'Assumptions'!E57-'Assumptions'!E62*(1)-'Assumptions'!E67-(0))+('Working Capital'!$E$6))*'DCF'!E12/(1+(F34))^'DCF'!E13,(('Forecast'!F12)*(('Assumptions'!F37+(0))*(1-'Assumptions'!F42-(0))+'Assumptions'!F47-'Assumptions'!F52*(1)+'Assumptions'!F57-'Assumptions'!F62*(1)-'Assumptions'!F67-(0))+(('Forecast'!E12)*('Assumptions'!E67+(0))))*'DCF'!F12/(1+(F34))^'DCF'!F13,(('Forecast'!G12)*(('Assumptions'!G37+(0))*(1-'Assumptions'!G42-(0))+'Assumptions'!G47-'Assumptions'!G52*(1)+'Assumptions'!G57-'Assumptions'!G62*(1)-'Assumptions'!G67-(0))+(('Forecast'!F12)*('Assumptions'!F67+(0))))*'DCF'!G12/(1+(F34))^'DCF'!G13,(('Forecast'!H12)*(('Assumptions'!H37+(0))*(1-'Assumptions'!H42-(0))+'Assumptions'!H47-'Assumptions'!H52*(1)+'Assumptions'!H57-'Assumptions'!H62*(1)-'Assumptions'!H67-(0))+(('Forecast'!G12)*('Assumptions'!G67+(0))))*'DCF'!H12/(1+(F34))^'DCF'!H13,(('Forecast'!I12)*(('Assumptions'!I37+(0))*(1-'Assumptions'!I42-(0))+'Assumptions'!I47-'Assumptions'!I52*(1)+'Assumptions'!I57-'Assumptions'!I62*(1)-'Assumptions'!I67-(0))+(('Forecast'!H12)*('Assumptions'!H67+(0))))*'DCF'!I12/(1+(F34))^'DCF'!I13)+('Forecast'!I12)*(1+('DCF'!$E$7))*('Terminal Value'!$E$10+(0))*(1-'Assumptions'!$E$15-(0))*(1-('DCF'!$E$7)/('Terminal Value'!$E$12))/((F34)-('DCF'!$E$7))/(1+(F34))^'DCF'!$E$19)</x:f>
        <x:v>1020545.1692658457</x:v>
      </x:c>
      <x:c r="H34" s="164" t="n">
        <x:f>G34-$E$9</x:f>
        <x:v>-2887564.7997856643</x:v>
      </x:c>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81" t="n">
        <x:v>2</x:v>
      </x:c>
      <x:c r="D35" s="208" t="n">
        <x:f>IF(G34&gt;$E$9,F34,D34)</x:f>
        <x:v>0.031</x:v>
      </x:c>
      <x:c r="E35" s="208" t="n">
        <x:f>IF(G34&gt;$E$9,E34,F34)</x:f>
        <x:v>0.16549999999999998</x:v>
      </x:c>
      <x:c r="F35" s="208" t="n">
        <x:f>(D35+E35)/2</x:f>
        <x:v>0.09824999999999999</x:v>
      </x:c>
      <x:c r="G35" s="164" t="n">
        <x:f>(SUM((('Forecast'!E12)*(('Assumptions'!E37+(0))*(1-'Assumptions'!E42-(0))+'Assumptions'!E47-'Assumptions'!E52*(1)+'Assumptions'!E57-'Assumptions'!E62*(1)-'Assumptions'!E67-(0))+('Working Capital'!$E$6))*'DCF'!E12/(1+(F35))^'DCF'!E13,(('Forecast'!F12)*(('Assumptions'!F37+(0))*(1-'Assumptions'!F42-(0))+'Assumptions'!F47-'Assumptions'!F52*(1)+'Assumptions'!F57-'Assumptions'!F62*(1)-'Assumptions'!F67-(0))+(('Forecast'!E12)*('Assumptions'!E67+(0))))*'DCF'!F12/(1+(F35))^'DCF'!F13,(('Forecast'!G12)*(('Assumptions'!G37+(0))*(1-'Assumptions'!G42-(0))+'Assumptions'!G47-'Assumptions'!G52*(1)+'Assumptions'!G57-'Assumptions'!G62*(1)-'Assumptions'!G67-(0))+(('Forecast'!F12)*('Assumptions'!F67+(0))))*'DCF'!G12/(1+(F35))^'DCF'!G13,(('Forecast'!H12)*(('Assumptions'!H37+(0))*(1-'Assumptions'!H42-(0))+'Assumptions'!H47-'Assumptions'!H52*(1)+'Assumptions'!H57-'Assumptions'!H62*(1)-'Assumptions'!H67-(0))+(('Forecast'!G12)*('Assumptions'!G67+(0))))*'DCF'!H12/(1+(F35))^'DCF'!H13,(('Forecast'!I12)*(('Assumptions'!I37+(0))*(1-'Assumptions'!I42-(0))+'Assumptions'!I47-'Assumptions'!I52*(1)+'Assumptions'!I57-'Assumptions'!I62*(1)-'Assumptions'!I67-(0))+(('Forecast'!H12)*('Assumptions'!H67+(0))))*'DCF'!I12/(1+(F35))^'DCF'!I13)+('Forecast'!I12)*(1+('DCF'!$E$7))*('Terminal Value'!$E$10+(0))*(1-'Assumptions'!$E$15-(0))*(1-('DCF'!$E$7)/('Terminal Value'!$E$12))/((F35)-('DCF'!$E$7))/(1+(F35))^'DCF'!$E$19)</x:f>
        <x:v>2144420.1972487196</x:v>
      </x:c>
      <x:c r="H35" s="164" t="n">
        <x:f>G35-$E$9</x:f>
        <x:v>-1763689.7718027905</x:v>
      </x:c>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81" t="n">
        <x:v>3</x:v>
      </x:c>
      <x:c r="D36" s="208" t="n">
        <x:f>IF(G35&gt;$E$9,F35,D35)</x:f>
        <x:v>0.031</x:v>
      </x:c>
      <x:c r="E36" s="208" t="n">
        <x:f>IF(G35&gt;$E$9,E35,F35)</x:f>
        <x:v>0.09824999999999999</x:v>
      </x:c>
      <x:c r="F36" s="208" t="n">
        <x:f>(D36+E36)/2</x:f>
        <x:v>0.06462499999999999</x:v>
      </x:c>
      <x:c r="G36" s="164" t="n">
        <x:f>(SUM((('Forecast'!E12)*(('Assumptions'!E37+(0))*(1-'Assumptions'!E42-(0))+'Assumptions'!E47-'Assumptions'!E52*(1)+'Assumptions'!E57-'Assumptions'!E62*(1)-'Assumptions'!E67-(0))+('Working Capital'!$E$6))*'DCF'!E12/(1+(F36))^'DCF'!E13,(('Forecast'!F12)*(('Assumptions'!F37+(0))*(1-'Assumptions'!F42-(0))+'Assumptions'!F47-'Assumptions'!F52*(1)+'Assumptions'!F57-'Assumptions'!F62*(1)-'Assumptions'!F67-(0))+(('Forecast'!E12)*('Assumptions'!E67+(0))))*'DCF'!F12/(1+(F36))^'DCF'!F13,(('Forecast'!G12)*(('Assumptions'!G37+(0))*(1-'Assumptions'!G42-(0))+'Assumptions'!G47-'Assumptions'!G52*(1)+'Assumptions'!G57-'Assumptions'!G62*(1)-'Assumptions'!G67-(0))+(('Forecast'!F12)*('Assumptions'!F67+(0))))*'DCF'!G12/(1+(F36))^'DCF'!G13,(('Forecast'!H12)*(('Assumptions'!H37+(0))*(1-'Assumptions'!H42-(0))+'Assumptions'!H47-'Assumptions'!H52*(1)+'Assumptions'!H57-'Assumptions'!H62*(1)-'Assumptions'!H67-(0))+(('Forecast'!G12)*('Assumptions'!G67+(0))))*'DCF'!H12/(1+(F36))^'DCF'!H13,(('Forecast'!I12)*(('Assumptions'!I37+(0))*(1-'Assumptions'!I42-(0))+'Assumptions'!I47-'Assumptions'!I52*(1)+'Assumptions'!I57-'Assumptions'!I62*(1)-'Assumptions'!I67-(0))+(('Forecast'!H12)*('Assumptions'!H67+(0))))*'DCF'!I12/(1+(F36))^'DCF'!I13)+('Forecast'!I12)*(1+('DCF'!$E$7))*('Terminal Value'!$E$10+(0))*(1-'Assumptions'!$E$15-(0))*(1-('DCF'!$E$7)/('Terminal Value'!$E$12))/((F36)-('DCF'!$E$7))/(1+(F36))^'DCF'!$E$19)</x:f>
        <x:v>4376235.020531895</x:v>
      </x:c>
      <x:c r="H36" s="164" t="n">
        <x:f>G36-$E$9</x:f>
        <x:v>468125.05148038454</x:v>
      </x:c>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81" t="n">
        <x:v>4</x:v>
      </x:c>
      <x:c r="D37" s="208" t="n">
        <x:f>IF(G36&gt;$E$9,F36,D36)</x:f>
        <x:v>0.06462499999999999</x:v>
      </x:c>
      <x:c r="E37" s="208" t="n">
        <x:f>IF(G36&gt;$E$9,E36,F36)</x:f>
        <x:v>0.09824999999999999</x:v>
      </x:c>
      <x:c r="F37" s="208" t="n">
        <x:f>(D37+E37)/2</x:f>
        <x:v>0.0814375</x:v>
      </x:c>
      <x:c r="G37" s="164" t="n">
        <x:f>(SUM((('Forecast'!E12)*(('Assumptions'!E37+(0))*(1-'Assumptions'!E42-(0))+'Assumptions'!E47-'Assumptions'!E52*(1)+'Assumptions'!E57-'Assumptions'!E62*(1)-'Assumptions'!E67-(0))+('Working Capital'!$E$6))*'DCF'!E12/(1+(F37))^'DCF'!E13,(('Forecast'!F12)*(('Assumptions'!F37+(0))*(1-'Assumptions'!F42-(0))+'Assumptions'!F47-'Assumptions'!F52*(1)+'Assumptions'!F57-'Assumptions'!F62*(1)-'Assumptions'!F67-(0))+(('Forecast'!E12)*('Assumptions'!E67+(0))))*'DCF'!F12/(1+(F37))^'DCF'!F13,(('Forecast'!G12)*(('Assumptions'!G37+(0))*(1-'Assumptions'!G42-(0))+'Assumptions'!G47-'Assumptions'!G52*(1)+'Assumptions'!G57-'Assumptions'!G62*(1)-'Assumptions'!G67-(0))+(('Forecast'!F12)*('Assumptions'!F67+(0))))*'DCF'!G12/(1+(F37))^'DCF'!G13,(('Forecast'!H12)*(('Assumptions'!H37+(0))*(1-'Assumptions'!H42-(0))+'Assumptions'!H47-'Assumptions'!H52*(1)+'Assumptions'!H57-'Assumptions'!H62*(1)-'Assumptions'!H67-(0))+(('Forecast'!G12)*('Assumptions'!G67+(0))))*'DCF'!H12/(1+(F37))^'DCF'!H13,(('Forecast'!I12)*(('Assumptions'!I37+(0))*(1-'Assumptions'!I42-(0))+'Assumptions'!I47-'Assumptions'!I52*(1)+'Assumptions'!I57-'Assumptions'!I62*(1)-'Assumptions'!I67-(0))+(('Forecast'!H12)*('Assumptions'!H67+(0))))*'DCF'!I12/(1+(F37))^'DCF'!I13)+('Forecast'!I12)*(1+('DCF'!$E$7))*('Terminal Value'!$E$10+(0))*(1-'Assumptions'!$E$15-(0))*(1-('DCF'!$E$7)/('Terminal Value'!$E$12))/((F37)-('DCF'!$E$7))/(1+(F37))^'DCF'!$E$19)</x:f>
        <x:v>2893415.8052134626</x:v>
      </x:c>
      <x:c r="H37" s="164" t="n">
        <x:f>G37-$E$9</x:f>
        <x:v>-1014694.1638380475</x:v>
      </x:c>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81" t="n">
        <x:v>5</x:v>
      </x:c>
      <x:c r="D38" s="208" t="n">
        <x:f>IF(G37&gt;$E$9,F37,D37)</x:f>
        <x:v>0.06462499999999999</x:v>
      </x:c>
      <x:c r="E38" s="208" t="n">
        <x:f>IF(G37&gt;$E$9,E37,F37)</x:f>
        <x:v>0.0814375</x:v>
      </x:c>
      <x:c r="F38" s="208" t="n">
        <x:f>(D38+E38)/2</x:f>
        <x:v>0.07303124999999999</x:v>
      </x:c>
      <x:c r="G38" s="164" t="n">
        <x:f>(SUM((('Forecast'!E12)*(('Assumptions'!E37+(0))*(1-'Assumptions'!E42-(0))+'Assumptions'!E47-'Assumptions'!E52*(1)+'Assumptions'!E57-'Assumptions'!E62*(1)-'Assumptions'!E67-(0))+('Working Capital'!$E$6))*'DCF'!E12/(1+(F38))^'DCF'!E13,(('Forecast'!F12)*(('Assumptions'!F37+(0))*(1-'Assumptions'!F42-(0))+'Assumptions'!F47-'Assumptions'!F52*(1)+'Assumptions'!F57-'Assumptions'!F62*(1)-'Assumptions'!F67-(0))+(('Forecast'!E12)*('Assumptions'!E67+(0))))*'DCF'!F12/(1+(F38))^'DCF'!F13,(('Forecast'!G12)*(('Assumptions'!G37+(0))*(1-'Assumptions'!G42-(0))+'Assumptions'!G47-'Assumptions'!G52*(1)+'Assumptions'!G57-'Assumptions'!G62*(1)-'Assumptions'!G67-(0))+(('Forecast'!F12)*('Assumptions'!F67+(0))))*'DCF'!G12/(1+(F38))^'DCF'!G13,(('Forecast'!H12)*(('Assumptions'!H37+(0))*(1-'Assumptions'!H42-(0))+'Assumptions'!H47-'Assumptions'!H52*(1)+'Assumptions'!H57-'Assumptions'!H62*(1)-'Assumptions'!H67-(0))+(('Forecast'!G12)*('Assumptions'!G67+(0))))*'DCF'!H12/(1+(F38))^'DCF'!H13,(('Forecast'!I12)*(('Assumptions'!I37+(0))*(1-'Assumptions'!I42-(0))+'Assumptions'!I47-'Assumptions'!I52*(1)+'Assumptions'!I57-'Assumptions'!I62*(1)-'Assumptions'!I67-(0))+(('Forecast'!H12)*('Assumptions'!H67+(0))))*'DCF'!I12/(1+(F38))^'DCF'!I13)+('Forecast'!I12)*(1+('DCF'!$E$7))*('Terminal Value'!$E$10+(0))*(1-'Assumptions'!$E$15-(0))*(1-('DCF'!$E$7)/('Terminal Value'!$E$12))/((F38)-('DCF'!$E$7))/(1+(F38))^'DCF'!$E$19)</x:f>
        <x:v>3489303.974750037</x:v>
      </x:c>
      <x:c r="H38" s="164" t="n">
        <x:f>G38-$E$9</x:f>
        <x:v>-418805.99430147326</x:v>
      </x:c>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81" t="n">
        <x:v>6</x:v>
      </x:c>
      <x:c r="D39" s="208" t="n">
        <x:f>IF(G38&gt;$E$9,F38,D38)</x:f>
        <x:v>0.06462499999999999</x:v>
      </x:c>
      <x:c r="E39" s="208" t="n">
        <x:f>IF(G38&gt;$E$9,E38,F38)</x:f>
        <x:v>0.07303124999999999</x:v>
      </x:c>
      <x:c r="F39" s="208" t="n">
        <x:f>(D39+E39)/2</x:f>
        <x:v>0.06882812499999999</x:v>
      </x:c>
      <x:c r="G39" s="164" t="n">
        <x:f>(SUM((('Forecast'!E12)*(('Assumptions'!E37+(0))*(1-'Assumptions'!E42-(0))+'Assumptions'!E47-'Assumptions'!E52*(1)+'Assumptions'!E57-'Assumptions'!E62*(1)-'Assumptions'!E67-(0))+('Working Capital'!$E$6))*'DCF'!E12/(1+(F39))^'DCF'!E13,(('Forecast'!F12)*(('Assumptions'!F37+(0))*(1-'Assumptions'!F42-(0))+'Assumptions'!F47-'Assumptions'!F52*(1)+'Assumptions'!F57-'Assumptions'!F62*(1)-'Assumptions'!F67-(0))+(('Forecast'!E12)*('Assumptions'!E67+(0))))*'DCF'!F12/(1+(F39))^'DCF'!F13,(('Forecast'!G12)*(('Assumptions'!G37+(0))*(1-'Assumptions'!G42-(0))+'Assumptions'!G47-'Assumptions'!G52*(1)+'Assumptions'!G57-'Assumptions'!G62*(1)-'Assumptions'!G67-(0))+(('Forecast'!F12)*('Assumptions'!F67+(0))))*'DCF'!G12/(1+(F39))^'DCF'!G13,(('Forecast'!H12)*(('Assumptions'!H37+(0))*(1-'Assumptions'!H42-(0))+'Assumptions'!H47-'Assumptions'!H52*(1)+'Assumptions'!H57-'Assumptions'!H62*(1)-'Assumptions'!H67-(0))+(('Forecast'!G12)*('Assumptions'!G67+(0))))*'DCF'!H12/(1+(F39))^'DCF'!H13,(('Forecast'!I12)*(('Assumptions'!I37+(0))*(1-'Assumptions'!I42-(0))+'Assumptions'!I47-'Assumptions'!I52*(1)+'Assumptions'!I57-'Assumptions'!I62*(1)-'Assumptions'!I67-(0))+(('Forecast'!H12)*('Assumptions'!H67+(0))))*'DCF'!I12/(1+(F39))^'DCF'!I13)+('Forecast'!I12)*(1+('DCF'!$E$7))*('Terminal Value'!$E$10+(0))*(1-'Assumptions'!$E$15-(0))*(1-('DCF'!$E$7)/('Terminal Value'!$E$12))/((F39)-('DCF'!$E$7))/(1+(F39))^'DCF'!$E$19)</x:f>
        <x:v>3884569.439015063</x:v>
      </x:c>
      <x:c r="H39" s="164" t="n">
        <x:f>G39-$E$9</x:f>
        <x:v>-23540.530036447104</x:v>
      </x:c>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81" t="n">
        <x:v>7</x:v>
      </x:c>
      <x:c r="D40" s="208" t="n">
        <x:f>IF(G39&gt;$E$9,F39,D39)</x:f>
        <x:v>0.06462499999999999</x:v>
      </x:c>
      <x:c r="E40" s="208" t="n">
        <x:f>IF(G39&gt;$E$9,E39,F39)</x:f>
        <x:v>0.06882812499999999</x:v>
      </x:c>
      <x:c r="F40" s="208" t="n">
        <x:f>(D40+E40)/2</x:f>
        <x:v>0.06672656249999999</x:v>
      </x:c>
      <x:c r="G40" s="164" t="n">
        <x:f>(SUM((('Forecast'!E12)*(('Assumptions'!E37+(0))*(1-'Assumptions'!E42-(0))+'Assumptions'!E47-'Assumptions'!E52*(1)+'Assumptions'!E57-'Assumptions'!E62*(1)-'Assumptions'!E67-(0))+('Working Capital'!$E$6))*'DCF'!E12/(1+(F40))^'DCF'!E13,(('Forecast'!F12)*(('Assumptions'!F37+(0))*(1-'Assumptions'!F42-(0))+'Assumptions'!F47-'Assumptions'!F52*(1)+'Assumptions'!F57-'Assumptions'!F62*(1)-'Assumptions'!F67-(0))+(('Forecast'!E12)*('Assumptions'!E67+(0))))*'DCF'!F12/(1+(F40))^'DCF'!F13,(('Forecast'!G12)*(('Assumptions'!G37+(0))*(1-'Assumptions'!G42-(0))+'Assumptions'!G47-'Assumptions'!G52*(1)+'Assumptions'!G57-'Assumptions'!G62*(1)-'Assumptions'!G67-(0))+(('Forecast'!F12)*('Assumptions'!F67+(0))))*'DCF'!G12/(1+(F40))^'DCF'!G13,(('Forecast'!H12)*(('Assumptions'!H37+(0))*(1-'Assumptions'!H42-(0))+'Assumptions'!H47-'Assumptions'!H52*(1)+'Assumptions'!H57-'Assumptions'!H62*(1)-'Assumptions'!H67-(0))+(('Forecast'!G12)*('Assumptions'!G67+(0))))*'DCF'!H12/(1+(F40))^'DCF'!H13,(('Forecast'!I12)*(('Assumptions'!I37+(0))*(1-'Assumptions'!I42-(0))+'Assumptions'!I47-'Assumptions'!I52*(1)+'Assumptions'!I57-'Assumptions'!I62*(1)-'Assumptions'!I67-(0))+(('Forecast'!H12)*('Assumptions'!H67+(0))))*'DCF'!I12/(1+(F40))^'DCF'!I13)+('Forecast'!I12)*(1+('DCF'!$E$7))*('Terminal Value'!$E$10+(0))*(1-'Assumptions'!$E$15-(0))*(1-('DCF'!$E$7)/('Terminal Value'!$E$12))/((F40)-('DCF'!$E$7))/(1+(F40))^'DCF'!$E$19)</x:f>
        <x:v>4116282.9307422517</x:v>
      </x:c>
      <x:c r="H40" s="164" t="n">
        <x:f>G40-$E$9</x:f>
        <x:v>208172.9616907416</x:v>
      </x:c>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81" t="n">
        <x:v>8</x:v>
      </x:c>
      <x:c r="D41" s="208" t="n">
        <x:f>IF(G40&gt;$E$9,F40,D40)</x:f>
        <x:v>0.06672656249999999</x:v>
      </x:c>
      <x:c r="E41" s="208" t="n">
        <x:f>IF(G40&gt;$E$9,E40,F40)</x:f>
        <x:v>0.06882812499999999</x:v>
      </x:c>
      <x:c r="F41" s="208" t="n">
        <x:f>(D41+E41)/2</x:f>
        <x:v>0.06777734375</x:v>
      </x:c>
      <x:c r="G41" s="164" t="n">
        <x:f>(SUM((('Forecast'!E12)*(('Assumptions'!E37+(0))*(1-'Assumptions'!E42-(0))+'Assumptions'!E47-'Assumptions'!E52*(1)+'Assumptions'!E57-'Assumptions'!E62*(1)-'Assumptions'!E67-(0))+('Working Capital'!$E$6))*'DCF'!E12/(1+(F41))^'DCF'!E13,(('Forecast'!F12)*(('Assumptions'!F37+(0))*(1-'Assumptions'!F42-(0))+'Assumptions'!F47-'Assumptions'!F52*(1)+'Assumptions'!F57-'Assumptions'!F62*(1)-'Assumptions'!F67-(0))+(('Forecast'!E12)*('Assumptions'!E67+(0))))*'DCF'!F12/(1+(F41))^'DCF'!F13,(('Forecast'!G12)*(('Assumptions'!G37+(0))*(1-'Assumptions'!G42-(0))+'Assumptions'!G47-'Assumptions'!G52*(1)+'Assumptions'!G57-'Assumptions'!G62*(1)-'Assumptions'!G67-(0))+(('Forecast'!F12)*('Assumptions'!F67+(0))))*'DCF'!G12/(1+(F41))^'DCF'!G13,(('Forecast'!H12)*(('Assumptions'!H37+(0))*(1-'Assumptions'!H42-(0))+'Assumptions'!H47-'Assumptions'!H52*(1)+'Assumptions'!H57-'Assumptions'!H62*(1)-'Assumptions'!H67-(0))+(('Forecast'!G12)*('Assumptions'!G67+(0))))*'DCF'!H12/(1+(F41))^'DCF'!H13,(('Forecast'!I12)*(('Assumptions'!I37+(0))*(1-'Assumptions'!I42-(0))+'Assumptions'!I47-'Assumptions'!I52*(1)+'Assumptions'!I57-'Assumptions'!I62*(1)-'Assumptions'!I67-(0))+(('Forecast'!H12)*('Assumptions'!H67+(0))))*'DCF'!I12/(1+(F41))^'DCF'!I13)+('Forecast'!I12)*(1+('DCF'!$E$7))*('Terminal Value'!$E$10+(0))*(1-'Assumptions'!$E$15-(0))*(1-('DCF'!$E$7)/('Terminal Value'!$E$12))/((F41)-('DCF'!$E$7))/(1+(F41))^'DCF'!$E$19)</x:f>
        <x:v>3997190.9949189955</x:v>
      </x:c>
      <x:c r="H41" s="164" t="n">
        <x:f>G41-$E$9</x:f>
        <x:v>89081.02586748544</x:v>
      </x:c>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81" t="n">
        <x:v>9</x:v>
      </x:c>
      <x:c r="D42" s="208" t="n">
        <x:f>IF(G41&gt;$E$9,F41,D41)</x:f>
        <x:v>0.06777734375</x:v>
      </x:c>
      <x:c r="E42" s="208" t="n">
        <x:f>IF(G41&gt;$E$9,E41,F41)</x:f>
        <x:v>0.06882812499999999</x:v>
      </x:c>
      <x:c r="F42" s="208" t="n">
        <x:f>(D42+E42)/2</x:f>
        <x:v>0.068302734375</x:v>
      </x:c>
      <x:c r="G42" s="164" t="n">
        <x:f>(SUM((('Forecast'!E12)*(('Assumptions'!E37+(0))*(1-'Assumptions'!E42-(0))+'Assumptions'!E47-'Assumptions'!E52*(1)+'Assumptions'!E57-'Assumptions'!E62*(1)-'Assumptions'!E67-(0))+('Working Capital'!$E$6))*'DCF'!E12/(1+(F42))^'DCF'!E13,(('Forecast'!F12)*(('Assumptions'!F37+(0))*(1-'Assumptions'!F42-(0))+'Assumptions'!F47-'Assumptions'!F52*(1)+'Assumptions'!F57-'Assumptions'!F62*(1)-'Assumptions'!F67-(0))+(('Forecast'!E12)*('Assumptions'!E67+(0))))*'DCF'!F12/(1+(F42))^'DCF'!F13,(('Forecast'!G12)*(('Assumptions'!G37+(0))*(1-'Assumptions'!G42-(0))+'Assumptions'!G47-'Assumptions'!G52*(1)+'Assumptions'!G57-'Assumptions'!G62*(1)-'Assumptions'!G67-(0))+(('Forecast'!F12)*('Assumptions'!F67+(0))))*'DCF'!G12/(1+(F42))^'DCF'!G13,(('Forecast'!H12)*(('Assumptions'!H37+(0))*(1-'Assumptions'!H42-(0))+'Assumptions'!H47-'Assumptions'!H52*(1)+'Assumptions'!H57-'Assumptions'!H62*(1)-'Assumptions'!H67-(0))+(('Forecast'!G12)*('Assumptions'!G67+(0))))*'DCF'!H12/(1+(F42))^'DCF'!H13,(('Forecast'!I12)*(('Assumptions'!I37+(0))*(1-'Assumptions'!I42-(0))+'Assumptions'!I47-'Assumptions'!I52*(1)+'Assumptions'!I57-'Assumptions'!I62*(1)-'Assumptions'!I67-(0))+(('Forecast'!H12)*('Assumptions'!H67+(0))))*'DCF'!I12/(1+(F42))^'DCF'!I13)+('Forecast'!I12)*(1+('DCF'!$E$7))*('Terminal Value'!$E$10+(0))*(1-'Assumptions'!$E$15-(0))*(1-('DCF'!$E$7)/('Terminal Value'!$E$12))/((F42)-('DCF'!$E$7))/(1+(F42))^'DCF'!$E$19)</x:f>
        <x:v>3940104.712486353</x:v>
      </x:c>
      <x:c r="H42" s="164" t="n">
        <x:f>G42-$E$9</x:f>
        <x:v>31994.743434842676</x:v>
      </x:c>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81" t="n">
        <x:v>10</x:v>
      </x:c>
      <x:c r="D43" s="208" t="n">
        <x:f>IF(G42&gt;$E$9,F42,D42)</x:f>
        <x:v>0.068302734375</x:v>
      </x:c>
      <x:c r="E43" s="208" t="n">
        <x:f>IF(G42&gt;$E$9,E42,F42)</x:f>
        <x:v>0.06882812499999999</x:v>
      </x:c>
      <x:c r="F43" s="208" t="n">
        <x:f>(D43+E43)/2</x:f>
        <x:v>0.06856542968749998</x:v>
      </x:c>
      <x:c r="G43" s="164" t="n">
        <x:f>(SUM((('Forecast'!E12)*(('Assumptions'!E37+(0))*(1-'Assumptions'!E42-(0))+'Assumptions'!E47-'Assumptions'!E52*(1)+'Assumptions'!E57-'Assumptions'!E62*(1)-'Assumptions'!E67-(0))+('Working Capital'!$E$6))*'DCF'!E12/(1+(F43))^'DCF'!E13,(('Forecast'!F12)*(('Assumptions'!F37+(0))*(1-'Assumptions'!F42-(0))+'Assumptions'!F47-'Assumptions'!F52*(1)+'Assumptions'!F57-'Assumptions'!F62*(1)-'Assumptions'!F67-(0))+(('Forecast'!E12)*('Assumptions'!E67+(0))))*'DCF'!F12/(1+(F43))^'DCF'!F13,(('Forecast'!G12)*(('Assumptions'!G37+(0))*(1-'Assumptions'!G42-(0))+'Assumptions'!G47-'Assumptions'!G52*(1)+'Assumptions'!G57-'Assumptions'!G62*(1)-'Assumptions'!G67-(0))+(('Forecast'!F12)*('Assumptions'!F67+(0))))*'DCF'!G12/(1+(F43))^'DCF'!G13,(('Forecast'!H12)*(('Assumptions'!H37+(0))*(1-'Assumptions'!H42-(0))+'Assumptions'!H47-'Assumptions'!H52*(1)+'Assumptions'!H57-'Assumptions'!H62*(1)-'Assumptions'!H67-(0))+(('Forecast'!G12)*('Assumptions'!G67+(0))))*'DCF'!H12/(1+(F43))^'DCF'!H13,(('Forecast'!I12)*(('Assumptions'!I37+(0))*(1-'Assumptions'!I42-(0))+'Assumptions'!I47-'Assumptions'!I52*(1)+'Assumptions'!I57-'Assumptions'!I62*(1)-'Assumptions'!I67-(0))+(('Forecast'!H12)*('Assumptions'!H67+(0))))*'DCF'!I12/(1+(F43))^'DCF'!I13)+('Forecast'!I12)*(1+('DCF'!$E$7))*('Terminal Value'!$E$10+(0))*(1-'Assumptions'!$E$15-(0))*(1-('DCF'!$E$7)/('Terminal Value'!$E$12))/((F43)-('DCF'!$E$7))/(1+(F43))^'DCF'!$E$19)</x:f>
        <x:v>3912147.1628183336</x:v>
      </x:c>
      <x:c r="H43" s="164" t="n">
        <x:f>G43-$E$9</x:f>
        <x:v>4037.193766823504</x:v>
      </x:c>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81" t="n">
        <x:v>11</x:v>
      </x:c>
      <x:c r="D44" s="208" t="n">
        <x:f>IF(G43&gt;$E$9,F43,D43)</x:f>
        <x:v>0.06856542968749998</x:v>
      </x:c>
      <x:c r="E44" s="208" t="n">
        <x:f>IF(G43&gt;$E$9,E43,F43)</x:f>
        <x:v>0.06882812499999999</x:v>
      </x:c>
      <x:c r="F44" s="208" t="n">
        <x:f>(D44+E44)/2</x:f>
        <x:v>0.06869677734374999</x:v>
      </x:c>
      <x:c r="G44" s="164" t="n">
        <x:f>(SUM((('Forecast'!E12)*(('Assumptions'!E37+(0))*(1-'Assumptions'!E42-(0))+'Assumptions'!E47-'Assumptions'!E52*(1)+'Assumptions'!E57-'Assumptions'!E62*(1)-'Assumptions'!E67-(0))+('Working Capital'!$E$6))*'DCF'!E12/(1+(F44))^'DCF'!E13,(('Forecast'!F12)*(('Assumptions'!F37+(0))*(1-'Assumptions'!F42-(0))+'Assumptions'!F47-'Assumptions'!F52*(1)+'Assumptions'!F57-'Assumptions'!F62*(1)-'Assumptions'!F67-(0))+(('Forecast'!E12)*('Assumptions'!E67+(0))))*'DCF'!F12/(1+(F44))^'DCF'!F13,(('Forecast'!G12)*(('Assumptions'!G37+(0))*(1-'Assumptions'!G42-(0))+'Assumptions'!G47-'Assumptions'!G52*(1)+'Assumptions'!G57-'Assumptions'!G62*(1)-'Assumptions'!G67-(0))+(('Forecast'!F12)*('Assumptions'!F67+(0))))*'DCF'!G12/(1+(F44))^'DCF'!G13,(('Forecast'!H12)*(('Assumptions'!H37+(0))*(1-'Assumptions'!H42-(0))+'Assumptions'!H47-'Assumptions'!H52*(1)+'Assumptions'!H57-'Assumptions'!H62*(1)-'Assumptions'!H67-(0))+(('Forecast'!G12)*('Assumptions'!G67+(0))))*'DCF'!H12/(1+(F44))^'DCF'!H13,(('Forecast'!I12)*(('Assumptions'!I37+(0))*(1-'Assumptions'!I42-(0))+'Assumptions'!I47-'Assumptions'!I52*(1)+'Assumptions'!I57-'Assumptions'!I62*(1)-'Assumptions'!I67-(0))+(('Forecast'!H12)*('Assumptions'!H67+(0))))*'DCF'!I12/(1+(F44))^'DCF'!I13)+('Forecast'!I12)*(1+('DCF'!$E$7))*('Terminal Value'!$E$10+(0))*(1-'Assumptions'!$E$15-(0))*(1-('DCF'!$E$7)/('Terminal Value'!$E$12))/((F44)-('DCF'!$E$7))/(1+(F44))^'DCF'!$E$19)</x:f>
        <x:v>3898311.3063111417</x:v>
      </x:c>
      <x:c r="H44" s="164" t="n">
        <x:f>G44-$E$9</x:f>
        <x:v>-9798.662740368396</x:v>
      </x:c>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81" t="n">
        <x:v>12</x:v>
      </x:c>
      <x:c r="D45" s="208" t="n">
        <x:f>IF(G44&gt;$E$9,F44,D44)</x:f>
        <x:v>0.06856542968749998</x:v>
      </x:c>
      <x:c r="E45" s="208" t="n">
        <x:f>IF(G44&gt;$E$9,E44,F44)</x:f>
        <x:v>0.06869677734374999</x:v>
      </x:c>
      <x:c r="F45" s="208" t="n">
        <x:f>(D45+E45)/2</x:f>
        <x:v>0.06863110351562499</x:v>
      </x:c>
      <x:c r="G45" s="164" t="n">
        <x:f>(SUM((('Forecast'!E12)*(('Assumptions'!E37+(0))*(1-'Assumptions'!E42-(0))+'Assumptions'!E47-'Assumptions'!E52*(1)+'Assumptions'!E57-'Assumptions'!E62*(1)-'Assumptions'!E67-(0))+('Working Capital'!$E$6))*'DCF'!E12/(1+(F45))^'DCF'!E13,(('Forecast'!F12)*(('Assumptions'!F37+(0))*(1-'Assumptions'!F42-(0))+'Assumptions'!F47-'Assumptions'!F52*(1)+'Assumptions'!F57-'Assumptions'!F62*(1)-'Assumptions'!F67-(0))+(('Forecast'!E12)*('Assumptions'!E67+(0))))*'DCF'!F12/(1+(F45))^'DCF'!F13,(('Forecast'!G12)*(('Assumptions'!G37+(0))*(1-'Assumptions'!G42-(0))+'Assumptions'!G47-'Assumptions'!G52*(1)+'Assumptions'!G57-'Assumptions'!G62*(1)-'Assumptions'!G67-(0))+(('Forecast'!F12)*('Assumptions'!F67+(0))))*'DCF'!G12/(1+(F45))^'DCF'!G13,(('Forecast'!H12)*(('Assumptions'!H37+(0))*(1-'Assumptions'!H42-(0))+'Assumptions'!H47-'Assumptions'!H52*(1)+'Assumptions'!H57-'Assumptions'!H62*(1)-'Assumptions'!H67-(0))+(('Forecast'!G12)*('Assumptions'!G67+(0))))*'DCF'!H12/(1+(F45))^'DCF'!H13,(('Forecast'!I12)*(('Assumptions'!I37+(0))*(1-'Assumptions'!I42-(0))+'Assumptions'!I47-'Assumptions'!I52*(1)+'Assumptions'!I57-'Assumptions'!I62*(1)-'Assumptions'!I67-(0))+(('Forecast'!H12)*('Assumptions'!H67+(0))))*'DCF'!I12/(1+(F45))^'DCF'!I13)+('Forecast'!I12)*(1+('DCF'!$E$7))*('Terminal Value'!$E$10+(0))*(1-'Assumptions'!$E$15-(0))*(1-('DCF'!$E$7)/('Terminal Value'!$E$12))/((F45)-('DCF'!$E$7))/(1+(F45))^'DCF'!$E$19)</x:f>
        <x:v>3905217.4259737786</x:v>
      </x:c>
      <x:c r="H45" s="164" t="n">
        <x:f>G45-$E$9</x:f>
        <x:v>-2892.543077731505</x:v>
      </x:c>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81" t="n">
        <x:v>13</x:v>
      </x:c>
      <x:c r="D46" s="208" t="n">
        <x:f>IF(G45&gt;$E$9,F45,D45)</x:f>
        <x:v>0.06856542968749998</x:v>
      </x:c>
      <x:c r="E46" s="208" t="n">
        <x:f>IF(G45&gt;$E$9,E45,F45)</x:f>
        <x:v>0.06863110351562499</x:v>
      </x:c>
      <x:c r="F46" s="208" t="n">
        <x:f>(D46+E46)/2</x:f>
        <x:v>0.06859826660156249</x:v>
      </x:c>
      <x:c r="G46" s="164" t="n">
        <x:f>(SUM((('Forecast'!E12)*(('Assumptions'!E37+(0))*(1-'Assumptions'!E42-(0))+'Assumptions'!E47-'Assumptions'!E52*(1)+'Assumptions'!E57-'Assumptions'!E62*(1)-'Assumptions'!E67-(0))+('Working Capital'!$E$6))*'DCF'!E12/(1+(F46))^'DCF'!E13,(('Forecast'!F12)*(('Assumptions'!F37+(0))*(1-'Assumptions'!F42-(0))+'Assumptions'!F47-'Assumptions'!F52*(1)+'Assumptions'!F57-'Assumptions'!F62*(1)-'Assumptions'!F67-(0))+(('Forecast'!E12)*('Assumptions'!E67+(0))))*'DCF'!F12/(1+(F46))^'DCF'!F13,(('Forecast'!G12)*(('Assumptions'!G37+(0))*(1-'Assumptions'!G42-(0))+'Assumptions'!G47-'Assumptions'!G52*(1)+'Assumptions'!G57-'Assumptions'!G62*(1)-'Assumptions'!G67-(0))+(('Forecast'!F12)*('Assumptions'!F67+(0))))*'DCF'!G12/(1+(F46))^'DCF'!G13,(('Forecast'!H12)*(('Assumptions'!H37+(0))*(1-'Assumptions'!H42-(0))+'Assumptions'!H47-'Assumptions'!H52*(1)+'Assumptions'!H57-'Assumptions'!H62*(1)-'Assumptions'!H67-(0))+(('Forecast'!G12)*('Assumptions'!G67+(0))))*'DCF'!H12/(1+(F46))^'DCF'!H13,(('Forecast'!I12)*(('Assumptions'!I37+(0))*(1-'Assumptions'!I42-(0))+'Assumptions'!I47-'Assumptions'!I52*(1)+'Assumptions'!I57-'Assumptions'!I62*(1)-'Assumptions'!I67-(0))+(('Forecast'!H12)*('Assumptions'!H67+(0))))*'DCF'!I12/(1+(F46))^'DCF'!I13)+('Forecast'!I12)*(1+('DCF'!$E$7))*('Terminal Value'!$E$10+(0))*(1-'Assumptions'!$E$15-(0))*(1-('DCF'!$E$7)/('Terminal Value'!$E$12))/((F46)-('DCF'!$E$7))/(1+(F46))^'DCF'!$E$19)</x:f>
        <x:v>3908679.334711252</x:v>
      </x:c>
      <x:c r="H46" s="164" t="n">
        <x:f>G46-$E$9</x:f>
        <x:v>569.3656597416848</x:v>
      </x:c>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81" t="n">
        <x:v>14</x:v>
      </x:c>
      <x:c r="D47" s="208" t="n">
        <x:f>IF(G46&gt;$E$9,F46,D46)</x:f>
        <x:v>0.06859826660156249</x:v>
      </x:c>
      <x:c r="E47" s="208" t="n">
        <x:f>IF(G46&gt;$E$9,E46,F46)</x:f>
        <x:v>0.06863110351562499</x:v>
      </x:c>
      <x:c r="F47" s="208" t="n">
        <x:f>(D47+E47)/2</x:f>
        <x:v>0.06861468505859374</x:v>
      </x:c>
      <x:c r="G47" s="164" t="n">
        <x:f>(SUM((('Forecast'!E12)*(('Assumptions'!E37+(0))*(1-'Assumptions'!E42-(0))+'Assumptions'!E47-'Assumptions'!E52*(1)+'Assumptions'!E57-'Assumptions'!E62*(1)-'Assumptions'!E67-(0))+('Working Capital'!$E$6))*'DCF'!E12/(1+(F47))^'DCF'!E13,(('Forecast'!F12)*(('Assumptions'!F37+(0))*(1-'Assumptions'!F42-(0))+'Assumptions'!F47-'Assumptions'!F52*(1)+'Assumptions'!F57-'Assumptions'!F62*(1)-'Assumptions'!F67-(0))+(('Forecast'!E12)*('Assumptions'!E67+(0))))*'DCF'!F12/(1+(F47))^'DCF'!F13,(('Forecast'!G12)*(('Assumptions'!G37+(0))*(1-'Assumptions'!G42-(0))+'Assumptions'!G47-'Assumptions'!G52*(1)+'Assumptions'!G57-'Assumptions'!G62*(1)-'Assumptions'!G67-(0))+(('Forecast'!F12)*('Assumptions'!F67+(0))))*'DCF'!G12/(1+(F47))^'DCF'!G13,(('Forecast'!H12)*(('Assumptions'!H37+(0))*(1-'Assumptions'!H42-(0))+'Assumptions'!H47-'Assumptions'!H52*(1)+'Assumptions'!H57-'Assumptions'!H62*(1)-'Assumptions'!H67-(0))+(('Forecast'!G12)*('Assumptions'!G67+(0))))*'DCF'!H12/(1+(F47))^'DCF'!H13,(('Forecast'!I12)*(('Assumptions'!I37+(0))*(1-'Assumptions'!I42-(0))+'Assumptions'!I47-'Assumptions'!I52*(1)+'Assumptions'!I57-'Assumptions'!I62*(1)-'Assumptions'!I67-(0))+(('Forecast'!H12)*('Assumptions'!H67+(0))))*'DCF'!I12/(1+(F47))^'DCF'!I13)+('Forecast'!I12)*(1+('DCF'!$E$7))*('Terminal Value'!$E$10+(0))*(1-'Assumptions'!$E$15-(0))*(1-('DCF'!$E$7)/('Terminal Value'!$E$12))/((F47)-('DCF'!$E$7))/(1+(F47))^'DCF'!$E$19)</x:f>
        <x:v>3906947.6413654503</x:v>
      </x:c>
      <x:c r="H47" s="164" t="n">
        <x:f>G47-$E$9</x:f>
        <x:v>-1162.3276860597543</x:v>
      </x:c>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81" t="n">
        <x:v>15</x:v>
      </x:c>
      <x:c r="D48" s="208" t="n">
        <x:f>IF(G47&gt;$E$9,F47,D47)</x:f>
        <x:v>0.06859826660156249</x:v>
      </x:c>
      <x:c r="E48" s="208" t="n">
        <x:f>IF(G47&gt;$E$9,E47,F47)</x:f>
        <x:v>0.06861468505859374</x:v>
      </x:c>
      <x:c r="F48" s="208" t="n">
        <x:f>(D48+E48)/2</x:f>
        <x:v>0.06860647583007812</x:v>
      </x:c>
      <x:c r="G48" s="164" t="n">
        <x:f>(SUM((('Forecast'!E12)*(('Assumptions'!E37+(0))*(1-'Assumptions'!E42-(0))+'Assumptions'!E47-'Assumptions'!E52*(1)+'Assumptions'!E57-'Assumptions'!E62*(1)-'Assumptions'!E67-(0))+('Working Capital'!$E$6))*'DCF'!E12/(1+(F48))^'DCF'!E13,(('Forecast'!F12)*(('Assumptions'!F37+(0))*(1-'Assumptions'!F42-(0))+'Assumptions'!F47-'Assumptions'!F52*(1)+'Assumptions'!F57-'Assumptions'!F62*(1)-'Assumptions'!F67-(0))+(('Forecast'!E12)*('Assumptions'!E67+(0))))*'DCF'!F12/(1+(F48))^'DCF'!F13,(('Forecast'!G12)*(('Assumptions'!G37+(0))*(1-'Assumptions'!G42-(0))+'Assumptions'!G47-'Assumptions'!G52*(1)+'Assumptions'!G57-'Assumptions'!G62*(1)-'Assumptions'!G67-(0))+(('Forecast'!F12)*('Assumptions'!F67+(0))))*'DCF'!G12/(1+(F48))^'DCF'!G13,(('Forecast'!H12)*(('Assumptions'!H37+(0))*(1-'Assumptions'!H42-(0))+'Assumptions'!H47-'Assumptions'!H52*(1)+'Assumptions'!H57-'Assumptions'!H62*(1)-'Assumptions'!H67-(0))+(('Forecast'!G12)*('Assumptions'!G67+(0))))*'DCF'!H12/(1+(F48))^'DCF'!H13,(('Forecast'!I12)*(('Assumptions'!I37+(0))*(1-'Assumptions'!I42-(0))+'Assumptions'!I47-'Assumptions'!I52*(1)+'Assumptions'!I57-'Assumptions'!I62*(1)-'Assumptions'!I67-(0))+(('Forecast'!H12)*('Assumptions'!H67+(0))))*'DCF'!I12/(1+(F48))^'DCF'!I13)+('Forecast'!I12)*(1+('DCF'!$E$7))*('Terminal Value'!$E$10+(0))*(1-'Assumptions'!$E$15-(0))*(1-('DCF'!$E$7)/('Terminal Value'!$E$12))/((F48)-('DCF'!$E$7))/(1+(F48))^'DCF'!$E$19)</x:f>
        <x:v>3907813.303176192</x:v>
      </x:c>
      <x:c r="H48" s="164" t="n">
        <x:f>G48-$E$9</x:f>
        <x:v>-296.6658753179945</x:v>
      </x:c>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81" t="n">
        <x:v>16</x:v>
      </x:c>
      <x:c r="D49" s="208" t="n">
        <x:f>IF(G48&gt;$E$9,F48,D48)</x:f>
        <x:v>0.06859826660156249</x:v>
      </x:c>
      <x:c r="E49" s="208" t="n">
        <x:f>IF(G48&gt;$E$9,E48,F48)</x:f>
        <x:v>0.06860647583007812</x:v>
      </x:c>
      <x:c r="F49" s="208" t="n">
        <x:f>(D49+E49)/2</x:f>
        <x:v>0.0686023712158203</x:v>
      </x:c>
      <x:c r="G49" s="164" t="n">
        <x:f>(SUM((('Forecast'!E12)*(('Assumptions'!E37+(0))*(1-'Assumptions'!E42-(0))+'Assumptions'!E47-'Assumptions'!E52*(1)+'Assumptions'!E57-'Assumptions'!E62*(1)-'Assumptions'!E67-(0))+('Working Capital'!$E$6))*'DCF'!E12/(1+(F49))^'DCF'!E13,(('Forecast'!F12)*(('Assumptions'!F37+(0))*(1-'Assumptions'!F42-(0))+'Assumptions'!F47-'Assumptions'!F52*(1)+'Assumptions'!F57-'Assumptions'!F62*(1)-'Assumptions'!F67-(0))+(('Forecast'!E12)*('Assumptions'!E67+(0))))*'DCF'!F12/(1+(F49))^'DCF'!F13,(('Forecast'!G12)*(('Assumptions'!G37+(0))*(1-'Assumptions'!G42-(0))+'Assumptions'!G47-'Assumptions'!G52*(1)+'Assumptions'!G57-'Assumptions'!G62*(1)-'Assumptions'!G67-(0))+(('Forecast'!F12)*('Assumptions'!F67+(0))))*'DCF'!G12/(1+(F49))^'DCF'!G13,(('Forecast'!H12)*(('Assumptions'!H37+(0))*(1-'Assumptions'!H42-(0))+'Assumptions'!H47-'Assumptions'!H52*(1)+'Assumptions'!H57-'Assumptions'!H62*(1)-'Assumptions'!H67-(0))+(('Forecast'!G12)*('Assumptions'!G67+(0))))*'DCF'!H12/(1+(F49))^'DCF'!H13,(('Forecast'!I12)*(('Assumptions'!I37+(0))*(1-'Assumptions'!I42-(0))+'Assumptions'!I47-'Assumptions'!I52*(1)+'Assumptions'!I57-'Assumptions'!I62*(1)-'Assumptions'!I67-(0))+(('Forecast'!H12)*('Assumptions'!H67+(0))))*'DCF'!I12/(1+(F49))^'DCF'!I13)+('Forecast'!I12)*(1+('DCF'!$E$7))*('Terminal Value'!$E$10+(0))*(1-'Assumptions'!$E$15-(0))*(1-('DCF'!$E$7)/('Terminal Value'!$E$12))/((F49)-('DCF'!$E$7))/(1+(F49))^'DCF'!$E$19)</x:f>
        <x:v>3908246.272713435</x:v>
      </x:c>
      <x:c r="H49" s="164" t="n">
        <x:f>G49-$E$9</x:f>
        <x:v>136.30366192478687</x:v>
      </x:c>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81" t="n">
        <x:v>17</x:v>
      </x:c>
      <x:c r="D50" s="208" t="n">
        <x:f>IF(G49&gt;$E$9,F49,D49)</x:f>
        <x:v>0.0686023712158203</x:v>
      </x:c>
      <x:c r="E50" s="208" t="n">
        <x:f>IF(G49&gt;$E$9,E49,F49)</x:f>
        <x:v>0.06860647583007812</x:v>
      </x:c>
      <x:c r="F50" s="208" t="n">
        <x:f>(D50+E50)/2</x:f>
        <x:v>0.06860442352294921</x:v>
      </x:c>
      <x:c r="G50" s="164" t="n">
        <x:f>(SUM((('Forecast'!E12)*(('Assumptions'!E37+(0))*(1-'Assumptions'!E42-(0))+'Assumptions'!E47-'Assumptions'!E52*(1)+'Assumptions'!E57-'Assumptions'!E62*(1)-'Assumptions'!E67-(0))+('Working Capital'!$E$6))*'DCF'!E12/(1+(F50))^'DCF'!E13,(('Forecast'!F12)*(('Assumptions'!F37+(0))*(1-'Assumptions'!F42-(0))+'Assumptions'!F47-'Assumptions'!F52*(1)+'Assumptions'!F57-'Assumptions'!F62*(1)-'Assumptions'!F67-(0))+(('Forecast'!E12)*('Assumptions'!E67+(0))))*'DCF'!F12/(1+(F50))^'DCF'!F13,(('Forecast'!G12)*(('Assumptions'!G37+(0))*(1-'Assumptions'!G42-(0))+'Assumptions'!G47-'Assumptions'!G52*(1)+'Assumptions'!G57-'Assumptions'!G62*(1)-'Assumptions'!G67-(0))+(('Forecast'!F12)*('Assumptions'!F67+(0))))*'DCF'!G12/(1+(F50))^'DCF'!G13,(('Forecast'!H12)*(('Assumptions'!H37+(0))*(1-'Assumptions'!H42-(0))+'Assumptions'!H47-'Assumptions'!H52*(1)+'Assumptions'!H57-'Assumptions'!H62*(1)-'Assumptions'!H67-(0))+(('Forecast'!G12)*('Assumptions'!G67+(0))))*'DCF'!H12/(1+(F50))^'DCF'!H13,(('Forecast'!I12)*(('Assumptions'!I37+(0))*(1-'Assumptions'!I42-(0))+'Assumptions'!I47-'Assumptions'!I52*(1)+'Assumptions'!I57-'Assumptions'!I62*(1)-'Assumptions'!I67-(0))+(('Forecast'!H12)*('Assumptions'!H67+(0))))*'DCF'!I12/(1+(F50))^'DCF'!I13)+('Forecast'!I12)*(1+('DCF'!$E$7))*('Terminal Value'!$E$10+(0))*(1-'Assumptions'!$E$15-(0))*(1-('DCF'!$E$7)/('Terminal Value'!$E$12))/((F50)-('DCF'!$E$7))/(1+(F50))^'DCF'!$E$19)</x:f>
        <x:v>3908029.7763890857</x:v>
      </x:c>
      <x:c r="H50" s="164" t="n">
        <x:f>G50-$E$9</x:f>
        <x:v>-80.1926624244079</x:v>
      </x:c>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81" t="n">
        <x:v>18</x:v>
      </x:c>
      <x:c r="D51" s="208" t="n">
        <x:f>IF(G50&gt;$E$9,F50,D50)</x:f>
        <x:v>0.0686023712158203</x:v>
      </x:c>
      <x:c r="E51" s="208" t="n">
        <x:f>IF(G50&gt;$E$9,E50,F50)</x:f>
        <x:v>0.06860442352294921</x:v>
      </x:c>
      <x:c r="F51" s="208" t="n">
        <x:f>(D51+E51)/2</x:f>
        <x:v>0.06860339736938476</x:v>
      </x:c>
      <x:c r="G51" s="164" t="n">
        <x:f>(SUM((('Forecast'!E12)*(('Assumptions'!E37+(0))*(1-'Assumptions'!E42-(0))+'Assumptions'!E47-'Assumptions'!E52*(1)+'Assumptions'!E57-'Assumptions'!E62*(1)-'Assumptions'!E67-(0))+('Working Capital'!$E$6))*'DCF'!E12/(1+(F51))^'DCF'!E13,(('Forecast'!F12)*(('Assumptions'!F37+(0))*(1-'Assumptions'!F42-(0))+'Assumptions'!F47-'Assumptions'!F52*(1)+'Assumptions'!F57-'Assumptions'!F62*(1)-'Assumptions'!F67-(0))+(('Forecast'!E12)*('Assumptions'!E67+(0))))*'DCF'!F12/(1+(F51))^'DCF'!F13,(('Forecast'!G12)*(('Assumptions'!G37+(0))*(1-'Assumptions'!G42-(0))+'Assumptions'!G47-'Assumptions'!G52*(1)+'Assumptions'!G57-'Assumptions'!G62*(1)-'Assumptions'!G67-(0))+(('Forecast'!F12)*('Assumptions'!F67+(0))))*'DCF'!G12/(1+(F51))^'DCF'!G13,(('Forecast'!H12)*(('Assumptions'!H37+(0))*(1-'Assumptions'!H42-(0))+'Assumptions'!H47-'Assumptions'!H52*(1)+'Assumptions'!H57-'Assumptions'!H62*(1)-'Assumptions'!H67-(0))+(('Forecast'!G12)*('Assumptions'!G67+(0))))*'DCF'!H12/(1+(F51))^'DCF'!H13,(('Forecast'!I12)*(('Assumptions'!I37+(0))*(1-'Assumptions'!I42-(0))+'Assumptions'!I47-'Assumptions'!I52*(1)+'Assumptions'!I57-'Assumptions'!I62*(1)-'Assumptions'!I67-(0))+(('Forecast'!H12)*('Assumptions'!H67+(0))))*'DCF'!I12/(1+(F51))^'DCF'!I13)+('Forecast'!I12)*(1+('DCF'!$E$7))*('Terminal Value'!$E$10+(0))*(1-'Assumptions'!$E$15-(0))*(1-('DCF'!$E$7)/('Terminal Value'!$E$12))/((F51)-('DCF'!$E$7))/(1+(F51))^'DCF'!$E$19)</x:f>
        <x:v>3908138.0216620998</x:v>
      </x:c>
      <x:c r="H51" s="164" t="n">
        <x:f>G51-$E$9</x:f>
        <x:v>28.05261058965698</x:v>
      </x:c>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81" t="n">
        <x:v>19</x:v>
      </x:c>
      <x:c r="D52" s="208" t="n">
        <x:f>IF(G51&gt;$E$9,F51,D51)</x:f>
        <x:v>0.06860339736938476</x:v>
      </x:c>
      <x:c r="E52" s="208" t="n">
        <x:f>IF(G51&gt;$E$9,E51,F51)</x:f>
        <x:v>0.06860442352294921</x:v>
      </x:c>
      <x:c r="F52" s="208" t="n">
        <x:f>(D52+E52)/2</x:f>
        <x:v>0.06860391044616698</x:v>
      </x:c>
      <x:c r="G52" s="164" t="n">
        <x:f>(SUM((('Forecast'!E12)*(('Assumptions'!E37+(0))*(1-'Assumptions'!E42-(0))+'Assumptions'!E47-'Assumptions'!E52*(1)+'Assumptions'!E57-'Assumptions'!E62*(1)-'Assumptions'!E67-(0))+('Working Capital'!$E$6))*'DCF'!E12/(1+(F52))^'DCF'!E13,(('Forecast'!F12)*(('Assumptions'!F37+(0))*(1-'Assumptions'!F42-(0))+'Assumptions'!F47-'Assumptions'!F52*(1)+'Assumptions'!F57-'Assumptions'!F62*(1)-'Assumptions'!F67-(0))+(('Forecast'!E12)*('Assumptions'!E67+(0))))*'DCF'!F12/(1+(F52))^'DCF'!F13,(('Forecast'!G12)*(('Assumptions'!G37+(0))*(1-'Assumptions'!G42-(0))+'Assumptions'!G47-'Assumptions'!G52*(1)+'Assumptions'!G57-'Assumptions'!G62*(1)-'Assumptions'!G67-(0))+(('Forecast'!F12)*('Assumptions'!F67+(0))))*'DCF'!G12/(1+(F52))^'DCF'!G13,(('Forecast'!H12)*(('Assumptions'!H37+(0))*(1-'Assumptions'!H42-(0))+'Assumptions'!H47-'Assumptions'!H52*(1)+'Assumptions'!H57-'Assumptions'!H62*(1)-'Assumptions'!H67-(0))+(('Forecast'!G12)*('Assumptions'!G67+(0))))*'DCF'!H12/(1+(F52))^'DCF'!H13,(('Forecast'!I12)*(('Assumptions'!I37+(0))*(1-'Assumptions'!I42-(0))+'Assumptions'!I47-'Assumptions'!I52*(1)+'Assumptions'!I57-'Assumptions'!I62*(1)-'Assumptions'!I67-(0))+(('Forecast'!H12)*('Assumptions'!H67+(0))))*'DCF'!I12/(1+(F52))^'DCF'!I13)+('Forecast'!I12)*(1+('DCF'!$E$7))*('Terminal Value'!$E$10+(0))*(1-'Assumptions'!$E$15-(0))*(1-('DCF'!$E$7)/('Terminal Value'!$E$12))/((F52)-('DCF'!$E$7))/(1+(F52))^'DCF'!$E$19)</x:f>
        <x:v>3908083.8983033337</x:v>
      </x:c>
      <x:c r="H52" s="164" t="n">
        <x:f>G52-$E$9</x:f>
        <x:v>-26.070748176425695</x:v>
      </x:c>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81" t="n">
        <x:v>20</x:v>
      </x:c>
      <x:c r="D53" s="208" t="n">
        <x:f>IF(G52&gt;$E$9,F52,D52)</x:f>
        <x:v>0.06860339736938476</x:v>
      </x:c>
      <x:c r="E53" s="208" t="n">
        <x:f>IF(G52&gt;$E$9,E52,F52)</x:f>
        <x:v>0.06860391044616698</x:v>
      </x:c>
      <x:c r="F53" s="208" t="n">
        <x:f>(D53+E53)/2</x:f>
        <x:v>0.06860365390777587</x:v>
      </x:c>
      <x:c r="G53" s="164" t="n">
        <x:f>(SUM((('Forecast'!E12)*(('Assumptions'!E37+(0))*(1-'Assumptions'!E42-(0))+'Assumptions'!E47-'Assumptions'!E52*(1)+'Assumptions'!E57-'Assumptions'!E62*(1)-'Assumptions'!E67-(0))+('Working Capital'!$E$6))*'DCF'!E12/(1+(F53))^'DCF'!E13,(('Forecast'!F12)*(('Assumptions'!F37+(0))*(1-'Assumptions'!F42-(0))+'Assumptions'!F47-'Assumptions'!F52*(1)+'Assumptions'!F57-'Assumptions'!F62*(1)-'Assumptions'!F67-(0))+(('Forecast'!E12)*('Assumptions'!E67+(0))))*'DCF'!F12/(1+(F53))^'DCF'!F13,(('Forecast'!G12)*(('Assumptions'!G37+(0))*(1-'Assumptions'!G42-(0))+'Assumptions'!G47-'Assumptions'!G52*(1)+'Assumptions'!G57-'Assumptions'!G62*(1)-'Assumptions'!G67-(0))+(('Forecast'!F12)*('Assumptions'!F67+(0))))*'DCF'!G12/(1+(F53))^'DCF'!G13,(('Forecast'!H12)*(('Assumptions'!H37+(0))*(1-'Assumptions'!H42-(0))+'Assumptions'!H47-'Assumptions'!H52*(1)+'Assumptions'!H57-'Assumptions'!H62*(1)-'Assumptions'!H67-(0))+(('Forecast'!G12)*('Assumptions'!G67+(0))))*'DCF'!H12/(1+(F53))^'DCF'!H13,(('Forecast'!I12)*(('Assumptions'!I37+(0))*(1-'Assumptions'!I42-(0))+'Assumptions'!I47-'Assumptions'!I52*(1)+'Assumptions'!I57-'Assumptions'!I62*(1)-'Assumptions'!I67-(0))+(('Forecast'!H12)*('Assumptions'!H67+(0))))*'DCF'!I12/(1+(F53))^'DCF'!I13)+('Forecast'!I12)*(1+('DCF'!$E$7))*('Terminal Value'!$E$10+(0))*(1-'Assumptions'!$E$15-(0))*(1-('DCF'!$E$7)/('Terminal Value'!$E$12))/((F53)-('DCF'!$E$7))/(1+(F53))^'DCF'!$E$19)</x:f>
        <x:v>3908110.9598021456</x:v>
      </x:c>
      <x:c r="H53" s="164" t="n">
        <x:f>G53-$E$9</x:f>
        <x:v>0.9907506355084479</x:v>
      </x:c>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81" t="n">
        <x:v>21</x:v>
      </x:c>
      <x:c r="D54" s="208" t="n">
        <x:f>IF(G53&gt;$E$9,F53,D53)</x:f>
        <x:v>0.06860365390777587</x:v>
      </x:c>
      <x:c r="E54" s="208" t="n">
        <x:f>IF(G53&gt;$E$9,E53,F53)</x:f>
        <x:v>0.06860391044616698</x:v>
      </x:c>
      <x:c r="F54" s="208" t="n">
        <x:f>(D54+E54)/2</x:f>
        <x:v>0.06860378217697143</x:v>
      </x:c>
      <x:c r="G54" s="164" t="n">
        <x:f>(SUM((('Forecast'!E12)*(('Assumptions'!E37+(0))*(1-'Assumptions'!E42-(0))+'Assumptions'!E47-'Assumptions'!E52*(1)+'Assumptions'!E57-'Assumptions'!E62*(1)-'Assumptions'!E67-(0))+('Working Capital'!$E$6))*'DCF'!E12/(1+(F54))^'DCF'!E13,(('Forecast'!F12)*(('Assumptions'!F37+(0))*(1-'Assumptions'!F42-(0))+'Assumptions'!F47-'Assumptions'!F52*(1)+'Assumptions'!F57-'Assumptions'!F62*(1)-'Assumptions'!F67-(0))+(('Forecast'!E12)*('Assumptions'!E67+(0))))*'DCF'!F12/(1+(F54))^'DCF'!F13,(('Forecast'!G12)*(('Assumptions'!G37+(0))*(1-'Assumptions'!G42-(0))+'Assumptions'!G47-'Assumptions'!G52*(1)+'Assumptions'!G57-'Assumptions'!G62*(1)-'Assumptions'!G67-(0))+(('Forecast'!F12)*('Assumptions'!F67+(0))))*'DCF'!G12/(1+(F54))^'DCF'!G13,(('Forecast'!H12)*(('Assumptions'!H37+(0))*(1-'Assumptions'!H42-(0))+'Assumptions'!H47-'Assumptions'!H52*(1)+'Assumptions'!H57-'Assumptions'!H62*(1)-'Assumptions'!H67-(0))+(('Forecast'!G12)*('Assumptions'!G67+(0))))*'DCF'!H12/(1+(F54))^'DCF'!H13,(('Forecast'!I12)*(('Assumptions'!I37+(0))*(1-'Assumptions'!I42-(0))+'Assumptions'!I47-'Assumptions'!I52*(1)+'Assumptions'!I57-'Assumptions'!I62*(1)-'Assumptions'!I67-(0))+(('Forecast'!H12)*('Assumptions'!H67+(0))))*'DCF'!I12/(1+(F54))^'DCF'!I13)+('Forecast'!I12)*(1+('DCF'!$E$7))*('Terminal Value'!$E$10+(0))*(1-'Assumptions'!$E$15-(0))*(1-('DCF'!$E$7)/('Terminal Value'!$E$12))/((F54)-('DCF'!$E$7))/(1+(F54))^'DCF'!$E$19)</x:f>
        <x:v>3908097.4290075973</x:v>
      </x:c>
      <x:c r="H54" s="164" t="n">
        <x:f>G54-$E$9</x:f>
        <x:v>-12.540043912827969</x:v>
      </x:c>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81" t="n">
        <x:v>22</x:v>
      </x:c>
      <x:c r="D55" s="208" t="n">
        <x:f>IF(G54&gt;$E$9,F54,D54)</x:f>
        <x:v>0.06860365390777587</x:v>
      </x:c>
      <x:c r="E55" s="208" t="n">
        <x:f>IF(G54&gt;$E$9,E54,F54)</x:f>
        <x:v>0.06860378217697143</x:v>
      </x:c>
      <x:c r="F55" s="208" t="n">
        <x:f>(D55+E55)/2</x:f>
        <x:v>0.06860371804237364</x:v>
      </x:c>
      <x:c r="G55" s="164" t="n">
        <x:f>(SUM((('Forecast'!E12)*(('Assumptions'!E37+(0))*(1-'Assumptions'!E42-(0))+'Assumptions'!E47-'Assumptions'!E52*(1)+'Assumptions'!E57-'Assumptions'!E62*(1)-'Assumptions'!E67-(0))+('Working Capital'!$E$6))*'DCF'!E12/(1+(F55))^'DCF'!E13,(('Forecast'!F12)*(('Assumptions'!F37+(0))*(1-'Assumptions'!F42-(0))+'Assumptions'!F47-'Assumptions'!F52*(1)+'Assumptions'!F57-'Assumptions'!F62*(1)-'Assumptions'!F67-(0))+(('Forecast'!E12)*('Assumptions'!E67+(0))))*'DCF'!F12/(1+(F55))^'DCF'!F13,(('Forecast'!G12)*(('Assumptions'!G37+(0))*(1-'Assumptions'!G42-(0))+'Assumptions'!G47-'Assumptions'!G52*(1)+'Assumptions'!G57-'Assumptions'!G62*(1)-'Assumptions'!G67-(0))+(('Forecast'!F12)*('Assumptions'!F67+(0))))*'DCF'!G12/(1+(F55))^'DCF'!G13,(('Forecast'!H12)*(('Assumptions'!H37+(0))*(1-'Assumptions'!H42-(0))+'Assumptions'!H47-'Assumptions'!H52*(1)+'Assumptions'!H57-'Assumptions'!H62*(1)-'Assumptions'!H67-(0))+(('Forecast'!G12)*('Assumptions'!G67+(0))))*'DCF'!H12/(1+(F55))^'DCF'!H13,(('Forecast'!I12)*(('Assumptions'!I37+(0))*(1-'Assumptions'!I42-(0))+'Assumptions'!I47-'Assumptions'!I52*(1)+'Assumptions'!I57-'Assumptions'!I62*(1)-'Assumptions'!I67-(0))+(('Forecast'!H12)*('Assumptions'!H67+(0))))*'DCF'!I12/(1+(F55))^'DCF'!I13)+('Forecast'!I12)*(1+('DCF'!$E$7))*('Terminal Value'!$E$10+(0))*(1-'Assumptions'!$E$15-(0))*(1-('DCF'!$E$7)/('Terminal Value'!$E$12))/((F55)-('DCF'!$E$7))/(1+(F55))^'DCF'!$E$19)</x:f>
        <x:v>3908104.194393588</x:v>
      </x:c>
      <x:c r="H55" s="164" t="n">
        <x:f>G55-$E$9</x:f>
        <x:v>-5.7746579218655825</x:v>
      </x:c>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81" t="n">
        <x:v>23</x:v>
      </x:c>
      <x:c r="D56" s="208" t="n">
        <x:f>IF(G55&gt;$E$9,F55,D55)</x:f>
        <x:v>0.06860365390777587</x:v>
      </x:c>
      <x:c r="E56" s="208" t="n">
        <x:f>IF(G55&gt;$E$9,E55,F55)</x:f>
        <x:v>0.06860371804237364</x:v>
      </x:c>
      <x:c r="F56" s="208" t="n">
        <x:f>(D56+E56)/2</x:f>
        <x:v>0.06860368597507475</x:v>
      </x:c>
      <x:c r="G56" s="164" t="n">
        <x:f>(SUM((('Forecast'!E12)*(('Assumptions'!E37+(0))*(1-'Assumptions'!E42-(0))+'Assumptions'!E47-'Assumptions'!E52*(1)+'Assumptions'!E57-'Assumptions'!E62*(1)-'Assumptions'!E67-(0))+('Working Capital'!$E$6))*'DCF'!E12/(1+(F56))^'DCF'!E13,(('Forecast'!F12)*(('Assumptions'!F37+(0))*(1-'Assumptions'!F42-(0))+'Assumptions'!F47-'Assumptions'!F52*(1)+'Assumptions'!F57-'Assumptions'!F62*(1)-'Assumptions'!F67-(0))+(('Forecast'!E12)*('Assumptions'!E67+(0))))*'DCF'!F12/(1+(F56))^'DCF'!F13,(('Forecast'!G12)*(('Assumptions'!G37+(0))*(1-'Assumptions'!G42-(0))+'Assumptions'!G47-'Assumptions'!G52*(1)+'Assumptions'!G57-'Assumptions'!G62*(1)-'Assumptions'!G67-(0))+(('Forecast'!F12)*('Assumptions'!F67+(0))))*'DCF'!G12/(1+(F56))^'DCF'!G13,(('Forecast'!H12)*(('Assumptions'!H37+(0))*(1-'Assumptions'!H42-(0))+'Assumptions'!H47-'Assumptions'!H52*(1)+'Assumptions'!H57-'Assumptions'!H62*(1)-'Assumptions'!H67-(0))+(('Forecast'!G12)*('Assumptions'!G67+(0))))*'DCF'!H12/(1+(F56))^'DCF'!H13,(('Forecast'!I12)*(('Assumptions'!I37+(0))*(1-'Assumptions'!I42-(0))+'Assumptions'!I47-'Assumptions'!I52*(1)+'Assumptions'!I57-'Assumptions'!I62*(1)-'Assumptions'!I67-(0))+(('Forecast'!H12)*('Assumptions'!H67+(0))))*'DCF'!I12/(1+(F56))^'DCF'!I13)+('Forecast'!I12)*(1+('DCF'!$E$7))*('Terminal Value'!$E$10+(0))*(1-'Assumptions'!$E$15-(0))*(1-('DCF'!$E$7)/('Terminal Value'!$E$12))/((F56)-('DCF'!$E$7))/(1+(F56))^'DCF'!$E$19)</x:f>
        <x:v>3908107.5770950457</x:v>
      </x:c>
      <x:c r="H56" s="164" t="n">
        <x:f>G56-$E$9</x:f>
        <x:v>-2.3919564643874764</x:v>
      </x:c>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81" t="n">
        <x:v>24</x:v>
      </x:c>
      <x:c r="D57" s="208" t="n">
        <x:f>IF(G56&gt;$E$9,F56,D56)</x:f>
        <x:v>0.06860365390777587</x:v>
      </x:c>
      <x:c r="E57" s="208" t="n">
        <x:f>IF(G56&gt;$E$9,E56,F56)</x:f>
        <x:v>0.06860368597507475</x:v>
      </x:c>
      <x:c r="F57" s="208" t="n">
        <x:f>(D57+E57)/2</x:f>
        <x:v>0.0686036699414253</x:v>
      </x:c>
      <x:c r="G57" s="164" t="n">
        <x:f>(SUM((('Forecast'!E12)*(('Assumptions'!E37+(0))*(1-'Assumptions'!E42-(0))+'Assumptions'!E47-'Assumptions'!E52*(1)+'Assumptions'!E57-'Assumptions'!E62*(1)-'Assumptions'!E67-(0))+('Working Capital'!$E$6))*'DCF'!E12/(1+(F57))^'DCF'!E13,(('Forecast'!F12)*(('Assumptions'!F37+(0))*(1-'Assumptions'!F42-(0))+'Assumptions'!F47-'Assumptions'!F52*(1)+'Assumptions'!F57-'Assumptions'!F62*(1)-'Assumptions'!F67-(0))+(('Forecast'!E12)*('Assumptions'!E67+(0))))*'DCF'!F12/(1+(F57))^'DCF'!F13,(('Forecast'!G12)*(('Assumptions'!G37+(0))*(1-'Assumptions'!G42-(0))+'Assumptions'!G47-'Assumptions'!G52*(1)+'Assumptions'!G57-'Assumptions'!G62*(1)-'Assumptions'!G67-(0))+(('Forecast'!F12)*('Assumptions'!F67+(0))))*'DCF'!G12/(1+(F57))^'DCF'!G13,(('Forecast'!H12)*(('Assumptions'!H37+(0))*(1-'Assumptions'!H42-(0))+'Assumptions'!H47-'Assumptions'!H52*(1)+'Assumptions'!H57-'Assumptions'!H62*(1)-'Assumptions'!H67-(0))+(('Forecast'!G12)*('Assumptions'!G67+(0))))*'DCF'!H12/(1+(F57))^'DCF'!H13,(('Forecast'!I12)*(('Assumptions'!I37+(0))*(1-'Assumptions'!I42-(0))+'Assumptions'!I47-'Assumptions'!I52*(1)+'Assumptions'!I57-'Assumptions'!I62*(1)-'Assumptions'!I67-(0))+(('Forecast'!H12)*('Assumptions'!H67+(0))))*'DCF'!I12/(1+(F57))^'DCF'!I13)+('Forecast'!I12)*(1+('DCF'!$E$7))*('Terminal Value'!$E$10+(0))*(1-'Assumptions'!$E$15-(0))*(1-('DCF'!$E$7)/('Terminal Value'!$E$12))/((F57)-('DCF'!$E$7))/(1+(F57))^'DCF'!$E$19)</x:f>
        <x:v>3908109.268447889</x:v>
      </x:c>
      <x:c r="H57" s="164" t="n">
        <x:f>G57-$E$9</x:f>
        <x:v>-0.7006036210805178</x:v>
      </x:c>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81" t="n">
        <x:v>25</x:v>
      </x:c>
      <x:c r="D58" s="208" t="n">
        <x:f>IF(G57&gt;$E$9,F57,D57)</x:f>
        <x:v>0.06860365390777587</x:v>
      </x:c>
      <x:c r="E58" s="208" t="n">
        <x:f>IF(G57&gt;$E$9,E57,F57)</x:f>
        <x:v>0.0686036699414253</x:v>
      </x:c>
      <x:c r="F58" s="208" t="n">
        <x:f>(D58+E58)/2</x:f>
        <x:v>0.06860366192460059</x:v>
      </x:c>
      <x:c r="G58" s="164" t="n">
        <x:f>(SUM((('Forecast'!E12)*(('Assumptions'!E37+(0))*(1-'Assumptions'!E42-(0))+'Assumptions'!E47-'Assumptions'!E52*(1)+'Assumptions'!E57-'Assumptions'!E62*(1)-'Assumptions'!E67-(0))+('Working Capital'!$E$6))*'DCF'!E12/(1+(F58))^'DCF'!E13,(('Forecast'!F12)*(('Assumptions'!F37+(0))*(1-'Assumptions'!F42-(0))+'Assumptions'!F47-'Assumptions'!F52*(1)+'Assumptions'!F57-'Assumptions'!F62*(1)-'Assumptions'!F67-(0))+(('Forecast'!E12)*('Assumptions'!E67+(0))))*'DCF'!F12/(1+(F58))^'DCF'!F13,(('Forecast'!G12)*(('Assumptions'!G37+(0))*(1-'Assumptions'!G42-(0))+'Assumptions'!G47-'Assumptions'!G52*(1)+'Assumptions'!G57-'Assumptions'!G62*(1)-'Assumptions'!G67-(0))+(('Forecast'!F12)*('Assumptions'!F67+(0))))*'DCF'!G12/(1+(F58))^'DCF'!G13,(('Forecast'!H12)*(('Assumptions'!H37+(0))*(1-'Assumptions'!H42-(0))+'Assumptions'!H47-'Assumptions'!H52*(1)+'Assumptions'!H57-'Assumptions'!H62*(1)-'Assumptions'!H67-(0))+(('Forecast'!G12)*('Assumptions'!G67+(0))))*'DCF'!H12/(1+(F58))^'DCF'!H13,(('Forecast'!I12)*(('Assumptions'!I37+(0))*(1-'Assumptions'!I42-(0))+'Assumptions'!I47-'Assumptions'!I52*(1)+'Assumptions'!I57-'Assumptions'!I62*(1)-'Assumptions'!I67-(0))+(('Forecast'!H12)*('Assumptions'!H67+(0))))*'DCF'!I12/(1+(F58))^'DCF'!I13)+('Forecast'!I12)*(1+('DCF'!$E$7))*('Terminal Value'!$E$10+(0))*(1-'Assumptions'!$E$15-(0))*(1-('DCF'!$E$7)/('Terminal Value'!$E$12))/((F58)-('DCF'!$E$7))/(1+(F58))^'DCF'!$E$19)</x:f>
        <x:v>3908110.1141248415</x:v>
      </x:c>
      <x:c r="H58" s="164" t="n">
        <x:f>G58-$E$9</x:f>
        <x:v>0.1450733314268291</x:v>
      </x:c>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81" t="n">
        <x:v>26</x:v>
      </x:c>
      <x:c r="D59" s="208" t="n">
        <x:f>IF(G58&gt;$E$9,F58,D58)</x:f>
        <x:v>0.06860366192460059</x:v>
      </x:c>
      <x:c r="E59" s="208" t="n">
        <x:f>IF(G58&gt;$E$9,E58,F58)</x:f>
        <x:v>0.0686036699414253</x:v>
      </x:c>
      <x:c r="F59" s="208" t="n">
        <x:f>(D59+E59)/2</x:f>
        <x:v>0.06860366593301295</x:v>
      </x:c>
      <x:c r="G59" s="164" t="n">
        <x:f>(SUM((('Forecast'!E12)*(('Assumptions'!E37+(0))*(1-'Assumptions'!E42-(0))+'Assumptions'!E47-'Assumptions'!E52*(1)+'Assumptions'!E57-'Assumptions'!E62*(1)-'Assumptions'!E67-(0))+('Working Capital'!$E$6))*'DCF'!E12/(1+(F59))^'DCF'!E13,(('Forecast'!F12)*(('Assumptions'!F37+(0))*(1-'Assumptions'!F42-(0))+'Assumptions'!F47-'Assumptions'!F52*(1)+'Assumptions'!F57-'Assumptions'!F62*(1)-'Assumptions'!F67-(0))+(('Forecast'!E12)*('Assumptions'!E67+(0))))*'DCF'!F12/(1+(F59))^'DCF'!F13,(('Forecast'!G12)*(('Assumptions'!G37+(0))*(1-'Assumptions'!G42-(0))+'Assumptions'!G47-'Assumptions'!G52*(1)+'Assumptions'!G57-'Assumptions'!G62*(1)-'Assumptions'!G67-(0))+(('Forecast'!F12)*('Assumptions'!F67+(0))))*'DCF'!G12/(1+(F59))^'DCF'!G13,(('Forecast'!H12)*(('Assumptions'!H37+(0))*(1-'Assumptions'!H42-(0))+'Assumptions'!H47-'Assumptions'!H52*(1)+'Assumptions'!H57-'Assumptions'!H62*(1)-'Assumptions'!H67-(0))+(('Forecast'!G12)*('Assumptions'!G67+(0))))*'DCF'!H12/(1+(F59))^'DCF'!H13,(('Forecast'!I12)*(('Assumptions'!I37+(0))*(1-'Assumptions'!I42-(0))+'Assumptions'!I47-'Assumptions'!I52*(1)+'Assumptions'!I57-'Assumptions'!I62*(1)-'Assumptions'!I67-(0))+(('Forecast'!H12)*('Assumptions'!H67+(0))))*'DCF'!I12/(1+(F59))^'DCF'!I13)+('Forecast'!I12)*(1+('DCF'!$E$7))*('Terminal Value'!$E$10+(0))*(1-'Assumptions'!$E$15-(0))*(1-('DCF'!$E$7)/('Terminal Value'!$E$12))/((F59)-('DCF'!$E$7))/(1+(F59))^'DCF'!$E$19)</x:f>
        <x:v>3908109.6912863217</x:v>
      </x:c>
      <x:c r="H59" s="164" t="n">
        <x:f>G59-$E$9</x:f>
        <x:v>-0.2777651883661747</x:v>
      </x:c>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81" t="n">
        <x:v>27</x:v>
      </x:c>
      <x:c r="D60" s="208" t="n">
        <x:f>IF(G59&gt;$E$9,F59,D59)</x:f>
        <x:v>0.06860366192460059</x:v>
      </x:c>
      <x:c r="E60" s="208" t="n">
        <x:f>IF(G59&gt;$E$9,E59,F59)</x:f>
        <x:v>0.06860366593301295</x:v>
      </x:c>
      <x:c r="F60" s="208" t="n">
        <x:f>(D60+E60)/2</x:f>
        <x:v>0.06860366392880676</x:v>
      </x:c>
      <x:c r="G60" s="164" t="n">
        <x:f>(SUM((('Forecast'!E12)*(('Assumptions'!E37+(0))*(1-'Assumptions'!E42-(0))+'Assumptions'!E47-'Assumptions'!E52*(1)+'Assumptions'!E57-'Assumptions'!E62*(1)-'Assumptions'!E67-(0))+('Working Capital'!$E$6))*'DCF'!E12/(1+(F60))^'DCF'!E13,(('Forecast'!F12)*(('Assumptions'!F37+(0))*(1-'Assumptions'!F42-(0))+'Assumptions'!F47-'Assumptions'!F52*(1)+'Assumptions'!F57-'Assumptions'!F62*(1)-'Assumptions'!F67-(0))+(('Forecast'!E12)*('Assumptions'!E67+(0))))*'DCF'!F12/(1+(F60))^'DCF'!F13,(('Forecast'!G12)*(('Assumptions'!G37+(0))*(1-'Assumptions'!G42-(0))+'Assumptions'!G47-'Assumptions'!G52*(1)+'Assumptions'!G57-'Assumptions'!G62*(1)-'Assumptions'!G67-(0))+(('Forecast'!F12)*('Assumptions'!F67+(0))))*'DCF'!G12/(1+(F60))^'DCF'!G13,(('Forecast'!H12)*(('Assumptions'!H37+(0))*(1-'Assumptions'!H42-(0))+'Assumptions'!H47-'Assumptions'!H52*(1)+'Assumptions'!H57-'Assumptions'!H62*(1)-'Assumptions'!H67-(0))+(('Forecast'!G12)*('Assumptions'!G67+(0))))*'DCF'!H12/(1+(F60))^'DCF'!H13,(('Forecast'!I12)*(('Assumptions'!I37+(0))*(1-'Assumptions'!I42-(0))+'Assumptions'!I47-'Assumptions'!I52*(1)+'Assumptions'!I57-'Assumptions'!I62*(1)-'Assumptions'!I67-(0))+(('Forecast'!H12)*('Assumptions'!H67+(0))))*'DCF'!I12/(1+(F60))^'DCF'!I13)+('Forecast'!I12)*(1+('DCF'!$E$7))*('Terminal Value'!$E$10+(0))*(1-'Assumptions'!$E$15-(0))*(1-('DCF'!$E$7)/('Terminal Value'!$E$12))/((F60)-('DCF'!$E$7))/(1+(F60))^'DCF'!$E$19)</x:f>
        <x:v>3908109.9027055716</x:v>
      </x:c>
      <x:c r="H60" s="164" t="n">
        <x:f>G60-$E$9</x:f>
        <x:v>-0.06634593848139048</x:v>
      </x:c>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81" t="n">
        <x:v>28</x:v>
      </x:c>
      <x:c r="D61" s="208" t="n">
        <x:f>IF(G60&gt;$E$9,F60,D60)</x:f>
        <x:v>0.06860366192460059</x:v>
      </x:c>
      <x:c r="E61" s="208" t="n">
        <x:f>IF(G60&gt;$E$9,E60,F60)</x:f>
        <x:v>0.06860366392880676</x:v>
      </x:c>
      <x:c r="F61" s="208" t="n">
        <x:f>(D61+E61)/2</x:f>
        <x:v>0.06860366292670367</x:v>
      </x:c>
      <x:c r="G61" s="164" t="n">
        <x:f>(SUM((('Forecast'!E12)*(('Assumptions'!E37+(0))*(1-'Assumptions'!E42-(0))+'Assumptions'!E47-'Assumptions'!E52*(1)+'Assumptions'!E57-'Assumptions'!E62*(1)-'Assumptions'!E67-(0))+('Working Capital'!$E$6))*'DCF'!E12/(1+(F61))^'DCF'!E13,(('Forecast'!F12)*(('Assumptions'!F37+(0))*(1-'Assumptions'!F42-(0))+'Assumptions'!F47-'Assumptions'!F52*(1)+'Assumptions'!F57-'Assumptions'!F62*(1)-'Assumptions'!F67-(0))+(('Forecast'!E12)*('Assumptions'!E67+(0))))*'DCF'!F12/(1+(F61))^'DCF'!F13,(('Forecast'!G12)*(('Assumptions'!G37+(0))*(1-'Assumptions'!G42-(0))+'Assumptions'!G47-'Assumptions'!G52*(1)+'Assumptions'!G57-'Assumptions'!G62*(1)-'Assumptions'!G67-(0))+(('Forecast'!F12)*('Assumptions'!F67+(0))))*'DCF'!G12/(1+(F61))^'DCF'!G13,(('Forecast'!H12)*(('Assumptions'!H37+(0))*(1-'Assumptions'!H42-(0))+'Assumptions'!H47-'Assumptions'!H52*(1)+'Assumptions'!H57-'Assumptions'!H62*(1)-'Assumptions'!H67-(0))+(('Forecast'!G12)*('Assumptions'!G67+(0))))*'DCF'!H12/(1+(F61))^'DCF'!H13,(('Forecast'!I12)*(('Assumptions'!I37+(0))*(1-'Assumptions'!I42-(0))+'Assumptions'!I47-'Assumptions'!I52*(1)+'Assumptions'!I57-'Assumptions'!I62*(1)-'Assumptions'!I67-(0))+(('Forecast'!H12)*('Assumptions'!H67+(0))))*'DCF'!I12/(1+(F61))^'DCF'!I13)+('Forecast'!I12)*(1+('DCF'!$E$7))*('Terminal Value'!$E$10+(0))*(1-'Assumptions'!$E$15-(0))*(1-('DCF'!$E$7)/('Terminal Value'!$E$12))/((F61)-('DCF'!$E$7))/(1+(F61))^'DCF'!$E$19)</x:f>
        <x:v>3908110.0084152035</x:v>
      </x:c>
      <x:c r="H61" s="164" t="n">
        <x:f>G61-$E$9</x:f>
        <x:v>0.039363693445920944</x:v>
      </x:c>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81" t="n">
        <x:v>29</x:v>
      </x:c>
      <x:c r="D62" s="208" t="n">
        <x:f>IF(G61&gt;$E$9,F61,D61)</x:f>
        <x:v>0.06860366292670367</x:v>
      </x:c>
      <x:c r="E62" s="208" t="n">
        <x:f>IF(G61&gt;$E$9,E61,F61)</x:f>
        <x:v>0.06860366392880676</x:v>
      </x:c>
      <x:c r="F62" s="208" t="n">
        <x:f>(D62+E62)/2</x:f>
        <x:v>0.06860366342775522</x:v>
      </x:c>
      <x:c r="G62" s="164" t="n">
        <x:f>(SUM((('Forecast'!E12)*(('Assumptions'!E37+(0))*(1-'Assumptions'!E42-(0))+'Assumptions'!E47-'Assumptions'!E52*(1)+'Assumptions'!E57-'Assumptions'!E62*(1)-'Assumptions'!E67-(0))+('Working Capital'!$E$6))*'DCF'!E12/(1+(F62))^'DCF'!E13,(('Forecast'!F12)*(('Assumptions'!F37+(0))*(1-'Assumptions'!F42-(0))+'Assumptions'!F47-'Assumptions'!F52*(1)+'Assumptions'!F57-'Assumptions'!F62*(1)-'Assumptions'!F67-(0))+(('Forecast'!E12)*('Assumptions'!E67+(0))))*'DCF'!F12/(1+(F62))^'DCF'!F13,(('Forecast'!G12)*(('Assumptions'!G37+(0))*(1-'Assumptions'!G42-(0))+'Assumptions'!G47-'Assumptions'!G52*(1)+'Assumptions'!G57-'Assumptions'!G62*(1)-'Assumptions'!G67-(0))+(('Forecast'!F12)*('Assumptions'!F67+(0))))*'DCF'!G12/(1+(F62))^'DCF'!G13,(('Forecast'!H12)*(('Assumptions'!H37+(0))*(1-'Assumptions'!H42-(0))+'Assumptions'!H47-'Assumptions'!H52*(1)+'Assumptions'!H57-'Assumptions'!H62*(1)-'Assumptions'!H67-(0))+(('Forecast'!G12)*('Assumptions'!G67+(0))))*'DCF'!H12/(1+(F62))^'DCF'!H13,(('Forecast'!I12)*(('Assumptions'!I37+(0))*(1-'Assumptions'!I42-(0))+'Assumptions'!I47-'Assumptions'!I52*(1)+'Assumptions'!I57-'Assumptions'!I62*(1)-'Assumptions'!I67-(0))+(('Forecast'!H12)*('Assumptions'!H67+(0))))*'DCF'!I12/(1+(F62))^'DCF'!I13)+('Forecast'!I12)*(1+('DCF'!$E$7))*('Terminal Value'!$E$10+(0))*(1-'Assumptions'!$E$15-(0))*(1-('DCF'!$E$7)/('Terminal Value'!$E$12))/((F62)-('DCF'!$E$7))/(1+(F62))^'DCF'!$E$19)</x:f>
        <x:v>3908109.955560389</x:v>
      </x:c>
      <x:c r="H62" s="164" t="n">
        <x:f>G62-$E$9</x:f>
        <x:v>-0.013491121120750904</x:v>
      </x:c>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81" t="n">
        <x:v>30</x:v>
      </x:c>
      <x:c r="D63" s="208" t="n">
        <x:f>IF(G62&gt;$E$9,F62,D62)</x:f>
        <x:v>0.06860366292670367</x:v>
      </x:c>
      <x:c r="E63" s="208" t="n">
        <x:f>IF(G62&gt;$E$9,E62,F62)</x:f>
        <x:v>0.06860366342775522</x:v>
      </x:c>
      <x:c r="F63" s="208" t="n">
        <x:f>(D63+E63)/2</x:f>
        <x:v>0.06860366317722943</x:v>
      </x:c>
      <x:c r="G63" s="164" t="n">
        <x:f>(SUM((('Forecast'!E12)*(('Assumptions'!E37+(0))*(1-'Assumptions'!E42-(0))+'Assumptions'!E47-'Assumptions'!E52*(1)+'Assumptions'!E57-'Assumptions'!E62*(1)-'Assumptions'!E67-(0))+('Working Capital'!$E$6))*'DCF'!E12/(1+(F63))^'DCF'!E13,(('Forecast'!F12)*(('Assumptions'!F37+(0))*(1-'Assumptions'!F42-(0))+'Assumptions'!F47-'Assumptions'!F52*(1)+'Assumptions'!F57-'Assumptions'!F62*(1)-'Assumptions'!F67-(0))+(('Forecast'!E12)*('Assumptions'!E67+(0))))*'DCF'!F12/(1+(F63))^'DCF'!F13,(('Forecast'!G12)*(('Assumptions'!G37+(0))*(1-'Assumptions'!G42-(0))+'Assumptions'!G47-'Assumptions'!G52*(1)+'Assumptions'!G57-'Assumptions'!G62*(1)-'Assumptions'!G67-(0))+(('Forecast'!F12)*('Assumptions'!F67+(0))))*'DCF'!G12/(1+(F63))^'DCF'!G13,(('Forecast'!H12)*(('Assumptions'!H37+(0))*(1-'Assumptions'!H42-(0))+'Assumptions'!H47-'Assumptions'!H52*(1)+'Assumptions'!H57-'Assumptions'!H62*(1)-'Assumptions'!H67-(0))+(('Forecast'!G12)*('Assumptions'!G67+(0))))*'DCF'!H12/(1+(F63))^'DCF'!H13,(('Forecast'!I12)*(('Assumptions'!I37+(0))*(1-'Assumptions'!I42-(0))+'Assumptions'!I47-'Assumptions'!I52*(1)+'Assumptions'!I57-'Assumptions'!I62*(1)-'Assumptions'!I67-(0))+(('Forecast'!H12)*('Assumptions'!H67+(0))))*'DCF'!I12/(1+(F63))^'DCF'!I13)+('Forecast'!I12)*(1+('DCF'!$E$7))*('Terminal Value'!$E$10+(0))*(1-'Assumptions'!$E$15-(0))*(1-('DCF'!$E$7)/('Terminal Value'!$E$12))/((F63)-('DCF'!$E$7))/(1+(F63))^'DCF'!$E$19)</x:f>
        <x:v>3908109.9819877944</x:v>
      </x:c>
      <x:c r="H63" s="164" t="n">
        <x:f>G63-$E$9</x:f>
        <x:v>0.01293628429993987</x:v>
      </x:c>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81" t="n">
        <x:v>31</x:v>
      </x:c>
      <x:c r="D64" s="208" t="n">
        <x:f>IF(G63&gt;$E$9,F63,D63)</x:f>
        <x:v>0.06860366317722943</x:v>
      </x:c>
      <x:c r="E64" s="208" t="n">
        <x:f>IF(G63&gt;$E$9,E63,F63)</x:f>
        <x:v>0.06860366342775522</x:v>
      </x:c>
      <x:c r="F64" s="208" t="n">
        <x:f>(D64+E64)/2</x:f>
        <x:v>0.06860366330249232</x:v>
      </x:c>
      <x:c r="G64" s="164" t="n">
        <x:f>(SUM((('Forecast'!E12)*(('Assumptions'!E37+(0))*(1-'Assumptions'!E42-(0))+'Assumptions'!E47-'Assumptions'!E52*(1)+'Assumptions'!E57-'Assumptions'!E62*(1)-'Assumptions'!E67-(0))+('Working Capital'!$E$6))*'DCF'!E12/(1+(F64))^'DCF'!E13,(('Forecast'!F12)*(('Assumptions'!F37+(0))*(1-'Assumptions'!F42-(0))+'Assumptions'!F47-'Assumptions'!F52*(1)+'Assumptions'!F57-'Assumptions'!F62*(1)-'Assumptions'!F67-(0))+(('Forecast'!E12)*('Assumptions'!E67+(0))))*'DCF'!F12/(1+(F64))^'DCF'!F13,(('Forecast'!G12)*(('Assumptions'!G37+(0))*(1-'Assumptions'!G42-(0))+'Assumptions'!G47-'Assumptions'!G52*(1)+'Assumptions'!G57-'Assumptions'!G62*(1)-'Assumptions'!G67-(0))+(('Forecast'!F12)*('Assumptions'!F67+(0))))*'DCF'!G12/(1+(F64))^'DCF'!G13,(('Forecast'!H12)*(('Assumptions'!H37+(0))*(1-'Assumptions'!H42-(0))+'Assumptions'!H47-'Assumptions'!H52*(1)+'Assumptions'!H57-'Assumptions'!H62*(1)-'Assumptions'!H67-(0))+(('Forecast'!G12)*('Assumptions'!G67+(0))))*'DCF'!H12/(1+(F64))^'DCF'!H13,(('Forecast'!I12)*(('Assumptions'!I37+(0))*(1-'Assumptions'!I42-(0))+'Assumptions'!I47-'Assumptions'!I52*(1)+'Assumptions'!I57-'Assumptions'!I62*(1)-'Assumptions'!I67-(0))+(('Forecast'!H12)*('Assumptions'!H67+(0))))*'DCF'!I12/(1+(F64))^'DCF'!I13)+('Forecast'!I12)*(1+('DCF'!$E$7))*('Terminal Value'!$E$10+(0))*(1-'Assumptions'!$E$15-(0))*(1-('DCF'!$E$7)/('Terminal Value'!$E$12))/((F64)-('DCF'!$E$7))/(1+(F64))^'DCF'!$E$19)</x:f>
        <x:v>3908109.9687740942</x:v>
      </x:c>
      <x:c r="H64" s="164" t="n">
        <x:f>G64-$E$9</x:f>
        <x:v>-0.00027741584926843643</x:v>
      </x:c>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81" t="n">
        <x:v>32</x:v>
      </x:c>
      <x:c r="D65" s="208" t="n">
        <x:f>IF(G64&gt;$E$9,F64,D64)</x:f>
        <x:v>0.06860366317722943</x:v>
      </x:c>
      <x:c r="E65" s="208" t="n">
        <x:f>IF(G64&gt;$E$9,E64,F64)</x:f>
        <x:v>0.06860366330249232</x:v>
      </x:c>
      <x:c r="F65" s="208" t="n">
        <x:f>(D65+E65)/2</x:f>
        <x:v>0.06860366323986088</x:v>
      </x:c>
      <x:c r="G65" s="164" t="n">
        <x:f>(SUM((('Forecast'!E12)*(('Assumptions'!E37+(0))*(1-'Assumptions'!E42-(0))+'Assumptions'!E47-'Assumptions'!E52*(1)+'Assumptions'!E57-'Assumptions'!E62*(1)-'Assumptions'!E67-(0))+('Working Capital'!$E$6))*'DCF'!E12/(1+(F65))^'DCF'!E13,(('Forecast'!F12)*(('Assumptions'!F37+(0))*(1-'Assumptions'!F42-(0))+'Assumptions'!F47-'Assumptions'!F52*(1)+'Assumptions'!F57-'Assumptions'!F62*(1)-'Assumptions'!F67-(0))+(('Forecast'!E12)*('Assumptions'!E67+(0))))*'DCF'!F12/(1+(F65))^'DCF'!F13,(('Forecast'!G12)*(('Assumptions'!G37+(0))*(1-'Assumptions'!G42-(0))+'Assumptions'!G47-'Assumptions'!G52*(1)+'Assumptions'!G57-'Assumptions'!G62*(1)-'Assumptions'!G67-(0))+(('Forecast'!F12)*('Assumptions'!F67+(0))))*'DCF'!G12/(1+(F65))^'DCF'!G13,(('Forecast'!H12)*(('Assumptions'!H37+(0))*(1-'Assumptions'!H42-(0))+'Assumptions'!H47-'Assumptions'!H52*(1)+'Assumptions'!H57-'Assumptions'!H62*(1)-'Assumptions'!H67-(0))+(('Forecast'!G12)*('Assumptions'!G67+(0))))*'DCF'!H12/(1+(F65))^'DCF'!H13,(('Forecast'!I12)*(('Assumptions'!I37+(0))*(1-'Assumptions'!I42-(0))+'Assumptions'!I47-'Assumptions'!I52*(1)+'Assumptions'!I57-'Assumptions'!I62*(1)-'Assumptions'!I67-(0))+(('Forecast'!H12)*('Assumptions'!H67+(0))))*'DCF'!I12/(1+(F65))^'DCF'!I13)+('Forecast'!I12)*(1+('DCF'!$E$7))*('Terminal Value'!$E$10+(0))*(1-'Assumptions'!$E$15-(0))*(1-('DCF'!$E$7)/('Terminal Value'!$E$12))/((F65)-('DCF'!$E$7))/(1+(F65))^'DCF'!$E$19)</x:f>
        <x:v>3908109.975380946</x:v>
      </x:c>
      <x:c r="H65" s="164" t="n">
        <x:f>G65-$E$9</x:f>
        <x:v>0.006329435855150223</x:v>
      </x:c>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81" t="n">
        <x:v>33</x:v>
      </x:c>
      <x:c r="D66" s="208" t="n">
        <x:f>IF(G65&gt;$E$9,F65,D65)</x:f>
        <x:v>0.06860366323986088</x:v>
      </x:c>
      <x:c r="E66" s="208" t="n">
        <x:f>IF(G65&gt;$E$9,E65,F65)</x:f>
        <x:v>0.06860366330249232</x:v>
      </x:c>
      <x:c r="F66" s="208" t="n">
        <x:f>(D66+E66)/2</x:f>
        <x:v>0.06860366327117659</x:v>
      </x:c>
      <x:c r="G66" s="164" t="n">
        <x:f>(SUM((('Forecast'!E12)*(('Assumptions'!E37+(0))*(1-'Assumptions'!E42-(0))+'Assumptions'!E47-'Assumptions'!E52*(1)+'Assumptions'!E57-'Assumptions'!E62*(1)-'Assumptions'!E67-(0))+('Working Capital'!$E$6))*'DCF'!E12/(1+(F66))^'DCF'!E13,(('Forecast'!F12)*(('Assumptions'!F37+(0))*(1-'Assumptions'!F42-(0))+'Assumptions'!F47-'Assumptions'!F52*(1)+'Assumptions'!F57-'Assumptions'!F62*(1)-'Assumptions'!F67-(0))+(('Forecast'!E12)*('Assumptions'!E67+(0))))*'DCF'!F12/(1+(F66))^'DCF'!F13,(('Forecast'!G12)*(('Assumptions'!G37+(0))*(1-'Assumptions'!G42-(0))+'Assumptions'!G47-'Assumptions'!G52*(1)+'Assumptions'!G57-'Assumptions'!G62*(1)-'Assumptions'!G67-(0))+(('Forecast'!F12)*('Assumptions'!F67+(0))))*'DCF'!G12/(1+(F66))^'DCF'!G13,(('Forecast'!H12)*(('Assumptions'!H37+(0))*(1-'Assumptions'!H42-(0))+'Assumptions'!H47-'Assumptions'!H52*(1)+'Assumptions'!H57-'Assumptions'!H62*(1)-'Assumptions'!H67-(0))+(('Forecast'!G12)*('Assumptions'!G67+(0))))*'DCF'!H12/(1+(F66))^'DCF'!H13,(('Forecast'!I12)*(('Assumptions'!I37+(0))*(1-'Assumptions'!I42-(0))+'Assumptions'!I47-'Assumptions'!I52*(1)+'Assumptions'!I57-'Assumptions'!I62*(1)-'Assumptions'!I67-(0))+(('Forecast'!H12)*('Assumptions'!H67+(0))))*'DCF'!I12/(1+(F66))^'DCF'!I13)+('Forecast'!I12)*(1+('DCF'!$E$7))*('Terminal Value'!$E$10+(0))*(1-'Assumptions'!$E$15-(0))*(1-('DCF'!$E$7)/('Terminal Value'!$E$12))/((F66)-('DCF'!$E$7))/(1+(F66))^'DCF'!$E$19)</x:f>
        <x:v>3908109.9720775187</x:v>
      </x:c>
      <x:c r="H66" s="164" t="n">
        <x:f>G66-$E$9</x:f>
        <x:v>0.0030260086059570312</x:v>
      </x:c>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81" t="n">
        <x:v>34</x:v>
      </x:c>
      <x:c r="D67" s="208" t="n">
        <x:f>IF(G66&gt;$E$9,F66,D66)</x:f>
        <x:v>0.06860366327117659</x:v>
      </x:c>
      <x:c r="E67" s="208" t="n">
        <x:f>IF(G66&gt;$E$9,E66,F66)</x:f>
        <x:v>0.06860366330249232</x:v>
      </x:c>
      <x:c r="F67" s="208" t="n">
        <x:f>(D67+E67)/2</x:f>
        <x:v>0.06860366328683445</x:v>
      </x:c>
      <x:c r="G67" s="164" t="n">
        <x:f>(SUM((('Forecast'!E12)*(('Assumptions'!E37+(0))*(1-'Assumptions'!E42-(0))+'Assumptions'!E47-'Assumptions'!E52*(1)+'Assumptions'!E57-'Assumptions'!E62*(1)-'Assumptions'!E67-(0))+('Working Capital'!$E$6))*'DCF'!E12/(1+(F67))^'DCF'!E13,(('Forecast'!F12)*(('Assumptions'!F37+(0))*(1-'Assumptions'!F42-(0))+'Assumptions'!F47-'Assumptions'!F52*(1)+'Assumptions'!F57-'Assumptions'!F62*(1)-'Assumptions'!F67-(0))+(('Forecast'!E12)*('Assumptions'!E67+(0))))*'DCF'!F12/(1+(F67))^'DCF'!F13,(('Forecast'!G12)*(('Assumptions'!G37+(0))*(1-'Assumptions'!G42-(0))+'Assumptions'!G47-'Assumptions'!G52*(1)+'Assumptions'!G57-'Assumptions'!G62*(1)-'Assumptions'!G67-(0))+(('Forecast'!F12)*('Assumptions'!F67+(0))))*'DCF'!G12/(1+(F67))^'DCF'!G13,(('Forecast'!H12)*(('Assumptions'!H37+(0))*(1-'Assumptions'!H42-(0))+'Assumptions'!H47-'Assumptions'!H52*(1)+'Assumptions'!H57-'Assumptions'!H62*(1)-'Assumptions'!H67-(0))+(('Forecast'!G12)*('Assumptions'!G67+(0))))*'DCF'!H12/(1+(F67))^'DCF'!H13,(('Forecast'!I12)*(('Assumptions'!I37+(0))*(1-'Assumptions'!I42-(0))+'Assumptions'!I47-'Assumptions'!I52*(1)+'Assumptions'!I57-'Assumptions'!I62*(1)-'Assumptions'!I67-(0))+(('Forecast'!H12)*('Assumptions'!H67+(0))))*'DCF'!I12/(1+(F67))^'DCF'!I13)+('Forecast'!I12)*(1+('DCF'!$E$7))*('Terminal Value'!$E$10+(0))*(1-'Assumptions'!$E$15-(0))*(1-('DCF'!$E$7)/('Terminal Value'!$E$12))/((F67)-('DCF'!$E$7))/(1+(F67))^'DCF'!$E$19)</x:f>
        <x:v>3908109.970425805</x:v>
      </x:c>
      <x:c r="H67" s="164" t="n">
        <x:f>G67-$E$9</x:f>
        <x:v>0.0013742949813604355</x:v>
      </x:c>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81" t="n">
        <x:v>35</x:v>
      </x:c>
      <x:c r="D68" s="208" t="n">
        <x:f>IF(G67&gt;$E$9,F67,D67)</x:f>
        <x:v>0.06860366328683445</x:v>
      </x:c>
      <x:c r="E68" s="208" t="n">
        <x:f>IF(G67&gt;$E$9,E67,F67)</x:f>
        <x:v>0.06860366330249232</x:v>
      </x:c>
      <x:c r="F68" s="208" t="n">
        <x:f>(D68+E68)/2</x:f>
        <x:v>0.06860366329466339</x:v>
      </x:c>
      <x:c r="G68" s="164" t="n">
        <x:f>(SUM((('Forecast'!E12)*(('Assumptions'!E37+(0))*(1-'Assumptions'!E42-(0))+'Assumptions'!E47-'Assumptions'!E52*(1)+'Assumptions'!E57-'Assumptions'!E62*(1)-'Assumptions'!E67-(0))+('Working Capital'!$E$6))*'DCF'!E12/(1+(F68))^'DCF'!E13,(('Forecast'!F12)*(('Assumptions'!F37+(0))*(1-'Assumptions'!F42-(0))+'Assumptions'!F47-'Assumptions'!F52*(1)+'Assumptions'!F57-'Assumptions'!F62*(1)-'Assumptions'!F67-(0))+(('Forecast'!E12)*('Assumptions'!E67+(0))))*'DCF'!F12/(1+(F68))^'DCF'!F13,(('Forecast'!G12)*(('Assumptions'!G37+(0))*(1-'Assumptions'!G42-(0))+'Assumptions'!G47-'Assumptions'!G52*(1)+'Assumptions'!G57-'Assumptions'!G62*(1)-'Assumptions'!G67-(0))+(('Forecast'!F12)*('Assumptions'!F67+(0))))*'DCF'!G12/(1+(F68))^'DCF'!G13,(('Forecast'!H12)*(('Assumptions'!H37+(0))*(1-'Assumptions'!H42-(0))+'Assumptions'!H47-'Assumptions'!H52*(1)+'Assumptions'!H57-'Assumptions'!H62*(1)-'Assumptions'!H67-(0))+(('Forecast'!G12)*('Assumptions'!G67+(0))))*'DCF'!H12/(1+(F68))^'DCF'!H13,(('Forecast'!I12)*(('Assumptions'!I37+(0))*(1-'Assumptions'!I42-(0))+'Assumptions'!I47-'Assumptions'!I52*(1)+'Assumptions'!I57-'Assumptions'!I62*(1)-'Assumptions'!I67-(0))+(('Forecast'!H12)*('Assumptions'!H67+(0))))*'DCF'!I12/(1+(F68))^'DCF'!I13)+('Forecast'!I12)*(1+('DCF'!$E$7))*('Terminal Value'!$E$10+(0))*(1-'Assumptions'!$E$15-(0))*(1-('DCF'!$E$7)/('Terminal Value'!$E$12))/((F68)-('DCF'!$E$7))/(1+(F68))^'DCF'!$E$19)</x:f>
        <x:v>3908109.96959995</x:v>
      </x:c>
      <x:c r="H68" s="164" t="n">
        <x:f>G68-$E$9</x:f>
        <x:v>0.0005484400317072868</x:v>
      </x:c>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81" t="n">
        <x:v>36</x:v>
      </x:c>
      <x:c r="D69" s="208" t="n">
        <x:f>IF(G68&gt;$E$9,F68,D68)</x:f>
        <x:v>0.06860366329466339</x:v>
      </x:c>
      <x:c r="E69" s="208" t="n">
        <x:f>IF(G68&gt;$E$9,E68,F68)</x:f>
        <x:v>0.06860366330249232</x:v>
      </x:c>
      <x:c r="F69" s="208" t="n">
        <x:f>(D69+E69)/2</x:f>
        <x:v>0.06860366329857785</x:v>
      </x:c>
      <x:c r="G69" s="164" t="n">
        <x:f>(SUM((('Forecast'!E12)*(('Assumptions'!E37+(0))*(1-'Assumptions'!E42-(0))+'Assumptions'!E47-'Assumptions'!E52*(1)+'Assumptions'!E57-'Assumptions'!E62*(1)-'Assumptions'!E67-(0))+('Working Capital'!$E$6))*'DCF'!E12/(1+(F69))^'DCF'!E13,(('Forecast'!F12)*(('Assumptions'!F37+(0))*(1-'Assumptions'!F42-(0))+'Assumptions'!F47-'Assumptions'!F52*(1)+'Assumptions'!F57-'Assumptions'!F62*(1)-'Assumptions'!F67-(0))+(('Forecast'!E12)*('Assumptions'!E67+(0))))*'DCF'!F12/(1+(F69))^'DCF'!F13,(('Forecast'!G12)*(('Assumptions'!G37+(0))*(1-'Assumptions'!G42-(0))+'Assumptions'!G47-'Assumptions'!G52*(1)+'Assumptions'!G57-'Assumptions'!G62*(1)-'Assumptions'!G67-(0))+(('Forecast'!F12)*('Assumptions'!F67+(0))))*'DCF'!G12/(1+(F69))^'DCF'!G13,(('Forecast'!H12)*(('Assumptions'!H37+(0))*(1-'Assumptions'!H42-(0))+'Assumptions'!H47-'Assumptions'!H52*(1)+'Assumptions'!H57-'Assumptions'!H62*(1)-'Assumptions'!H67-(0))+(('Forecast'!G12)*('Assumptions'!G67+(0))))*'DCF'!H12/(1+(F69))^'DCF'!H13,(('Forecast'!I12)*(('Assumptions'!I37+(0))*(1-'Assumptions'!I42-(0))+'Assumptions'!I47-'Assumptions'!I52*(1)+'Assumptions'!I57-'Assumptions'!I62*(1)-'Assumptions'!I67-(0))+(('Forecast'!H12)*('Assumptions'!H67+(0))))*'DCF'!I12/(1+(F69))^'DCF'!I13)+('Forecast'!I12)*(1+('DCF'!$E$7))*('Terminal Value'!$E$10+(0))*(1-'Assumptions'!$E$15-(0))*(1-('DCF'!$E$7)/('Terminal Value'!$E$12))/((F69)-('DCF'!$E$7))/(1+(F69))^'DCF'!$E$19)</x:f>
        <x:v>3908109.9691870217</x:v>
      </x:c>
      <x:c r="H69" s="164" t="n">
        <x:f>G69-$E$9</x:f>
        <x:v>0.0001355116255581379</x:v>
      </x:c>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81" t="n">
        <x:v>37</x:v>
      </x:c>
      <x:c r="D70" s="208" t="n">
        <x:f>IF(G69&gt;$E$9,F69,D69)</x:f>
        <x:v>0.06860366329857785</x:v>
      </x:c>
      <x:c r="E70" s="208" t="n">
        <x:f>IF(G69&gt;$E$9,E69,F69)</x:f>
        <x:v>0.06860366330249232</x:v>
      </x:c>
      <x:c r="F70" s="208" t="n">
        <x:f>(D70+E70)/2</x:f>
        <x:v>0.06860366330053508</x:v>
      </x:c>
      <x:c r="G70" s="164" t="n">
        <x:f>(SUM((('Forecast'!E12)*(('Assumptions'!E37+(0))*(1-'Assumptions'!E42-(0))+'Assumptions'!E47-'Assumptions'!E52*(1)+'Assumptions'!E57-'Assumptions'!E62*(1)-'Assumptions'!E67-(0))+('Working Capital'!$E$6))*'DCF'!E12/(1+(F70))^'DCF'!E13,(('Forecast'!F12)*(('Assumptions'!F37+(0))*(1-'Assumptions'!F42-(0))+'Assumptions'!F47-'Assumptions'!F52*(1)+'Assumptions'!F57-'Assumptions'!F62*(1)-'Assumptions'!F67-(0))+(('Forecast'!E12)*('Assumptions'!E67+(0))))*'DCF'!F12/(1+(F70))^'DCF'!F13,(('Forecast'!G12)*(('Assumptions'!G37+(0))*(1-'Assumptions'!G42-(0))+'Assumptions'!G47-'Assumptions'!G52*(1)+'Assumptions'!G57-'Assumptions'!G62*(1)-'Assumptions'!G67-(0))+(('Forecast'!F12)*('Assumptions'!F67+(0))))*'DCF'!G12/(1+(F70))^'DCF'!G13,(('Forecast'!H12)*(('Assumptions'!H37+(0))*(1-'Assumptions'!H42-(0))+'Assumptions'!H47-'Assumptions'!H52*(1)+'Assumptions'!H57-'Assumptions'!H62*(1)-'Assumptions'!H67-(0))+(('Forecast'!G12)*('Assumptions'!G67+(0))))*'DCF'!H12/(1+(F70))^'DCF'!H13,(('Forecast'!I12)*(('Assumptions'!I37+(0))*(1-'Assumptions'!I42-(0))+'Assumptions'!I47-'Assumptions'!I52*(1)+'Assumptions'!I57-'Assumptions'!I62*(1)-'Assumptions'!I67-(0))+(('Forecast'!H12)*('Assumptions'!H67+(0))))*'DCF'!I12/(1+(F70))^'DCF'!I13)+('Forecast'!I12)*(1+('DCF'!$E$7))*('Terminal Value'!$E$10+(0))*(1-'Assumptions'!$E$15-(0))*(1-('DCF'!$E$7)/('Terminal Value'!$E$12))/((F70)-('DCF'!$E$7))/(1+(F70))^'DCF'!$E$19)</x:f>
        <x:v>3908109.968980557</x:v>
      </x:c>
      <x:c r="H70" s="164" t="n">
        <x:f>G70-$E$9</x:f>
        <x:v>-0.00007095327600836754</x:v>
      </x:c>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81" t="n">
        <x:v>38</x:v>
      </x:c>
      <x:c r="D71" s="208" t="n">
        <x:f>IF(G70&gt;$E$9,F70,D70)</x:f>
        <x:v>0.06860366329857785</x:v>
      </x:c>
      <x:c r="E71" s="208" t="n">
        <x:f>IF(G70&gt;$E$9,E70,F70)</x:f>
        <x:v>0.06860366330053508</x:v>
      </x:c>
      <x:c r="F71" s="208" t="n">
        <x:f>(D71+E71)/2</x:f>
        <x:v>0.06860366329955647</x:v>
      </x:c>
      <x:c r="G71" s="164" t="n">
        <x:f>(SUM((('Forecast'!E12)*(('Assumptions'!E37+(0))*(1-'Assumptions'!E42-(0))+'Assumptions'!E47-'Assumptions'!E52*(1)+'Assumptions'!E57-'Assumptions'!E62*(1)-'Assumptions'!E67-(0))+('Working Capital'!$E$6))*'DCF'!E12/(1+(F71))^'DCF'!E13,(('Forecast'!F12)*(('Assumptions'!F37+(0))*(1-'Assumptions'!F42-(0))+'Assumptions'!F47-'Assumptions'!F52*(1)+'Assumptions'!F57-'Assumptions'!F62*(1)-'Assumptions'!F67-(0))+(('Forecast'!E12)*('Assumptions'!E67+(0))))*'DCF'!F12/(1+(F71))^'DCF'!F13,(('Forecast'!G12)*(('Assumptions'!G37+(0))*(1-'Assumptions'!G42-(0))+'Assumptions'!G47-'Assumptions'!G52*(1)+'Assumptions'!G57-'Assumptions'!G62*(1)-'Assumptions'!G67-(0))+(('Forecast'!F12)*('Assumptions'!F67+(0))))*'DCF'!G12/(1+(F71))^'DCF'!G13,(('Forecast'!H12)*(('Assumptions'!H37+(0))*(1-'Assumptions'!H42-(0))+'Assumptions'!H47-'Assumptions'!H52*(1)+'Assumptions'!H57-'Assumptions'!H62*(1)-'Assumptions'!H67-(0))+(('Forecast'!G12)*('Assumptions'!G67+(0))))*'DCF'!H12/(1+(F71))^'DCF'!H13,(('Forecast'!I12)*(('Assumptions'!I37+(0))*(1-'Assumptions'!I42-(0))+'Assumptions'!I47-'Assumptions'!I52*(1)+'Assumptions'!I57-'Assumptions'!I62*(1)-'Assumptions'!I67-(0))+(('Forecast'!H12)*('Assumptions'!H67+(0))))*'DCF'!I12/(1+(F71))^'DCF'!I13)+('Forecast'!I12)*(1+('DCF'!$E$7))*('Terminal Value'!$E$10+(0))*(1-'Assumptions'!$E$15-(0))*(1-('DCF'!$E$7)/('Terminal Value'!$E$12))/((F71)-('DCF'!$E$7))/(1+(F71))^'DCF'!$E$19)</x:f>
        <x:v>3908109.969083787</x:v>
      </x:c>
      <x:c r="H71" s="164" t="n">
        <x:f>G71-$E$9</x:f>
        <x:v>0.00003227684646844864</x:v>
      </x:c>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81" t="n">
        <x:v>39</x:v>
      </x:c>
      <x:c r="D72" s="208" t="n">
        <x:f>IF(G71&gt;$E$9,F71,D71)</x:f>
        <x:v>0.06860366329955647</x:v>
      </x:c>
      <x:c r="E72" s="208" t="n">
        <x:f>IF(G71&gt;$E$9,E71,F71)</x:f>
        <x:v>0.06860366330053508</x:v>
      </x:c>
      <x:c r="F72" s="208" t="n">
        <x:f>(D72+E72)/2</x:f>
        <x:v>0.06860366330004578</x:v>
      </x:c>
      <x:c r="G72" s="164" t="n">
        <x:f>(SUM((('Forecast'!E12)*(('Assumptions'!E37+(0))*(1-'Assumptions'!E42-(0))+'Assumptions'!E47-'Assumptions'!E52*(1)+'Assumptions'!E57-'Assumptions'!E62*(1)-'Assumptions'!E67-(0))+('Working Capital'!$E$6))*'DCF'!E12/(1+(F72))^'DCF'!E13,(('Forecast'!F12)*(('Assumptions'!F37+(0))*(1-'Assumptions'!F42-(0))+'Assumptions'!F47-'Assumptions'!F52*(1)+'Assumptions'!F57-'Assumptions'!F62*(1)-'Assumptions'!F67-(0))+(('Forecast'!E12)*('Assumptions'!E67+(0))))*'DCF'!F12/(1+(F72))^'DCF'!F13,(('Forecast'!G12)*(('Assumptions'!G37+(0))*(1-'Assumptions'!G42-(0))+'Assumptions'!G47-'Assumptions'!G52*(1)+'Assumptions'!G57-'Assumptions'!G62*(1)-'Assumptions'!G67-(0))+(('Forecast'!F12)*('Assumptions'!F67+(0))))*'DCF'!G12/(1+(F72))^'DCF'!G13,(('Forecast'!H12)*(('Assumptions'!H37+(0))*(1-'Assumptions'!H42-(0))+'Assumptions'!H47-'Assumptions'!H52*(1)+'Assumptions'!H57-'Assumptions'!H62*(1)-'Assumptions'!H67-(0))+(('Forecast'!G12)*('Assumptions'!G67+(0))))*'DCF'!H12/(1+(F72))^'DCF'!H13,(('Forecast'!I12)*(('Assumptions'!I37+(0))*(1-'Assumptions'!I42-(0))+'Assumptions'!I47-'Assumptions'!I52*(1)+'Assumptions'!I57-'Assumptions'!I62*(1)-'Assumptions'!I67-(0))+(('Forecast'!H12)*('Assumptions'!H67+(0))))*'DCF'!I12/(1+(F72))^'DCF'!I13)+('Forecast'!I12)*(1+('DCF'!$E$7))*('Terminal Value'!$E$10+(0))*(1-'Assumptions'!$E$15-(0))*(1-('DCF'!$E$7)/('Terminal Value'!$E$12))/((F72)-('DCF'!$E$7))/(1+(F72))^'DCF'!$E$19)</x:f>
        <x:v>3908109.969032174</x:v>
      </x:c>
      <x:c r="H72" s="164" t="n">
        <x:f>G72-$E$9</x:f>
        <x:v>-0.000019336119294166565</x:v>
      </x:c>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81" t="n">
        <x:v>40</x:v>
      </x:c>
      <x:c r="D73" s="208" t="n">
        <x:f>IF(G72&gt;$E$9,F72,D72)</x:f>
        <x:v>0.06860366329955647</x:v>
      </x:c>
      <x:c r="E73" s="208" t="n">
        <x:f>IF(G72&gt;$E$9,E72,F72)</x:f>
        <x:v>0.06860366330004578</x:v>
      </x:c>
      <x:c r="F73" s="208" t="n">
        <x:f>(D73+E73)/2</x:f>
        <x:v>0.06860366329980112</x:v>
      </x:c>
      <x:c r="G73" s="164" t="n">
        <x:f>(SUM((('Forecast'!E12)*(('Assumptions'!E37+(0))*(1-'Assumptions'!E42-(0))+'Assumptions'!E47-'Assumptions'!E52*(1)+'Assumptions'!E57-'Assumptions'!E62*(1)-'Assumptions'!E67-(0))+('Working Capital'!$E$6))*'DCF'!E12/(1+(F73))^'DCF'!E13,(('Forecast'!F12)*(('Assumptions'!F37+(0))*(1-'Assumptions'!F42-(0))+'Assumptions'!F47-'Assumptions'!F52*(1)+'Assumptions'!F57-'Assumptions'!F62*(1)-'Assumptions'!F67-(0))+(('Forecast'!E12)*('Assumptions'!E67+(0))))*'DCF'!F12/(1+(F73))^'DCF'!F13,(('Forecast'!G12)*(('Assumptions'!G37+(0))*(1-'Assumptions'!G42-(0))+'Assumptions'!G47-'Assumptions'!G52*(1)+'Assumptions'!G57-'Assumptions'!G62*(1)-'Assumptions'!G67-(0))+(('Forecast'!F12)*('Assumptions'!F67+(0))))*'DCF'!G12/(1+(F73))^'DCF'!G13,(('Forecast'!H12)*(('Assumptions'!H37+(0))*(1-'Assumptions'!H42-(0))+'Assumptions'!H47-'Assumptions'!H52*(1)+'Assumptions'!H57-'Assumptions'!H62*(1)-'Assumptions'!H67-(0))+(('Forecast'!G12)*('Assumptions'!G67+(0))))*'DCF'!H12/(1+(F73))^'DCF'!H13,(('Forecast'!I12)*(('Assumptions'!I37+(0))*(1-'Assumptions'!I42-(0))+'Assumptions'!I47-'Assumptions'!I52*(1)+'Assumptions'!I57-'Assumptions'!I62*(1)-'Assumptions'!I67-(0))+(('Forecast'!H12)*('Assumptions'!H67+(0))))*'DCF'!I12/(1+(F73))^'DCF'!I13)+('Forecast'!I12)*(1+('DCF'!$E$7))*('Terminal Value'!$E$10+(0))*(1-'Assumptions'!$E$15-(0))*(1-('DCF'!$E$7)/('Terminal Value'!$E$12))/((F73)-('DCF'!$E$7))/(1+(F73))^'DCF'!$E$19)</x:f>
        <x:v>3908109.969057982</x:v>
      </x:c>
      <x:c r="H73" s="164" t="n">
        <x:f>G73-$E$9</x:f>
        <x:v>0.00000647176057100296</x:v>
      </x:c>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81" t="n">
        <x:v>41</x:v>
      </x:c>
      <x:c r="D74" s="208" t="n">
        <x:f>IF(G73&gt;$E$9,F73,D73)</x:f>
        <x:v>0.06860366329980112</x:v>
      </x:c>
      <x:c r="E74" s="208" t="n">
        <x:f>IF(G73&gt;$E$9,E73,F73)</x:f>
        <x:v>0.06860366330004578</x:v>
      </x:c>
      <x:c r="F74" s="208" t="n">
        <x:f>(D74+E74)/2</x:f>
        <x:v>0.06860366329992346</x:v>
      </x:c>
      <x:c r="G74" s="164" t="n">
        <x:f>(SUM((('Forecast'!E12)*(('Assumptions'!E37+(0))*(1-'Assumptions'!E42-(0))+'Assumptions'!E47-'Assumptions'!E52*(1)+'Assumptions'!E57-'Assumptions'!E62*(1)-'Assumptions'!E67-(0))+('Working Capital'!$E$6))*'DCF'!E12/(1+(F74))^'DCF'!E13,(('Forecast'!F12)*(('Assumptions'!F37+(0))*(1-'Assumptions'!F42-(0))+'Assumptions'!F47-'Assumptions'!F52*(1)+'Assumptions'!F57-'Assumptions'!F62*(1)-'Assumptions'!F67-(0))+(('Forecast'!E12)*('Assumptions'!E67+(0))))*'DCF'!F12/(1+(F74))^'DCF'!F13,(('Forecast'!G12)*(('Assumptions'!G37+(0))*(1-'Assumptions'!G42-(0))+'Assumptions'!G47-'Assumptions'!G52*(1)+'Assumptions'!G57-'Assumptions'!G62*(1)-'Assumptions'!G67-(0))+(('Forecast'!F12)*('Assumptions'!F67+(0))))*'DCF'!G12/(1+(F74))^'DCF'!G13,(('Forecast'!H12)*(('Assumptions'!H37+(0))*(1-'Assumptions'!H42-(0))+'Assumptions'!H47-'Assumptions'!H52*(1)+'Assumptions'!H57-'Assumptions'!H62*(1)-'Assumptions'!H67-(0))+(('Forecast'!G12)*('Assumptions'!G67+(0))))*'DCF'!H12/(1+(F74))^'DCF'!H13,(('Forecast'!I12)*(('Assumptions'!I37+(0))*(1-'Assumptions'!I42-(0))+'Assumptions'!I47-'Assumptions'!I52*(1)+'Assumptions'!I57-'Assumptions'!I62*(1)-'Assumptions'!I67-(0))+(('Forecast'!H12)*('Assumptions'!H67+(0))))*'DCF'!I12/(1+(F74))^'DCF'!I13)+('Forecast'!I12)*(1+('DCF'!$E$7))*('Terminal Value'!$E$10+(0))*(1-'Assumptions'!$E$15-(0))*(1-('DCF'!$E$7)/('Terminal Value'!$E$12))/((F74)-('DCF'!$E$7))/(1+(F74))^'DCF'!$E$19)</x:f>
        <x:v>3908109.9690450775</x:v>
      </x:c>
      <x:c r="H74" s="164" t="n">
        <x:f>G74-$E$9</x:f>
        <x:v>-0.00000643264502286911</x:v>
      </x:c>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81" t="n">
        <x:v>42</x:v>
      </x:c>
      <x:c r="D75" s="208" t="n">
        <x:f>IF(G74&gt;$E$9,F74,D74)</x:f>
        <x:v>0.06860366329980112</x:v>
      </x:c>
      <x:c r="E75" s="208" t="n">
        <x:f>IF(G74&gt;$E$9,E74,F74)</x:f>
        <x:v>0.06860366329992346</x:v>
      </x:c>
      <x:c r="F75" s="208" t="n">
        <x:f>(D75+E75)/2</x:f>
        <x:v>0.06860366329986228</x:v>
      </x:c>
      <x:c r="G75" s="164" t="n">
        <x:f>(SUM((('Forecast'!E12)*(('Assumptions'!E37+(0))*(1-'Assumptions'!E42-(0))+'Assumptions'!E47-'Assumptions'!E52*(1)+'Assumptions'!E57-'Assumptions'!E62*(1)-'Assumptions'!E67-(0))+('Working Capital'!$E$6))*'DCF'!E12/(1+(F75))^'DCF'!E13,(('Forecast'!F12)*(('Assumptions'!F37+(0))*(1-'Assumptions'!F42-(0))+'Assumptions'!F47-'Assumptions'!F52*(1)+'Assumptions'!F57-'Assumptions'!F62*(1)-'Assumptions'!F67-(0))+(('Forecast'!E12)*('Assumptions'!E67+(0))))*'DCF'!F12/(1+(F75))^'DCF'!F13,(('Forecast'!G12)*(('Assumptions'!G37+(0))*(1-'Assumptions'!G42-(0))+'Assumptions'!G47-'Assumptions'!G52*(1)+'Assumptions'!G57-'Assumptions'!G62*(1)-'Assumptions'!G67-(0))+(('Forecast'!F12)*('Assumptions'!F67+(0))))*'DCF'!G12/(1+(F75))^'DCF'!G13,(('Forecast'!H12)*(('Assumptions'!H37+(0))*(1-'Assumptions'!H42-(0))+'Assumptions'!H47-'Assumptions'!H52*(1)+'Assumptions'!H57-'Assumptions'!H62*(1)-'Assumptions'!H67-(0))+(('Forecast'!G12)*('Assumptions'!G67+(0))))*'DCF'!H12/(1+(F75))^'DCF'!H13,(('Forecast'!I12)*(('Assumptions'!I37+(0))*(1-'Assumptions'!I42-(0))+'Assumptions'!I47-'Assumptions'!I52*(1)+'Assumptions'!I57-'Assumptions'!I62*(1)-'Assumptions'!I67-(0))+(('Forecast'!H12)*('Assumptions'!H67+(0))))*'DCF'!I12/(1+(F75))^'DCF'!I13)+('Forecast'!I12)*(1+('DCF'!$E$7))*('Terminal Value'!$E$10+(0))*(1-'Assumptions'!$E$15-(0))*(1-('DCF'!$E$7)/('Terminal Value'!$E$12))/((F75)-('DCF'!$E$7))/(1+(F75))^'DCF'!$E$19)</x:f>
        <x:v>3908109.9690515287</x:v>
      </x:c>
      <x:c r="H75" s="164" t="n">
        <x:f>G75-$E$9</x:f>
        <x:v>1.862645149230957e-8</x:v>
      </x:c>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81" t="n">
        <x:v>43</x:v>
      </x:c>
      <x:c r="D76" s="208" t="n">
        <x:f>IF(G75&gt;$E$9,F75,D75)</x:f>
        <x:v>0.06860366329986228</x:v>
      </x:c>
      <x:c r="E76" s="208" t="n">
        <x:f>IF(G75&gt;$E$9,E75,F75)</x:f>
        <x:v>0.06860366329992346</x:v>
      </x:c>
      <x:c r="F76" s="208" t="n">
        <x:f>(D76+E76)/2</x:f>
        <x:v>0.06860366329989287</x:v>
      </x:c>
      <x:c r="G76" s="164" t="n">
        <x:f>(SUM((('Forecast'!E12)*(('Assumptions'!E37+(0))*(1-'Assumptions'!E42-(0))+'Assumptions'!E47-'Assumptions'!E52*(1)+'Assumptions'!E57-'Assumptions'!E62*(1)-'Assumptions'!E67-(0))+('Working Capital'!$E$6))*'DCF'!E12/(1+(F76))^'DCF'!E13,(('Forecast'!F12)*(('Assumptions'!F37+(0))*(1-'Assumptions'!F42-(0))+'Assumptions'!F47-'Assumptions'!F52*(1)+'Assumptions'!F57-'Assumptions'!F62*(1)-'Assumptions'!F67-(0))+(('Forecast'!E12)*('Assumptions'!E67+(0))))*'DCF'!F12/(1+(F76))^'DCF'!F13,(('Forecast'!G12)*(('Assumptions'!G37+(0))*(1-'Assumptions'!G42-(0))+'Assumptions'!G47-'Assumptions'!G52*(1)+'Assumptions'!G57-'Assumptions'!G62*(1)-'Assumptions'!G67-(0))+(('Forecast'!F12)*('Assumptions'!F67+(0))))*'DCF'!G12/(1+(F76))^'DCF'!G13,(('Forecast'!H12)*(('Assumptions'!H37+(0))*(1-'Assumptions'!H42-(0))+'Assumptions'!H47-'Assumptions'!H52*(1)+'Assumptions'!H57-'Assumptions'!H62*(1)-'Assumptions'!H67-(0))+(('Forecast'!G12)*('Assumptions'!G67+(0))))*'DCF'!H12/(1+(F76))^'DCF'!H13,(('Forecast'!I12)*(('Assumptions'!I37+(0))*(1-'Assumptions'!I42-(0))+'Assumptions'!I47-'Assumptions'!I52*(1)+'Assumptions'!I57-'Assumptions'!I62*(1)-'Assumptions'!I67-(0))+(('Forecast'!H12)*('Assumptions'!H67+(0))))*'DCF'!I12/(1+(F76))^'DCF'!I13)+('Forecast'!I12)*(1+('DCF'!$E$7))*('Terminal Value'!$E$10+(0))*(1-'Assumptions'!$E$15-(0))*(1-('DCF'!$E$7)/('Terminal Value'!$E$12))/((F76)-('DCF'!$E$7))/(1+(F76))^'DCF'!$E$19)</x:f>
        <x:v>3908109.9690483054</x:v>
      </x:c>
      <x:c r="H76" s="164" t="n">
        <x:f>G76-$E$9</x:f>
        <x:v>-0.0000032046809792518616</x:v>
      </x:c>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81" t="n">
        <x:v>44</x:v>
      </x:c>
      <x:c r="D77" s="208" t="n">
        <x:f>IF(G76&gt;$E$9,F76,D76)</x:f>
        <x:v>0.06860366329986228</x:v>
      </x:c>
      <x:c r="E77" s="208" t="n">
        <x:f>IF(G76&gt;$E$9,E76,F76)</x:f>
        <x:v>0.06860366329989287</x:v>
      </x:c>
      <x:c r="F77" s="208" t="n">
        <x:f>(D77+E77)/2</x:f>
        <x:v>0.06860366329987758</x:v>
      </x:c>
      <x:c r="G77" s="164" t="n">
        <x:f>(SUM((('Forecast'!E12)*(('Assumptions'!E37+(0))*(1-'Assumptions'!E42-(0))+'Assumptions'!E47-'Assumptions'!E52*(1)+'Assumptions'!E57-'Assumptions'!E62*(1)-'Assumptions'!E67-(0))+('Working Capital'!$E$6))*'DCF'!E12/(1+(F77))^'DCF'!E13,(('Forecast'!F12)*(('Assumptions'!F37+(0))*(1-'Assumptions'!F42-(0))+'Assumptions'!F47-'Assumptions'!F52*(1)+'Assumptions'!F57-'Assumptions'!F62*(1)-'Assumptions'!F67-(0))+(('Forecast'!E12)*('Assumptions'!E67+(0))))*'DCF'!F12/(1+(F77))^'DCF'!F13,(('Forecast'!G12)*(('Assumptions'!G37+(0))*(1-'Assumptions'!G42-(0))+'Assumptions'!G47-'Assumptions'!G52*(1)+'Assumptions'!G57-'Assumptions'!G62*(1)-'Assumptions'!G67-(0))+(('Forecast'!F12)*('Assumptions'!F67+(0))))*'DCF'!G12/(1+(F77))^'DCF'!G13,(('Forecast'!H12)*(('Assumptions'!H37+(0))*(1-'Assumptions'!H42-(0))+'Assumptions'!H47-'Assumptions'!H52*(1)+'Assumptions'!H57-'Assumptions'!H62*(1)-'Assumptions'!H67-(0))+(('Forecast'!G12)*('Assumptions'!G67+(0))))*'DCF'!H12/(1+(F77))^'DCF'!H13,(('Forecast'!I12)*(('Assumptions'!I37+(0))*(1-'Assumptions'!I42-(0))+'Assumptions'!I47-'Assumptions'!I52*(1)+'Assumptions'!I57-'Assumptions'!I62*(1)-'Assumptions'!I67-(0))+(('Forecast'!H12)*('Assumptions'!H67+(0))))*'DCF'!I12/(1+(F77))^'DCF'!I13)+('Forecast'!I12)*(1+('DCF'!$E$7))*('Terminal Value'!$E$10+(0))*(1-'Assumptions'!$E$15-(0))*(1-('DCF'!$E$7)/('Terminal Value'!$E$12))/((F77)-('DCF'!$E$7))/(1+(F77))^'DCF'!$E$19)</x:f>
        <x:v>3908109.9690499143</x:v>
      </x:c>
      <x:c r="H77" s="164" t="n">
        <x:f>G77-$E$9</x:f>
        <x:v>-0.0000015958212316036224</x:v>
      </x:c>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81" t="n">
        <x:v>45</x:v>
      </x:c>
      <x:c r="D78" s="208" t="n">
        <x:f>IF(G77&gt;$E$9,F77,D77)</x:f>
        <x:v>0.06860366329986228</x:v>
      </x:c>
      <x:c r="E78" s="208" t="n">
        <x:f>IF(G77&gt;$E$9,E77,F77)</x:f>
        <x:v>0.06860366329987758</x:v>
      </x:c>
      <x:c r="F78" s="208" t="n">
        <x:f>(D78+E78)/2</x:f>
        <x:v>0.06860366329986993</x:v>
      </x:c>
      <x:c r="G78" s="164" t="n">
        <x:f>(SUM((('Forecast'!E12)*(('Assumptions'!E37+(0))*(1-'Assumptions'!E42-(0))+'Assumptions'!E47-'Assumptions'!E52*(1)+'Assumptions'!E57-'Assumptions'!E62*(1)-'Assumptions'!E67-(0))+('Working Capital'!$E$6))*'DCF'!E12/(1+(F78))^'DCF'!E13,(('Forecast'!F12)*(('Assumptions'!F37+(0))*(1-'Assumptions'!F42-(0))+'Assumptions'!F47-'Assumptions'!F52*(1)+'Assumptions'!F57-'Assumptions'!F62*(1)-'Assumptions'!F67-(0))+(('Forecast'!E12)*('Assumptions'!E67+(0))))*'DCF'!F12/(1+(F78))^'DCF'!F13,(('Forecast'!G12)*(('Assumptions'!G37+(0))*(1-'Assumptions'!G42-(0))+'Assumptions'!G47-'Assumptions'!G52*(1)+'Assumptions'!G57-'Assumptions'!G62*(1)-'Assumptions'!G67-(0))+(('Forecast'!F12)*('Assumptions'!F67+(0))))*'DCF'!G12/(1+(F78))^'DCF'!G13,(('Forecast'!H12)*(('Assumptions'!H37+(0))*(1-'Assumptions'!H42-(0))+'Assumptions'!H47-'Assumptions'!H52*(1)+'Assumptions'!H57-'Assumptions'!H62*(1)-'Assumptions'!H67-(0))+(('Forecast'!G12)*('Assumptions'!G67+(0))))*'DCF'!H12/(1+(F78))^'DCF'!H13,(('Forecast'!I12)*(('Assumptions'!I37+(0))*(1-'Assumptions'!I42-(0))+'Assumptions'!I47-'Assumptions'!I52*(1)+'Assumptions'!I57-'Assumptions'!I62*(1)-'Assumptions'!I67-(0))+(('Forecast'!H12)*('Assumptions'!H67+(0))))*'DCF'!I12/(1+(F78))^'DCF'!I13)+('Forecast'!I12)*(1+('DCF'!$E$7))*('Terminal Value'!$E$10+(0))*(1-'Assumptions'!$E$15-(0))*(1-('DCF'!$E$7)/('Terminal Value'!$E$12))/((F78)-('DCF'!$E$7))/(1+(F78))^'DCF'!$E$19)</x:f>
        <x:v>3908109.9690507236</x:v>
      </x:c>
      <x:c r="H78" s="164" t="n">
        <x:f>G78-$E$9</x:f>
        <x:v>-7.865019142627716e-7</x:v>
      </x:c>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81" t="n">
        <x:v>46</x:v>
      </x:c>
      <x:c r="D79" s="208" t="n">
        <x:f>IF(G78&gt;$E$9,F78,D78)</x:f>
        <x:v>0.06860366329986228</x:v>
      </x:c>
      <x:c r="E79" s="208" t="n">
        <x:f>IF(G78&gt;$E$9,E78,F78)</x:f>
        <x:v>0.06860366329986993</x:v>
      </x:c>
      <x:c r="F79" s="208" t="n">
        <x:f>(D79+E79)/2</x:f>
        <x:v>0.06860366329986611</x:v>
      </x:c>
      <x:c r="G79" s="164" t="n">
        <x:f>(SUM((('Forecast'!E12)*(('Assumptions'!E37+(0))*(1-'Assumptions'!E42-(0))+'Assumptions'!E47-'Assumptions'!E52*(1)+'Assumptions'!E57-'Assumptions'!E62*(1)-'Assumptions'!E67-(0))+('Working Capital'!$E$6))*'DCF'!E12/(1+(F79))^'DCF'!E13,(('Forecast'!F12)*(('Assumptions'!F37+(0))*(1-'Assumptions'!F42-(0))+'Assumptions'!F47-'Assumptions'!F52*(1)+'Assumptions'!F57-'Assumptions'!F62*(1)-'Assumptions'!F67-(0))+(('Forecast'!E12)*('Assumptions'!E67+(0))))*'DCF'!F12/(1+(F79))^'DCF'!F13,(('Forecast'!G12)*(('Assumptions'!G37+(0))*(1-'Assumptions'!G42-(0))+'Assumptions'!G47-'Assumptions'!G52*(1)+'Assumptions'!G57-'Assumptions'!G62*(1)-'Assumptions'!G67-(0))+(('Forecast'!F12)*('Assumptions'!F67+(0))))*'DCF'!G12/(1+(F79))^'DCF'!G13,(('Forecast'!H12)*(('Assumptions'!H37+(0))*(1-'Assumptions'!H42-(0))+'Assumptions'!H47-'Assumptions'!H52*(1)+'Assumptions'!H57-'Assumptions'!H62*(1)-'Assumptions'!H67-(0))+(('Forecast'!G12)*('Assumptions'!G67+(0))))*'DCF'!H12/(1+(F79))^'DCF'!H13,(('Forecast'!I12)*(('Assumptions'!I37+(0))*(1-'Assumptions'!I42-(0))+'Assumptions'!I47-'Assumptions'!I52*(1)+'Assumptions'!I57-'Assumptions'!I62*(1)-'Assumptions'!I67-(0))+(('Forecast'!H12)*('Assumptions'!H67+(0))))*'DCF'!I12/(1+(F79))^'DCF'!I13)+('Forecast'!I12)*(1+('DCF'!$E$7))*('Terminal Value'!$E$10+(0))*(1-'Assumptions'!$E$15-(0))*(1-('DCF'!$E$7)/('Terminal Value'!$E$12))/((F79)-('DCF'!$E$7))/(1+(F79))^'DCF'!$E$19)</x:f>
        <x:v>3908109.9690511255</x:v>
      </x:c>
      <x:c r="H79" s="164" t="n">
        <x:f>G79-$E$9</x:f>
        <x:v>-3.8463622331619263e-7</x:v>
      </x:c>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81" t="n">
        <x:v>47</x:v>
      </x:c>
      <x:c r="D80" s="208" t="n">
        <x:f>IF(G79&gt;$E$9,F79,D79)</x:f>
        <x:v>0.06860366329986228</x:v>
      </x:c>
      <x:c r="E80" s="208" t="n">
        <x:f>IF(G79&gt;$E$9,E79,F79)</x:f>
        <x:v>0.06860366329986611</x:v>
      </x:c>
      <x:c r="F80" s="208" t="n">
        <x:f>(D80+E80)/2</x:f>
        <x:v>0.0686036632998642</x:v>
      </x:c>
      <x:c r="G80" s="164" t="n">
        <x:f>(SUM((('Forecast'!E12)*(('Assumptions'!E37+(0))*(1-'Assumptions'!E42-(0))+'Assumptions'!E47-'Assumptions'!E52*(1)+'Assumptions'!E57-'Assumptions'!E62*(1)-'Assumptions'!E67-(0))+('Working Capital'!$E$6))*'DCF'!E12/(1+(F80))^'DCF'!E13,(('Forecast'!F12)*(('Assumptions'!F37+(0))*(1-'Assumptions'!F42-(0))+'Assumptions'!F47-'Assumptions'!F52*(1)+'Assumptions'!F57-'Assumptions'!F62*(1)-'Assumptions'!F67-(0))+(('Forecast'!E12)*('Assumptions'!E67+(0))))*'DCF'!F12/(1+(F80))^'DCF'!F13,(('Forecast'!G12)*(('Assumptions'!G37+(0))*(1-'Assumptions'!G42-(0))+'Assumptions'!G47-'Assumptions'!G52*(1)+'Assumptions'!G57-'Assumptions'!G62*(1)-'Assumptions'!G67-(0))+(('Forecast'!F12)*('Assumptions'!F67+(0))))*'DCF'!G12/(1+(F80))^'DCF'!G13,(('Forecast'!H12)*(('Assumptions'!H37+(0))*(1-'Assumptions'!H42-(0))+'Assumptions'!H47-'Assumptions'!H52*(1)+'Assumptions'!H57-'Assumptions'!H62*(1)-'Assumptions'!H67-(0))+(('Forecast'!G12)*('Assumptions'!G67+(0))))*'DCF'!H12/(1+(F80))^'DCF'!H13,(('Forecast'!I12)*(('Assumptions'!I37+(0))*(1-'Assumptions'!I42-(0))+'Assumptions'!I47-'Assumptions'!I52*(1)+'Assumptions'!I57-'Assumptions'!I62*(1)-'Assumptions'!I67-(0))+(('Forecast'!H12)*('Assumptions'!H67+(0))))*'DCF'!I12/(1+(F80))^'DCF'!I13)+('Forecast'!I12)*(1+('DCF'!$E$7))*('Terminal Value'!$E$10+(0))*(1-'Assumptions'!$E$15-(0))*(1-('DCF'!$E$7)/('Terminal Value'!$E$12))/((F80)-('DCF'!$E$7))/(1+(F80))^'DCF'!$E$19)</x:f>
        <x:v>3908109.969051329</x:v>
      </x:c>
      <x:c r="H80" s="164" t="n">
        <x:f>G80-$E$9</x:f>
        <x:v>-1.8114224076271057e-7</x:v>
      </x:c>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81" t="n">
        <x:v>48</x:v>
      </x:c>
      <x:c r="D81" s="208" t="n">
        <x:f>IF(G80&gt;$E$9,F80,D80)</x:f>
        <x:v>0.06860366329986228</x:v>
      </x:c>
      <x:c r="E81" s="208" t="n">
        <x:f>IF(G80&gt;$E$9,E80,F80)</x:f>
        <x:v>0.0686036632998642</x:v>
      </x:c>
      <x:c r="F81" s="208" t="n">
        <x:f>(D81+E81)/2</x:f>
        <x:v>0.06860366329986324</x:v>
      </x:c>
      <x:c r="G81" s="164" t="n">
        <x:f>(SUM((('Forecast'!E12)*(('Assumptions'!E37+(0))*(1-'Assumptions'!E42-(0))+'Assumptions'!E47-'Assumptions'!E52*(1)+'Assumptions'!E57-'Assumptions'!E62*(1)-'Assumptions'!E67-(0))+('Working Capital'!$E$6))*'DCF'!E12/(1+(F81))^'DCF'!E13,(('Forecast'!F12)*(('Assumptions'!F37+(0))*(1-'Assumptions'!F42-(0))+'Assumptions'!F47-'Assumptions'!F52*(1)+'Assumptions'!F57-'Assumptions'!F62*(1)-'Assumptions'!F67-(0))+(('Forecast'!E12)*('Assumptions'!E67+(0))))*'DCF'!F12/(1+(F81))^'DCF'!F13,(('Forecast'!G12)*(('Assumptions'!G37+(0))*(1-'Assumptions'!G42-(0))+'Assumptions'!G47-'Assumptions'!G52*(1)+'Assumptions'!G57-'Assumptions'!G62*(1)-'Assumptions'!G67-(0))+(('Forecast'!F12)*('Assumptions'!F67+(0))))*'DCF'!G12/(1+(F81))^'DCF'!G13,(('Forecast'!H12)*(('Assumptions'!H37+(0))*(1-'Assumptions'!H42-(0))+'Assumptions'!H47-'Assumptions'!H52*(1)+'Assumptions'!H57-'Assumptions'!H62*(1)-'Assumptions'!H67-(0))+(('Forecast'!G12)*('Assumptions'!G67+(0))))*'DCF'!H12/(1+(F81))^'DCF'!H13,(('Forecast'!I12)*(('Assumptions'!I37+(0))*(1-'Assumptions'!I42-(0))+'Assumptions'!I47-'Assumptions'!I52*(1)+'Assumptions'!I57-'Assumptions'!I62*(1)-'Assumptions'!I67-(0))+(('Forecast'!H12)*('Assumptions'!H67+(0))))*'DCF'!I12/(1+(F81))^'DCF'!I13)+('Forecast'!I12)*(1+('DCF'!$E$7))*('Terminal Value'!$E$10+(0))*(1-'Assumptions'!$E$15-(0))*(1-('DCF'!$E$7)/('Terminal Value'!$E$12))/((F81)-('DCF'!$E$7))/(1+(F81))^'DCF'!$E$19)</x:f>
        <x:v>3908109.969051429</x:v>
      </x:c>
      <x:c r="H81" s="164" t="n">
        <x:f>G81-$E$9</x:f>
        <x:v>-8.102506399154663e-8</x:v>
      </x:c>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56" t="str">
        <x:v>WACC</x:v>
      </x:c>
      <x:c r="D86" s="160" t="str">
        <x:v>Fair price</x:v>
      </x:c>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208" t="n">
        <x:f>$E$16+($E$17-$E$16)*0/8</x:f>
        <x:v>0.031</x:v>
      </x:c>
      <x:c r="D87" s="145" t="n">
        <x:f>((SUM((('Forecast'!E12)*(('Assumptions'!E37+(0))*(1-'Assumptions'!E42-(0))+'Assumptions'!E47-'Assumptions'!E52*(1)+'Assumptions'!E57-'Assumptions'!E62*(1)-'Assumptions'!E67-(0))+('Working Capital'!$E$6))*'DCF'!E12/(1+(C87))^'DCF'!E13,(('Forecast'!F12)*(('Assumptions'!F37+(0))*(1-'Assumptions'!F42-(0))+'Assumptions'!F47-'Assumptions'!F52*(1)+'Assumptions'!F57-'Assumptions'!F62*(1)-'Assumptions'!F67-(0))+(('Forecast'!E12)*('Assumptions'!E67+(0))))*'DCF'!F12/(1+(C87))^'DCF'!F13,(('Forecast'!G12)*(('Assumptions'!G37+(0))*(1-'Assumptions'!G42-(0))+'Assumptions'!G47-'Assumptions'!G52*(1)+'Assumptions'!G57-'Assumptions'!G62*(1)-'Assumptions'!G67-(0))+(('Forecast'!F12)*('Assumptions'!F67+(0))))*'DCF'!G12/(1+(C87))^'DCF'!G13,(('Forecast'!H12)*(('Assumptions'!H37+(0))*(1-'Assumptions'!H42-(0))+'Assumptions'!H47-'Assumptions'!H52*(1)+'Assumptions'!H57-'Assumptions'!H62*(1)-'Assumptions'!H67-(0))+(('Forecast'!G12)*('Assumptions'!G67+(0))))*'DCF'!H12/(1+(C87))^'DCF'!H13,(('Forecast'!I12)*(('Assumptions'!I37+(0))*(1-'Assumptions'!I42-(0))+'Assumptions'!I47-'Assumptions'!I52*(1)+'Assumptions'!I57-'Assumptions'!I62*(1)-'Assumptions'!I67-(0))+(('Forecast'!H12)*('Assumptions'!H67+(0))))*'DCF'!I12/(1+(C87))^'DCF'!I13)+('Forecast'!I12)*(1+('DCF'!$E$7))*('Terminal Value'!$E$10+(0))*(1-'Assumptions'!$E$15-(0))*(1-('DCF'!$E$7)/('Terminal Value'!$E$12))/((C87)-('DCF'!$E$7))/(1+(C87))^'DCF'!$E$19)+'Equity Bridge'!$E$17)/'Equity Bridge'!$E$20</x:f>
        <x:v>21166.97955649999</x:v>
      </x:c>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208" t="n">
        <x:f>$E$16+($E$17-$E$16)*1/8</x:f>
        <x:v>0.064625</x:v>
      </x:c>
      <x:c r="D88" s="145" t="n">
        <x:f>((SUM((('Forecast'!E12)*(('Assumptions'!E37+(0))*(1-'Assumptions'!E42-(0))+'Assumptions'!E47-'Assumptions'!E52*(1)+'Assumptions'!E57-'Assumptions'!E62*(1)-'Assumptions'!E67-(0))+('Working Capital'!$E$6))*'DCF'!E12/(1+(C88))^'DCF'!E13,(('Forecast'!F12)*(('Assumptions'!F37+(0))*(1-'Assumptions'!F42-(0))+'Assumptions'!F47-'Assumptions'!F52*(1)+'Assumptions'!F57-'Assumptions'!F62*(1)-'Assumptions'!F67-(0))+(('Forecast'!E12)*('Assumptions'!E67+(0))))*'DCF'!F12/(1+(C88))^'DCF'!F13,(('Forecast'!G12)*(('Assumptions'!G37+(0))*(1-'Assumptions'!G42-(0))+'Assumptions'!G47-'Assumptions'!G52*(1)+'Assumptions'!G57-'Assumptions'!G62*(1)-'Assumptions'!G67-(0))+(('Forecast'!F12)*('Assumptions'!F67+(0))))*'DCF'!G12/(1+(C88))^'DCF'!G13,(('Forecast'!H12)*(('Assumptions'!H37+(0))*(1-'Assumptions'!H42-(0))+'Assumptions'!H47-'Assumptions'!H52*(1)+'Assumptions'!H57-'Assumptions'!H62*(1)-'Assumptions'!H67-(0))+(('Forecast'!G12)*('Assumptions'!G67+(0))))*'DCF'!H12/(1+(C88))^'DCF'!H13,(('Forecast'!I12)*(('Assumptions'!I37+(0))*(1-'Assumptions'!I42-(0))+'Assumptions'!I47-'Assumptions'!I52*(1)+'Assumptions'!I57-'Assumptions'!I62*(1)-'Assumptions'!I67-(0))+(('Forecast'!H12)*('Assumptions'!H67+(0))))*'DCF'!I12/(1+(C88))^'DCF'!I13)+('Forecast'!I12)*(1+('DCF'!$E$7))*('Terminal Value'!$E$10+(0))*(1-'Assumptions'!$E$15-(0))*(1-('DCF'!$E$7)/('Terminal Value'!$E$12))/((C88)-('DCF'!$E$7))/(1+(C88))^'DCF'!$E$19)+'Equity Bridge'!$E$17)/'Equity Bridge'!$E$20</x:f>
        <x:v>585.4494110816477</x:v>
      </x:c>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208" t="n">
        <x:f>$E$16+($E$17-$E$16)*2/8</x:f>
        <x:v>0.09825</x:v>
      </x:c>
      <x:c r="D89" s="145" t="n">
        <x:f>((SUM((('Forecast'!E12)*(('Assumptions'!E37+(0))*(1-'Assumptions'!E42-(0))+'Assumptions'!E47-'Assumptions'!E52*(1)+'Assumptions'!E57-'Assumptions'!E62*(1)-'Assumptions'!E67-(0))+('Working Capital'!$E$6))*'DCF'!E12/(1+(C89))^'DCF'!E13,(('Forecast'!F12)*(('Assumptions'!F37+(0))*(1-'Assumptions'!F42-(0))+'Assumptions'!F47-'Assumptions'!F52*(1)+'Assumptions'!F57-'Assumptions'!F62*(1)-'Assumptions'!F67-(0))+(('Forecast'!E12)*('Assumptions'!E67+(0))))*'DCF'!F12/(1+(C89))^'DCF'!F13,(('Forecast'!G12)*(('Assumptions'!G37+(0))*(1-'Assumptions'!G42-(0))+'Assumptions'!G47-'Assumptions'!G52*(1)+'Assumptions'!G57-'Assumptions'!G62*(1)-'Assumptions'!G67-(0))+(('Forecast'!F12)*('Assumptions'!F67+(0))))*'DCF'!G12/(1+(C89))^'DCF'!G13,(('Forecast'!H12)*(('Assumptions'!H37+(0))*(1-'Assumptions'!H42-(0))+'Assumptions'!H47-'Assumptions'!H52*(1)+'Assumptions'!H57-'Assumptions'!H62*(1)-'Assumptions'!H67-(0))+(('Forecast'!G12)*('Assumptions'!G67+(0))))*'DCF'!H12/(1+(C89))^'DCF'!H13,(('Forecast'!I12)*(('Assumptions'!I37+(0))*(1-'Assumptions'!I42-(0))+'Assumptions'!I47-'Assumptions'!I52*(1)+'Assumptions'!I57-'Assumptions'!I62*(1)-'Assumptions'!I67-(0))+(('Forecast'!H12)*('Assumptions'!H67+(0))))*'DCF'!I12/(1+(C89))^'DCF'!I13)+('Forecast'!I12)*(1+('DCF'!$E$7))*('Terminal Value'!$E$10+(0))*(1-'Assumptions'!$E$15-(0))*(1-('DCF'!$E$7)/('Terminal Value'!$E$12))/((C89)-('DCF'!$E$7))/(1+(C89))^'DCF'!$E$19)+'Equity Bridge'!$E$17)/'Equity Bridge'!$E$20</x:f>
        <x:v>285.85867417300125</x:v>
      </x:c>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208" t="n">
        <x:f>$E$16+($E$17-$E$16)*3/8</x:f>
        <x:v>0.13187500000000002</x:v>
      </x:c>
      <x:c r="D90" s="145" t="n">
        <x:f>((SUM((('Forecast'!E12)*(('Assumptions'!E37+(0))*(1-'Assumptions'!E42-(0))+'Assumptions'!E47-'Assumptions'!E52*(1)+'Assumptions'!E57-'Assumptions'!E62*(1)-'Assumptions'!E67-(0))+('Working Capital'!$E$6))*'DCF'!E12/(1+(C90))^'DCF'!E13,(('Forecast'!F12)*(('Assumptions'!F37+(0))*(1-'Assumptions'!F42-(0))+'Assumptions'!F47-'Assumptions'!F52*(1)+'Assumptions'!F57-'Assumptions'!F62*(1)-'Assumptions'!F67-(0))+(('Forecast'!E12)*('Assumptions'!E67+(0))))*'DCF'!F12/(1+(C90))^'DCF'!F13,(('Forecast'!G12)*(('Assumptions'!G37+(0))*(1-'Assumptions'!G42-(0))+'Assumptions'!G47-'Assumptions'!G52*(1)+'Assumptions'!G57-'Assumptions'!G62*(1)-'Assumptions'!G67-(0))+(('Forecast'!F12)*('Assumptions'!F67+(0))))*'DCF'!G12/(1+(C90))^'DCF'!G13,(('Forecast'!H12)*(('Assumptions'!H37+(0))*(1-'Assumptions'!H42-(0))+'Assumptions'!H47-'Assumptions'!H52*(1)+'Assumptions'!H57-'Assumptions'!H62*(1)-'Assumptions'!H67-(0))+(('Forecast'!G12)*('Assumptions'!G67+(0))))*'DCF'!H12/(1+(C90))^'DCF'!H13,(('Forecast'!I12)*(('Assumptions'!I37+(0))*(1-'Assumptions'!I42-(0))+'Assumptions'!I47-'Assumptions'!I52*(1)+'Assumptions'!I57-'Assumptions'!I62*(1)-'Assumptions'!I67-(0))+(('Forecast'!H12)*('Assumptions'!H67+(0))))*'DCF'!I12/(1+(C90))^'DCF'!I13)+('Forecast'!I12)*(1+('DCF'!$E$7))*('Terminal Value'!$E$10+(0))*(1-'Assumptions'!$E$15-(0))*(1-('DCF'!$E$7)/('Terminal Value'!$E$12))/((C90)-('DCF'!$E$7))/(1+(C90))^'DCF'!$E$19)+'Equity Bridge'!$E$17)/'Equity Bridge'!$E$20</x:f>
        <x:v>185.09726683231614</x:v>
      </x:c>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208" t="n">
        <x:f>$E$16+($E$17-$E$16)*4/8</x:f>
        <x:v>0.1655</x:v>
      </x:c>
      <x:c r="D91" s="145" t="n">
        <x:f>((SUM((('Forecast'!E12)*(('Assumptions'!E37+(0))*(1-'Assumptions'!E42-(0))+'Assumptions'!E47-'Assumptions'!E52*(1)+'Assumptions'!E57-'Assumptions'!E62*(1)-'Assumptions'!E67-(0))+('Working Capital'!$E$6))*'DCF'!E12/(1+(C91))^'DCF'!E13,(('Forecast'!F12)*(('Assumptions'!F37+(0))*(1-'Assumptions'!F42-(0))+'Assumptions'!F47-'Assumptions'!F52*(1)+'Assumptions'!F57-'Assumptions'!F62*(1)-'Assumptions'!F67-(0))+(('Forecast'!E12)*('Assumptions'!E67+(0))))*'DCF'!F12/(1+(C91))^'DCF'!F13,(('Forecast'!G12)*(('Assumptions'!G37+(0))*(1-'Assumptions'!G42-(0))+'Assumptions'!G47-'Assumptions'!G52*(1)+'Assumptions'!G57-'Assumptions'!G62*(1)-'Assumptions'!G67-(0))+(('Forecast'!F12)*('Assumptions'!F67+(0))))*'DCF'!G12/(1+(C91))^'DCF'!G13,(('Forecast'!H12)*(('Assumptions'!H37+(0))*(1-'Assumptions'!H42-(0))+'Assumptions'!H47-'Assumptions'!H52*(1)+'Assumptions'!H57-'Assumptions'!H62*(1)-'Assumptions'!H67-(0))+(('Forecast'!G12)*('Assumptions'!G67+(0))))*'DCF'!H12/(1+(C91))^'DCF'!H13,(('Forecast'!I12)*(('Assumptions'!I37+(0))*(1-'Assumptions'!I42-(0))+'Assumptions'!I47-'Assumptions'!I52*(1)+'Assumptions'!I57-'Assumptions'!I62*(1)-'Assumptions'!I67-(0))+(('Forecast'!H12)*('Assumptions'!H67+(0))))*'DCF'!I12/(1+(C91))^'DCF'!I13)+('Forecast'!I12)*(1+('DCF'!$E$7))*('Terminal Value'!$E$10+(0))*(1-'Assumptions'!$E$15-(0))*(1-('DCF'!$E$7)/('Terminal Value'!$E$12))/((C91)-('DCF'!$E$7))/(1+(C91))^'DCF'!$E$19)+'Equity Bridge'!$E$17)/'Equity Bridge'!$E$20</x:f>
        <x:v>134.99376176449817</x:v>
      </x:c>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208" t="n">
        <x:f>$E$16+($E$17-$E$16)*5/8</x:f>
        <x:v>0.19912500000000002</x:v>
      </x:c>
      <x:c r="D92" s="145" t="n">
        <x:f>((SUM((('Forecast'!E12)*(('Assumptions'!E37+(0))*(1-'Assumptions'!E42-(0))+'Assumptions'!E47-'Assumptions'!E52*(1)+'Assumptions'!E57-'Assumptions'!E62*(1)-'Assumptions'!E67-(0))+('Working Capital'!$E$6))*'DCF'!E12/(1+(C92))^'DCF'!E13,(('Forecast'!F12)*(('Assumptions'!F37+(0))*(1-'Assumptions'!F42-(0))+'Assumptions'!F47-'Assumptions'!F52*(1)+'Assumptions'!F57-'Assumptions'!F62*(1)-'Assumptions'!F67-(0))+(('Forecast'!E12)*('Assumptions'!E67+(0))))*'DCF'!F12/(1+(C92))^'DCF'!F13,(('Forecast'!G12)*(('Assumptions'!G37+(0))*(1-'Assumptions'!G42-(0))+'Assumptions'!G47-'Assumptions'!G52*(1)+'Assumptions'!G57-'Assumptions'!G62*(1)-'Assumptions'!G67-(0))+(('Forecast'!F12)*('Assumptions'!F67+(0))))*'DCF'!G12/(1+(C92))^'DCF'!G13,(('Forecast'!H12)*(('Assumptions'!H37+(0))*(1-'Assumptions'!H42-(0))+'Assumptions'!H47-'Assumptions'!H52*(1)+'Assumptions'!H57-'Assumptions'!H62*(1)-'Assumptions'!H67-(0))+(('Forecast'!G12)*('Assumptions'!G67+(0))))*'DCF'!H12/(1+(C92))^'DCF'!H13,(('Forecast'!I12)*(('Assumptions'!I37+(0))*(1-'Assumptions'!I42-(0))+'Assumptions'!I47-'Assumptions'!I52*(1)+'Assumptions'!I57-'Assumptions'!I62*(1)-'Assumptions'!I67-(0))+(('Forecast'!H12)*('Assumptions'!H67+(0))))*'DCF'!I12/(1+(C92))^'DCF'!I13)+('Forecast'!I12)*(1+('DCF'!$E$7))*('Terminal Value'!$E$10+(0))*(1-'Assumptions'!$E$15-(0))*(1-('DCF'!$E$7)/('Terminal Value'!$E$12))/((C92)-('DCF'!$E$7))/(1+(C92))^'DCF'!$E$19)+'Equity Bridge'!$E$17)/'Equity Bridge'!$E$20</x:f>
        <x:v>105.23915369740267</x:v>
      </x:c>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208" t="n">
        <x:f>$E$16+($E$17-$E$16)*6/8</x:f>
        <x:v>0.23275</x:v>
      </x:c>
      <x:c r="D93" s="145" t="n">
        <x:f>((SUM((('Forecast'!E12)*(('Assumptions'!E37+(0))*(1-'Assumptions'!E42-(0))+'Assumptions'!E47-'Assumptions'!E52*(1)+'Assumptions'!E57-'Assumptions'!E62*(1)-'Assumptions'!E67-(0))+('Working Capital'!$E$6))*'DCF'!E12/(1+(C93))^'DCF'!E13,(('Forecast'!F12)*(('Assumptions'!F37+(0))*(1-'Assumptions'!F42-(0))+'Assumptions'!F47-'Assumptions'!F52*(1)+'Assumptions'!F57-'Assumptions'!F62*(1)-'Assumptions'!F67-(0))+(('Forecast'!E12)*('Assumptions'!E67+(0))))*'DCF'!F12/(1+(C93))^'DCF'!F13,(('Forecast'!G12)*(('Assumptions'!G37+(0))*(1-'Assumptions'!G42-(0))+'Assumptions'!G47-'Assumptions'!G52*(1)+'Assumptions'!G57-'Assumptions'!G62*(1)-'Assumptions'!G67-(0))+(('Forecast'!F12)*('Assumptions'!F67+(0))))*'DCF'!G12/(1+(C93))^'DCF'!G13,(('Forecast'!H12)*(('Assumptions'!H37+(0))*(1-'Assumptions'!H42-(0))+'Assumptions'!H47-'Assumptions'!H52*(1)+'Assumptions'!H57-'Assumptions'!H62*(1)-'Assumptions'!H67-(0))+(('Forecast'!G12)*('Assumptions'!G67+(0))))*'DCF'!H12/(1+(C93))^'DCF'!H13,(('Forecast'!I12)*(('Assumptions'!I37+(0))*(1-'Assumptions'!I42-(0))+'Assumptions'!I47-'Assumptions'!I52*(1)+'Assumptions'!I57-'Assumptions'!I62*(1)-'Assumptions'!I67-(0))+(('Forecast'!H12)*('Assumptions'!H67+(0))))*'DCF'!I12/(1+(C93))^'DCF'!I13)+('Forecast'!I12)*(1+('DCF'!$E$7))*('Terminal Value'!$E$10+(0))*(1-'Assumptions'!$E$15-(0))*(1-('DCF'!$E$7)/('Terminal Value'!$E$12))/((C93)-('DCF'!$E$7))/(1+(C93))^'DCF'!$E$19)+'Equity Bridge'!$E$17)/'Equity Bridge'!$E$20</x:f>
        <x:v>85.64734512620336</x:v>
      </x:c>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208" t="n">
        <x:f>$E$16+($E$17-$E$16)*7/8</x:f>
        <x:v>0.26637500000000003</x:v>
      </x:c>
      <x:c r="D94" s="145" t="n">
        <x:f>((SUM((('Forecast'!E12)*(('Assumptions'!E37+(0))*(1-'Assumptions'!E42-(0))+'Assumptions'!E47-'Assumptions'!E52*(1)+'Assumptions'!E57-'Assumptions'!E62*(1)-'Assumptions'!E67-(0))+('Working Capital'!$E$6))*'DCF'!E12/(1+(C94))^'DCF'!E13,(('Forecast'!F12)*(('Assumptions'!F37+(0))*(1-'Assumptions'!F42-(0))+'Assumptions'!F47-'Assumptions'!F52*(1)+'Assumptions'!F57-'Assumptions'!F62*(1)-'Assumptions'!F67-(0))+(('Forecast'!E12)*('Assumptions'!E67+(0))))*'DCF'!F12/(1+(C94))^'DCF'!F13,(('Forecast'!G12)*(('Assumptions'!G37+(0))*(1-'Assumptions'!G42-(0))+'Assumptions'!G47-'Assumptions'!G52*(1)+'Assumptions'!G57-'Assumptions'!G62*(1)-'Assumptions'!G67-(0))+(('Forecast'!F12)*('Assumptions'!F67+(0))))*'DCF'!G12/(1+(C94))^'DCF'!G13,(('Forecast'!H12)*(('Assumptions'!H37+(0))*(1-'Assumptions'!H42-(0))+'Assumptions'!H47-'Assumptions'!H52*(1)+'Assumptions'!H57-'Assumptions'!H62*(1)-'Assumptions'!H67-(0))+(('Forecast'!G12)*('Assumptions'!G67+(0))))*'DCF'!H12/(1+(C94))^'DCF'!H13,(('Forecast'!I12)*(('Assumptions'!I37+(0))*(1-'Assumptions'!I42-(0))+'Assumptions'!I47-'Assumptions'!I52*(1)+'Assumptions'!I57-'Assumptions'!I62*(1)-'Assumptions'!I67-(0))+(('Forecast'!H12)*('Assumptions'!H67+(0))))*'DCF'!I12/(1+(C94))^'DCF'!I13)+('Forecast'!I12)*(1+('DCF'!$E$7))*('Terminal Value'!$E$10+(0))*(1-'Assumptions'!$E$15-(0))*(1-('DCF'!$E$7)/('Terminal Value'!$E$12))/((C94)-('DCF'!$E$7))/(1+(C94))^'DCF'!$E$19)+'Equity Bridge'!$E$17)/'Equity Bridge'!$E$20</x:f>
        <x:v>71.83911329028459</x:v>
      </x:c>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208" t="n">
        <x:f>$E$16+($E$17-$E$16)*8/8</x:f>
        <x:v>0.30000000000000004</x:v>
      </x:c>
      <x:c r="D95" s="145" t="n">
        <x:f>((SUM((('Forecast'!E12)*(('Assumptions'!E37+(0))*(1-'Assumptions'!E42-(0))+'Assumptions'!E47-'Assumptions'!E52*(1)+'Assumptions'!E57-'Assumptions'!E62*(1)-'Assumptions'!E67-(0))+('Working Capital'!$E$6))*'DCF'!E12/(1+(C95))^'DCF'!E13,(('Forecast'!F12)*(('Assumptions'!F37+(0))*(1-'Assumptions'!F42-(0))+'Assumptions'!F47-'Assumptions'!F52*(1)+'Assumptions'!F57-'Assumptions'!F62*(1)-'Assumptions'!F67-(0))+(('Forecast'!E12)*('Assumptions'!E67+(0))))*'DCF'!F12/(1+(C95))^'DCF'!F13,(('Forecast'!G12)*(('Assumptions'!G37+(0))*(1-'Assumptions'!G42-(0))+'Assumptions'!G47-'Assumptions'!G52*(1)+'Assumptions'!G57-'Assumptions'!G62*(1)-'Assumptions'!G67-(0))+(('Forecast'!F12)*('Assumptions'!F67+(0))))*'DCF'!G12/(1+(C95))^'DCF'!G13,(('Forecast'!H12)*(('Assumptions'!H37+(0))*(1-'Assumptions'!H42-(0))+'Assumptions'!H47-'Assumptions'!H52*(1)+'Assumptions'!H57-'Assumptions'!H62*(1)-'Assumptions'!H67-(0))+(('Forecast'!G12)*('Assumptions'!G67+(0))))*'DCF'!H12/(1+(C95))^'DCF'!H13,(('Forecast'!I12)*(('Assumptions'!I37+(0))*(1-'Assumptions'!I42-(0))+'Assumptions'!I47-'Assumptions'!I52*(1)+'Assumptions'!I57-'Assumptions'!I62*(1)-'Assumptions'!I67-(0))+(('Forecast'!H12)*('Assumptions'!H67+(0))))*'DCF'!I12/(1+(C95))^'DCF'!I13)+('Forecast'!I12)*(1+('DCF'!$E$7))*('Terminal Value'!$E$10+(0))*(1-'Assumptions'!$E$15-(0))*(1-('DCF'!$E$7)/('Terminal Value'!$E$12))/((C95)-('DCF'!$E$7))/(1+(C95))^'DCF'!$E$19)+'Equity Bridge'!$E$17)/'Equity Bridge'!$E$20</x:f>
        <x:v>61.624078610961206</x:v>
      </x:c>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24:L26"/>
    <x:mergeCell ref="C27:L29"/>
    <x:mergeCell ref="C30:L32"/>
  </x:mergeCells>
  <x:pageMargins left="0.7" right="0.7" top="0.75" bottom="0.75" header="0.3" footer="0.3"/>
  <x:drawing xmlns:r="http://schemas.openxmlformats.org/officeDocument/2006/relationships" r:id="R58dbaf1347d54343"/>
  <x:legacyDrawing xmlns:r="http://schemas.openxmlformats.org/officeDocument/2006/relationships" r:id="R7e9a91fa53c54b6c"/>
</x:worksheet>
</file>

<file path=xl/worksheets/sheet19.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Terminal g</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x:c r="D11" s="136"/>
      <x:c r="E11" s="136"/>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Required stable growth</x:v>
      </x:c>
      <x:c r="D12" s="139"/>
      <x:c r="E12" s="154" t="n">
        <x:f>IF(($E$20-$E$9)*($E$21-$E$9)&lt;=0,F81,"No bracket")</x:f>
        <x:v>0.07176903297964167</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Economically permitted?</x:v>
      </x:c>
      <x:c r="D14" s="136"/>
      <x:c r="E14" s="243" t="str">
        <x:f>IF(ISNUMBER(E12),IF(AND(E12&gt;=0,E12&lt;=0.05),"Inside 0% to 5% band","Outside long-run band"),"No solution")</x:f>
        <x:v>Outside long-run band</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9" t="str">
        <x:v>Lower solver bound</x:v>
      </x:c>
      <x:c r="D16" s="139"/>
      <x:c r="E16" s="247" t="n">
        <x:v>0</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9" t="str">
        <x:v>Upper solver bound</x:v>
      </x:c>
      <x:c r="D17" s="139"/>
      <x:c r="E17" s="154" t="n">
        <x:f>MIN('DCF'!E6,'Terminal Value'!E12)-0.001</x:f>
        <x:v>0.09714036929102632</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Final valuation residual</x:v>
      </x:c>
      <x:c r="D18" s="136"/>
      <x:c r="E18" s="191" t="n">
        <x:f>G81-E9</x:f>
        <x:v>0</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Value at lower solver bound</x:v>
      </x:c>
      <x:c r="D20" s="136"/>
      <x:c r="E20"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E$16))*('Terminal Value'!$E$10+(0))*(1-'Assumptions'!$E$15-(0))*(1-($E$16)/('Terminal Value'!$E$12))/(('DCF'!$E$6)-($E$16))/(1+('DCF'!$E$6))^'DCF'!$E$19)</x:f>
        <x:v>1793803.4273319102</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Value at upper solver bound</x:v>
      </x:c>
      <x:c r="D21" s="136"/>
      <x:c r="E21"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E$17))*('Terminal Value'!$E$10+(0))*(1-'Assumptions'!$E$15-(0))*(1-($E$17)/('Terminal Value'!$E$12))/(('DCF'!$E$6)-($E$17))/(1+('DCF'!$E$6))^'DCF'!$E$19)</x:f>
        <x:v>75619837.73553938</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67" t="str">
        <x:v>Selected case observations</x:v>
      </x:c>
      <x:c r="D23" s="170"/>
      <x:c r="E23" s="170"/>
      <x:c r="F23" s="170"/>
      <x:c r="G23" s="170"/>
      <x:c r="H23" s="170"/>
      <x:c r="I23" s="170"/>
      <x:c r="J23" s="170"/>
      <x:c r="K23" s="170"/>
      <x:c r="L23" s="173"/>
      <x:c r="M23" s="136"/>
      <x:c r="N23" s="136"/>
      <x:c r="O23" s="136"/>
      <x:c r="P23" s="136"/>
      <x:c r="Q23" s="136"/>
      <x:c r="R23" s="136"/>
      <x:c r="S23" s="136"/>
      <x:c r="T23" s="136"/>
      <x:c r="U23" s="136"/>
      <x:c r="V23" s="136"/>
      <x:c r="W23" s="136"/>
      <x:c r="X23" s="136"/>
      <x:c r="Y23" s="136"/>
      <x:c r="Z23" s="136"/>
    </x:row>
    <x:row r="24" ht="24" customHeight="1">
      <x:c r="A24" s="136"/>
      <x:c r="B24" s="136"/>
      <x:c r="C24" s="174" t="str">
        <x:f>IF(ISNUMBER(E12),"Required stable growth is "&amp;ROUND(E12*100,3)&amp;"%. ","No numeric root within solver bounds. ")&amp;"Stable growth varies both normalized revenue and the reinvestment fraction g/ROIC. The displayed long-run analyst band is 0% to 5%. Growth above nominal risk-free rates deserves further scrutiny."</x:f>
        <x:v>Required stable growth is 7.177%. Stable growth varies both normalized revenue and the reinvestment fraction g/ROIC. The displayed long-run analyst band is 0% to 5%. Growth above nominal risk-free rates deserves further scrutiny.</x:v>
      </x:c>
      <x:c r="D24" s="174"/>
      <x:c r="E24" s="174"/>
      <x:c r="F24" s="174"/>
      <x:c r="G24" s="174"/>
      <x:c r="H24" s="174"/>
      <x:c r="I24" s="174"/>
      <x:c r="J24" s="174"/>
      <x:c r="K24" s="174"/>
      <x:c r="L24" s="174"/>
      <x:c r="M24" s="136"/>
      <x:c r="N24" s="136"/>
      <x:c r="O24" s="136"/>
      <x:c r="P24" s="136"/>
      <x:c r="Q24" s="136"/>
      <x:c r="R24" s="136"/>
      <x:c r="S24" s="136"/>
      <x:c r="T24" s="136"/>
      <x:c r="U24" s="136"/>
      <x:c r="V24" s="136"/>
      <x:c r="W24" s="136"/>
      <x:c r="X24" s="136"/>
      <x:c r="Y24" s="136"/>
      <x:c r="Z24" s="136"/>
    </x:row>
    <x:row r="25" ht="24" customHeight="1">
      <x:c r="A25" s="136"/>
      <x:c r="B25" s="136"/>
      <x:c r="C25" s="174"/>
      <x:c r="D25" s="174"/>
      <x:c r="E25" s="174"/>
      <x:c r="F25" s="174"/>
      <x:c r="G25" s="174"/>
      <x:c r="H25" s="174"/>
      <x:c r="I25" s="174"/>
      <x:c r="J25" s="174"/>
      <x:c r="K25" s="174"/>
      <x:c r="L25" s="174"/>
      <x:c r="M25" s="136"/>
      <x:c r="N25" s="136"/>
      <x:c r="O25" s="136"/>
      <x:c r="P25" s="136"/>
      <x:c r="Q25" s="136"/>
      <x:c r="R25" s="136"/>
      <x:c r="S25" s="136"/>
      <x:c r="T25" s="136"/>
      <x:c r="U25" s="136"/>
      <x:c r="V25" s="136"/>
      <x:c r="W25" s="136"/>
      <x:c r="X25" s="136"/>
      <x:c r="Y25" s="136"/>
      <x:c r="Z25" s="136"/>
    </x:row>
    <x:row r="26" ht="24" customHeight="1">
      <x:c r="A26" s="136"/>
      <x:c r="B26" s="136"/>
      <x:c r="C26" s="174"/>
      <x:c r="D26" s="174"/>
      <x:c r="E26" s="174"/>
      <x:c r="F26" s="174"/>
      <x:c r="G26" s="174"/>
      <x:c r="H26" s="174"/>
      <x:c r="I26" s="174"/>
      <x:c r="J26" s="174"/>
      <x:c r="K26" s="174"/>
      <x:c r="L26" s="174"/>
      <x:c r="M26" s="136"/>
      <x:c r="N26" s="136"/>
      <x:c r="O26" s="136"/>
      <x:c r="P26" s="136"/>
      <x:c r="Q26" s="136"/>
      <x:c r="R26" s="136"/>
      <x:c r="S26" s="136"/>
      <x:c r="T26" s="136"/>
      <x:c r="U26" s="136"/>
      <x:c r="V26" s="136"/>
      <x:c r="W26" s="136"/>
      <x:c r="X26" s="136"/>
      <x:c r="Y26" s="136"/>
      <x:c r="Z26" s="136"/>
    </x:row>
    <x:row r="27" ht="24" customHeight="1">
      <x:c r="A27" s="136"/>
      <x:c r="B27" s="136"/>
      <x:c r="C27" s="174" t="str">
        <x:v>The selected fiscal operating margins, tax, D&amp;A, capital spending and NWC ratios stay fixed unless this sheet explicitly varies them. The stable ROIC and equity bridge stay fixed.</x:v>
      </x:c>
      <x:c r="D27" s="174"/>
      <x:c r="E27" s="174"/>
      <x:c r="F27" s="174"/>
      <x:c r="G27" s="174"/>
      <x:c r="H27" s="174"/>
      <x:c r="I27" s="174"/>
      <x:c r="J27" s="174"/>
      <x:c r="K27" s="174"/>
      <x:c r="L27" s="174"/>
      <x:c r="M27" s="136"/>
      <x:c r="N27" s="136"/>
      <x:c r="O27" s="136"/>
      <x:c r="P27" s="136"/>
      <x:c r="Q27" s="136"/>
      <x:c r="R27" s="136"/>
      <x:c r="S27" s="136"/>
      <x:c r="T27" s="136"/>
      <x:c r="U27" s="136"/>
      <x:c r="V27" s="136"/>
      <x:c r="W27" s="136"/>
      <x:c r="X27" s="136"/>
      <x:c r="Y27" s="136"/>
      <x:c r="Z27" s="136"/>
    </x:row>
    <x:row r="28" ht="24" customHeight="1">
      <x:c r="A28" s="136"/>
      <x:c r="B28" s="136"/>
      <x:c r="C28" s="174"/>
      <x:c r="D28" s="174"/>
      <x:c r="E28" s="174"/>
      <x:c r="F28" s="174"/>
      <x:c r="G28" s="174"/>
      <x:c r="H28" s="174"/>
      <x:c r="I28" s="174"/>
      <x:c r="J28" s="174"/>
      <x:c r="K28" s="174"/>
      <x:c r="L28" s="174"/>
      <x:c r="M28" s="136"/>
      <x:c r="N28" s="136"/>
      <x:c r="O28" s="136"/>
      <x:c r="P28" s="136"/>
      <x:c r="Q28" s="136"/>
      <x:c r="R28" s="136"/>
      <x:c r="S28" s="136"/>
      <x:c r="T28" s="136"/>
      <x:c r="U28" s="136"/>
      <x:c r="V28" s="136"/>
      <x:c r="W28" s="136"/>
      <x:c r="X28" s="136"/>
      <x:c r="Y28" s="136"/>
      <x:c r="Z28" s="136"/>
    </x:row>
    <x:row r="29" ht="24" customHeight="1">
      <x:c r="A29" s="136"/>
      <x:c r="B29" s="136"/>
      <x:c r="C29" s="174"/>
      <x:c r="D29" s="174"/>
      <x:c r="E29" s="174"/>
      <x:c r="F29" s="174"/>
      <x:c r="G29" s="174"/>
      <x:c r="H29" s="174"/>
      <x:c r="I29" s="174"/>
      <x:c r="J29" s="174"/>
      <x:c r="K29" s="174"/>
      <x:c r="L29" s="174"/>
      <x:c r="M29" s="136"/>
      <x:c r="N29" s="136"/>
      <x:c r="O29" s="136"/>
      <x:c r="P29" s="136"/>
      <x:c r="Q29" s="136"/>
      <x:c r="R29" s="136"/>
      <x:c r="S29" s="136"/>
      <x:c r="T29" s="136"/>
      <x:c r="U29" s="136"/>
      <x:c r="V29" s="136"/>
      <x:c r="W29" s="136"/>
      <x:c r="X29" s="136"/>
      <x:c r="Y29" s="136"/>
      <x:c r="Z29" s="136"/>
    </x:row>
    <x:row r="30" ht="24" customHeight="1">
      <x:c r="A30" s="136"/>
      <x:c r="B30" s="136"/>
      <x:c r="C30" s="174" t="str">
        <x:v>The solver table is formula driven and recalculates after case or input changes. Bracket validity is checked before reporting a root. Mathematical solutions outside operating bounds are identified explicitly.</x:v>
      </x:c>
      <x:c r="D30" s="174"/>
      <x:c r="E30" s="174"/>
      <x:c r="F30" s="174"/>
      <x:c r="G30" s="174"/>
      <x:c r="H30" s="174"/>
      <x:c r="I30" s="174"/>
      <x:c r="J30" s="174"/>
      <x:c r="K30" s="174"/>
      <x:c r="L30" s="174"/>
      <x:c r="M30" s="136"/>
      <x:c r="N30" s="136"/>
      <x:c r="O30" s="136"/>
      <x:c r="P30" s="136"/>
      <x:c r="Q30" s="136"/>
      <x:c r="R30" s="136"/>
      <x:c r="S30" s="136"/>
      <x:c r="T30" s="136"/>
      <x:c r="U30" s="136"/>
      <x:c r="V30" s="136"/>
      <x:c r="W30" s="136"/>
      <x:c r="X30" s="136"/>
      <x:c r="Y30" s="136"/>
      <x:c r="Z30" s="136"/>
    </x:row>
    <x:row r="31" ht="24" customHeight="1">
      <x:c r="A31" s="136"/>
      <x:c r="B31" s="136"/>
      <x:c r="C31" s="174"/>
      <x:c r="D31" s="174"/>
      <x:c r="E31" s="174"/>
      <x:c r="F31" s="174"/>
      <x:c r="G31" s="174"/>
      <x:c r="H31" s="174"/>
      <x:c r="I31" s="174"/>
      <x:c r="J31" s="174"/>
      <x:c r="K31" s="174"/>
      <x:c r="L31" s="174"/>
      <x:c r="M31" s="136"/>
      <x:c r="N31" s="136"/>
      <x:c r="O31" s="136"/>
      <x:c r="P31" s="136"/>
      <x:c r="Q31" s="136"/>
      <x:c r="R31" s="136"/>
      <x:c r="S31" s="136"/>
      <x:c r="T31" s="136"/>
      <x:c r="U31" s="136"/>
      <x:c r="V31" s="136"/>
      <x:c r="W31" s="136"/>
      <x:c r="X31" s="136"/>
      <x:c r="Y31" s="136"/>
      <x:c r="Z31" s="136"/>
    </x:row>
    <x:row r="32" ht="24" customHeight="1">
      <x:c r="A32" s="136"/>
      <x:c r="B32" s="136"/>
      <x:c r="C32" s="174"/>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56" t="str">
        <x:v>Step</x:v>
      </x:c>
      <x:c r="D33" s="158" t="str">
        <x:v>Lower bound</x:v>
      </x:c>
      <x:c r="E33" s="158" t="str">
        <x:v>Upper bound</x:v>
      </x:c>
      <x:c r="F33" s="158" t="str">
        <x:v>Midpoint</x:v>
      </x:c>
      <x:c r="G33" s="158" t="str">
        <x:v>Enterprise value</x:v>
      </x:c>
      <x:c r="H33" s="160" t="str">
        <x:v>Value residual</x:v>
      </x:c>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81" t="n">
        <x:v>1</x:v>
      </x:c>
      <x:c r="D34" s="208" t="n">
        <x:f>$E$16</x:f>
        <x:v>0</x:v>
      </x:c>
      <x:c r="E34" s="208" t="n">
        <x:f>$E$17</x:f>
        <x:v>0.09714036929102632</x:v>
      </x:c>
      <x:c r="F34" s="208" t="n">
        <x:f>(D34+E34)/2</x:f>
        <x:v>0.04857018464551316</x:v>
      </x:c>
      <x:c r="G34"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34))*('Terminal Value'!$E$10+(0))*(1-'Assumptions'!$E$15-(0))*(1-(F34)/('Terminal Value'!$E$12))/(('DCF'!$E$6)-(F34))/(1+('DCF'!$E$6))^'DCF'!$E$19)</x:f>
        <x:v>2570170.685029329</x:v>
      </x:c>
      <x:c r="H34" s="164" t="n">
        <x:f>G34-$E$9</x:f>
        <x:v>-1337939.2840221813</x:v>
      </x:c>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81" t="n">
        <x:v>2</x:v>
      </x:c>
      <x:c r="D35" s="208" t="n">
        <x:f>IF(G34&lt;$E$9,F34,D34)</x:f>
        <x:v>0.04857018464551316</x:v>
      </x:c>
      <x:c r="E35" s="208" t="n">
        <x:f>IF(G34&lt;$E$9,E34,F34)</x:f>
        <x:v>0.09714036929102632</x:v>
      </x:c>
      <x:c r="F35" s="208" t="n">
        <x:f>(D35+E35)/2</x:f>
        <x:v>0.07285527696826974</x:v>
      </x:c>
      <x:c r="G35"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35))*('Terminal Value'!$E$10+(0))*(1-'Assumptions'!$E$15-(0))*(1-(F35)/('Terminal Value'!$E$12))/(('DCF'!$E$6)-(F35))/(1+('DCF'!$E$6))^'DCF'!$E$19)</x:f>
        <x:v>4030230.4643128356</x:v>
      </x:c>
      <x:c r="H35" s="164" t="n">
        <x:f>G35-$E$9</x:f>
        <x:v>122120.4952613255</x:v>
      </x:c>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81" t="n">
        <x:v>3</x:v>
      </x:c>
      <x:c r="D36" s="208" t="n">
        <x:f>IF(G35&lt;$E$9,F35,D35)</x:f>
        <x:v>0.04857018464551316</x:v>
      </x:c>
      <x:c r="E36" s="208" t="n">
        <x:f>IF(G35&lt;$E$9,E35,F35)</x:f>
        <x:v>0.07285527696826974</x:v>
      </x:c>
      <x:c r="F36" s="208" t="n">
        <x:f>(D36+E36)/2</x:f>
        <x:v>0.06071273080689145</x:v>
      </x:c>
      <x:c r="G36"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36))*('Terminal Value'!$E$10+(0))*(1-'Assumptions'!$E$15-(0))*(1-(F36)/('Terminal Value'!$E$12))/(('DCF'!$E$6)-(F36))/(1+('DCF'!$E$6))^'DCF'!$E$19)</x:f>
        <x:v>3065983.4615553627</x:v>
      </x:c>
      <x:c r="H36" s="164" t="n">
        <x:f>G36-$E$9</x:f>
        <x:v>-842126.5074961474</x:v>
      </x:c>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81" t="n">
        <x:v>4</x:v>
      </x:c>
      <x:c r="D37" s="208" t="n">
        <x:f>IF(G36&lt;$E$9,F36,D36)</x:f>
        <x:v>0.06071273080689145</x:v>
      </x:c>
      <x:c r="E37" s="208" t="n">
        <x:f>IF(G36&lt;$E$9,E36,F36)</x:f>
        <x:v>0.07285527696826974</x:v>
      </x:c>
      <x:c r="F37" s="208" t="n">
        <x:f>(D37+E37)/2</x:f>
        <x:v>0.0667840038875806</x:v>
      </x:c>
      <x:c r="G37"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37))*('Terminal Value'!$E$10+(0))*(1-'Assumptions'!$E$15-(0))*(1-(F37)/('Terminal Value'!$E$12))/(('DCF'!$E$6)-(F37))/(1+('DCF'!$E$6))^'DCF'!$E$19)</x:f>
        <x:v>3455540.5462360606</x:v>
      </x:c>
      <x:c r="H37" s="164" t="n">
        <x:f>G37-$E$9</x:f>
        <x:v>-452569.42281544954</x:v>
      </x:c>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81" t="n">
        <x:v>5</x:v>
      </x:c>
      <x:c r="D38" s="208" t="n">
        <x:f>IF(G37&lt;$E$9,F37,D37)</x:f>
        <x:v>0.0667840038875806</x:v>
      </x:c>
      <x:c r="E38" s="208" t="n">
        <x:f>IF(G37&lt;$E$9,E37,F37)</x:f>
        <x:v>0.07285527696826974</x:v>
      </x:c>
      <x:c r="F38" s="208" t="n">
        <x:f>(D38+E38)/2</x:f>
        <x:v>0.06981964042792517</x:v>
      </x:c>
      <x:c r="G38"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38))*('Terminal Value'!$E$10+(0))*(1-'Assumptions'!$E$15-(0))*(1-(F38)/('Terminal Value'!$E$12))/(('DCF'!$E$6)-(F38))/(1+('DCF'!$E$6))^'DCF'!$E$19)</x:f>
        <x:v>3712302.408378415</x:v>
      </x:c>
      <x:c r="H38" s="164" t="n">
        <x:f>G38-$E$9</x:f>
        <x:v>-195807.5606730953</x:v>
      </x:c>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81" t="n">
        <x:v>6</x:v>
      </x:c>
      <x:c r="D39" s="208" t="n">
        <x:f>IF(G38&lt;$E$9,F38,D38)</x:f>
        <x:v>0.06981964042792517</x:v>
      </x:c>
      <x:c r="E39" s="208" t="n">
        <x:f>IF(G38&lt;$E$9,E38,F38)</x:f>
        <x:v>0.07285527696826974</x:v>
      </x:c>
      <x:c r="F39" s="208" t="n">
        <x:f>(D39+E39)/2</x:f>
        <x:v>0.07133745869809746</x:v>
      </x:c>
      <x:c r="G39"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39))*('Terminal Value'!$E$10+(0))*(1-'Assumptions'!$E$15-(0))*(1-(F39)/('Terminal Value'!$E$12))/(('DCF'!$E$6)-(F39))/(1+('DCF'!$E$6))^'DCF'!$E$19)</x:f>
        <x:v>3862321.747688437</x:v>
      </x:c>
      <x:c r="H39" s="164" t="n">
        <x:f>G39-$E$9</x:f>
        <x:v>-45788.221363073215</x:v>
      </x:c>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81" t="n">
        <x:v>7</x:v>
      </x:c>
      <x:c r="D40" s="208" t="n">
        <x:f>IF(G39&lt;$E$9,F39,D39)</x:f>
        <x:v>0.07133745869809746</x:v>
      </x:c>
      <x:c r="E40" s="208" t="n">
        <x:f>IF(G39&lt;$E$9,E39,F39)</x:f>
        <x:v>0.07285527696826974</x:v>
      </x:c>
      <x:c r="F40" s="208" t="n">
        <x:f>(D40+E40)/2</x:f>
        <x:v>0.0720963678331836</x:v>
      </x:c>
      <x:c r="G40"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40))*('Terminal Value'!$E$10+(0))*(1-'Assumptions'!$E$15-(0))*(1-(F40)/('Terminal Value'!$E$12))/(('DCF'!$E$6)-(F40))/(1+('DCF'!$E$6))^'DCF'!$E$19)</x:f>
        <x:v>3943844.4510316867</x:v>
      </x:c>
      <x:c r="H40" s="164" t="n">
        <x:f>G40-$E$9</x:f>
        <x:v>35734.48198017664</x:v>
      </x:c>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81" t="n">
        <x:v>8</x:v>
      </x:c>
      <x:c r="D41" s="208" t="n">
        <x:f>IF(G40&lt;$E$9,F40,D40)</x:f>
        <x:v>0.07133745869809746</x:v>
      </x:c>
      <x:c r="E41" s="208" t="n">
        <x:f>IF(G40&lt;$E$9,E40,F40)</x:f>
        <x:v>0.0720963678331836</x:v>
      </x:c>
      <x:c r="F41" s="208" t="n">
        <x:f>(D41+E41)/2</x:f>
        <x:v>0.07171691326564053</x:v>
      </x:c>
      <x:c r="G41"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41))*('Terminal Value'!$E$10+(0))*(1-'Assumptions'!$E$15-(0))*(1-(F41)/('Terminal Value'!$E$12))/(('DCF'!$E$6)-(F41))/(1+('DCF'!$E$6))^'DCF'!$E$19)</x:f>
        <x:v>3902501.375490105</x:v>
      </x:c>
      <x:c r="H41" s="164" t="n">
        <x:f>G41-$E$9</x:f>
        <x:v>-5608.593561405316</x:v>
      </x:c>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81" t="n">
        <x:v>9</x:v>
      </x:c>
      <x:c r="D42" s="208" t="n">
        <x:f>IF(G41&lt;$E$9,F41,D41)</x:f>
        <x:v>0.07171691326564053</x:v>
      </x:c>
      <x:c r="E42" s="208" t="n">
        <x:f>IF(G41&lt;$E$9,E41,F41)</x:f>
        <x:v>0.0720963678331836</x:v>
      </x:c>
      <x:c r="F42" s="208" t="n">
        <x:f>(D42+E42)/2</x:f>
        <x:v>0.07190664054941207</x:v>
      </x:c>
      <x:c r="G42"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42))*('Terminal Value'!$E$10+(0))*(1-'Assumptions'!$E$15-(0))*(1-(F42)/('Terminal Value'!$E$12))/(('DCF'!$E$6)-(F42))/(1+('DCF'!$E$6))^'DCF'!$E$19)</x:f>
        <x:v>3923024.3269406864</x:v>
      </x:c>
      <x:c r="H42" s="164" t="n">
        <x:f>G42-$E$9</x:f>
        <x:v>14914.357889176346</x:v>
      </x:c>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81" t="n">
        <x:v>10</x:v>
      </x:c>
      <x:c r="D43" s="208" t="n">
        <x:f>IF(G42&lt;$E$9,F42,D42)</x:f>
        <x:v>0.07171691326564053</x:v>
      </x:c>
      <x:c r="E43" s="208" t="n">
        <x:f>IF(G42&lt;$E$9,E42,F42)</x:f>
        <x:v>0.07190664054941207</x:v>
      </x:c>
      <x:c r="F43" s="208" t="n">
        <x:f>(D43+E43)/2</x:f>
        <x:v>0.0718117769075263</x:v>
      </x:c>
      <x:c r="G43"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43))*('Terminal Value'!$E$10+(0))*(1-'Assumptions'!$E$15-(0))*(1-(F43)/('Terminal Value'!$E$12))/(('DCF'!$E$6)-(F43))/(1+('DCF'!$E$6))^'DCF'!$E$19)</x:f>
        <x:v>3912726.1061600223</x:v>
      </x:c>
      <x:c r="H43" s="164" t="n">
        <x:f>G43-$E$9</x:f>
        <x:v>4616.137108512223</x:v>
      </x:c>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81" t="n">
        <x:v>11</x:v>
      </x:c>
      <x:c r="D44" s="208" t="n">
        <x:f>IF(G43&lt;$E$9,F43,D43)</x:f>
        <x:v>0.07171691326564053</x:v>
      </x:c>
      <x:c r="E44" s="208" t="n">
        <x:f>IF(G43&lt;$E$9,E43,F43)</x:f>
        <x:v>0.0718117769075263</x:v>
      </x:c>
      <x:c r="F44" s="208" t="n">
        <x:f>(D44+E44)/2</x:f>
        <x:v>0.07176434508658341</x:v>
      </x:c>
      <x:c r="G44"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44))*('Terminal Value'!$E$10+(0))*(1-'Assumptions'!$E$15-(0))*(1-(F44)/('Terminal Value'!$E$12))/(('DCF'!$E$6)-(F44))/(1+('DCF'!$E$6))^'DCF'!$E$19)</x:f>
        <x:v>3907604.604120003</x:v>
      </x:c>
      <x:c r="H44" s="164" t="n">
        <x:f>G44-$E$9</x:f>
        <x:v>-505.3649315070361</x:v>
      </x:c>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81" t="n">
        <x:v>12</x:v>
      </x:c>
      <x:c r="D45" s="208" t="n">
        <x:f>IF(G44&lt;$E$9,F44,D44)</x:f>
        <x:v>0.07176434508658341</x:v>
      </x:c>
      <x:c r="E45" s="208" t="n">
        <x:f>IF(G44&lt;$E$9,E44,F44)</x:f>
        <x:v>0.0718117769075263</x:v>
      </x:c>
      <x:c r="F45" s="208" t="n">
        <x:f>(D45+E45)/2</x:f>
        <x:v>0.07178806099705486</x:v>
      </x:c>
      <x:c r="G45"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45))*('Terminal Value'!$E$10+(0))*(1-'Assumptions'!$E$15-(0))*(1-(F45)/('Terminal Value'!$E$12))/(('DCF'!$E$6)-(F45))/(1+('DCF'!$E$6))^'DCF'!$E$19)</x:f>
        <x:v>3910163.0647967765</x:v>
      </x:c>
      <x:c r="H45" s="164" t="n">
        <x:f>G45-$E$9</x:f>
        <x:v>2053.095745266415</x:v>
      </x:c>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81" t="n">
        <x:v>13</x:v>
      </x:c>
      <x:c r="D46" s="208" t="n">
        <x:f>IF(G45&lt;$E$9,F45,D45)</x:f>
        <x:v>0.07176434508658341</x:v>
      </x:c>
      <x:c r="E46" s="208" t="n">
        <x:f>IF(G45&lt;$E$9,E45,F45)</x:f>
        <x:v>0.07178806099705486</x:v>
      </x:c>
      <x:c r="F46" s="208" t="n">
        <x:f>(D46+E46)/2</x:f>
        <x:v>0.07177620304181914</x:v>
      </x:c>
      <x:c r="G46"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46))*('Terminal Value'!$E$10+(0))*(1-'Assumptions'!$E$15-(0))*(1-(F46)/('Terminal Value'!$E$12))/(('DCF'!$E$6)-(F46))/(1+('DCF'!$E$6))^'DCF'!$E$19)</x:f>
        <x:v>3908883.262645186</x:v>
      </x:c>
      <x:c r="H46" s="164" t="n">
        <x:f>G46-$E$9</x:f>
        <x:v>773.2935936758295</x:v>
      </x:c>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81" t="n">
        <x:v>14</x:v>
      </x:c>
      <x:c r="D47" s="208" t="n">
        <x:f>IF(G46&lt;$E$9,F46,D46)</x:f>
        <x:v>0.07176434508658341</x:v>
      </x:c>
      <x:c r="E47" s="208" t="n">
        <x:f>IF(G46&lt;$E$9,E46,F46)</x:f>
        <x:v>0.07177620304181914</x:v>
      </x:c>
      <x:c r="F47" s="208" t="n">
        <x:f>(D47+E47)/2</x:f>
        <x:v>0.07177027406420128</x:v>
      </x:c>
      <x:c r="G47"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47))*('Terminal Value'!$E$10+(0))*(1-'Assumptions'!$E$15-(0))*(1-(F47)/('Terminal Value'!$E$12))/(('DCF'!$E$6)-(F47))/(1+('DCF'!$E$6))^'DCF'!$E$19)</x:f>
        <x:v>3908243.7905257177</x:v>
      </x:c>
      <x:c r="H47" s="164" t="n">
        <x:f>G47-$E$9</x:f>
        <x:v>133.8214742075652</x:v>
      </x:c>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81" t="n">
        <x:v>15</x:v>
      </x:c>
      <x:c r="D48" s="208" t="n">
        <x:f>IF(G47&lt;$E$9,F47,D47)</x:f>
        <x:v>0.07176434508658341</x:v>
      </x:c>
      <x:c r="E48" s="208" t="n">
        <x:f>IF(G47&lt;$E$9,E47,F47)</x:f>
        <x:v>0.07177027406420128</x:v>
      </x:c>
      <x:c r="F48" s="208" t="n">
        <x:f>(D48+E48)/2</x:f>
        <x:v>0.07176730957539235</x:v>
      </x:c>
      <x:c r="G48"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48))*('Terminal Value'!$E$10+(0))*(1-'Assumptions'!$E$15-(0))*(1-(F48)/('Terminal Value'!$E$12))/(('DCF'!$E$6)-(F48))/(1+('DCF'!$E$6))^'DCF'!$E$19)</x:f>
        <x:v>3907924.161620684</x:v>
      </x:c>
      <x:c r="H48" s="164" t="n">
        <x:f>G48-$E$9</x:f>
        <x:v>-185.80743082612753</x:v>
      </x:c>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81" t="n">
        <x:v>16</x:v>
      </x:c>
      <x:c r="D49" s="208" t="n">
        <x:f>IF(G48&lt;$E$9,F48,D48)</x:f>
        <x:v>0.07176730957539235</x:v>
      </x:c>
      <x:c r="E49" s="208" t="n">
        <x:f>IF(G48&lt;$E$9,E48,F48)</x:f>
        <x:v>0.07177027406420128</x:v>
      </x:c>
      <x:c r="F49" s="208" t="n">
        <x:f>(D49+E49)/2</x:f>
        <x:v>0.07176879181979681</x:v>
      </x:c>
      <x:c r="G49"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49))*('Terminal Value'!$E$10+(0))*(1-'Assumptions'!$E$15-(0))*(1-(F49)/('Terminal Value'!$E$12))/(('DCF'!$E$6)-(F49))/(1+('DCF'!$E$6))^'DCF'!$E$19)</x:f>
        <x:v>3908083.9671461517</x:v>
      </x:c>
      <x:c r="H49" s="164" t="n">
        <x:f>G49-$E$9</x:f>
        <x:v>-26.00190535839647</x:v>
      </x:c>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81" t="n">
        <x:v>17</x:v>
      </x:c>
      <x:c r="D50" s="208" t="n">
        <x:f>IF(G49&lt;$E$9,F49,D49)</x:f>
        <x:v>0.07176879181979681</x:v>
      </x:c>
      <x:c r="E50" s="208" t="n">
        <x:f>IF(G49&lt;$E$9,E49,F49)</x:f>
        <x:v>0.07177027406420128</x:v>
      </x:c>
      <x:c r="F50" s="208" t="n">
        <x:f>(D50+E50)/2</x:f>
        <x:v>0.07176953294199905</x:v>
      </x:c>
      <x:c r="G50"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50))*('Terminal Value'!$E$10+(0))*(1-'Assumptions'!$E$15-(0))*(1-(F50)/('Terminal Value'!$E$12))/(('DCF'!$E$6)-(F50))/(1+('DCF'!$E$6))^'DCF'!$E$19)</x:f>
        <x:v>3908163.8766039833</x:v>
      </x:c>
      <x:c r="H50" s="164" t="n">
        <x:f>G50-$E$9</x:f>
        <x:v>53.90755247324705</x:v>
      </x:c>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81" t="n">
        <x:v>18</x:v>
      </x:c>
      <x:c r="D51" s="208" t="n">
        <x:f>IF(G50&lt;$E$9,F50,D50)</x:f>
        <x:v>0.07176879181979681</x:v>
      </x:c>
      <x:c r="E51" s="208" t="n">
        <x:f>IF(G50&lt;$E$9,E50,F50)</x:f>
        <x:v>0.07176953294199905</x:v>
      </x:c>
      <x:c r="F51" s="208" t="n">
        <x:f>(D51+E51)/2</x:f>
        <x:v>0.07176916238089792</x:v>
      </x:c>
      <x:c r="G51"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51))*('Terminal Value'!$E$10+(0))*(1-'Assumptions'!$E$15-(0))*(1-(F51)/('Terminal Value'!$E$12))/(('DCF'!$E$6)-(F51))/(1+('DCF'!$E$6))^'DCF'!$E$19)</x:f>
        <x:v>3908123.9213171024</x:v>
      </x:c>
      <x:c r="H51" s="164" t="n">
        <x:f>G51-$E$9</x:f>
        <x:v>13.952265592291951</x:v>
      </x:c>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81" t="n">
        <x:v>19</x:v>
      </x:c>
      <x:c r="D52" s="208" t="n">
        <x:f>IF(G51&lt;$E$9,F51,D51)</x:f>
        <x:v>0.07176879181979681</x:v>
      </x:c>
      <x:c r="E52" s="208" t="n">
        <x:f>IF(G51&lt;$E$9,E51,F51)</x:f>
        <x:v>0.07176916238089792</x:v>
      </x:c>
      <x:c r="F52" s="208" t="n">
        <x:f>(D52+E52)/2</x:f>
        <x:v>0.07176897710034737</x:v>
      </x:c>
      <x:c r="G52"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52))*('Terminal Value'!$E$10+(0))*(1-'Assumptions'!$E$15-(0))*(1-(F52)/('Terminal Value'!$E$12))/(('DCF'!$E$6)-(F52))/(1+('DCF'!$E$6))^'DCF'!$E$19)</x:f>
        <x:v>3908103.9440921387</x:v>
      </x:c>
      <x:c r="H52" s="164" t="n">
        <x:f>G52-$E$9</x:f>
        <x:v>-6.024959371425211</x:v>
      </x:c>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81" t="n">
        <x:v>20</x:v>
      </x:c>
      <x:c r="D53" s="208" t="n">
        <x:f>IF(G52&lt;$E$9,F52,D52)</x:f>
        <x:v>0.07176897710034737</x:v>
      </x:c>
      <x:c r="E53" s="208" t="n">
        <x:f>IF(G52&lt;$E$9,E52,F52)</x:f>
        <x:v>0.07176916238089792</x:v>
      </x:c>
      <x:c r="F53" s="208" t="n">
        <x:f>(D53+E53)/2</x:f>
        <x:v>0.07176906974062264</x:v>
      </x:c>
      <x:c r="G53"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53))*('Terminal Value'!$E$10+(0))*(1-'Assumptions'!$E$15-(0))*(1-(F53)/('Terminal Value'!$E$12))/(('DCF'!$E$6)-(F53))/(1+('DCF'!$E$6))^'DCF'!$E$19)</x:f>
        <x:v>3908113.9326697476</x:v>
      </x:c>
      <x:c r="H53" s="164" t="n">
        <x:f>G53-$E$9</x:f>
        <x:v>3.9636182375252247</x:v>
      </x:c>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81" t="n">
        <x:v>21</x:v>
      </x:c>
      <x:c r="D54" s="208" t="n">
        <x:f>IF(G53&lt;$E$9,F53,D53)</x:f>
        <x:v>0.07176897710034737</x:v>
      </x:c>
      <x:c r="E54" s="208" t="n">
        <x:f>IF(G53&lt;$E$9,E53,F53)</x:f>
        <x:v>0.07176906974062264</x:v>
      </x:c>
      <x:c r="F54" s="208" t="n">
        <x:f>(D54+E54)/2</x:f>
        <x:v>0.071769023420485</x:v>
      </x:c>
      <x:c r="G54"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54))*('Terminal Value'!$E$10+(0))*(1-'Assumptions'!$E$15-(0))*(1-(F54)/('Terminal Value'!$E$12))/(('DCF'!$E$6)-(F54))/(1+('DCF'!$E$6))^'DCF'!$E$19)</x:f>
        <x:v>3908108.9383722246</x:v>
      </x:c>
      <x:c r="H54" s="164" t="n">
        <x:f>G54-$E$9</x:f>
        <x:v>-1.0306792855262756</x:v>
      </x:c>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81" t="n">
        <x:v>22</x:v>
      </x:c>
      <x:c r="D55" s="208" t="n">
        <x:f>IF(G54&lt;$E$9,F54,D54)</x:f>
        <x:v>0.071769023420485</x:v>
      </x:c>
      <x:c r="E55" s="208" t="n">
        <x:f>IF(G54&lt;$E$9,E54,F54)</x:f>
        <x:v>0.07176906974062264</x:v>
      </x:c>
      <x:c r="F55" s="208" t="n">
        <x:f>(D55+E55)/2</x:f>
        <x:v>0.07176904658055382</x:v>
      </x:c>
      <x:c r="G55"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55))*('Terminal Value'!$E$10+(0))*(1-'Assumptions'!$E$15-(0))*(1-(F55)/('Terminal Value'!$E$12))/(('DCF'!$E$6)-(F55))/(1+('DCF'!$E$6))^'DCF'!$E$19)</x:f>
        <x:v>3908111.435518806</x:v>
      </x:c>
      <x:c r="H55" s="164" t="n">
        <x:f>G55-$E$9</x:f>
        <x:v>1.4664672957733274</x:v>
      </x:c>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81" t="n">
        <x:v>23</x:v>
      </x:c>
      <x:c r="D56" s="208" t="n">
        <x:f>IF(G55&lt;$E$9,F55,D55)</x:f>
        <x:v>0.071769023420485</x:v>
      </x:c>
      <x:c r="E56" s="208" t="n">
        <x:f>IF(G55&lt;$E$9,E55,F55)</x:f>
        <x:v>0.07176904658055382</x:v>
      </x:c>
      <x:c r="F56" s="208" t="n">
        <x:f>(D56+E56)/2</x:f>
        <x:v>0.0717690350005194</x:v>
      </x:c>
      <x:c r="G56"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56))*('Terminal Value'!$E$10+(0))*(1-'Assumptions'!$E$15-(0))*(1-(F56)/('Terminal Value'!$E$12))/(('DCF'!$E$6)-(F56))/(1+('DCF'!$E$6))^'DCF'!$E$19)</x:f>
        <x:v>3908110.18694497</x:v>
      </x:c>
      <x:c r="H56" s="164" t="n">
        <x:f>G56-$E$9</x:f>
        <x:v>0.21789345983415842</x:v>
      </x:c>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81" t="n">
        <x:v>24</x:v>
      </x:c>
      <x:c r="D57" s="208" t="n">
        <x:f>IF(G56&lt;$E$9,F56,D56)</x:f>
        <x:v>0.071769023420485</x:v>
      </x:c>
      <x:c r="E57" s="208" t="n">
        <x:f>IF(G56&lt;$E$9,E56,F56)</x:f>
        <x:v>0.0717690350005194</x:v>
      </x:c>
      <x:c r="F57" s="208" t="n">
        <x:f>(D57+E57)/2</x:f>
        <x:v>0.0717690292105022</x:v>
      </x:c>
      <x:c r="G57"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57))*('Terminal Value'!$E$10+(0))*(1-'Assumptions'!$E$15-(0))*(1-(F57)/('Terminal Value'!$E$12))/(('DCF'!$E$6)-(F57))/(1+('DCF'!$E$6))^'DCF'!$E$19)</x:f>
        <x:v>3908109.5626584617</x:v>
      </x:c>
      <x:c r="H57" s="164" t="n">
        <x:f>G57-$E$9</x:f>
        <x:v>-0.4063930483534932</x:v>
      </x:c>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81" t="n">
        <x:v>25</x:v>
      </x:c>
      <x:c r="D58" s="208" t="n">
        <x:f>IF(G57&lt;$E$9,F57,D57)</x:f>
        <x:v>0.0717690292105022</x:v>
      </x:c>
      <x:c r="E58" s="208" t="n">
        <x:f>IF(G57&lt;$E$9,E57,F57)</x:f>
        <x:v>0.0717690350005194</x:v>
      </x:c>
      <x:c r="F58" s="208" t="n">
        <x:f>(D58+E58)/2</x:f>
        <x:v>0.0717690321055108</x:v>
      </x:c>
      <x:c r="G58"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58))*('Terminal Value'!$E$10+(0))*(1-'Assumptions'!$E$15-(0))*(1-(F58)/('Terminal Value'!$E$12))/(('DCF'!$E$6)-(F58))/(1+('DCF'!$E$6))^'DCF'!$E$19)</x:f>
        <x:v>3908109.8748016823</x:v>
      </x:c>
      <x:c r="H58" s="164" t="n">
        <x:f>G58-$E$9</x:f>
        <x:v>-0.09424982778728008</x:v>
      </x:c>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81" t="n">
        <x:v>26</x:v>
      </x:c>
      <x:c r="D59" s="208" t="n">
        <x:f>IF(G58&lt;$E$9,F58,D58)</x:f>
        <x:v>0.0717690321055108</x:v>
      </x:c>
      <x:c r="E59" s="208" t="n">
        <x:f>IF(G58&lt;$E$9,E58,F58)</x:f>
        <x:v>0.0717690350005194</x:v>
      </x:c>
      <x:c r="F59" s="208" t="n">
        <x:f>(D59+E59)/2</x:f>
        <x:v>0.0717690335530151</x:v>
      </x:c>
      <x:c r="G59"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59))*('Terminal Value'!$E$10+(0))*(1-'Assumptions'!$E$15-(0))*(1-(F59)/('Terminal Value'!$E$12))/(('DCF'!$E$6)-(F59))/(1+('DCF'!$E$6))^'DCF'!$E$19)</x:f>
        <x:v>3908110.0308733173</x:v>
      </x:c>
      <x:c r="H59" s="164" t="n">
        <x:f>G59-$E$9</x:f>
        <x:v>0.06182180717587471</x:v>
      </x:c>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81" t="n">
        <x:v>27</x:v>
      </x:c>
      <x:c r="D60" s="208" t="n">
        <x:f>IF(G59&lt;$E$9,F59,D59)</x:f>
        <x:v>0.0717690321055108</x:v>
      </x:c>
      <x:c r="E60" s="208" t="n">
        <x:f>IF(G59&lt;$E$9,E59,F59)</x:f>
        <x:v>0.0717690335530151</x:v>
      </x:c>
      <x:c r="F60" s="208" t="n">
        <x:f>(D60+E60)/2</x:f>
        <x:v>0.07176903282926295</x:v>
      </x:c>
      <x:c r="G60"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60))*('Terminal Value'!$E$10+(0))*(1-'Assumptions'!$E$15-(0))*(1-(F60)/('Terminal Value'!$E$12))/(('DCF'!$E$6)-(F60))/(1+('DCF'!$E$6))^'DCF'!$E$19)</x:f>
        <x:v>3908109.952837497</x:v>
      </x:c>
      <x:c r="H60" s="164" t="n">
        <x:f>G60-$E$9</x:f>
        <x:v>-0.01621401309967041</x:v>
      </x:c>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81" t="n">
        <x:v>28</x:v>
      </x:c>
      <x:c r="D61" s="208" t="n">
        <x:f>IF(G60&lt;$E$9,F60,D60)</x:f>
        <x:v>0.07176903282926295</x:v>
      </x:c>
      <x:c r="E61" s="208" t="n">
        <x:f>IF(G60&lt;$E$9,E60,F60)</x:f>
        <x:v>0.0717690335530151</x:v>
      </x:c>
      <x:c r="F61" s="208" t="n">
        <x:f>(D61+E61)/2</x:f>
        <x:v>0.07176903319113903</x:v>
      </x:c>
      <x:c r="G61"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61))*('Terminal Value'!$E$10+(0))*(1-'Assumptions'!$E$15-(0))*(1-(F61)/('Terminal Value'!$E$12))/(('DCF'!$E$6)-(F61))/(1+('DCF'!$E$6))^'DCF'!$E$19)</x:f>
        <x:v>3908109.991855407</x:v>
      </x:c>
      <x:c r="H61" s="164" t="n">
        <x:f>G61-$E$9</x:f>
        <x:v>0.02280389703810215</x:v>
      </x:c>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81" t="n">
        <x:v>29</x:v>
      </x:c>
      <x:c r="D62" s="208" t="n">
        <x:f>IF(G61&lt;$E$9,F61,D61)</x:f>
        <x:v>0.07176903282926295</x:v>
      </x:c>
      <x:c r="E62" s="208" t="n">
        <x:f>IF(G61&lt;$E$9,E61,F61)</x:f>
        <x:v>0.07176903319113903</x:v>
      </x:c>
      <x:c r="F62" s="208" t="n">
        <x:f>(D62+E62)/2</x:f>
        <x:v>0.07176903301020099</x:v>
      </x:c>
      <x:c r="G62"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62))*('Terminal Value'!$E$10+(0))*(1-'Assumptions'!$E$15-(0))*(1-(F62)/('Terminal Value'!$E$12))/(('DCF'!$E$6)-(F62))/(1+('DCF'!$E$6))^'DCF'!$E$19)</x:f>
        <x:v>3908109.972346453</x:v>
      </x:c>
      <x:c r="H62" s="164" t="n">
        <x:f>G62-$E$9</x:f>
        <x:v>0.0032949429005384445</x:v>
      </x:c>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81" t="n">
        <x:v>30</x:v>
      </x:c>
      <x:c r="D63" s="208" t="n">
        <x:f>IF(G62&lt;$E$9,F62,D62)</x:f>
        <x:v>0.07176903282926295</x:v>
      </x:c>
      <x:c r="E63" s="208" t="n">
        <x:f>IF(G62&lt;$E$9,E62,F62)</x:f>
        <x:v>0.07176903301020099</x:v>
      </x:c>
      <x:c r="F63" s="208" t="n">
        <x:f>(D63+E63)/2</x:f>
        <x:v>0.07176903291973197</x:v>
      </x:c>
      <x:c r="G63"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63))*('Terminal Value'!$E$10+(0))*(1-'Assumptions'!$E$15-(0))*(1-(F63)/('Terminal Value'!$E$12))/(('DCF'!$E$6)-(F63))/(1+('DCF'!$E$6))^'DCF'!$E$19)</x:f>
        <x:v>3908109.962591973</x:v>
      </x:c>
      <x:c r="H63" s="164" t="n">
        <x:f>G63-$E$9</x:f>
        <x:v>-0.006459536962211132</x:v>
      </x:c>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81" t="n">
        <x:v>31</x:v>
      </x:c>
      <x:c r="D64" s="208" t="n">
        <x:f>IF(G63&lt;$E$9,F63,D63)</x:f>
        <x:v>0.07176903291973197</x:v>
      </x:c>
      <x:c r="E64" s="208" t="n">
        <x:f>IF(G63&lt;$E$9,E63,F63)</x:f>
        <x:v>0.07176903301020099</x:v>
      </x:c>
      <x:c r="F64" s="208" t="n">
        <x:f>(D64+E64)/2</x:f>
        <x:v>0.07176903296496648</x:v>
      </x:c>
      <x:c r="G64"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64))*('Terminal Value'!$E$10+(0))*(1-'Assumptions'!$E$15-(0))*(1-(F64)/('Terminal Value'!$E$12))/(('DCF'!$E$6)-(F64))/(1+('DCF'!$E$6))^'DCF'!$E$19)</x:f>
        <x:v>3908109.9674692145</x:v>
      </x:c>
      <x:c r="H64" s="164" t="n">
        <x:f>G64-$E$9</x:f>
        <x:v>-0.0015822956338524818</x:v>
      </x:c>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81" t="n">
        <x:v>32</x:v>
      </x:c>
      <x:c r="D65" s="208" t="n">
        <x:f>IF(G64&lt;$E$9,F64,D64)</x:f>
        <x:v>0.07176903296496648</x:v>
      </x:c>
      <x:c r="E65" s="208" t="n">
        <x:f>IF(G64&lt;$E$9,E64,F64)</x:f>
        <x:v>0.07176903301020099</x:v>
      </x:c>
      <x:c r="F65" s="208" t="n">
        <x:f>(D65+E65)/2</x:f>
        <x:v>0.07176903298758373</x:v>
      </x:c>
      <x:c r="G65"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65))*('Terminal Value'!$E$10+(0))*(1-'Assumptions'!$E$15-(0))*(1-(F65)/('Terminal Value'!$E$12))/(('DCF'!$E$6)-(F65))/(1+('DCF'!$E$6))^'DCF'!$E$19)</x:f>
        <x:v>3908109.9699078333</x:v>
      </x:c>
      <x:c r="H65" s="164" t="n">
        <x:f>G65-$E$9</x:f>
        <x:v>0.000856323167681694</x:v>
      </x:c>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81" t="n">
        <x:v>33</x:v>
      </x:c>
      <x:c r="D66" s="208" t="n">
        <x:f>IF(G65&lt;$E$9,F65,D65)</x:f>
        <x:v>0.07176903296496648</x:v>
      </x:c>
      <x:c r="E66" s="208" t="n">
        <x:f>IF(G65&lt;$E$9,E65,F65)</x:f>
        <x:v>0.07176903298758373</x:v>
      </x:c>
      <x:c r="F66" s="208" t="n">
        <x:f>(D66+E66)/2</x:f>
        <x:v>0.0717690329762751</x:v>
      </x:c>
      <x:c r="G66"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66))*('Terminal Value'!$E$10+(0))*(1-'Assumptions'!$E$15-(0))*(1-(F66)/('Terminal Value'!$E$12))/(('DCF'!$E$6)-(F66))/(1+('DCF'!$E$6))^'DCF'!$E$19)</x:f>
        <x:v>3908109.9686885215</x:v>
      </x:c>
      <x:c r="H66" s="164" t="n">
        <x:f>G66-$E$9</x:f>
        <x:v>-0.00036298856139183044</x:v>
      </x:c>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81" t="n">
        <x:v>34</x:v>
      </x:c>
      <x:c r="D67" s="208" t="n">
        <x:f>IF(G66&lt;$E$9,F66,D66)</x:f>
        <x:v>0.0717690329762751</x:v>
      </x:c>
      <x:c r="E67" s="208" t="n">
        <x:f>IF(G66&lt;$E$9,E66,F66)</x:f>
        <x:v>0.07176903298758373</x:v>
      </x:c>
      <x:c r="F67" s="208" t="n">
        <x:f>(D67+E67)/2</x:f>
        <x:v>0.07176903298192941</x:v>
      </x:c>
      <x:c r="G67"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67))*('Terminal Value'!$E$10+(0))*(1-'Assumptions'!$E$15-(0))*(1-(F67)/('Terminal Value'!$E$12))/(('DCF'!$E$6)-(F67))/(1+('DCF'!$E$6))^'DCF'!$E$19)</x:f>
        <x:v>3908109.9692981765</x:v>
      </x:c>
      <x:c r="H67" s="164" t="n">
        <x:f>G67-$E$9</x:f>
        <x:v>0.0002466663718223572</x:v>
      </x:c>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81" t="n">
        <x:v>35</x:v>
      </x:c>
      <x:c r="D68" s="208" t="n">
        <x:f>IF(G67&lt;$E$9,F67,D67)</x:f>
        <x:v>0.0717690329762751</x:v>
      </x:c>
      <x:c r="E68" s="208" t="n">
        <x:f>IF(G67&lt;$E$9,E67,F67)</x:f>
        <x:v>0.07176903298192941</x:v>
      </x:c>
      <x:c r="F68" s="208" t="n">
        <x:f>(D68+E68)/2</x:f>
        <x:v>0.07176903297910225</x:v>
      </x:c>
      <x:c r="G68"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68))*('Terminal Value'!$E$10+(0))*(1-'Assumptions'!$E$15-(0))*(1-(F68)/('Terminal Value'!$E$12))/(('DCF'!$E$6)-(F68))/(1+('DCF'!$E$6))^'DCF'!$E$19)</x:f>
        <x:v>3908109.968993349</x:v>
      </x:c>
      <x:c r="H68" s="164" t="n">
        <x:f>G68-$E$9</x:f>
        <x:v>-0.00005816109478473663</x:v>
      </x:c>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81" t="n">
        <x:v>36</x:v>
      </x:c>
      <x:c r="D69" s="208" t="n">
        <x:f>IF(G68&lt;$E$9,F68,D68)</x:f>
        <x:v>0.07176903297910225</x:v>
      </x:c>
      <x:c r="E69" s="208" t="n">
        <x:f>IF(G68&lt;$E$9,E68,F68)</x:f>
        <x:v>0.07176903298192941</x:v>
      </x:c>
      <x:c r="F69" s="208" t="n">
        <x:f>(D69+E69)/2</x:f>
        <x:v>0.07176903298051583</x:v>
      </x:c>
      <x:c r="G69"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69))*('Terminal Value'!$E$10+(0))*(1-'Assumptions'!$E$15-(0))*(1-(F69)/('Terminal Value'!$E$12))/(('DCF'!$E$6)-(F69))/(1+('DCF'!$E$6))^'DCF'!$E$19)</x:f>
        <x:v>3908109.9691457637</x:v>
      </x:c>
      <x:c r="H69" s="164" t="n">
        <x:f>G69-$E$9</x:f>
        <x:v>0.00009425356984138489</x:v>
      </x:c>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81" t="n">
        <x:v>37</x:v>
      </x:c>
      <x:c r="D70" s="208" t="n">
        <x:f>IF(G69&lt;$E$9,F69,D69)</x:f>
        <x:v>0.07176903297910225</x:v>
      </x:c>
      <x:c r="E70" s="208" t="n">
        <x:f>IF(G69&lt;$E$9,E69,F69)</x:f>
        <x:v>0.07176903298051583</x:v>
      </x:c>
      <x:c r="F70" s="208" t="n">
        <x:f>(D70+E70)/2</x:f>
        <x:v>0.07176903297980905</x:v>
      </x:c>
      <x:c r="G70"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70))*('Terminal Value'!$E$10+(0))*(1-'Assumptions'!$E$15-(0))*(1-(F70)/('Terminal Value'!$E$12))/(('DCF'!$E$6)-(F70))/(1+('DCF'!$E$6))^'DCF'!$E$19)</x:f>
        <x:v>3908109.969069558</x:v>
      </x:c>
      <x:c r="H70" s="164" t="n">
        <x:f>G70-$E$9</x:f>
        <x:v>0.000018048100173473358</x:v>
      </x:c>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81" t="n">
        <x:v>38</x:v>
      </x:c>
      <x:c r="D71" s="208" t="n">
        <x:f>IF(G70&lt;$E$9,F70,D70)</x:f>
        <x:v>0.07176903297910225</x:v>
      </x:c>
      <x:c r="E71" s="208" t="n">
        <x:f>IF(G70&lt;$E$9,E70,F70)</x:f>
        <x:v>0.07176903297980905</x:v>
      </x:c>
      <x:c r="F71" s="208" t="n">
        <x:f>(D71+E71)/2</x:f>
        <x:v>0.07176903297945565</x:v>
      </x:c>
      <x:c r="G71"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71))*('Terminal Value'!$E$10+(0))*(1-'Assumptions'!$E$15-(0))*(1-(F71)/('Terminal Value'!$E$12))/(('DCF'!$E$6)-(F71))/(1+('DCF'!$E$6))^'DCF'!$E$19)</x:f>
        <x:v>3908109.969031453</x:v>
      </x:c>
      <x:c r="H71" s="164" t="n">
        <x:f>G71-$E$9</x:f>
        <x:v>-0.000020056962966918945</x:v>
      </x:c>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81" t="n">
        <x:v>39</x:v>
      </x:c>
      <x:c r="D72" s="208" t="n">
        <x:f>IF(G71&lt;$E$9,F71,D71)</x:f>
        <x:v>0.07176903297945565</x:v>
      </x:c>
      <x:c r="E72" s="208" t="n">
        <x:f>IF(G71&lt;$E$9,E71,F71)</x:f>
        <x:v>0.07176903297980905</x:v>
      </x:c>
      <x:c r="F72" s="208" t="n">
        <x:f>(D72+E72)/2</x:f>
        <x:v>0.07176903297963236</x:v>
      </x:c>
      <x:c r="G72"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72))*('Terminal Value'!$E$10+(0))*(1-'Assumptions'!$E$15-(0))*(1-(F72)/('Terminal Value'!$E$12))/(('DCF'!$E$6)-(F72))/(1+('DCF'!$E$6))^'DCF'!$E$19)</x:f>
        <x:v>3908109.969050506</x:v>
      </x:c>
      <x:c r="H72" s="164" t="n">
        <x:f>G72-$E$9</x:f>
        <x:v>-0.0000010039657354354858</x:v>
      </x:c>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81" t="n">
        <x:v>40</x:v>
      </x:c>
      <x:c r="D73" s="208" t="n">
        <x:f>IF(G72&lt;$E$9,F72,D72)</x:f>
        <x:v>0.07176903297963236</x:v>
      </x:c>
      <x:c r="E73" s="208" t="n">
        <x:f>IF(G72&lt;$E$9,E72,F72)</x:f>
        <x:v>0.07176903297980905</x:v>
      </x:c>
      <x:c r="F73" s="208" t="n">
        <x:f>(D73+E73)/2</x:f>
        <x:v>0.0717690329797207</x:v>
      </x:c>
      <x:c r="G73"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73))*('Terminal Value'!$E$10+(0))*(1-'Assumptions'!$E$15-(0))*(1-(F73)/('Terminal Value'!$E$12))/(('DCF'!$E$6)-(F73))/(1+('DCF'!$E$6))^'DCF'!$E$19)</x:f>
        <x:v>3908109.9690600317</x:v>
      </x:c>
      <x:c r="H73" s="164" t="n">
        <x:f>G73-$E$9</x:f>
        <x:v>0.000008521601557731628</x:v>
      </x:c>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81" t="n">
        <x:v>41</x:v>
      </x:c>
      <x:c r="D74" s="208" t="n">
        <x:f>IF(G73&lt;$E$9,F73,D73)</x:f>
        <x:v>0.07176903297963236</x:v>
      </x:c>
      <x:c r="E74" s="208" t="n">
        <x:f>IF(G73&lt;$E$9,E73,F73)</x:f>
        <x:v>0.0717690329797207</x:v>
      </x:c>
      <x:c r="F74" s="208" t="n">
        <x:f>(D74+E74)/2</x:f>
        <x:v>0.07176903297967653</x:v>
      </x:c>
      <x:c r="G74"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74))*('Terminal Value'!$E$10+(0))*(1-'Assumptions'!$E$15-(0))*(1-(F74)/('Terminal Value'!$E$12))/(('DCF'!$E$6)-(F74))/(1+('DCF'!$E$6))^'DCF'!$E$19)</x:f>
        <x:v>3908109.969055269</x:v>
      </x:c>
      <x:c r="H74" s="164" t="n">
        <x:f>G74-$E$9</x:f>
        <x:v>0.0000037588179111480713</x:v>
      </x:c>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81" t="n">
        <x:v>42</x:v>
      </x:c>
      <x:c r="D75" s="208" t="n">
        <x:f>IF(G74&lt;$E$9,F74,D74)</x:f>
        <x:v>0.07176903297963236</x:v>
      </x:c>
      <x:c r="E75" s="208" t="n">
        <x:f>IF(G74&lt;$E$9,E74,F74)</x:f>
        <x:v>0.07176903297967653</x:v>
      </x:c>
      <x:c r="F75" s="208" t="n">
        <x:f>(D75+E75)/2</x:f>
        <x:v>0.07176903297965445</x:v>
      </x:c>
      <x:c r="G75"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75))*('Terminal Value'!$E$10+(0))*(1-'Assumptions'!$E$15-(0))*(1-(F75)/('Terminal Value'!$E$12))/(('DCF'!$E$6)-(F75))/(1+('DCF'!$E$6))^'DCF'!$E$19)</x:f>
        <x:v>3908109.9690528885</x:v>
      </x:c>
      <x:c r="H75" s="164" t="n">
        <x:f>G75-$E$9</x:f>
        <x:v>0.0000013783574104309082</x:v>
      </x:c>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81" t="n">
        <x:v>43</x:v>
      </x:c>
      <x:c r="D76" s="208" t="n">
        <x:f>IF(G75&lt;$E$9,F75,D75)</x:f>
        <x:v>0.07176903297963236</x:v>
      </x:c>
      <x:c r="E76" s="208" t="n">
        <x:f>IF(G75&lt;$E$9,E75,F75)</x:f>
        <x:v>0.07176903297965445</x:v>
      </x:c>
      <x:c r="F76" s="208" t="n">
        <x:f>(D76+E76)/2</x:f>
        <x:v>0.0717690329796434</x:v>
      </x:c>
      <x:c r="G76"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76))*('Terminal Value'!$E$10+(0))*(1-'Assumptions'!$E$15-(0))*(1-(F76)/('Terminal Value'!$E$12))/(('DCF'!$E$6)-(F76))/(1+('DCF'!$E$6))^'DCF'!$E$19)</x:f>
        <x:v>3908109.969051698</x:v>
      </x:c>
      <x:c r="H76" s="164" t="n">
        <x:f>G76-$E$9</x:f>
        <x:v>1.8812716007232666e-7</x:v>
      </x:c>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81" t="n">
        <x:v>44</x:v>
      </x:c>
      <x:c r="D77" s="208" t="n">
        <x:f>IF(G76&lt;$E$9,F76,D76)</x:f>
        <x:v>0.07176903297963236</x:v>
      </x:c>
      <x:c r="E77" s="208" t="n">
        <x:f>IF(G76&lt;$E$9,E76,F76)</x:f>
        <x:v>0.0717690329796434</x:v>
      </x:c>
      <x:c r="F77" s="208" t="n">
        <x:f>(D77+E77)/2</x:f>
        <x:v>0.07176903297963788</x:v>
      </x:c>
      <x:c r="G77"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77))*('Terminal Value'!$E$10+(0))*(1-'Assumptions'!$E$15-(0))*(1-(F77)/('Terminal Value'!$E$12))/(('DCF'!$E$6)-(F77))/(1+('DCF'!$E$6))^'DCF'!$E$19)</x:f>
        <x:v>3908109.969051102</x:v>
      </x:c>
      <x:c r="H77" s="164" t="n">
        <x:f>G77-$E$9</x:f>
        <x:v>-4.079192876815796e-7</x:v>
      </x:c>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81" t="n">
        <x:v>45</x:v>
      </x:c>
      <x:c r="D78" s="208" t="n">
        <x:f>IF(G77&lt;$E$9,F77,D77)</x:f>
        <x:v>0.07176903297963788</x:v>
      </x:c>
      <x:c r="E78" s="208" t="n">
        <x:f>IF(G77&lt;$E$9,E77,F77)</x:f>
        <x:v>0.0717690329796434</x:v>
      </x:c>
      <x:c r="F78" s="208" t="n">
        <x:f>(D78+E78)/2</x:f>
        <x:v>0.07176903297964064</x:v>
      </x:c>
      <x:c r="G78"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78))*('Terminal Value'!$E$10+(0))*(1-'Assumptions'!$E$15-(0))*(1-(F78)/('Terminal Value'!$E$12))/(('DCF'!$E$6)-(F78))/(1+('DCF'!$E$6))^'DCF'!$E$19)</x:f>
        <x:v>3908109.9690513993</x:v>
      </x:c>
      <x:c r="H78" s="164" t="n">
        <x:f>G78-$E$9</x:f>
        <x:v>-1.1082738637924194e-7</x:v>
      </x:c>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81" t="n">
        <x:v>46</x:v>
      </x:c>
      <x:c r="D79" s="208" t="n">
        <x:f>IF(G78&lt;$E$9,F78,D78)</x:f>
        <x:v>0.07176903297964064</x:v>
      </x:c>
      <x:c r="E79" s="208" t="n">
        <x:f>IF(G78&lt;$E$9,E78,F78)</x:f>
        <x:v>0.0717690329796434</x:v>
      </x:c>
      <x:c r="F79" s="208" t="n">
        <x:f>(D79+E79)/2</x:f>
        <x:v>0.07176903297964202</x:v>
      </x:c>
      <x:c r="G79"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79))*('Terminal Value'!$E$10+(0))*(1-'Assumptions'!$E$15-(0))*(1-(F79)/('Terminal Value'!$E$12))/(('DCF'!$E$6)-(F79))/(1+('DCF'!$E$6))^'DCF'!$E$19)</x:f>
        <x:v>3908109.9690515473</x:v>
      </x:c>
      <x:c r="H79" s="164" t="n">
        <x:f>G79-$E$9</x:f>
        <x:v>3.725290298461914e-8</x:v>
      </x:c>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81" t="n">
        <x:v>47</x:v>
      </x:c>
      <x:c r="D80" s="208" t="n">
        <x:f>IF(G79&lt;$E$9,F79,D79)</x:f>
        <x:v>0.07176903297964064</x:v>
      </x:c>
      <x:c r="E80" s="208" t="n">
        <x:f>IF(G79&lt;$E$9,E79,F79)</x:f>
        <x:v>0.07176903297964202</x:v>
      </x:c>
      <x:c r="F80" s="208" t="n">
        <x:f>(D80+E80)/2</x:f>
        <x:v>0.07176903297964132</x:v>
      </x:c>
      <x:c r="G80"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80))*('Terminal Value'!$E$10+(0))*(1-'Assumptions'!$E$15-(0))*(1-(F80)/('Terminal Value'!$E$12))/(('DCF'!$E$6)-(F80))/(1+('DCF'!$E$6))^'DCF'!$E$19)</x:f>
        <x:v>3908109.969051474</x:v>
      </x:c>
      <x:c r="H80" s="164" t="n">
        <x:f>G80-$E$9</x:f>
        <x:v>-3.632158041000366e-8</x:v>
      </x:c>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81" t="n">
        <x:v>48</x:v>
      </x:c>
      <x:c r="D81" s="208" t="n">
        <x:f>IF(G80&lt;$E$9,F80,D80)</x:f>
        <x:v>0.07176903297964132</x:v>
      </x:c>
      <x:c r="E81" s="208" t="n">
        <x:f>IF(G80&lt;$E$9,E80,F80)</x:f>
        <x:v>0.07176903297964202</x:v>
      </x:c>
      <x:c r="F81" s="208" t="n">
        <x:f>(D81+E81)/2</x:f>
        <x:v>0.07176903297964167</x:v>
      </x:c>
      <x:c r="G81" s="164"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F81))*('Terminal Value'!$E$10+(0))*(1-'Assumptions'!$E$15-(0))*(1-(F81)/('Terminal Value'!$E$12))/(('DCF'!$E$6)-(F81))/(1+('DCF'!$E$6))^'DCF'!$E$19)</x:f>
        <x:v>3908109.96905151</x:v>
      </x:c>
      <x:c r="H81" s="164" t="n">
        <x:f>G81-$E$9</x:f>
        <x:v>0</x:v>
      </x:c>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56" t="str">
        <x:v>stable growth</x:v>
      </x:c>
      <x:c r="D86" s="160" t="str">
        <x:v>Fair price</x:v>
      </x:c>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208" t="n">
        <x:f>$E$16+($E$17-$E$16)*0/8</x:f>
        <x:v>0</x:v>
      </x:c>
      <x:c r="D87"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87))*('Terminal Value'!$E$10+(0))*(1-'Assumptions'!$E$15-(0))*(1-(C87)/('Terminal Value'!$E$12))/(('DCF'!$E$6)-(C87))/(1+('DCF'!$E$6))^'DCF'!$E$19)+'Equity Bridge'!$E$17)/'Equity Bridge'!$E$20</x:f>
        <x:v>238.7931491231309</x:v>
      </x:c>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208" t="n">
        <x:f>$E$16+($E$17-$E$16)*1/8</x:f>
        <x:v>0.01214254616137829</x:v>
      </x:c>
      <x:c r="D88"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88))*('Terminal Value'!$E$10+(0))*(1-'Assumptions'!$E$15-(0))*(1-(C88)/('Terminal Value'!$E$12))/(('DCF'!$E$6)-(C88))/(1+('DCF'!$E$6))^'DCF'!$E$19)+'Equity Bridge'!$E$17)/'Equity Bridge'!$E$20</x:f>
        <x:v>254.2710758762413</x:v>
      </x:c>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208" t="n">
        <x:f>$E$16+($E$17-$E$16)*2/8</x:f>
        <x:v>0.02428509232275658</x:v>
      </x:c>
      <x:c r="D89"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89))*('Terminal Value'!$E$10+(0))*(1-'Assumptions'!$E$15-(0))*(1-(C89)/('Terminal Value'!$E$12))/(('DCF'!$E$6)-(C89))/(1+('DCF'!$E$6))^'DCF'!$E$19)+'Equity Bridge'!$E$17)/'Equity Bridge'!$E$20</x:f>
        <x:v>274.4813833025301</x:v>
      </x:c>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208" t="n">
        <x:f>$E$16+($E$17-$E$16)*3/8</x:f>
        <x:v>0.03642763848413487</x:v>
      </x:c>
      <x:c r="D90"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90))*('Terminal Value'!$E$10+(0))*(1-'Assumptions'!$E$15-(0))*(1-(C90)/('Terminal Value'!$E$12))/(('DCF'!$E$6)-(C90))/(1+('DCF'!$E$6))^'DCF'!$E$19)+'Equity Bridge'!$E$17)/'Equity Bridge'!$E$20</x:f>
        <x:v>302.21748939011513</x:v>
      </x:c>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208" t="n">
        <x:f>$E$16+($E$17-$E$16)*4/8</x:f>
        <x:v>0.04857018464551316</x:v>
      </x:c>
      <x:c r="D91"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91))*('Terminal Value'!$E$10+(0))*(1-'Assumptions'!$E$15-(0))*(1-(C91)/('Terminal Value'!$E$12))/(('DCF'!$E$6)-(C91))/(1+('DCF'!$E$6))^'DCF'!$E$19)+'Equity Bridge'!$E$17)/'Equity Bridge'!$E$20</x:f>
        <x:v>343.0098773296193</x:v>
      </x:c>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208" t="n">
        <x:f>$E$16+($E$17-$E$16)*5/8</x:f>
        <x:v>0.06071273080689145</x:v>
      </x:c>
      <x:c r="D92"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92))*('Terminal Value'!$E$10+(0))*(1-'Assumptions'!$E$15-(0))*(1-(C92)/('Terminal Value'!$E$12))/(('DCF'!$E$6)-(C92))/(1+('DCF'!$E$6))^'DCF'!$E$19)+'Equity Bridge'!$E$17)/'Equity Bridge'!$E$20</x:f>
        <x:v>409.56598831988566</x:v>
      </x:c>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208" t="n">
        <x:f>$E$16+($E$17-$E$16)*6/8</x:f>
        <x:v>0.07285527696826974</x:v>
      </x:c>
      <x:c r="D93"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93))*('Terminal Value'!$E$10+(0))*(1-'Assumptions'!$E$15-(0))*(1-(C93)/('Terminal Value'!$E$12))/(('DCF'!$E$6)-(C93))/(1+('DCF'!$E$6))^'DCF'!$E$19)+'Equity Bridge'!$E$17)/'Equity Bridge'!$E$20</x:f>
        <x:v>539.0030128903653</x:v>
      </x:c>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208" t="n">
        <x:f>$E$16+($E$17-$E$16)*7/8</x:f>
        <x:v>0.08499782312964803</x:v>
      </x:c>
      <x:c r="D94"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94))*('Terminal Value'!$E$10+(0))*(1-'Assumptions'!$E$15-(0))*(1-(C94)/('Terminal Value'!$E$12))/(('DCF'!$E$6)-(C94))/(1+('DCF'!$E$6))^'DCF'!$E$19)+'Equity Bridge'!$E$17)/'Equity Bridge'!$E$20</x:f>
        <x:v>905.6101001393881</x:v>
      </x:c>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208" t="n">
        <x:f>$E$16+($E$17-$E$16)*8/8</x:f>
        <x:v>0.09714036929102632</x:v>
      </x:c>
      <x:c r="D95"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C95))*('Terminal Value'!$E$10+(0))*(1-'Assumptions'!$E$15-(0))*(1-(C95)/('Terminal Value'!$E$12))/(('DCF'!$E$6)-(C95))/(1+('DCF'!$E$6))^'DCF'!$E$19)+'Equity Bridge'!$E$17)/'Equity Bridge'!$E$20</x:f>
        <x:v>10148.932552580525</x:v>
      </x:c>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24:L26"/>
    <x:mergeCell ref="C27:L29"/>
    <x:mergeCell ref="C30:L32"/>
  </x:mergeCells>
  <x:pageMargins left="0.7" right="0.7" top="0.75" bottom="0.75" header="0.3" footer="0.3"/>
  <x:drawing xmlns:r="http://schemas.openxmlformats.org/officeDocument/2006/relationships" r:id="R4986153b32e742b3"/>
  <x:legacyDrawing xmlns:r="http://schemas.openxmlformats.org/officeDocument/2006/relationships" r:id="R04f24e9b3379455d"/>
</x:worksheet>
</file>

<file path=xl/worksheets/sheet20.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ROIC</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Required PV of terminal cash flow</x:v>
      </x:c>
      <x:c r="D11" s="136"/>
      <x:c r="E11" s="164" t="n">
        <x:f>E9-'DCF'!E18</x:f>
        <x:v>3471991.3451652364</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ROIC if finite positive solution</x:v>
      </x:c>
      <x:c r="D12" s="139"/>
      <x:c r="E12" s="152" t="str">
        <x:f>IF(1-E11/E16&gt;0,'DCF'!E7/(1-E11/E16),"No finite positive ROIC")</x:f>
        <x:v>No finite positive ROIC</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Economic interpretation</x:v>
      </x:c>
      <x:c r="D14" s="136"/>
      <x:c r="E14" s="243" t="str">
        <x:f>IF(ISNUMBER(E12),"Check business ROIC assumption","ROIC alone cannot reach price")</x:f>
        <x:v>ROIC alone cannot reach price</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PV if stable reinvestment tends to zero</x:v>
      </x:c>
      <x:c r="D16" s="136"/>
      <x:c r="E16" s="164" t="n">
        <x:f>'Terminal Value'!E13/('DCF'!E6-'DCF'!E7)/'DCF'!E20</x:f>
        <x:v>2014092.3810457273</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Maximum price as ROIC tends to infinity</x:v>
      </x:c>
      <x:c r="D17" s="136"/>
      <x:c r="E17" s="145" t="n">
        <x:f>('DCF'!E18+E16+'Equity Bridge'!E17)/'Equity Bridge'!E20</x:f>
        <x:v>326.90692443910353</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Remaining price gap at that ceiling</x:v>
      </x:c>
      <x:c r="D18" s="136"/>
      <x:c r="E18" s="145" t="n">
        <x:f>'Market Inputs'!E9-E17</x:f>
        <x:v>195.70307556089648</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56" t="str">
        <x:v>Stable ROIC</x:v>
      </x:c>
      <x:c r="D22" s="160" t="str">
        <x:v>Fair price</x:v>
      </x:c>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201" t="n">
        <x:v>0.1</x:v>
      </x:c>
      <x:c r="D23"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Value'!$E$10+(0))*(1-'Assumptions'!$E$15-(0))*(1-('DCF'!$E$7)/(C23))/(('DCF'!$E$6)-('DCF'!$E$7))/(1+('DCF'!$E$6))^'DCF'!$E$19)+'Equity Bridge'!$E$17)/'Equity Bridge'!$E$20</x:f>
        <x:v>245.7975849440025</x:v>
      </x:c>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201" t="n">
        <x:v>0.15000000000000002</x:v>
      </x:c>
      <x:c r="D24"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Value'!$E$10+(0))*(1-'Assumptions'!$E$15-(0))*(1-('DCF'!$E$7)/(C24))/(('DCF'!$E$6)-('DCF'!$E$7))/(1+('DCF'!$E$6))^'DCF'!$E$19)+'Equity Bridge'!$E$17)/'Equity Bridge'!$E$20</x:f>
        <x:v>272.83403144236945</x:v>
      </x:c>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201" t="n">
        <x:v>0.2</x:v>
      </x:c>
      <x:c r="D25"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Value'!$E$10+(0))*(1-'Assumptions'!$E$15-(0))*(1-('DCF'!$E$7)/(C25))/(('DCF'!$E$6)-('DCF'!$E$7))/(1+('DCF'!$E$6))^'DCF'!$E$19)+'Equity Bridge'!$E$17)/'Equity Bridge'!$E$20</x:f>
        <x:v>286.35225469155296</x:v>
      </x:c>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201" t="n">
        <x:v>0.25</x:v>
      </x:c>
      <x:c r="D26"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Value'!$E$10+(0))*(1-'Assumptions'!$E$15-(0))*(1-('DCF'!$E$7)/(C26))/(('DCF'!$E$6)-('DCF'!$E$7))/(1+('DCF'!$E$6))^'DCF'!$E$19)+'Equity Bridge'!$E$17)/'Equity Bridge'!$E$20</x:f>
        <x:v>294.4631886410631</x:v>
      </x:c>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201" t="n">
        <x:v>0.30000000000000004</x:v>
      </x:c>
      <x:c r="D27"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Value'!$E$10+(0))*(1-'Assumptions'!$E$15-(0))*(1-('DCF'!$E$7)/(C27))/(('DCF'!$E$6)-('DCF'!$E$7))/(1+('DCF'!$E$6))^'DCF'!$E$19)+'Equity Bridge'!$E$17)/'Equity Bridge'!$E$20</x:f>
        <x:v>299.8704779407365</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01" t="n">
        <x:v>0.35</x:v>
      </x:c>
      <x:c r="D28"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Value'!$E$10+(0))*(1-'Assumptions'!$E$15-(0))*(1-('DCF'!$E$7)/(C28))/(('DCF'!$E$6)-('DCF'!$E$7))/(1+('DCF'!$E$6))^'DCF'!$E$19)+'Equity Bridge'!$E$17)/'Equity Bridge'!$E$20</x:f>
        <x:v>303.73282744050323</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01" t="n">
        <x:v>0.4</x:v>
      </x:c>
      <x:c r="D29"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Value'!$E$10+(0))*(1-'Assumptions'!$E$15-(0))*(1-('DCF'!$E$7)/(C29))/(('DCF'!$E$6)-('DCF'!$E$7))/(1+('DCF'!$E$6))^'DCF'!$E$19)+'Equity Bridge'!$E$17)/'Equity Bridge'!$E$20</x:f>
        <x:v>306.6295895653282</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01" t="n">
        <x:v>0.45000000000000007</x:v>
      </x:c>
      <x:c r="D30"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Value'!$E$10+(0))*(1-'Assumptions'!$E$15-(0))*(1-('DCF'!$E$7)/(C30))/(('DCF'!$E$6)-('DCF'!$E$7))/(1+('DCF'!$E$6))^'DCF'!$E$19)+'Equity Bridge'!$E$17)/'Equity Bridge'!$E$20</x:f>
        <x:v>308.8826267735255</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201" t="n">
        <x:v>0.5</x:v>
      </x:c>
      <x:c r="D31" s="145" t="n">
        <x:f>((SUM((('Forecast'!E12)*(('Assumptions'!E37+(0))*(1-'Assumptions'!E42-(0))+'Assumptions'!E47-'Assumptions'!E52*(1)+'Assumptions'!E57-'Assumptions'!E62*(1)-'Assumptions'!E67-(0))+('Working Capital'!$E$6))*'DCF'!E12/(1+('DCF'!$E$6))^'DCF'!E13,(('Forecast'!F12)*(('Assumptions'!F37+(0))*(1-'Assumptions'!F42-(0))+'Assumptions'!F47-'Assumptions'!F52*(1)+'Assumptions'!F57-'Assumptions'!F62*(1)-'Assumptions'!F67-(0))+(('Forecast'!E12)*('Assumptions'!E67+(0))))*'DCF'!F12/(1+('DCF'!$E$6))^'DCF'!F13,(('Forecast'!G12)*(('Assumptions'!G37+(0))*(1-'Assumptions'!G42-(0))+'Assumptions'!G47-'Assumptions'!G52*(1)+'Assumptions'!G57-'Assumptions'!G62*(1)-'Assumptions'!G67-(0))+(('Forecast'!F12)*('Assumptions'!F67+(0))))*'DCF'!G12/(1+('DCF'!$E$6))^'DCF'!G13,(('Forecast'!H12)*(('Assumptions'!H37+(0))*(1-'Assumptions'!H42-(0))+'Assumptions'!H47-'Assumptions'!H52*(1)+'Assumptions'!H57-'Assumptions'!H62*(1)-'Assumptions'!H67-(0))+(('Forecast'!G12)*('Assumptions'!G67+(0))))*'DCF'!H12/(1+('DCF'!$E$6))^'DCF'!H13,(('Forecast'!I12)*(('Assumptions'!I37+(0))*(1-'Assumptions'!I42-(0))+'Assumptions'!I47-'Assumptions'!I52*(1)+'Assumptions'!I57-'Assumptions'!I62*(1)-'Assumptions'!I67-(0))+(('Forecast'!H12)*('Assumptions'!H67+(0))))*'DCF'!I12/(1+('DCF'!$E$6))^'DCF'!I13)+('Forecast'!I12)*(1+('DCF'!$E$7))*('Terminal Value'!$E$10+(0))*(1-'Assumptions'!$E$15-(0))*(1-('DCF'!$E$7)/(C31))/(('DCF'!$E$6)-('DCF'!$E$7))/(1+('DCF'!$E$6))^'DCF'!$E$19)+'Equity Bridge'!$E$17)/'Equity Bridge'!$E$20</x:f>
        <x:v>310.6850565400832</x:v>
      </x:c>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67" t="str">
        <x:v>Selected case observations</x:v>
      </x:c>
      <x:c r="D35" s="170"/>
      <x:c r="E35" s="170"/>
      <x:c r="F35" s="170"/>
      <x:c r="G35" s="170"/>
      <x:c r="H35" s="170"/>
      <x:c r="I35" s="170"/>
      <x:c r="J35" s="170"/>
      <x:c r="K35" s="170"/>
      <x:c r="L35" s="173"/>
      <x:c r="M35" s="136"/>
      <x:c r="N35" s="136"/>
      <x:c r="O35" s="136"/>
      <x:c r="P35" s="136"/>
      <x:c r="Q35" s="136"/>
      <x:c r="R35" s="136"/>
      <x:c r="S35" s="136"/>
      <x:c r="T35" s="136"/>
      <x:c r="U35" s="136"/>
      <x:c r="V35" s="136"/>
      <x:c r="W35" s="136"/>
      <x:c r="X35" s="136"/>
      <x:c r="Y35" s="136"/>
      <x:c r="Z35" s="136"/>
    </x:row>
    <x:row r="36" ht="24" customHeight="1">
      <x:c r="A36" s="136"/>
      <x:c r="B36" s="136"/>
      <x:c r="C36" s="174" t="str">
        <x:f>"The no-reinvestment price ceiling is USD "&amp;ROUND(E17,2)&amp;" with a remaining gap USD "&amp;ROUND(E18,2)&amp;". "&amp;"Higher ROIC reduces investment needed for the same stable growth, increasing stable cash flow. With positive NOPAT, cash flow cannot exceed NOPAT as ROIC tends to infinity."</x:f>
        <x:v>The no-reinvestment price ceiling is USD 326.91 with a remaining gap USD 195.7. Higher ROIC reduces investment needed for the same stable growth, increasing stable cash flow. With positive NOPAT, cash flow cannot exceed NOPAT as ROIC tends to infinity.</x:v>
      </x:c>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t="str">
        <x:v>If the market requires more terminal PV than that no-reinvestment ceiling, no positive finite ROIC can explain the price alone. The model reports this condition instead of a misleading negative ROIC.</x:v>
      </x:c>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t="str">
        <x:v>The ceiling keeps growth, margins, taxes, discount rate and explicit cash flows fixed. Exceeding it requires changing at least one additional fundamental driver.</x:v>
      </x:c>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6:L38"/>
    <x:mergeCell ref="C39:L41"/>
    <x:mergeCell ref="C42:L44"/>
  </x:mergeCells>
  <x:pageMargins left="0.7" right="0.7" top="0.75" bottom="0.75" header="0.3" footer="0.3"/>
  <x:drawing xmlns:r="http://schemas.openxmlformats.org/officeDocument/2006/relationships" r:id="R7c87c404a813403a"/>
  <x:legacyDrawing xmlns:r="http://schemas.openxmlformats.org/officeDocument/2006/relationships" r:id="R71c79da947164a38"/>
</x:worksheet>
</file>

<file path=xl/worksheets/sheet21.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Tax</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Value slope per unit driver</x:v>
      </x:c>
      <x:c r="D11" s="136"/>
      <x:c r="E11" s="164" t="n">
        <x:f>-SUM('Forecast'!E15*'DCF'!E12/'DCF'!E14,'Forecast'!F15*'DCF'!F12/'DCF'!F14,'Forecast'!G15*'DCF'!G12/'DCF'!G14,'Forecast'!H15*'DCF'!H12/'DCF'!H14,'Forecast'!I15*'DCF'!I12/'DCF'!I14,'Terminal Value'!E8*(1+'DCF'!E7)*'Terminal Value'!E10*(1-'DCF'!E7/'Terminal Value'!E12)/('DCF'!E6-'DCF'!E7)/'DCF'!E20)</x:f>
        <x:v>-2926530.1849620566</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Required operating tax rate shift</x:v>
      </x:c>
      <x:c r="D12" s="139"/>
      <x:c r="E12" s="152" t="n">
        <x:f>0+E10/E11</x:f>
        <x:v>-0.6013991689954796</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Economic interpretation</x:v>
      </x:c>
      <x:c r="D14" s="136"/>
      <x:c r="E14" s="243" t="str">
        <x:f>IF(AND(MIN('Forecast'!E16:I16)+E12&gt;=0,MAX('Forecast'!E16:I16)+E12&lt;=0.50,'Assumptions'!E15+E12&gt;=0,'Assumptions'!E15+E12&lt;=0.50),"Inside 0% to 50% tax band","Outside tax band")</x:f>
        <x:v>Outside tax band</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Solved enterprise value</x:v>
      </x:c>
      <x:c r="D16" s="136"/>
      <x:c r="E16" s="164" t="n">
        <x:f>E8+(E12-(0))*E11</x:f>
        <x:v>3908109.96905151</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Valuation residual</x:v>
      </x:c>
      <x:c r="D17" s="136"/>
      <x:c r="E17" s="191" t="n">
        <x:f>E16-E9</x:f>
        <x:v>0</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9" t="str">
        <x:v>Required stable tax rate</x:v>
      </x:c>
      <x:c r="D19" s="139"/>
      <x:c r="E19" s="152" t="n">
        <x:f>'Assumptions'!E15+E12</x:f>
        <x:v>-0.4013991689954796</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Driver test</x:v>
      </x:c>
      <x:c r="D21" s="160" t="str">
        <x:v>Fair price</x:v>
      </x:c>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201" t="n">
        <x:v>-0.1</x:v>
      </x:c>
      <x:c r="D22" s="145" t="n">
        <x:f>((SUM((('Forecast'!E12)*(('Assumptions'!E37+(0))*(1-'Assumptions'!E42-(C22))+'Assumptions'!E47-'Assumptions'!E52*(1)+'Assumptions'!E57-'Assumptions'!E62*(1)-'Assumptions'!E67-(0))+('Working Capital'!$E$6))*'DCF'!E12/(1+('DCF'!$E$6))^'DCF'!E13,(('Forecast'!F12)*(('Assumptions'!F37+(0))*(1-'Assumptions'!F42-(C22))+'Assumptions'!F47-'Assumptions'!F52*(1)+'Assumptions'!F57-'Assumptions'!F62*(1)-'Assumptions'!F67-(0))+(('Forecast'!E12)*('Assumptions'!E67+(0))))*'DCF'!F12/(1+('DCF'!$E$6))^'DCF'!F13,(('Forecast'!G12)*(('Assumptions'!G37+(0))*(1-'Assumptions'!G42-(C22))+'Assumptions'!G47-'Assumptions'!G52*(1)+'Assumptions'!G57-'Assumptions'!G62*(1)-'Assumptions'!G67-(0))+(('Forecast'!F12)*('Assumptions'!F67+(0))))*'DCF'!G12/(1+('DCF'!$E$6))^'DCF'!G13,(('Forecast'!H12)*(('Assumptions'!H37+(0))*(1-'Assumptions'!H42-(C22))+'Assumptions'!H47-'Assumptions'!H52*(1)+'Assumptions'!H57-'Assumptions'!H62*(1)-'Assumptions'!H67-(0))+(('Forecast'!G12)*('Assumptions'!G67+(0))))*'DCF'!H12/(1+('DCF'!$E$6))^'DCF'!H13,(('Forecast'!I12)*(('Assumptions'!I37+(0))*(1-'Assumptions'!I42-(C22))+'Assumptions'!I47-'Assumptions'!I52*(1)+'Assumptions'!I57-'Assumptions'!I62*(1)-'Assumptions'!I67-(0))+(('Forecast'!H12)*('Assumptions'!H67+(0))))*'DCF'!I12/(1+('DCF'!$E$6))^'DCF'!I13)+('Forecast'!I12)*(1+('DCF'!$E$7))*('Terminal Value'!$E$10+(0))*(1-'Assumptions'!$E$15-(C22))*(1-('DCF'!$E$7)/('Terminal Value'!$E$12))/(('DCF'!$E$6)-('DCF'!$E$7))/(1+('DCF'!$E$6))^'DCF'!$E$19)+'Equity Bridge'!$E$17)/'Equity Bridge'!$E$20</x:f>
        <x:v>325.6369357301167</x:v>
      </x:c>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201" t="n">
        <x:v>-0.07500000000000001</x:v>
      </x:c>
      <x:c r="D23" s="145" t="n">
        <x:f>((SUM((('Forecast'!E12)*(('Assumptions'!E37+(0))*(1-'Assumptions'!E42-(C23))+'Assumptions'!E47-'Assumptions'!E52*(1)+'Assumptions'!E57-'Assumptions'!E62*(1)-'Assumptions'!E67-(0))+('Working Capital'!$E$6))*'DCF'!E12/(1+('DCF'!$E$6))^'DCF'!E13,(('Forecast'!F12)*(('Assumptions'!F37+(0))*(1-'Assumptions'!F42-(C23))+'Assumptions'!F47-'Assumptions'!F52*(1)+'Assumptions'!F57-'Assumptions'!F62*(1)-'Assumptions'!F67-(0))+(('Forecast'!E12)*('Assumptions'!E67+(0))))*'DCF'!F12/(1+('DCF'!$E$6))^'DCF'!F13,(('Forecast'!G12)*(('Assumptions'!G37+(0))*(1-'Assumptions'!G42-(C23))+'Assumptions'!G47-'Assumptions'!G52*(1)+'Assumptions'!G57-'Assumptions'!G62*(1)-'Assumptions'!G67-(0))+(('Forecast'!F12)*('Assumptions'!F67+(0))))*'DCF'!G12/(1+('DCF'!$E$6))^'DCF'!G13,(('Forecast'!H12)*(('Assumptions'!H37+(0))*(1-'Assumptions'!H42-(C23))+'Assumptions'!H47-'Assumptions'!H52*(1)+'Assumptions'!H57-'Assumptions'!H62*(1)-'Assumptions'!H67-(0))+(('Forecast'!G12)*('Assumptions'!G67+(0))))*'DCF'!H12/(1+('DCF'!$E$6))^'DCF'!H13,(('Forecast'!I12)*(('Assumptions'!I37+(0))*(1-'Assumptions'!I42-(C23))+'Assumptions'!I47-'Assumptions'!I52*(1)+'Assumptions'!I57-'Assumptions'!I62*(1)-'Assumptions'!I67-(0))+(('Forecast'!H12)*('Assumptions'!H67+(0))))*'DCF'!I12/(1+('DCF'!$E$6))^'DCF'!I13)+('Forecast'!I12)*(1+('DCF'!$E$7))*('Terminal Value'!$E$10+(0))*(1-'Assumptions'!$E$15-(C23))*(1-('DCF'!$E$7)/('Terminal Value'!$E$12))/(('DCF'!$E$6)-('DCF'!$E$7))/(1+('DCF'!$E$6))^'DCF'!$E$19)+'Equity Bridge'!$E$17)/'Equity Bridge'!$E$20</x:f>
        <x:v>315.81576547047575</x:v>
      </x:c>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201" t="n">
        <x:v>-0.05</x:v>
      </x:c>
      <x:c r="D24" s="145" t="n">
        <x:f>((SUM((('Forecast'!E12)*(('Assumptions'!E37+(0))*(1-'Assumptions'!E42-(C24))+'Assumptions'!E47-'Assumptions'!E52*(1)+'Assumptions'!E57-'Assumptions'!E62*(1)-'Assumptions'!E67-(0))+('Working Capital'!$E$6))*'DCF'!E12/(1+('DCF'!$E$6))^'DCF'!E13,(('Forecast'!F12)*(('Assumptions'!F37+(0))*(1-'Assumptions'!F42-(C24))+'Assumptions'!F47-'Assumptions'!F52*(1)+'Assumptions'!F57-'Assumptions'!F62*(1)-'Assumptions'!F67-(0))+(('Forecast'!E12)*('Assumptions'!E67+(0))))*'DCF'!F12/(1+('DCF'!$E$6))^'DCF'!F13,(('Forecast'!G12)*(('Assumptions'!G37+(0))*(1-'Assumptions'!G42-(C24))+'Assumptions'!G47-'Assumptions'!G52*(1)+'Assumptions'!G57-'Assumptions'!G62*(1)-'Assumptions'!G67-(0))+(('Forecast'!F12)*('Assumptions'!F67+(0))))*'DCF'!G12/(1+('DCF'!$E$6))^'DCF'!G13,(('Forecast'!H12)*(('Assumptions'!H37+(0))*(1-'Assumptions'!H42-(C24))+'Assumptions'!H47-'Assumptions'!H52*(1)+'Assumptions'!H57-'Assumptions'!H62*(1)-'Assumptions'!H67-(0))+(('Forecast'!G12)*('Assumptions'!G67+(0))))*'DCF'!H12/(1+('DCF'!$E$6))^'DCF'!H13,(('Forecast'!I12)*(('Assumptions'!I37+(0))*(1-'Assumptions'!I42-(C24))+'Assumptions'!I47-'Assumptions'!I52*(1)+'Assumptions'!I57-'Assumptions'!I62*(1)-'Assumptions'!I67-(0))+(('Forecast'!H12)*('Assumptions'!H67+(0))))*'DCF'!I12/(1+('DCF'!$E$6))^'DCF'!I13)+('Forecast'!I12)*(1+('DCF'!$E$7))*('Terminal Value'!$E$10+(0))*(1-'Assumptions'!$E$15-(C24))*(1-('DCF'!$E$7)/('Terminal Value'!$E$12))/(('DCF'!$E$6)-('DCF'!$E$7))/(1+('DCF'!$E$6))^'DCF'!$E$19)+'Equity Bridge'!$E$17)/'Equity Bridge'!$E$20</x:f>
        <x:v>305.9945952108348</x:v>
      </x:c>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201" t="n">
        <x:v>-0.024999999999999994</x:v>
      </x:c>
      <x:c r="D25" s="145" t="n">
        <x:f>((SUM((('Forecast'!E12)*(('Assumptions'!E37+(0))*(1-'Assumptions'!E42-(C25))+'Assumptions'!E47-'Assumptions'!E52*(1)+'Assumptions'!E57-'Assumptions'!E62*(1)-'Assumptions'!E67-(0))+('Working Capital'!$E$6))*'DCF'!E12/(1+('DCF'!$E$6))^'DCF'!E13,(('Forecast'!F12)*(('Assumptions'!F37+(0))*(1-'Assumptions'!F42-(C25))+'Assumptions'!F47-'Assumptions'!F52*(1)+'Assumptions'!F57-'Assumptions'!F62*(1)-'Assumptions'!F67-(0))+(('Forecast'!E12)*('Assumptions'!E67+(0))))*'DCF'!F12/(1+('DCF'!$E$6))^'DCF'!F13,(('Forecast'!G12)*(('Assumptions'!G37+(0))*(1-'Assumptions'!G42-(C25))+'Assumptions'!G47-'Assumptions'!G52*(1)+'Assumptions'!G57-'Assumptions'!G62*(1)-'Assumptions'!G67-(0))+(('Forecast'!F12)*('Assumptions'!F67+(0))))*'DCF'!G12/(1+('DCF'!$E$6))^'DCF'!G13,(('Forecast'!H12)*(('Assumptions'!H37+(0))*(1-'Assumptions'!H42-(C25))+'Assumptions'!H47-'Assumptions'!H52*(1)+'Assumptions'!H57-'Assumptions'!H62*(1)-'Assumptions'!H67-(0))+(('Forecast'!G12)*('Assumptions'!G67+(0))))*'DCF'!H12/(1+('DCF'!$E$6))^'DCF'!H13,(('Forecast'!I12)*(('Assumptions'!I37+(0))*(1-'Assumptions'!I42-(C25))+'Assumptions'!I47-'Assumptions'!I52*(1)+'Assumptions'!I57-'Assumptions'!I62*(1)-'Assumptions'!I67-(0))+(('Forecast'!H12)*('Assumptions'!H67+(0))))*'DCF'!I12/(1+('DCF'!$E$6))^'DCF'!I13)+('Forecast'!I12)*(1+('DCF'!$E$7))*('Terminal Value'!$E$10+(0))*(1-'Assumptions'!$E$15-(C25))*(1-('DCF'!$E$7)/('Terminal Value'!$E$12))/(('DCF'!$E$6)-('DCF'!$E$7))/(1+('DCF'!$E$6))^'DCF'!$E$19)+'Equity Bridge'!$E$17)/'Equity Bridge'!$E$20</x:f>
        <x:v>296.1734249511939</x:v>
      </x:c>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201" t="n">
        <x:v>0</x:v>
      </x:c>
      <x:c r="D26" s="145" t="n">
        <x:f>((SUM((('Forecast'!E12)*(('Assumptions'!E37+(0))*(1-'Assumptions'!E42-(C26))+'Assumptions'!E47-'Assumptions'!E52*(1)+'Assumptions'!E57-'Assumptions'!E62*(1)-'Assumptions'!E67-(0))+('Working Capital'!$E$6))*'DCF'!E12/(1+('DCF'!$E$6))^'DCF'!E13,(('Forecast'!F12)*(('Assumptions'!F37+(0))*(1-'Assumptions'!F42-(C26))+'Assumptions'!F47-'Assumptions'!F52*(1)+'Assumptions'!F57-'Assumptions'!F62*(1)-'Assumptions'!F67-(0))+(('Forecast'!E12)*('Assumptions'!E67+(0))))*'DCF'!F12/(1+('DCF'!$E$6))^'DCF'!F13,(('Forecast'!G12)*(('Assumptions'!G37+(0))*(1-'Assumptions'!G42-(C26))+'Assumptions'!G47-'Assumptions'!G52*(1)+'Assumptions'!G57-'Assumptions'!G62*(1)-'Assumptions'!G67-(0))+(('Forecast'!F12)*('Assumptions'!F67+(0))))*'DCF'!G12/(1+('DCF'!$E$6))^'DCF'!G13,(('Forecast'!H12)*(('Assumptions'!H37+(0))*(1-'Assumptions'!H42-(C26))+'Assumptions'!H47-'Assumptions'!H52*(1)+'Assumptions'!H57-'Assumptions'!H62*(1)-'Assumptions'!H67-(0))+(('Forecast'!G12)*('Assumptions'!G67+(0))))*'DCF'!H12/(1+('DCF'!$E$6))^'DCF'!H13,(('Forecast'!I12)*(('Assumptions'!I37+(0))*(1-'Assumptions'!I42-(C26))+'Assumptions'!I47-'Assumptions'!I52*(1)+'Assumptions'!I57-'Assumptions'!I62*(1)-'Assumptions'!I67-(0))+(('Forecast'!H12)*('Assumptions'!H67+(0))))*'DCF'!I12/(1+('DCF'!$E$6))^'DCF'!I13)+('Forecast'!I12)*(1+('DCF'!$E$7))*('Terminal Value'!$E$10+(0))*(1-'Assumptions'!$E$15-(C26))*(1-('DCF'!$E$7)/('Terminal Value'!$E$12))/(('DCF'!$E$6)-('DCF'!$E$7))/(1+('DCF'!$E$6))^'DCF'!$E$19)+'Equity Bridge'!$E$17)/'Equity Bridge'!$E$20</x:f>
        <x:v>286.35225469155296</x:v>
      </x:c>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201" t="n">
        <x:v>0.024999999999999994</x:v>
      </x:c>
      <x:c r="D27" s="145" t="n">
        <x:f>((SUM((('Forecast'!E12)*(('Assumptions'!E37+(0))*(1-'Assumptions'!E42-(C27))+'Assumptions'!E47-'Assumptions'!E52*(1)+'Assumptions'!E57-'Assumptions'!E62*(1)-'Assumptions'!E67-(0))+('Working Capital'!$E$6))*'DCF'!E12/(1+('DCF'!$E$6))^'DCF'!E13,(('Forecast'!F12)*(('Assumptions'!F37+(0))*(1-'Assumptions'!F42-(C27))+'Assumptions'!F47-'Assumptions'!F52*(1)+'Assumptions'!F57-'Assumptions'!F62*(1)-'Assumptions'!F67-(0))+(('Forecast'!E12)*('Assumptions'!E67+(0))))*'DCF'!F12/(1+('DCF'!$E$6))^'DCF'!F13,(('Forecast'!G12)*(('Assumptions'!G37+(0))*(1-'Assumptions'!G42-(C27))+'Assumptions'!G47-'Assumptions'!G52*(1)+'Assumptions'!G57-'Assumptions'!G62*(1)-'Assumptions'!G67-(0))+(('Forecast'!F12)*('Assumptions'!F67+(0))))*'DCF'!G12/(1+('DCF'!$E$6))^'DCF'!G13,(('Forecast'!H12)*(('Assumptions'!H37+(0))*(1-'Assumptions'!H42-(C27))+'Assumptions'!H47-'Assumptions'!H52*(1)+'Assumptions'!H57-'Assumptions'!H62*(1)-'Assumptions'!H67-(0))+(('Forecast'!G12)*('Assumptions'!G67+(0))))*'DCF'!H12/(1+('DCF'!$E$6))^'DCF'!H13,(('Forecast'!I12)*(('Assumptions'!I37+(0))*(1-'Assumptions'!I42-(C27))+'Assumptions'!I47-'Assumptions'!I52*(1)+'Assumptions'!I57-'Assumptions'!I62*(1)-'Assumptions'!I67-(0))+(('Forecast'!H12)*('Assumptions'!H67+(0))))*'DCF'!I12/(1+('DCF'!$E$6))^'DCF'!I13)+('Forecast'!I12)*(1+('DCF'!$E$7))*('Terminal Value'!$E$10+(0))*(1-'Assumptions'!$E$15-(C27))*(1-('DCF'!$E$7)/('Terminal Value'!$E$12))/(('DCF'!$E$6)-('DCF'!$E$7))/(1+('DCF'!$E$6))^'DCF'!$E$19)+'Equity Bridge'!$E$17)/'Equity Bridge'!$E$20</x:f>
        <x:v>276.531084431912</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01" t="n">
        <x:v>0.05000000000000002</x:v>
      </x:c>
      <x:c r="D28" s="145" t="n">
        <x:f>((SUM((('Forecast'!E12)*(('Assumptions'!E37+(0))*(1-'Assumptions'!E42-(C28))+'Assumptions'!E47-'Assumptions'!E52*(1)+'Assumptions'!E57-'Assumptions'!E62*(1)-'Assumptions'!E67-(0))+('Working Capital'!$E$6))*'DCF'!E12/(1+('DCF'!$E$6))^'DCF'!E13,(('Forecast'!F12)*(('Assumptions'!F37+(0))*(1-'Assumptions'!F42-(C28))+'Assumptions'!F47-'Assumptions'!F52*(1)+'Assumptions'!F57-'Assumptions'!F62*(1)-'Assumptions'!F67-(0))+(('Forecast'!E12)*('Assumptions'!E67+(0))))*'DCF'!F12/(1+('DCF'!$E$6))^'DCF'!F13,(('Forecast'!G12)*(('Assumptions'!G37+(0))*(1-'Assumptions'!G42-(C28))+'Assumptions'!G47-'Assumptions'!G52*(1)+'Assumptions'!G57-'Assumptions'!G62*(1)-'Assumptions'!G67-(0))+(('Forecast'!F12)*('Assumptions'!F67+(0))))*'DCF'!G12/(1+('DCF'!$E$6))^'DCF'!G13,(('Forecast'!H12)*(('Assumptions'!H37+(0))*(1-'Assumptions'!H42-(C28))+'Assumptions'!H47-'Assumptions'!H52*(1)+'Assumptions'!H57-'Assumptions'!H62*(1)-'Assumptions'!H67-(0))+(('Forecast'!G12)*('Assumptions'!G67+(0))))*'DCF'!H12/(1+('DCF'!$E$6))^'DCF'!H13,(('Forecast'!I12)*(('Assumptions'!I37+(0))*(1-'Assumptions'!I42-(C28))+'Assumptions'!I47-'Assumptions'!I52*(1)+'Assumptions'!I57-'Assumptions'!I62*(1)-'Assumptions'!I67-(0))+(('Forecast'!H12)*('Assumptions'!H67+(0))))*'DCF'!I12/(1+('DCF'!$E$6))^'DCF'!I13)+('Forecast'!I12)*(1+('DCF'!$E$7))*('Terminal Value'!$E$10+(0))*(1-'Assumptions'!$E$15-(C28))*(1-('DCF'!$E$7)/('Terminal Value'!$E$12))/(('DCF'!$E$6)-('DCF'!$E$7))/(1+('DCF'!$E$6))^'DCF'!$E$19)+'Equity Bridge'!$E$17)/'Equity Bridge'!$E$20</x:f>
        <x:v>266.70991417227106</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01" t="n">
        <x:v>0.07500000000000001</x:v>
      </x:c>
      <x:c r="D29" s="145" t="n">
        <x:f>((SUM((('Forecast'!E12)*(('Assumptions'!E37+(0))*(1-'Assumptions'!E42-(C29))+'Assumptions'!E47-'Assumptions'!E52*(1)+'Assumptions'!E57-'Assumptions'!E62*(1)-'Assumptions'!E67-(0))+('Working Capital'!$E$6))*'DCF'!E12/(1+('DCF'!$E$6))^'DCF'!E13,(('Forecast'!F12)*(('Assumptions'!F37+(0))*(1-'Assumptions'!F42-(C29))+'Assumptions'!F47-'Assumptions'!F52*(1)+'Assumptions'!F57-'Assumptions'!F62*(1)-'Assumptions'!F67-(0))+(('Forecast'!E12)*('Assumptions'!E67+(0))))*'DCF'!F12/(1+('DCF'!$E$6))^'DCF'!F13,(('Forecast'!G12)*(('Assumptions'!G37+(0))*(1-'Assumptions'!G42-(C29))+'Assumptions'!G47-'Assumptions'!G52*(1)+'Assumptions'!G57-'Assumptions'!G62*(1)-'Assumptions'!G67-(0))+(('Forecast'!F12)*('Assumptions'!F67+(0))))*'DCF'!G12/(1+('DCF'!$E$6))^'DCF'!G13,(('Forecast'!H12)*(('Assumptions'!H37+(0))*(1-'Assumptions'!H42-(C29))+'Assumptions'!H47-'Assumptions'!H52*(1)+'Assumptions'!H57-'Assumptions'!H62*(1)-'Assumptions'!H67-(0))+(('Forecast'!G12)*('Assumptions'!G67+(0))))*'DCF'!H12/(1+('DCF'!$E$6))^'DCF'!H13,(('Forecast'!I12)*(('Assumptions'!I37+(0))*(1-'Assumptions'!I42-(C29))+'Assumptions'!I47-'Assumptions'!I52*(1)+'Assumptions'!I57-'Assumptions'!I62*(1)-'Assumptions'!I67-(0))+(('Forecast'!H12)*('Assumptions'!H67+(0))))*'DCF'!I12/(1+('DCF'!$E$6))^'DCF'!I13)+('Forecast'!I12)*(1+('DCF'!$E$7))*('Terminal Value'!$E$10+(0))*(1-'Assumptions'!$E$15-(C29))*(1-('DCF'!$E$7)/('Terminal Value'!$E$12))/(('DCF'!$E$6)-('DCF'!$E$7))/(1+('DCF'!$E$6))^'DCF'!$E$19)+'Equity Bridge'!$E$17)/'Equity Bridge'!$E$20</x:f>
        <x:v>256.8887439126301</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01" t="n">
        <x:v>0.1</x:v>
      </x:c>
      <x:c r="D30" s="145" t="n">
        <x:f>((SUM((('Forecast'!E12)*(('Assumptions'!E37+(0))*(1-'Assumptions'!E42-(C30))+'Assumptions'!E47-'Assumptions'!E52*(1)+'Assumptions'!E57-'Assumptions'!E62*(1)-'Assumptions'!E67-(0))+('Working Capital'!$E$6))*'DCF'!E12/(1+('DCF'!$E$6))^'DCF'!E13,(('Forecast'!F12)*(('Assumptions'!F37+(0))*(1-'Assumptions'!F42-(C30))+'Assumptions'!F47-'Assumptions'!F52*(1)+'Assumptions'!F57-'Assumptions'!F62*(1)-'Assumptions'!F67-(0))+(('Forecast'!E12)*('Assumptions'!E67+(0))))*'DCF'!F12/(1+('DCF'!$E$6))^'DCF'!F13,(('Forecast'!G12)*(('Assumptions'!G37+(0))*(1-'Assumptions'!G42-(C30))+'Assumptions'!G47-'Assumptions'!G52*(1)+'Assumptions'!G57-'Assumptions'!G62*(1)-'Assumptions'!G67-(0))+(('Forecast'!F12)*('Assumptions'!F67+(0))))*'DCF'!G12/(1+('DCF'!$E$6))^'DCF'!G13,(('Forecast'!H12)*(('Assumptions'!H37+(0))*(1-'Assumptions'!H42-(C30))+'Assumptions'!H47-'Assumptions'!H52*(1)+'Assumptions'!H57-'Assumptions'!H62*(1)-'Assumptions'!H67-(0))+(('Forecast'!G12)*('Assumptions'!G67+(0))))*'DCF'!H12/(1+('DCF'!$E$6))^'DCF'!H13,(('Forecast'!I12)*(('Assumptions'!I37+(0))*(1-'Assumptions'!I42-(C30))+'Assumptions'!I47-'Assumptions'!I52*(1)+'Assumptions'!I57-'Assumptions'!I62*(1)-'Assumptions'!I67-(0))+(('Forecast'!H12)*('Assumptions'!H67+(0))))*'DCF'!I12/(1+('DCF'!$E$6))^'DCF'!I13)+('Forecast'!I12)*(1+('DCF'!$E$7))*('Terminal Value'!$E$10+(0))*(1-'Assumptions'!$E$15-(C30))*(1-('DCF'!$E$7)/('Terminal Value'!$E$12))/(('DCF'!$E$6)-('DCF'!$E$7))/(1+('DCF'!$E$6))^'DCF'!$E$19)+'Equity Bridge'!$E$17)/'Equity Bridge'!$E$20</x:f>
        <x:v>247.06757365298924</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67" t="str">
        <x:v>Selected case observations</x:v>
      </x:c>
      <x:c r="D34" s="170"/>
      <x:c r="E34" s="170"/>
      <x:c r="F34" s="170"/>
      <x:c r="G34" s="170"/>
      <x:c r="H34" s="170"/>
      <x:c r="I34" s="170"/>
      <x:c r="J34" s="170"/>
      <x:c r="K34" s="170"/>
      <x:c r="L34" s="173"/>
      <x:c r="M34" s="136"/>
      <x:c r="N34" s="136"/>
      <x:c r="O34" s="136"/>
      <x:c r="P34" s="136"/>
      <x:c r="Q34" s="136"/>
      <x:c r="R34" s="136"/>
      <x:c r="S34" s="136"/>
      <x:c r="T34" s="136"/>
      <x:c r="U34" s="136"/>
      <x:c r="V34" s="136"/>
      <x:c r="W34" s="136"/>
      <x:c r="X34" s="136"/>
      <x:c r="Y34" s="136"/>
      <x:c r="Z34" s="136"/>
    </x:row>
    <x:row r="35" ht="24" customHeight="1">
      <x:c r="A35" s="136"/>
      <x:c r="B35" s="136"/>
      <x:c r="C35" s="174" t="str">
        <x:f>"Required tax shift is "&amp;ROUND(E12*100,2)&amp;" pp. "&amp;"All explicit operating tax rates and the stable tax rate shift together. The WACC debt tax shield stays fixed to isolate operating taxation. Negative ongoing tax rates are not accepted as a sustainable base case."</x:f>
        <x:v>Required tax shift is -60.14 pp. All explicit operating tax rates and the stable tax rate shift together. The WACC debt tax shield stays fixed to isolate operating taxation. Negative ongoing tax rates are not accepted as a sustainable base case.</x:v>
      </x:c>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t="str">
        <x:v>This is a one-factor PV derivative. The required driver equals its selected baseline plus the market value gap divided by that derivative. The resulting price is checked against the same enterprise value target.</x:v>
      </x:c>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t="str">
        <x:v>D&amp;A and stable ROIC retain their calibrated values. The analysis does not create an independent asset-capacity, sales cycle or tax-planning forecast. Required investment and other affected assumptions must be reassessed for an investable alternative.</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5:L37"/>
    <x:mergeCell ref="C38:L40"/>
    <x:mergeCell ref="C41:L43"/>
  </x:mergeCells>
  <x:pageMargins left="0.7" right="0.7" top="0.75" bottom="0.75" header="0.3" footer="0.3"/>
  <x:drawing xmlns:r="http://schemas.openxmlformats.org/officeDocument/2006/relationships" r:id="R088ff5291f644ed4"/>
  <x:legacyDrawing xmlns:r="http://schemas.openxmlformats.org/officeDocument/2006/relationships" r:id="Ra37d50fbdba14adf"/>
</x:worksheet>
</file>

<file path=xl/worksheets/sheet22.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Leases</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Value slope per unit driver</x:v>
      </x:c>
      <x:c r="D11" s="136"/>
      <x:c r="E11" s="164" t="n">
        <x:f>-SUM('Capital Spending'!E12*'DCF'!E12/'DCF'!E14,'Capital Spending'!F12*'DCF'!F12/'DCF'!F14,'Capital Spending'!G12*'DCF'!G12/'DCF'!G14,'Capital Spending'!H12*'DCF'!H12/'DCF'!H14,'Capital Spending'!I12*'DCF'!I12/'DCF'!I14)</x:f>
        <x:v>-124470.45566483005</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Required finance asset additions multiplier</x:v>
      </x:c>
      <x:c r="D12" s="136"/>
      <x:c r="E12" s="222" t="n">
        <x:f>1+E10/E11</x:f>
        <x:v>-13.140004645083591</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Economic interpretation</x:v>
      </x:c>
      <x:c r="D14" s="136"/>
      <x:c r="E14" s="243" t="str">
        <x:f>IF(E12&gt;=0,"Nonnegative asset additions","Impossible negative additions")</x:f>
        <x:v>Impossible negative additions</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Solved enterprise value</x:v>
      </x:c>
      <x:c r="D16" s="136"/>
      <x:c r="E16" s="164" t="n">
        <x:f>E8+(E12-(1))*E11</x:f>
        <x:v>3908109.96905151</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Valuation residual</x:v>
      </x:c>
      <x:c r="D17" s="136"/>
      <x:c r="E17" s="191" t="n">
        <x:f>E16-E9</x:f>
        <x:v>0</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Driver test</x:v>
      </x:c>
      <x:c r="D21" s="160" t="str">
        <x:v>Fair price</x:v>
      </x:c>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242" t="n">
        <x:v>0</x:v>
      </x:c>
      <x:c r="D22" s="145" t="n">
        <x:f>((SUM((('Forecast'!E12)*(('Assumptions'!E37+(0))*(1-'Assumptions'!E42-(0))+'Assumptions'!E47-'Assumptions'!E52*(1)+'Assumptions'!E57-'Assumptions'!E62*(C22)-'Assumptions'!E67-(0))+('Working Capital'!$E$6))*'DCF'!E12/(1+('DCF'!$E$6))^'DCF'!E13,(('Forecast'!F12)*(('Assumptions'!F37+(0))*(1-'Assumptions'!F42-(0))+'Assumptions'!F47-'Assumptions'!F52*(1)+'Assumptions'!F57-'Assumptions'!F62*(C22)-'Assumptions'!F67-(0))+(('Forecast'!E12)*('Assumptions'!E67+(0))))*'DCF'!F12/(1+('DCF'!$E$6))^'DCF'!F13,(('Forecast'!G12)*(('Assumptions'!G37+(0))*(1-'Assumptions'!G42-(0))+'Assumptions'!G47-'Assumptions'!G52*(1)+'Assumptions'!G57-'Assumptions'!G62*(C22)-'Assumptions'!G67-(0))+(('Forecast'!F12)*('Assumptions'!F67+(0))))*'DCF'!G12/(1+('DCF'!$E$6))^'DCF'!G13,(('Forecast'!H12)*(('Assumptions'!H37+(0))*(1-'Assumptions'!H42-(0))+'Assumptions'!H47-'Assumptions'!H52*(1)+'Assumptions'!H57-'Assumptions'!H62*(C22)-'Assumptions'!H67-(0))+(('Forecast'!G12)*('Assumptions'!G67+(0))))*'DCF'!H12/(1+('DCF'!$E$6))^'DCF'!H13,(('Forecast'!I12)*(('Assumptions'!I37+(0))*(1-'Assumptions'!I42-(0))+'Assumptions'!I47-'Assumptions'!I52*(1)+'Assumptions'!I57-'Assumptions'!I62*(C22)-'Assumptions'!I67-(0))+(('Forecast'!H12)*('Assumptions'!H67+(0))))*'DCF'!I12/(1+('DCF'!$E$6))^'DCF'!I13)+('Forecast'!I12)*(1+('DCF'!$E$7))*('Terminal Value'!$E$10+(0))*(1-'Assumptions'!$E$15-(0))*(1-('DCF'!$E$7)/('Terminal Value'!$E$12))/(('DCF'!$E$6)-('DCF'!$E$7))/(1+('DCF'!$E$6))^'DCF'!$E$19)+'Equity Bridge'!$E$17)/'Equity Bridge'!$E$20</x:f>
        <x:v>303.06071775352177</x:v>
      </x:c>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242" t="n">
        <x:v>0.25</x:v>
      </x:c>
      <x:c r="D23" s="145" t="n">
        <x:f>((SUM((('Forecast'!E12)*(('Assumptions'!E37+(0))*(1-'Assumptions'!E42-(0))+'Assumptions'!E47-'Assumptions'!E52*(1)+'Assumptions'!E57-'Assumptions'!E62*(C23)-'Assumptions'!E67-(0))+('Working Capital'!$E$6))*'DCF'!E12/(1+('DCF'!$E$6))^'DCF'!E13,(('Forecast'!F12)*(('Assumptions'!F37+(0))*(1-'Assumptions'!F42-(0))+'Assumptions'!F47-'Assumptions'!F52*(1)+'Assumptions'!F57-'Assumptions'!F62*(C23)-'Assumptions'!F67-(0))+(('Forecast'!E12)*('Assumptions'!E67+(0))))*'DCF'!F12/(1+('DCF'!$E$6))^'DCF'!F13,(('Forecast'!G12)*(('Assumptions'!G37+(0))*(1-'Assumptions'!G42-(0))+'Assumptions'!G47-'Assumptions'!G52*(1)+'Assumptions'!G57-'Assumptions'!G62*(C23)-'Assumptions'!G67-(0))+(('Forecast'!F12)*('Assumptions'!F67+(0))))*'DCF'!G12/(1+('DCF'!$E$6))^'DCF'!G13,(('Forecast'!H12)*(('Assumptions'!H37+(0))*(1-'Assumptions'!H42-(0))+'Assumptions'!H47-'Assumptions'!H52*(1)+'Assumptions'!H57-'Assumptions'!H62*(C23)-'Assumptions'!H67-(0))+(('Forecast'!G12)*('Assumptions'!G67+(0))))*'DCF'!H12/(1+('DCF'!$E$6))^'DCF'!H13,(('Forecast'!I12)*(('Assumptions'!I37+(0))*(1-'Assumptions'!I42-(0))+'Assumptions'!I47-'Assumptions'!I52*(1)+'Assumptions'!I57-'Assumptions'!I62*(C23)-'Assumptions'!I67-(0))+(('Forecast'!H12)*('Assumptions'!H67+(0))))*'DCF'!I12/(1+('DCF'!$E$6))^'DCF'!I13)+('Forecast'!I12)*(1+('DCF'!$E$7))*('Terminal Value'!$E$10+(0))*(1-'Assumptions'!$E$15-(0))*(1-('DCF'!$E$7)/('Terminal Value'!$E$12))/(('DCF'!$E$6)-('DCF'!$E$7))/(1+('DCF'!$E$6))^'DCF'!$E$19)+'Equity Bridge'!$E$17)/'Equity Bridge'!$E$20</x:f>
        <x:v>298.8836019880296</x:v>
      </x:c>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242" t="n">
        <x:v>0.5</x:v>
      </x:c>
      <x:c r="D24" s="145" t="n">
        <x:f>((SUM((('Forecast'!E12)*(('Assumptions'!E37+(0))*(1-'Assumptions'!E42-(0))+'Assumptions'!E47-'Assumptions'!E52*(1)+'Assumptions'!E57-'Assumptions'!E62*(C24)-'Assumptions'!E67-(0))+('Working Capital'!$E$6))*'DCF'!E12/(1+('DCF'!$E$6))^'DCF'!E13,(('Forecast'!F12)*(('Assumptions'!F37+(0))*(1-'Assumptions'!F42-(0))+'Assumptions'!F47-'Assumptions'!F52*(1)+'Assumptions'!F57-'Assumptions'!F62*(C24)-'Assumptions'!F67-(0))+(('Forecast'!E12)*('Assumptions'!E67+(0))))*'DCF'!F12/(1+('DCF'!$E$6))^'DCF'!F13,(('Forecast'!G12)*(('Assumptions'!G37+(0))*(1-'Assumptions'!G42-(0))+'Assumptions'!G47-'Assumptions'!G52*(1)+'Assumptions'!G57-'Assumptions'!G62*(C24)-'Assumptions'!G67-(0))+(('Forecast'!F12)*('Assumptions'!F67+(0))))*'DCF'!G12/(1+('DCF'!$E$6))^'DCF'!G13,(('Forecast'!H12)*(('Assumptions'!H37+(0))*(1-'Assumptions'!H42-(0))+'Assumptions'!H47-'Assumptions'!H52*(1)+'Assumptions'!H57-'Assumptions'!H62*(C24)-'Assumptions'!H67-(0))+(('Forecast'!G12)*('Assumptions'!G67+(0))))*'DCF'!H12/(1+('DCF'!$E$6))^'DCF'!H13,(('Forecast'!I12)*(('Assumptions'!I37+(0))*(1-'Assumptions'!I42-(0))+'Assumptions'!I47-'Assumptions'!I52*(1)+'Assumptions'!I57-'Assumptions'!I62*(C24)-'Assumptions'!I67-(0))+(('Forecast'!H12)*('Assumptions'!H67+(0))))*'DCF'!I12/(1+('DCF'!$E$6))^'DCF'!I13)+('Forecast'!I12)*(1+('DCF'!$E$7))*('Terminal Value'!$E$10+(0))*(1-'Assumptions'!$E$15-(0))*(1-('DCF'!$E$7)/('Terminal Value'!$E$12))/(('DCF'!$E$6)-('DCF'!$E$7))/(1+('DCF'!$E$6))^'DCF'!$E$19)+'Equity Bridge'!$E$17)/'Equity Bridge'!$E$20</x:f>
        <x:v>294.7064862225374</x:v>
      </x:c>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242" t="n">
        <x:v>0.75</x:v>
      </x:c>
      <x:c r="D25" s="145" t="n">
        <x:f>((SUM((('Forecast'!E12)*(('Assumptions'!E37+(0))*(1-'Assumptions'!E42-(0))+'Assumptions'!E47-'Assumptions'!E52*(1)+'Assumptions'!E57-'Assumptions'!E62*(C25)-'Assumptions'!E67-(0))+('Working Capital'!$E$6))*'DCF'!E12/(1+('DCF'!$E$6))^'DCF'!E13,(('Forecast'!F12)*(('Assumptions'!F37+(0))*(1-'Assumptions'!F42-(0))+'Assumptions'!F47-'Assumptions'!F52*(1)+'Assumptions'!F57-'Assumptions'!F62*(C25)-'Assumptions'!F67-(0))+(('Forecast'!E12)*('Assumptions'!E67+(0))))*'DCF'!F12/(1+('DCF'!$E$6))^'DCF'!F13,(('Forecast'!G12)*(('Assumptions'!G37+(0))*(1-'Assumptions'!G42-(0))+'Assumptions'!G47-'Assumptions'!G52*(1)+'Assumptions'!G57-'Assumptions'!G62*(C25)-'Assumptions'!G67-(0))+(('Forecast'!F12)*('Assumptions'!F67+(0))))*'DCF'!G12/(1+('DCF'!$E$6))^'DCF'!G13,(('Forecast'!H12)*(('Assumptions'!H37+(0))*(1-'Assumptions'!H42-(0))+'Assumptions'!H47-'Assumptions'!H52*(1)+'Assumptions'!H57-'Assumptions'!H62*(C25)-'Assumptions'!H67-(0))+(('Forecast'!G12)*('Assumptions'!G67+(0))))*'DCF'!H12/(1+('DCF'!$E$6))^'DCF'!H13,(('Forecast'!I12)*(('Assumptions'!I37+(0))*(1-'Assumptions'!I42-(0))+'Assumptions'!I47-'Assumptions'!I52*(1)+'Assumptions'!I57-'Assumptions'!I62*(C25)-'Assumptions'!I67-(0))+(('Forecast'!H12)*('Assumptions'!H67+(0))))*'DCF'!I12/(1+('DCF'!$E$6))^'DCF'!I13)+('Forecast'!I12)*(1+('DCF'!$E$7))*('Terminal Value'!$E$10+(0))*(1-'Assumptions'!$E$15-(0))*(1-('DCF'!$E$7)/('Terminal Value'!$E$12))/(('DCF'!$E$6)-('DCF'!$E$7))/(1+('DCF'!$E$6))^'DCF'!$E$19)+'Equity Bridge'!$E$17)/'Equity Bridge'!$E$20</x:f>
        <x:v>290.5293704570452</x:v>
      </x:c>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242" t="n">
        <x:v>1</x:v>
      </x:c>
      <x:c r="D26" s="145" t="n">
        <x:f>((SUM((('Forecast'!E12)*(('Assumptions'!E37+(0))*(1-'Assumptions'!E42-(0))+'Assumptions'!E47-'Assumptions'!E52*(1)+'Assumptions'!E57-'Assumptions'!E62*(C26)-'Assumptions'!E67-(0))+('Working Capital'!$E$6))*'DCF'!E12/(1+('DCF'!$E$6))^'DCF'!E13,(('Forecast'!F12)*(('Assumptions'!F37+(0))*(1-'Assumptions'!F42-(0))+'Assumptions'!F47-'Assumptions'!F52*(1)+'Assumptions'!F57-'Assumptions'!F62*(C26)-'Assumptions'!F67-(0))+(('Forecast'!E12)*('Assumptions'!E67+(0))))*'DCF'!F12/(1+('DCF'!$E$6))^'DCF'!F13,(('Forecast'!G12)*(('Assumptions'!G37+(0))*(1-'Assumptions'!G42-(0))+'Assumptions'!G47-'Assumptions'!G52*(1)+'Assumptions'!G57-'Assumptions'!G62*(C26)-'Assumptions'!G67-(0))+(('Forecast'!F12)*('Assumptions'!F67+(0))))*'DCF'!G12/(1+('DCF'!$E$6))^'DCF'!G13,(('Forecast'!H12)*(('Assumptions'!H37+(0))*(1-'Assumptions'!H42-(0))+'Assumptions'!H47-'Assumptions'!H52*(1)+'Assumptions'!H57-'Assumptions'!H62*(C26)-'Assumptions'!H67-(0))+(('Forecast'!G12)*('Assumptions'!G67+(0))))*'DCF'!H12/(1+('DCF'!$E$6))^'DCF'!H13,(('Forecast'!I12)*(('Assumptions'!I37+(0))*(1-'Assumptions'!I42-(0))+'Assumptions'!I47-'Assumptions'!I52*(1)+'Assumptions'!I57-'Assumptions'!I62*(C26)-'Assumptions'!I67-(0))+(('Forecast'!H12)*('Assumptions'!H67+(0))))*'DCF'!I12/(1+('DCF'!$E$6))^'DCF'!I13)+('Forecast'!I12)*(1+('DCF'!$E$7))*('Terminal Value'!$E$10+(0))*(1-'Assumptions'!$E$15-(0))*(1-('DCF'!$E$7)/('Terminal Value'!$E$12))/(('DCF'!$E$6)-('DCF'!$E$7))/(1+('DCF'!$E$6))^'DCF'!$E$19)+'Equity Bridge'!$E$17)/'Equity Bridge'!$E$20</x:f>
        <x:v>286.35225469155296</x:v>
      </x:c>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242" t="n">
        <x:v>1.25</x:v>
      </x:c>
      <x:c r="D27" s="145" t="n">
        <x:f>((SUM((('Forecast'!E12)*(('Assumptions'!E37+(0))*(1-'Assumptions'!E42-(0))+'Assumptions'!E47-'Assumptions'!E52*(1)+'Assumptions'!E57-'Assumptions'!E62*(C27)-'Assumptions'!E67-(0))+('Working Capital'!$E$6))*'DCF'!E12/(1+('DCF'!$E$6))^'DCF'!E13,(('Forecast'!F12)*(('Assumptions'!F37+(0))*(1-'Assumptions'!F42-(0))+'Assumptions'!F47-'Assumptions'!F52*(1)+'Assumptions'!F57-'Assumptions'!F62*(C27)-'Assumptions'!F67-(0))+(('Forecast'!E12)*('Assumptions'!E67+(0))))*'DCF'!F12/(1+('DCF'!$E$6))^'DCF'!F13,(('Forecast'!G12)*(('Assumptions'!G37+(0))*(1-'Assumptions'!G42-(0))+'Assumptions'!G47-'Assumptions'!G52*(1)+'Assumptions'!G57-'Assumptions'!G62*(C27)-'Assumptions'!G67-(0))+(('Forecast'!F12)*('Assumptions'!F67+(0))))*'DCF'!G12/(1+('DCF'!$E$6))^'DCF'!G13,(('Forecast'!H12)*(('Assumptions'!H37+(0))*(1-'Assumptions'!H42-(0))+'Assumptions'!H47-'Assumptions'!H52*(1)+'Assumptions'!H57-'Assumptions'!H62*(C27)-'Assumptions'!H67-(0))+(('Forecast'!G12)*('Assumptions'!G67+(0))))*'DCF'!H12/(1+('DCF'!$E$6))^'DCF'!H13,(('Forecast'!I12)*(('Assumptions'!I37+(0))*(1-'Assumptions'!I42-(0))+'Assumptions'!I47-'Assumptions'!I52*(1)+'Assumptions'!I57-'Assumptions'!I62*(C27)-'Assumptions'!I67-(0))+(('Forecast'!H12)*('Assumptions'!H67+(0))))*'DCF'!I12/(1+('DCF'!$E$6))^'DCF'!I13)+('Forecast'!I12)*(1+('DCF'!$E$7))*('Terminal Value'!$E$10+(0))*(1-'Assumptions'!$E$15-(0))*(1-('DCF'!$E$7)/('Terminal Value'!$E$12))/(('DCF'!$E$6)-('DCF'!$E$7))/(1+('DCF'!$E$6))^'DCF'!$E$19)+'Equity Bridge'!$E$17)/'Equity Bridge'!$E$20</x:f>
        <x:v>282.17513892606075</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42" t="n">
        <x:v>1.5</x:v>
      </x:c>
      <x:c r="D28" s="145" t="n">
        <x:f>((SUM((('Forecast'!E12)*(('Assumptions'!E37+(0))*(1-'Assumptions'!E42-(0))+'Assumptions'!E47-'Assumptions'!E52*(1)+'Assumptions'!E57-'Assumptions'!E62*(C28)-'Assumptions'!E67-(0))+('Working Capital'!$E$6))*'DCF'!E12/(1+('DCF'!$E$6))^'DCF'!E13,(('Forecast'!F12)*(('Assumptions'!F37+(0))*(1-'Assumptions'!F42-(0))+'Assumptions'!F47-'Assumptions'!F52*(1)+'Assumptions'!F57-'Assumptions'!F62*(C28)-'Assumptions'!F67-(0))+(('Forecast'!E12)*('Assumptions'!E67+(0))))*'DCF'!F12/(1+('DCF'!$E$6))^'DCF'!F13,(('Forecast'!G12)*(('Assumptions'!G37+(0))*(1-'Assumptions'!G42-(0))+'Assumptions'!G47-'Assumptions'!G52*(1)+'Assumptions'!G57-'Assumptions'!G62*(C28)-'Assumptions'!G67-(0))+(('Forecast'!F12)*('Assumptions'!F67+(0))))*'DCF'!G12/(1+('DCF'!$E$6))^'DCF'!G13,(('Forecast'!H12)*(('Assumptions'!H37+(0))*(1-'Assumptions'!H42-(0))+'Assumptions'!H47-'Assumptions'!H52*(1)+'Assumptions'!H57-'Assumptions'!H62*(C28)-'Assumptions'!H67-(0))+(('Forecast'!G12)*('Assumptions'!G67+(0))))*'DCF'!H12/(1+('DCF'!$E$6))^'DCF'!H13,(('Forecast'!I12)*(('Assumptions'!I37+(0))*(1-'Assumptions'!I42-(0))+'Assumptions'!I47-'Assumptions'!I52*(1)+'Assumptions'!I57-'Assumptions'!I62*(C28)-'Assumptions'!I67-(0))+(('Forecast'!H12)*('Assumptions'!H67+(0))))*'DCF'!I12/(1+('DCF'!$E$6))^'DCF'!I13)+('Forecast'!I12)*(1+('DCF'!$E$7))*('Terminal Value'!$E$10+(0))*(1-'Assumptions'!$E$15-(0))*(1-('DCF'!$E$7)/('Terminal Value'!$E$12))/(('DCF'!$E$6)-('DCF'!$E$7))/(1+('DCF'!$E$6))^'DCF'!$E$19)+'Equity Bridge'!$E$17)/'Equity Bridge'!$E$20</x:f>
        <x:v>277.99802316056855</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42" t="n">
        <x:v>1.75</x:v>
      </x:c>
      <x:c r="D29" s="145" t="n">
        <x:f>((SUM((('Forecast'!E12)*(('Assumptions'!E37+(0))*(1-'Assumptions'!E42-(0))+'Assumptions'!E47-'Assumptions'!E52*(1)+'Assumptions'!E57-'Assumptions'!E62*(C29)-'Assumptions'!E67-(0))+('Working Capital'!$E$6))*'DCF'!E12/(1+('DCF'!$E$6))^'DCF'!E13,(('Forecast'!F12)*(('Assumptions'!F37+(0))*(1-'Assumptions'!F42-(0))+'Assumptions'!F47-'Assumptions'!F52*(1)+'Assumptions'!F57-'Assumptions'!F62*(C29)-'Assumptions'!F67-(0))+(('Forecast'!E12)*('Assumptions'!E67+(0))))*'DCF'!F12/(1+('DCF'!$E$6))^'DCF'!F13,(('Forecast'!G12)*(('Assumptions'!G37+(0))*(1-'Assumptions'!G42-(0))+'Assumptions'!G47-'Assumptions'!G52*(1)+'Assumptions'!G57-'Assumptions'!G62*(C29)-'Assumptions'!G67-(0))+(('Forecast'!F12)*('Assumptions'!F67+(0))))*'DCF'!G12/(1+('DCF'!$E$6))^'DCF'!G13,(('Forecast'!H12)*(('Assumptions'!H37+(0))*(1-'Assumptions'!H42-(0))+'Assumptions'!H47-'Assumptions'!H52*(1)+'Assumptions'!H57-'Assumptions'!H62*(C29)-'Assumptions'!H67-(0))+(('Forecast'!G12)*('Assumptions'!G67+(0))))*'DCF'!H12/(1+('DCF'!$E$6))^'DCF'!H13,(('Forecast'!I12)*(('Assumptions'!I37+(0))*(1-'Assumptions'!I42-(0))+'Assumptions'!I47-'Assumptions'!I52*(1)+'Assumptions'!I57-'Assumptions'!I62*(C29)-'Assumptions'!I67-(0))+(('Forecast'!H12)*('Assumptions'!H67+(0))))*'DCF'!I12/(1+('DCF'!$E$6))^'DCF'!I13)+('Forecast'!I12)*(1+('DCF'!$E$7))*('Terminal Value'!$E$10+(0))*(1-'Assumptions'!$E$15-(0))*(1-('DCF'!$E$7)/('Terminal Value'!$E$12))/(('DCF'!$E$6)-('DCF'!$E$7))/(1+('DCF'!$E$6))^'DCF'!$E$19)+'Equity Bridge'!$E$17)/'Equity Bridge'!$E$20</x:f>
        <x:v>273.82090739507635</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42" t="n">
        <x:v>2</x:v>
      </x:c>
      <x:c r="D30" s="145" t="n">
        <x:f>((SUM((('Forecast'!E12)*(('Assumptions'!E37+(0))*(1-'Assumptions'!E42-(0))+'Assumptions'!E47-'Assumptions'!E52*(1)+'Assumptions'!E57-'Assumptions'!E62*(C30)-'Assumptions'!E67-(0))+('Working Capital'!$E$6))*'DCF'!E12/(1+('DCF'!$E$6))^'DCF'!E13,(('Forecast'!F12)*(('Assumptions'!F37+(0))*(1-'Assumptions'!F42-(0))+'Assumptions'!F47-'Assumptions'!F52*(1)+'Assumptions'!F57-'Assumptions'!F62*(C30)-'Assumptions'!F67-(0))+(('Forecast'!E12)*('Assumptions'!E67+(0))))*'DCF'!F12/(1+('DCF'!$E$6))^'DCF'!F13,(('Forecast'!G12)*(('Assumptions'!G37+(0))*(1-'Assumptions'!G42-(0))+'Assumptions'!G47-'Assumptions'!G52*(1)+'Assumptions'!G57-'Assumptions'!G62*(C30)-'Assumptions'!G67-(0))+(('Forecast'!F12)*('Assumptions'!F67+(0))))*'DCF'!G12/(1+('DCF'!$E$6))^'DCF'!G13,(('Forecast'!H12)*(('Assumptions'!H37+(0))*(1-'Assumptions'!H42-(0))+'Assumptions'!H47-'Assumptions'!H52*(1)+'Assumptions'!H57-'Assumptions'!H62*(C30)-'Assumptions'!H67-(0))+(('Forecast'!G12)*('Assumptions'!G67+(0))))*'DCF'!H12/(1+('DCF'!$E$6))^'DCF'!H13,(('Forecast'!I12)*(('Assumptions'!I37+(0))*(1-'Assumptions'!I42-(0))+'Assumptions'!I47-'Assumptions'!I52*(1)+'Assumptions'!I57-'Assumptions'!I62*(C30)-'Assumptions'!I67-(0))+(('Forecast'!H12)*('Assumptions'!H67+(0))))*'DCF'!I12/(1+('DCF'!$E$6))^'DCF'!I13)+('Forecast'!I12)*(1+('DCF'!$E$7))*('Terminal Value'!$E$10+(0))*(1-'Assumptions'!$E$15-(0))*(1-('DCF'!$E$7)/('Terminal Value'!$E$12))/(('DCF'!$E$6)-('DCF'!$E$7))/(1+('DCF'!$E$6))^'DCF'!$E$19)+'Equity Bridge'!$E$17)/'Equity Bridge'!$E$20</x:f>
        <x:v>269.64379162958414</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67" t="str">
        <x:v>Selected case observations</x:v>
      </x:c>
      <x:c r="D34" s="170"/>
      <x:c r="E34" s="170"/>
      <x:c r="F34" s="170"/>
      <x:c r="G34" s="170"/>
      <x:c r="H34" s="170"/>
      <x:c r="I34" s="170"/>
      <x:c r="J34" s="170"/>
      <x:c r="K34" s="170"/>
      <x:c r="L34" s="173"/>
      <x:c r="M34" s="136"/>
      <x:c r="N34" s="136"/>
      <x:c r="O34" s="136"/>
      <x:c r="P34" s="136"/>
      <x:c r="Q34" s="136"/>
      <x:c r="R34" s="136"/>
      <x:c r="S34" s="136"/>
      <x:c r="T34" s="136"/>
      <x:c r="U34" s="136"/>
      <x:c r="V34" s="136"/>
      <x:c r="W34" s="136"/>
      <x:c r="X34" s="136"/>
      <x:c r="Y34" s="136"/>
      <x:c r="Z34" s="136"/>
    </x:row>
    <x:row r="35" ht="24" customHeight="1">
      <x:c r="A35" s="136"/>
      <x:c r="B35" s="136"/>
      <x:c r="C35" s="174" t="str">
        <x:f>"Required finance asset acquisition multiplier is "&amp;ROUND(E12,2)&amp;"x. "&amp;"Only future finance lease asset additions change. Existing finance lease debt stays in the bridge, and current D&amp;A stays fixed. A negative acquisition flow is an algebraic result, not a feasible lease contract plan."</x:f>
        <x:v>Required finance asset acquisition multiplier is -13.14x. Only future finance lease asset additions change. Existing finance lease debt stays in the bridge, and current D&amp;A stays fixed. A negative acquisition flow is an algebraic result, not a feasible lease contract plan.</x:v>
      </x:c>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t="str">
        <x:v>This is a one-factor PV derivative. The required driver equals its selected baseline plus the market value gap divided by that derivative. The resulting price is checked against the same enterprise value target.</x:v>
      </x:c>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t="str">
        <x:v>D&amp;A and stable ROIC retain their calibrated values. The analysis does not create an independent asset-capacity, sales cycle or tax-planning forecast. Required investment and other affected assumptions must be reassessed for an investable alternative.</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5:L37"/>
    <x:mergeCell ref="C38:L40"/>
    <x:mergeCell ref="C41:L43"/>
  </x:mergeCells>
  <x:pageMargins left="0.7" right="0.7" top="0.75" bottom="0.75" header="0.3" footer="0.3"/>
  <x:drawing xmlns:r="http://schemas.openxmlformats.org/officeDocument/2006/relationships" r:id="Rdee40c01a0f149a9"/>
  <x:legacyDrawing xmlns:r="http://schemas.openxmlformats.org/officeDocument/2006/relationships" r:id="R9bd4ea06fdaa43fd"/>
</x:worksheet>
</file>

<file path=xl/worksheets/sheet23.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FCF</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Required PV of stable cash flow</x:v>
      </x:c>
      <x:c r="D11" s="136"/>
      <x:c r="E11" s="164" t="n">
        <x:f>E9-'DCF'!E18</x:f>
        <x:v>3471991.3451652364</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Required normalized FY2032 FCFF</x:v>
      </x:c>
      <x:c r="D12" s="136"/>
      <x:c r="E12" s="164" t="n">
        <x:f>E11*'DCF'!E20*('DCF'!E6-'DCF'!E7)</x:f>
        <x:v>368241.9516994382</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9" t="str">
        <x:v>Required stable FCFF / revenue</x:v>
      </x:c>
      <x:c r="D13" s="139"/>
      <x:c r="E13" s="152" t="n">
        <x:f>E12/('Terminal Value'!E8*(1+'DCF'!E7))</x:f>
        <x:v>0.5516317130776393</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Feasible within stable NOPAT ceiling?</x:v>
      </x:c>
      <x:c r="D14" s="136"/>
      <x:c r="E14" s="243" t="str">
        <x:f>IF(E12&lt;='Terminal Value'!E13,"Within NOPAT ceiling","Requires more cash than stable NOPAT")</x:f>
        <x:v>Requires more cash than stable NOPAT</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Baseline normalized stable FCFF</x:v>
      </x:c>
      <x:c r="D16" s="136"/>
      <x:c r="E16" s="164" t="n">
        <x:f>'Terminal Value'!E15</x:f>
        <x:v>181573.69942244413</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Required / baseline stable FCFF</x:v>
      </x:c>
      <x:c r="D17" s="136"/>
      <x:c r="E17" s="222" t="n">
        <x:f>E12/E16</x:f>
        <x:v>2.028057768667791</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Stable cash flow</x:v>
      </x:c>
      <x:c r="D21" s="160" t="str">
        <x:v>USD millions</x:v>
      </x:c>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Normalized model</x:v>
      </x:c>
      <x:c r="D22" s="164" t="n">
        <x:f>E16</x:f>
        <x:v>181573.69942244413</x:v>
      </x:c>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Required by market</x:v>
      </x:c>
      <x:c r="D23" s="164" t="n">
        <x:f>E12</x:f>
        <x:v>368241.9516994382</x:v>
      </x:c>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67" t="str">
        <x:v>Selected case observations</x:v>
      </x:c>
      <x:c r="D28" s="170"/>
      <x:c r="E28" s="170"/>
      <x:c r="F28" s="170"/>
      <x:c r="G28" s="170"/>
      <x:c r="H28" s="170"/>
      <x:c r="I28" s="170"/>
      <x:c r="J28" s="170"/>
      <x:c r="K28" s="170"/>
      <x:c r="L28" s="173"/>
      <x:c r="M28" s="136"/>
      <x:c r="N28" s="136"/>
      <x:c r="O28" s="136"/>
      <x:c r="P28" s="136"/>
      <x:c r="Q28" s="136"/>
      <x:c r="R28" s="136"/>
      <x:c r="S28" s="136"/>
      <x:c r="T28" s="136"/>
      <x:c r="U28" s="136"/>
      <x:c r="V28" s="136"/>
      <x:c r="W28" s="136"/>
      <x:c r="X28" s="136"/>
      <x:c r="Y28" s="136"/>
      <x:c r="Z28" s="136"/>
    </x:row>
    <x:row r="29" ht="24" customHeight="1">
      <x:c r="A29" s="136"/>
      <x:c r="B29" s="136"/>
      <x:c r="C29" s="174" t="str">
        <x:f>"Required normalized stable FCFF is USD "&amp;ROUND(E12/1000,1)&amp;"bn, or "&amp;ROUND(E13*100,2)&amp;"% of stable revenue. "&amp;"The market enterprise value minus the explicit forecast PV is the terminal PV required by investors. It is grown to the terminal date and multiplied by WACC minus stable growth."</x:f>
        <x:v>Required normalized stable FCFF is USD 368.2bn, or 55.16% of stable revenue. The market enterprise value minus the explicit forecast PV is the terminal PV required by investors. It is grown to the terminal date and multiplied by WACC minus stable growth.</x:v>
      </x:c>
      <x:c r="D29" s="174"/>
      <x:c r="E29" s="174"/>
      <x:c r="F29" s="174"/>
      <x:c r="G29" s="174"/>
      <x:c r="H29" s="174"/>
      <x:c r="I29" s="174"/>
      <x:c r="J29" s="174"/>
      <x:c r="K29" s="174"/>
      <x:c r="L29" s="174"/>
      <x:c r="M29" s="136"/>
      <x:c r="N29" s="136"/>
      <x:c r="O29" s="136"/>
      <x:c r="P29" s="136"/>
      <x:c r="Q29" s="136"/>
      <x:c r="R29" s="136"/>
      <x:c r="S29" s="136"/>
      <x:c r="T29" s="136"/>
      <x:c r="U29" s="136"/>
      <x:c r="V29" s="136"/>
      <x:c r="W29" s="136"/>
      <x:c r="X29" s="136"/>
      <x:c r="Y29" s="136"/>
      <x:c r="Z29" s="136"/>
    </x:row>
    <x:row r="30" ht="24" customHeight="1">
      <x:c r="A30" s="136"/>
      <x:c r="B30" s="136"/>
      <x:c r="C30" s="174"/>
      <x:c r="D30" s="174"/>
      <x:c r="E30" s="174"/>
      <x:c r="F30" s="174"/>
      <x:c r="G30" s="174"/>
      <x:c r="H30" s="174"/>
      <x:c r="I30" s="174"/>
      <x:c r="J30" s="174"/>
      <x:c r="K30" s="174"/>
      <x:c r="L30" s="174"/>
      <x:c r="M30" s="136"/>
      <x:c r="N30" s="136"/>
      <x:c r="O30" s="136"/>
      <x:c r="P30" s="136"/>
      <x:c r="Q30" s="136"/>
      <x:c r="R30" s="136"/>
      <x:c r="S30" s="136"/>
      <x:c r="T30" s="136"/>
      <x:c r="U30" s="136"/>
      <x:c r="V30" s="136"/>
      <x:c r="W30" s="136"/>
      <x:c r="X30" s="136"/>
      <x:c r="Y30" s="136"/>
      <x:c r="Z30" s="136"/>
    </x:row>
    <x:row r="31" ht="24" customHeight="1">
      <x:c r="A31" s="136"/>
      <x:c r="B31" s="136"/>
      <x:c r="C31" s="174"/>
      <x:c r="D31" s="174"/>
      <x:c r="E31" s="174"/>
      <x:c r="F31" s="174"/>
      <x:c r="G31" s="174"/>
      <x:c r="H31" s="174"/>
      <x:c r="I31" s="174"/>
      <x:c r="J31" s="174"/>
      <x:c r="K31" s="174"/>
      <x:c r="L31" s="174"/>
      <x:c r="M31" s="136"/>
      <x:c r="N31" s="136"/>
      <x:c r="O31" s="136"/>
      <x:c r="P31" s="136"/>
      <x:c r="Q31" s="136"/>
      <x:c r="R31" s="136"/>
      <x:c r="S31" s="136"/>
      <x:c r="T31" s="136"/>
      <x:c r="U31" s="136"/>
      <x:c r="V31" s="136"/>
      <x:c r="W31" s="136"/>
      <x:c r="X31" s="136"/>
      <x:c r="Y31" s="136"/>
      <x:c r="Z31" s="136"/>
    </x:row>
    <x:row r="32" ht="24" customHeight="1">
      <x:c r="A32" s="136"/>
      <x:c r="B32" s="136"/>
      <x:c r="C32" s="174" t="str">
        <x:v>This required cash amount is compared with normalized NOPAT and the existing stable FCFF. A terminal cash-flow margin above the sustainable operating profit margin cannot be explained by reinvestment efficiency alone.</x:v>
      </x:c>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74"/>
      <x:c r="D33" s="174"/>
      <x:c r="E33" s="174"/>
      <x:c r="F33" s="174"/>
      <x:c r="G33" s="174"/>
      <x:c r="H33" s="174"/>
      <x:c r="I33" s="174"/>
      <x:c r="J33" s="174"/>
      <x:c r="K33" s="174"/>
      <x:c r="L33" s="174"/>
      <x:c r="M33" s="136"/>
      <x:c r="N33" s="136"/>
      <x:c r="O33" s="136"/>
      <x:c r="P33" s="136"/>
      <x:c r="Q33" s="136"/>
      <x:c r="R33" s="136"/>
      <x:c r="S33" s="136"/>
      <x:c r="T33" s="136"/>
      <x:c r="U33" s="136"/>
      <x:c r="V33" s="136"/>
      <x:c r="W33" s="136"/>
      <x:c r="X33" s="136"/>
      <x:c r="Y33" s="136"/>
      <x:c r="Z33" s="136"/>
    </x:row>
    <x:row r="34" ht="24" customHeight="1">
      <x:c r="A34" s="136"/>
      <x:c r="B34" s="136"/>
      <x:c r="C34" s="174"/>
      <x:c r="D34" s="174"/>
      <x:c r="E34" s="174"/>
      <x:c r="F34" s="174"/>
      <x:c r="G34" s="174"/>
      <x:c r="H34" s="174"/>
      <x:c r="I34" s="174"/>
      <x:c r="J34" s="174"/>
      <x:c r="K34" s="174"/>
      <x:c r="L34" s="174"/>
      <x:c r="M34" s="136"/>
      <x:c r="N34" s="136"/>
      <x:c r="O34" s="136"/>
      <x:c r="P34" s="136"/>
      <x:c r="Q34" s="136"/>
      <x:c r="R34" s="136"/>
      <x:c r="S34" s="136"/>
      <x:c r="T34" s="136"/>
      <x:c r="U34" s="136"/>
      <x:c r="V34" s="136"/>
      <x:c r="W34" s="136"/>
      <x:c r="X34" s="136"/>
      <x:c r="Y34" s="136"/>
      <x:c r="Z34" s="136"/>
    </x:row>
    <x:row r="35" ht="24" customHeight="1">
      <x:c r="A35" s="136"/>
      <x:c r="B35" s="136"/>
      <x:c r="C35" s="174" t="str">
        <x:v>The calculation leaves the entire explicit period and bridge fixed. It is a transparent diagnostic of what the long-run period must supply, not a separate forecast promise.</x:v>
      </x:c>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29:L31"/>
    <x:mergeCell ref="C32:L34"/>
    <x:mergeCell ref="C35:L37"/>
  </x:mergeCells>
  <x:pageMargins left="0.7" right="0.7" top="0.75" bottom="0.75" header="0.3" footer="0.3"/>
  <x:drawing xmlns:r="http://schemas.openxmlformats.org/officeDocument/2006/relationships" r:id="Rf711479223ba47d6"/>
  <x:legacyDrawing xmlns:r="http://schemas.openxmlformats.org/officeDocument/2006/relationships" r:id="R26a42d34584a4d8d"/>
</x:worksheet>
</file>

<file path=xl/worksheets/sheet24.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Reverse Multiple</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Final forecast EBITDA</x:v>
      </x:c>
      <x:c r="D11" s="136"/>
      <x:c r="E11" s="164" t="n">
        <x:f>'Forecast'!I15+'Forecast'!I18</x:f>
        <x:v>398785.1006277711</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Required terminal EV / EBITDA</x:v>
      </x:c>
      <x:c r="D12" s="136"/>
      <x:c r="E12" s="222" t="n">
        <x:f>(E9-'DCF'!E18)*'DCF'!E20/E11</x:f>
        <x:v>13.551577617219003</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Multiple-based interpretation</x:v>
      </x:c>
      <x:c r="D14" s="136"/>
      <x:c r="E14" s="243" t="str">
        <x:v>Needs external peer and rate context</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DCF normalized implied multiple</x:v>
      </x:c>
      <x:c r="D16" s="136"/>
      <x:c r="E16" s="222" t="n">
        <x:f>'Terminal Value'!E20</x:f>
        <x:v>6.682047142138799</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Historical market EV / current EBITDA</x:v>
      </x:c>
      <x:c r="D17" s="136"/>
      <x:c r="E17" s="222" t="n">
        <x:f>'DCF'!E32/('Historical Inputs'!N10+'Historical Inputs'!N33+'Historical Inputs'!N34)</x:f>
        <x:v>20.120316773073668</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56" t="str">
        <x:v>Exit multiple</x:v>
      </x:c>
      <x:c r="D21" s="160" t="str">
        <x:v>Fair price</x:v>
      </x:c>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242" t="n">
        <x:v>4</x:v>
      </x:c>
      <x:c r="D22" s="145" t="n">
        <x:f>('DCF'!E18+C22*$E$11/'DCF'!E20+'Equity Bridge'!E17)/'Equity Bridge'!E20</x:f>
        <x:v>194.110956263471</x:v>
      </x:c>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242" t="n">
        <x:v>6</x:v>
      </x:c>
      <x:c r="D23" s="145" t="n">
        <x:f>('DCF'!E18+C23*$E$11/'DCF'!E20+'Equity Bridge'!E17)/'Equity Bridge'!E20</x:f>
        <x:v>262.89520466748985</x:v>
      </x:c>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242" t="n">
        <x:v>8</x:v>
      </x:c>
      <x:c r="D24" s="145" t="n">
        <x:f>('DCF'!E18+C24*$E$11/'DCF'!E20+'Equity Bridge'!E17)/'Equity Bridge'!E20</x:f>
        <x:v>331.67945307150865</x:v>
      </x:c>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242" t="n">
        <x:v>10</x:v>
      </x:c>
      <x:c r="D25" s="145" t="n">
        <x:f>('DCF'!E18+C25*$E$11/'DCF'!E20+'Equity Bridge'!E17)/'Equity Bridge'!E20</x:f>
        <x:v>400.4637014755275</x:v>
      </x:c>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242" t="n">
        <x:v>12</x:v>
      </x:c>
      <x:c r="D26" s="145" t="n">
        <x:f>('DCF'!E18+C26*$E$11/'DCF'!E20+'Equity Bridge'!E17)/'Equity Bridge'!E20</x:f>
        <x:v>469.2479498795463</x:v>
      </x:c>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242" t="n">
        <x:v>14</x:v>
      </x:c>
      <x:c r="D27" s="145" t="n">
        <x:f>('DCF'!E18+C27*$E$11/'DCF'!E20+'Equity Bridge'!E17)/'Equity Bridge'!E20</x:f>
        <x:v>538.0321982835651</x:v>
      </x:c>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242" t="n">
        <x:v>16</x:v>
      </x:c>
      <x:c r="D28" s="145" t="n">
        <x:f>('DCF'!E18+C28*$E$11/'DCF'!E20+'Equity Bridge'!E17)/'Equity Bridge'!E20</x:f>
        <x:v>606.816446687584</x:v>
      </x:c>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242" t="n">
        <x:v>18</x:v>
      </x:c>
      <x:c r="D29" s="145" t="n">
        <x:f>('DCF'!E18+C29*$E$11/'DCF'!E20+'Equity Bridge'!E17)/'Equity Bridge'!E20</x:f>
        <x:v>675.6006950916029</x:v>
      </x:c>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242" t="n">
        <x:v>20</x:v>
      </x:c>
      <x:c r="D30" s="145" t="n">
        <x:f>('DCF'!E18+C30*$E$11/'DCF'!E20+'Equity Bridge'!E17)/'Equity Bridge'!E20</x:f>
        <x:v>744.3849434956217</x:v>
      </x:c>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67" t="str">
        <x:v>Selected case observations</x:v>
      </x:c>
      <x:c r="D34" s="170"/>
      <x:c r="E34" s="170"/>
      <x:c r="F34" s="170"/>
      <x:c r="G34" s="170"/>
      <x:c r="H34" s="170"/>
      <x:c r="I34" s="170"/>
      <x:c r="J34" s="170"/>
      <x:c r="K34" s="170"/>
      <x:c r="L34" s="173"/>
      <x:c r="M34" s="136"/>
      <x:c r="N34" s="136"/>
      <x:c r="O34" s="136"/>
      <x:c r="P34" s="136"/>
      <x:c r="Q34" s="136"/>
      <x:c r="R34" s="136"/>
      <x:c r="S34" s="136"/>
      <x:c r="T34" s="136"/>
      <x:c r="U34" s="136"/>
      <x:c r="V34" s="136"/>
      <x:c r="W34" s="136"/>
      <x:c r="X34" s="136"/>
      <x:c r="Y34" s="136"/>
      <x:c r="Z34" s="136"/>
    </x:row>
    <x:row r="35" ht="24" customHeight="1">
      <x:c r="A35" s="136"/>
      <x:c r="B35" s="136"/>
      <x:c r="C35" s="174" t="str">
        <x:f>"The required terminal EV / EBITDA is "&amp;ROUND(E12,2)&amp;"x. "&amp;"An exit multiple is terminal enterprise value divided by final-year operating income plus D&amp;A. The required multiple solves the observed market price using the same explicit PV and bridge."</x:f>
        <x:v>The required terminal EV / EBITDA is 13.55x. An exit multiple is terminal enterprise value divided by final-year operating income plus D&amp;A. The required multiple solves the observed market price using the same explicit PV and bridge.</x:v>
      </x:c>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t="str">
        <x:v>The historical market multiple is a reference calculated from the cutoff price and June statements. It is not a forward peer multiple and is not automatically an appropriate terminal multiple.</x:v>
      </x:c>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t="str">
        <x:v>A multiple embeds growth, margins, reinvestment and discount rates. This sheet has no fabricated peer sample; a peer valuation project can add independently sourced forward multiples later.</x:v>
      </x:c>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5:L37"/>
    <x:mergeCell ref="C38:L40"/>
    <x:mergeCell ref="C41:L43"/>
  </x:mergeCells>
  <x:pageMargins left="0.7" right="0.7" top="0.75" bottom="0.75" header="0.3" footer="0.3"/>
  <x:drawing xmlns:r="http://schemas.openxmlformats.org/officeDocument/2006/relationships" r:id="R2f618f2ffbf343a6"/>
  <x:legacyDrawing xmlns:r="http://schemas.openxmlformats.org/officeDocument/2006/relationships" r:id="Ra284148611234fa0"/>
</x:worksheet>
</file>

<file path=xl/worksheets/sheet25.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Ownership</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Selected operating value</x:v>
      </x:c>
      <x:c r="D8" s="136"/>
      <x:c r="E8" s="164" t="n">
        <x:f>'DCF'!E24</x:f>
        <x:v>2148097.147775142</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Market operating value target</x:v>
      </x:c>
      <x:c r="D9" s="136"/>
      <x:c r="E9" s="164" t="n">
        <x:f>'DCF'!E32</x:f>
        <x:v>3908109.96905151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Operating value gap</x:v>
      </x:c>
      <x:c r="D10" s="136"/>
      <x:c r="E10" s="164" t="n">
        <x:f>E9-E8</x:f>
        <x:v>1760012.821276368</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x:c r="D11" s="136"/>
      <x:c r="E11" s="136"/>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Shares implied with no cash outflow</x:v>
      </x:c>
      <x:c r="D12" s="136"/>
      <x:c r="E12" s="206" t="n">
        <x:f>'DCF'!E26/'Market Inputs'!E9</x:f>
        <x:v>4081.808897218082</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Ownership interpretation</x:v>
      </x:c>
      <x:c r="D14" s="136"/>
      <x:c r="E14" s="243" t="str">
        <x:v>Cannot assume cost-free repurchases</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Shares notionally removed</x:v>
      </x:c>
      <x:c r="D16" s="136"/>
      <x:c r="E16" s="206" t="n">
        <x:f>'Equity Bridge'!E20-E12</x:f>
        <x:v>3367.7365937819177</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Cash cost at observed market price</x:v>
      </x:c>
      <x:c r="D17" s="136"/>
      <x:c r="E17" s="164" t="n">
        <x:f>E16*'Market Inputs'!E9</x:f>
        <x:v>1760012.821276368</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Equity after that buyback</x:v>
      </x:c>
      <x:c r="D18" s="136"/>
      <x:c r="E18" s="164" t="n">
        <x:f>'DCF'!E26-E17</x:f>
        <x:v>373181.3264987739</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Price with funded buyback</x:v>
      </x:c>
      <x:c r="D19" s="136"/>
      <x:c r="E19" s="145" t="n">
        <x:f>E18/E12</x:f>
        <x:v>91.42547725669176</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56" t="str">
        <x:v>Share convention</x:v>
      </x:c>
      <x:c r="D23" s="158" t="str">
        <x:v>Million shares</x:v>
      </x:c>
      <x:c r="E23" s="160" t="str">
        <x:v>Value per share</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July point shares</x:v>
      </x:c>
      <x:c r="D24" s="206" t="n">
        <x:f>'Market Inputs'!E11</x:f>
        <x:v>7425.545491</x:v>
      </x:c>
      <x:c r="E24" s="145" t="n">
        <x:f>'DCF'!E26/D24</x:f>
        <x:v>287.2777697423902</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Point plus award proxy</x:v>
      </x:c>
      <x:c r="D25" s="206" t="n">
        <x:f>'Equity Bridge'!E20</x:f>
        <x:v>7449.545491</x:v>
      </x:c>
      <x:c r="E25" s="145" t="n">
        <x:f>'DCF'!E26/D25</x:f>
        <x:v>286.35225469155296</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t="str">
        <x:v>FY2026 diluted EPS shares</x:v>
      </x:c>
      <x:c r="D26" s="206" t="n">
        <x:f>'Historical Inputs'!N14</x:f>
        <x:v>7453</x:v>
      </x:c>
      <x:c r="E26" s="145" t="n">
        <x:f>'DCF'!E26/D26</x:f>
        <x:v>286.2195287501868</x:v>
      </x:c>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67" t="str">
        <x:v>Selected case observations</x:v>
      </x:c>
      <x:c r="D30" s="170"/>
      <x:c r="E30" s="170"/>
      <x:c r="F30" s="170"/>
      <x:c r="G30" s="170"/>
      <x:c r="H30" s="170"/>
      <x:c r="I30" s="170"/>
      <x:c r="J30" s="170"/>
      <x:c r="K30" s="170"/>
      <x:c r="L30" s="173"/>
      <x:c r="M30" s="136"/>
      <x:c r="N30" s="136"/>
      <x:c r="O30" s="136"/>
      <x:c r="P30" s="136"/>
      <x:c r="Q30" s="136"/>
      <x:c r="R30" s="136"/>
      <x:c r="S30" s="136"/>
      <x:c r="T30" s="136"/>
      <x:c r="U30" s="136"/>
      <x:c r="V30" s="136"/>
      <x:c r="W30" s="136"/>
      <x:c r="X30" s="136"/>
      <x:c r="Y30" s="136"/>
      <x:c r="Z30" s="136"/>
    </x:row>
    <x:row r="31" ht="24" customHeight="1">
      <x:c r="A31" s="136"/>
      <x:c r="B31" s="136"/>
      <x:c r="C31" s="174" t="str">
        <x:f>"Removing shares without reducing equity would require "&amp;ROUND(E12,1)&amp;" million shares outstanding. "&amp;"The primary denominator is latest disclosed point shares plus the FY2026 diluted-minus-basic weighted-share proxy. The proxy is explicit and can be edited; it is not an exact option treasury-stock calculation."</x:f>
        <x:v>Removing shares without reducing equity would require 4081.8 million shares outstanding. The primary denominator is latest disclosed point shares plus the FY2026 diluted-minus-basic weighted-share proxy. The proxy is explicit and can be edited; it is not an exact option treasury-stock calculation.</x:v>
      </x:c>
      <x:c r="D31" s="174"/>
      <x:c r="E31" s="174"/>
      <x:c r="F31" s="174"/>
      <x:c r="G31" s="174"/>
      <x:c r="H31" s="174"/>
      <x:c r="I31" s="174"/>
      <x:c r="J31" s="174"/>
      <x:c r="K31" s="174"/>
      <x:c r="L31" s="174"/>
      <x:c r="M31" s="136"/>
      <x:c r="N31" s="136"/>
      <x:c r="O31" s="136"/>
      <x:c r="P31" s="136"/>
      <x:c r="Q31" s="136"/>
      <x:c r="R31" s="136"/>
      <x:c r="S31" s="136"/>
      <x:c r="T31" s="136"/>
      <x:c r="U31" s="136"/>
      <x:c r="V31" s="136"/>
      <x:c r="W31" s="136"/>
      <x:c r="X31" s="136"/>
      <x:c r="Y31" s="136"/>
      <x:c r="Z31" s="136"/>
    </x:row>
    <x:row r="32" ht="24" customHeight="1">
      <x:c r="A32" s="136"/>
      <x:c r="B32" s="136"/>
      <x:c r="C32" s="174"/>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74"/>
      <x:c r="D33" s="174"/>
      <x:c r="E33" s="174"/>
      <x:c r="F33" s="174"/>
      <x:c r="G33" s="174"/>
      <x:c r="H33" s="174"/>
      <x:c r="I33" s="174"/>
      <x:c r="J33" s="174"/>
      <x:c r="K33" s="174"/>
      <x:c r="L33" s="174"/>
      <x:c r="M33" s="136"/>
      <x:c r="N33" s="136"/>
      <x:c r="O33" s="136"/>
      <x:c r="P33" s="136"/>
      <x:c r="Q33" s="136"/>
      <x:c r="R33" s="136"/>
      <x:c r="S33" s="136"/>
      <x:c r="T33" s="136"/>
      <x:c r="U33" s="136"/>
      <x:c r="V33" s="136"/>
      <x:c r="W33" s="136"/>
      <x:c r="X33" s="136"/>
      <x:c r="Y33" s="136"/>
      <x:c r="Z33" s="136"/>
    </x:row>
    <x:row r="34" ht="24" customHeight="1">
      <x:c r="A34" s="136"/>
      <x:c r="B34" s="136"/>
      <x:c r="C34" s="174" t="str">
        <x:v>Historical weighted-average diluted shares measure EPS, while point shares measure ownership at a date. Both alternative conventions are displayed so their valuation effects are visible.</x:v>
      </x:c>
      <x:c r="D34" s="174"/>
      <x:c r="E34" s="174"/>
      <x:c r="F34" s="174"/>
      <x:c r="G34" s="174"/>
      <x:c r="H34" s="174"/>
      <x:c r="I34" s="174"/>
      <x:c r="J34" s="174"/>
      <x:c r="K34" s="174"/>
      <x:c r="L34" s="174"/>
      <x:c r="M34" s="136"/>
      <x:c r="N34" s="136"/>
      <x:c r="O34" s="136"/>
      <x:c r="P34" s="136"/>
      <x:c r="Q34" s="136"/>
      <x:c r="R34" s="136"/>
      <x:c r="S34" s="136"/>
      <x:c r="T34" s="136"/>
      <x:c r="U34" s="136"/>
      <x:c r="V34" s="136"/>
      <x:c r="W34" s="136"/>
      <x:c r="X34" s="136"/>
      <x:c r="Y34" s="136"/>
      <x:c r="Z34" s="136"/>
    </x:row>
    <x:row r="35" ht="24" customHeight="1">
      <x:c r="A35" s="136"/>
      <x:c r="B35" s="136"/>
      <x:c r="C35" s="174"/>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t="str">
        <x:v>The reverse share count holds total equity constant only for algebra. A real repurchase reduces cash and equity value by its cost. The funded example shows why removing shares cannot create free value.</x:v>
      </x:c>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74"/>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1:L33"/>
    <x:mergeCell ref="C34:L36"/>
    <x:mergeCell ref="C37:L39"/>
  </x:mergeCells>
  <x:pageMargins left="0.7" right="0.7" top="0.75" bottom="0.75" header="0.3" footer="0.3"/>
  <x:drawing xmlns:r="http://schemas.openxmlformats.org/officeDocument/2006/relationships" r:id="R031ea61510cd4d58"/>
  <x:legacyDrawing xmlns:r="http://schemas.openxmlformats.org/officeDocument/2006/relationships" r:id="R6a60bf184b1a4923"/>
</x:worksheet>
</file>

<file path=xl/worksheets/sheet26.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Monte Carlo</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Deterministic draws</x:v>
      </x:c>
      <x:c r="D8" s="136"/>
      <x:c r="E8" s="181" t="n">
        <x:v>1000</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x:c r="D9" s="136"/>
      <x:c r="E9" s="136"/>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x:c r="D10" s="136"/>
      <x:c r="E10" s="136"/>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56" t="str">
        <x:v>Variable</x:v>
      </x:c>
      <x:c r="D11" s="158" t="str">
        <x:v>Low</x:v>
      </x:c>
      <x:c r="E11" s="158" t="str">
        <x:v>Mode</x:v>
      </x:c>
      <x:c r="F11" s="160" t="str">
        <x:v>High</x:v>
      </x:c>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Uniform revenue CAGR</x:v>
      </x:c>
      <x:c r="D12" s="162" t="n">
        <x:f>('Forecast'!I12/'Historical Inputs'!N9)^0.2-1-0.05</x:f>
        <x:v>0.09325702182605737</x:v>
      </x:c>
      <x:c r="E12" s="162" t="n">
        <x:f>('Forecast'!I12/'Historical Inputs'!N9)^0.2-1</x:f>
        <x:v>0.14325702182605737</x:v>
      </x:c>
      <x:c r="F12" s="162" t="n">
        <x:f>('Forecast'!I12/'Historical Inputs'!N9)^0.2-1+0.05</x:f>
        <x:v>0.19325702182605736</x:v>
      </x:c>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t="str">
        <x:v>Margin pp shift</x:v>
      </x:c>
      <x:c r="D13" s="201" t="n">
        <x:v>-0.05</x:v>
      </x:c>
      <x:c r="E13" s="201" t="n">
        <x:v>0</x:v>
      </x:c>
      <x:c r="F13" s="201" t="n">
        <x:v>0.05</x:v>
      </x:c>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Cash capex multiplier</x:v>
      </x:c>
      <x:c r="D14" s="242" t="n">
        <x:v>0.85</x:v>
      </x:c>
      <x:c r="E14" s="242" t="n">
        <x:v>1</x:v>
      </x:c>
      <x:c r="F14" s="242" t="n">
        <x:v>1.2</x:v>
      </x:c>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WACC</x:v>
      </x:c>
      <x:c r="D15" s="162" t="n">
        <x:f>'DCF'!E6-0.015</x:f>
        <x:v>0.08314036929102632</x:v>
      </x:c>
      <x:c r="E15" s="162" t="n">
        <x:f>'DCF'!E6</x:f>
        <x:v>0.09814036929102632</x:v>
      </x:c>
      <x:c r="F15" s="162" t="n">
        <x:f>'DCF'!E6+0.015</x:f>
        <x:v>0.11314036929102632</x:v>
      </x:c>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Stable growth</x:v>
      </x:c>
      <x:c r="D16" s="162" t="n">
        <x:f>'DCF'!E7-0.01</x:f>
        <x:v>0.019999999999999997</x:v>
      </x:c>
      <x:c r="E16" s="162" t="n">
        <x:f>'DCF'!E7</x:f>
        <x:v>0.03</x:v>
      </x:c>
      <x:c r="F16" s="162" t="n">
        <x:f>'DCF'!E7+0.01</x:f>
        <x:v>0.04</x:v>
      </x:c>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Conditional price percentile 5</x:v>
      </x:c>
      <x:c r="D19" s="136"/>
      <x:c r="E19" s="145" t="n">
        <x:f>PERCENTILE(K32:K1031,0.05)</x:f>
        <x:v>224.1506158372279</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Conditional price percentile 25</x:v>
      </x:c>
      <x:c r="D20" s="136"/>
      <x:c r="E20" s="145" t="n">
        <x:f>PERCENTILE(K32:K1031,0.25)</x:f>
        <x:v>258.6831653045649</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Conditional price percentile 50</x:v>
      </x:c>
      <x:c r="D21" s="136"/>
      <x:c r="E21" s="145" t="n">
        <x:f>PERCENTILE(K32:K1031,0.5)</x:f>
        <x:v>283.91610118358716</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Conditional price percentile 75</x:v>
      </x:c>
      <x:c r="D22" s="136"/>
      <x:c r="E22" s="145" t="n">
        <x:f>PERCENTILE(K32:K1031,0.75)</x:f>
        <x:v>312.7493791508626</x:v>
      </x:c>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Conditional price percentile 95</x:v>
      </x:c>
      <x:c r="D23" s="136"/>
      <x:c r="E23" s="145" t="n">
        <x:f>PERCENTILE(K32:K1031,0.95)</x:f>
        <x:v>362.827429582768</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9" t="str">
        <x:v>Share of draws above observed close</x:v>
      </x:c>
      <x:c r="D24" s="139"/>
      <x:c r="E24" s="152" t="n">
        <x:f>COUNTIF(K32:K1031,"&gt;"&amp;'Market Inputs'!E9)/E8</x:f>
        <x:v>0</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56" t="str">
        <x:v>Price bin</x:v>
      </x:c>
      <x:c r="P27" s="160" t="str">
        <x:v>Draw count</x:v>
      </x:c>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249" t="n">
        <x:v>175</x:v>
      </x:c>
      <x:c r="P28" s="238" t="n">
        <x:f>COUNTIFS($K$32:$K$1031,"&gt;="&amp;(O28-12.5),$K$32:$K$1031,"&lt;"&amp;(O28+12.5))</x:f>
        <x:v>2</x:v>
      </x:c>
      <x:c r="Q28" s="136"/>
      <x:c r="R28" s="136"/>
      <x:c r="S28" s="136"/>
      <x:c r="T28" s="136"/>
      <x:c r="U28" s="136"/>
      <x:c r="V28" s="136"/>
      <x:c r="W28" s="136"/>
      <x:c r="X28" s="136"/>
      <x:c r="Y28" s="136"/>
      <x:c r="Z28" s="136"/>
    </x:row>
    <x:row r="29" ht="24" customHeight="1">
      <x:c r="A29" s="136"/>
      <x:c r="B29" s="136"/>
      <x:c r="C29" s="136"/>
      <x:c r="D29" s="136"/>
      <x:c r="E29" s="136"/>
      <x:c r="F29" s="136"/>
      <x:c r="G29" s="136"/>
      <x:c r="H29" s="136"/>
      <x:c r="I29" s="136"/>
      <x:c r="J29" s="136"/>
      <x:c r="K29" s="136"/>
      <x:c r="L29" s="136"/>
      <x:c r="M29" s="136"/>
      <x:c r="N29" s="136"/>
      <x:c r="O29" s="249" t="n">
        <x:v>200</x:v>
      </x:c>
      <x:c r="P29" s="238" t="n">
        <x:f>COUNTIFS($K$32:$K$1031,"&gt;="&amp;(O29-12.5),$K$32:$K$1031,"&lt;"&amp;(O29+12.5))</x:f>
        <x:v>17</x:v>
      </x:c>
      <x:c r="Q29" s="136"/>
      <x:c r="R29" s="136"/>
      <x:c r="S29" s="136"/>
      <x:c r="T29" s="136"/>
      <x:c r="U29" s="136"/>
      <x:c r="V29" s="136"/>
      <x:c r="W29" s="136"/>
      <x:c r="X29" s="136"/>
      <x:c r="Y29" s="136"/>
      <x:c r="Z29" s="136"/>
    </x:row>
    <x:row r="30" ht="24" customHeight="1">
      <x:c r="A30" s="136"/>
      <x:c r="B30" s="136"/>
      <x:c r="C30" s="136"/>
      <x:c r="D30" s="136"/>
      <x:c r="E30" s="136"/>
      <x:c r="F30" s="136"/>
      <x:c r="G30" s="136"/>
      <x:c r="H30" s="136"/>
      <x:c r="I30" s="136"/>
      <x:c r="J30" s="136"/>
      <x:c r="K30" s="136"/>
      <x:c r="L30" s="136"/>
      <x:c r="M30" s="136"/>
      <x:c r="N30" s="136"/>
      <x:c r="O30" s="249" t="n">
        <x:v>225</x:v>
      </x:c>
      <x:c r="P30" s="238" t="n">
        <x:f>COUNTIFS($K$32:$K$1031,"&gt;="&amp;(O30-12.5),$K$32:$K$1031,"&lt;"&amp;(O30+12.5))</x:f>
        <x:v>92</x:v>
      </x:c>
      <x:c r="Q30" s="136"/>
      <x:c r="R30" s="136"/>
      <x:c r="S30" s="136"/>
      <x:c r="T30" s="136"/>
      <x:c r="U30" s="136"/>
      <x:c r="V30" s="136"/>
      <x:c r="W30" s="136"/>
      <x:c r="X30" s="136"/>
      <x:c r="Y30" s="136"/>
      <x:c r="Z30" s="136"/>
    </x:row>
    <x:row r="31" ht="24" customHeight="1">
      <x:c r="A31" s="136"/>
      <x:c r="B31" s="136"/>
      <x:c r="C31" s="156" t="str">
        <x:v>Draw</x:v>
      </x:c>
      <x:c r="D31" s="158" t="str">
        <x:v>Revenue CAGR</x:v>
      </x:c>
      <x:c r="E31" s="158" t="str">
        <x:v>Margin shift</x:v>
      </x:c>
      <x:c r="F31" s="158" t="str">
        <x:v>Cash capex scale</x:v>
      </x:c>
      <x:c r="G31" s="158" t="str">
        <x:v>WACC</x:v>
      </x:c>
      <x:c r="H31" s="158" t="str">
        <x:v>Stable growth</x:v>
      </x:c>
      <x:c r="I31" s="158" t="str">
        <x:v>FY2031 revenue</x:v>
      </x:c>
      <x:c r="J31" s="158" t="str">
        <x:v>FY2032 FCFF</x:v>
      </x:c>
      <x:c r="K31" s="160" t="str">
        <x:v>Fair price</x:v>
      </x:c>
      <x:c r="L31" s="136"/>
      <x:c r="M31" s="136"/>
      <x:c r="N31" s="136"/>
      <x:c r="O31" s="249" t="n">
        <x:v>250</x:v>
      </x:c>
      <x:c r="P31" s="238" t="n">
        <x:f>COUNTIFS($K$32:$K$1031,"&gt;="&amp;(O31-12.5),$K$32:$K$1031,"&lt;"&amp;(O31+12.5))</x:f>
        <x:v>170</x:v>
      </x:c>
      <x:c r="Q31" s="136"/>
      <x:c r="R31" s="136"/>
      <x:c r="S31" s="136"/>
      <x:c r="T31" s="136"/>
      <x:c r="U31" s="136"/>
      <x:c r="V31" s="136"/>
      <x:c r="W31" s="136"/>
      <x:c r="X31" s="156" t="str">
        <x:v>Fixed U growth</x:v>
      </x:c>
      <x:c r="Y31" s="158" t="str">
        <x:v>Fixed U margin</x:v>
      </x:c>
      <x:c r="Z31" s="158" t="str">
        <x:v>Fixed U capex</x:v>
      </x:c>
      <x:c r="AA31" s="251" t="str">
        <x:v>Fixed U WACC</x:v>
      </x:c>
      <x:c r="AB31" s="253" t="str">
        <x:v>Fixed U g</x:v>
      </x:c>
    </x:row>
    <x:row r="32" ht="24" customHeight="1">
      <x:c r="A32" s="136"/>
      <x:c r="B32" s="136"/>
      <x:c r="C32" s="136" t="n">
        <x:f>1</x:f>
        <x:v>1</x:v>
      </x:c>
      <x:c r="D32" s="162" t="n">
        <x:f>IF(X32&lt;($E$12-$D$12)/($F$12-$D$12),$D$12+SQRT(X32*($F$12-$D$12)*($E$12-$D$12)),$F$12-SQRT((1-X32)*($F$12-$D$12)*($F$12-$E$12)))</x:f>
        <x:v>0.1183205870197663</x:v>
      </x:c>
      <x:c r="E32" s="162" t="n">
        <x:f>IF(Y32&lt;($E$13-$D$13)/($F$13-$D$13),$D$13+SQRT(Y32*($F$13-$D$13)*($E$13-$D$13)),$F$13-SQRT((1-Y32)*($F$13-$D$13)*($F$13-$E$13)))</x:f>
        <x:v>0.03787921835223585</x:v>
      </x:c>
      <x:c r="F32" s="222" t="n">
        <x:f>IF(Z32&lt;($E$14-$D$14)/($F$14-$D$14),$D$14+SQRT(Z32*($F$14-$D$14)*($E$14-$D$14)),$F$14-SQRT((1-Z32)*($F$14-$D$14)*($F$14-$E$14)))</x:f>
        <x:v>1.1754623368954833</x:v>
      </x:c>
      <x:c r="G32" s="162" t="n">
        <x:f>IF(AA32&lt;($E$15-$D$15)/($F$15-$D$15),$D$15+SQRT(AA32*($F$15-$D$15)*($E$15-$D$15)),$F$15-SQRT((1-AA32)*($F$15-$D$15)*($F$15-$E$15)))</x:f>
        <x:v>0.09649985118635385</x:v>
      </x:c>
      <x:c r="H32" s="162" t="n">
        <x:f>IF(AB32&lt;($E$16-$D$16)/($F$16-$D$16),$D$16+SQRT(AB32*($F$16-$D$16)*($E$16-$D$16)),$F$16-SQRT((1-AB32)*($F$16-$D$16)*($F$16-$E$16)))</x:f>
        <x:v>0.03310094276418776</x:v>
      </x:c>
      <x:c r="I32" s="164" t="n">
        <x:f>'Historical Inputs'!$N$9*(1+D32)^5</x:f>
        <x:v>580442.2610370511</x:v>
      </x:c>
      <x:c r="J32" s="164" t="n">
        <x:f>I32*(1+H32)*('Terminal Value'!$E$10+E32)*(1-'Assumptions'!$E$15)*(1-H32/'Terminal Value'!$E$12)</x:f>
        <x:v>175295.1869935699</x:v>
      </x:c>
      <x:c r="K32" s="145" t="n">
        <x:f>((SUM((('Historical Inputs'!$N$9*(1+(D32))^1)*(('Assumptions'!E37+(E32))*(1-'Assumptions'!E42-(0))+'Assumptions'!E47-'Assumptions'!E52*(F32)+'Assumptions'!E57-'Assumptions'!E62*(1)-'Assumptions'!E67-(0))+('Working Capital'!$E$6))*'DCF'!E12/(1+(G32))^'DCF'!E13,(('Historical Inputs'!$N$9*(1+(D32))^2)*(('Assumptions'!F37+(E32))*(1-'Assumptions'!F42-(0))+'Assumptions'!F47-'Assumptions'!F52*(F32)+'Assumptions'!F57-'Assumptions'!F62*(1)-'Assumptions'!F67-(0))+(('Historical Inputs'!$N$9*(1+(D32))^1)*('Assumptions'!E67+(0))))*'DCF'!F12/(1+(G32))^'DCF'!F13,(('Historical Inputs'!$N$9*(1+(D32))^3)*(('Assumptions'!G37+(E32))*(1-'Assumptions'!G42-(0))+'Assumptions'!G47-'Assumptions'!G52*(F32)+'Assumptions'!G57-'Assumptions'!G62*(1)-'Assumptions'!G67-(0))+(('Historical Inputs'!$N$9*(1+(D32))^2)*('Assumptions'!F67+(0))))*'DCF'!G12/(1+(G32))^'DCF'!G13,(('Historical Inputs'!$N$9*(1+(D32))^4)*(('Assumptions'!H37+(E32))*(1-'Assumptions'!H42-(0))+'Assumptions'!H47-'Assumptions'!H52*(F32)+'Assumptions'!H57-'Assumptions'!H62*(1)-'Assumptions'!H67-(0))+(('Historical Inputs'!$N$9*(1+(D32))^3)*('Assumptions'!G67+(0))))*'DCF'!H12/(1+(G32))^'DCF'!H13,(('Historical Inputs'!$N$9*(1+(D32))^5)*(('Assumptions'!I37+(E32))*(1-'Assumptions'!I42-(0))+'Assumptions'!I47-'Assumptions'!I52*(F32)+'Assumptions'!I57-'Assumptions'!I62*(1)-'Assumptions'!I67-(0))+(('Historical Inputs'!$N$9*(1+(D32))^4)*('Assumptions'!H67+(0))))*'DCF'!I12/(1+(G32))^'DCF'!I13)+('Historical Inputs'!$N$9*(1+(D32))^5)*(1+(H32))*('Terminal Value'!$E$10+(E32))*(1-'Assumptions'!$E$15-(0))*(1-(H32)/('Terminal Value'!$E$12))/((G32)-(H32))/(1+(G32))^'DCF'!$E$19)+'Equity Bridge'!$E$17)/'Equity Bridge'!$E$20</x:f>
        <x:v>288.558454939332</x:v>
      </x:c>
      <x:c r="L32" s="136"/>
      <x:c r="M32" s="136"/>
      <x:c r="N32" s="136"/>
      <x:c r="O32" s="249" t="n">
        <x:v>275</x:v>
      </x:c>
      <x:c r="P32" s="238" t="n">
        <x:f>COUNTIFS($K$32:$K$1031,"&gt;="&amp;(O32-12.5),$K$32:$K$1031,"&lt;"&amp;(O32+12.5))</x:f>
        <x:v>254</x:v>
      </x:c>
      <x:c r="Q32" s="136"/>
      <x:c r="R32" s="136"/>
      <x:c r="S32" s="136"/>
      <x:c r="T32" s="136"/>
      <x:c r="U32" s="136"/>
      <x:c r="V32" s="136"/>
      <x:c r="W32" s="136"/>
      <x:c r="X32" s="240" t="n">
        <x:v>0.12563646004385953</x:v>
      </x:c>
      <x:c r="Y32" s="240" t="n">
        <x:v>0.9706173304494448</x:v>
      </x:c>
      <x:c r="Z32" s="240" t="n">
        <x:v>0.9913986155624177</x:v>
      </x:c>
      <x:c r="AA32" s="255" t="n">
        <x:v>0.39661279224796475</x:v>
      </x:c>
      <x:c r="AB32" s="255" t="n">
        <x:v>0.7620150462849342</x:v>
      </x:c>
    </x:row>
    <x:row r="33" ht="24" customHeight="1">
      <x:c r="A33" s="136"/>
      <x:c r="B33" s="136"/>
      <x:c r="C33" s="136" t="n">
        <x:f>2</x:f>
        <x:v>2</x:v>
      </x:c>
      <x:c r="D33" s="162" t="n">
        <x:f>IF(X33&lt;($E$12-$D$12)/($F$12-$D$12),$D$12+SQRT(X33*($F$12-$D$12)*($E$12-$D$12)),$F$12-SQRT((1-X33)*($F$12-$D$12)*($F$12-$E$12)))</x:f>
        <x:v>0.11662148302143743</x:v>
      </x:c>
      <x:c r="E33" s="162" t="n">
        <x:f>IF(Y33&lt;($E$13-$D$13)/($F$13-$D$13),$D$13+SQRT(Y33*($F$13-$D$13)*($E$13-$D$13)),$F$13-SQRT((1-Y33)*($F$13-$D$13)*($F$13-$E$13)))</x:f>
        <x:v>-0.008968471402554759</x:v>
      </x:c>
      <x:c r="F33" s="222" t="n">
        <x:f>IF(Z33&lt;($E$14-$D$14)/($F$14-$D$14),$D$14+SQRT(Z33*($F$14-$D$14)*($E$14-$D$14)),$F$14-SQRT((1-Z33)*($F$14-$D$14)*($F$14-$E$14)))</x:f>
        <x:v>0.9471461173015557</x:v>
      </x:c>
      <x:c r="G33" s="162" t="n">
        <x:f>IF(AA33&lt;($E$15-$D$15)/($F$15-$D$15),$D$15+SQRT(AA33*($F$15-$D$15)*($E$15-$D$15)),$F$15-SQRT((1-AA33)*($F$15-$D$15)*($F$15-$E$15)))</x:f>
        <x:v>0.1078242348428546</x:v>
      </x:c>
      <x:c r="H33" s="162" t="n">
        <x:f>IF(AB33&lt;($E$16-$D$16)/($F$16-$D$16),$D$16+SQRT(AB33*($F$16-$D$16)*($E$16-$D$16)),$F$16-SQRT((1-AB33)*($F$16-$D$16)*($F$16-$E$16)))</x:f>
        <x:v>0.033500128233975184</x:v>
      </x:c>
      <x:c r="I33" s="164" t="n">
        <x:f>'Historical Inputs'!$N$9*(1+D33)^5</x:f>
        <x:v>576046.2072841815</x:v>
      </x:c>
      <x:c r="J33" s="164" t="n">
        <x:f>I33*(1+H33)*('Terminal Value'!$E$10+E33)*(1-'Assumptions'!$E$15)*(1-H33/'Terminal Value'!$E$12)</x:f>
        <x:v>155043.486806297</x:v>
      </x:c>
      <x:c r="K33" s="145" t="n">
        <x:f>((SUM((('Historical Inputs'!$N$9*(1+(D33))^1)*(('Assumptions'!E37+(E33))*(1-'Assumptions'!E42-(0))+'Assumptions'!E47-'Assumptions'!E52*(F33)+'Assumptions'!E57-'Assumptions'!E62*(1)-'Assumptions'!E67-(0))+('Working Capital'!$E$6))*'DCF'!E12/(1+(G33))^'DCF'!E13,(('Historical Inputs'!$N$9*(1+(D33))^2)*(('Assumptions'!F37+(E33))*(1-'Assumptions'!F42-(0))+'Assumptions'!F47-'Assumptions'!F52*(F33)+'Assumptions'!F57-'Assumptions'!F62*(1)-'Assumptions'!F67-(0))+(('Historical Inputs'!$N$9*(1+(D33))^1)*('Assumptions'!E67+(0))))*'DCF'!F12/(1+(G33))^'DCF'!F13,(('Historical Inputs'!$N$9*(1+(D33))^3)*(('Assumptions'!G37+(E33))*(1-'Assumptions'!G42-(0))+'Assumptions'!G47-'Assumptions'!G52*(F33)+'Assumptions'!G57-'Assumptions'!G62*(1)-'Assumptions'!G67-(0))+(('Historical Inputs'!$N$9*(1+(D33))^2)*('Assumptions'!F67+(0))))*'DCF'!G12/(1+(G33))^'DCF'!G13,(('Historical Inputs'!$N$9*(1+(D33))^4)*(('Assumptions'!H37+(E33))*(1-'Assumptions'!H42-(0))+'Assumptions'!H47-'Assumptions'!H52*(F33)+'Assumptions'!H57-'Assumptions'!H62*(1)-'Assumptions'!H67-(0))+(('Historical Inputs'!$N$9*(1+(D33))^3)*('Assumptions'!G67+(0))))*'DCF'!H12/(1+(G33))^'DCF'!H13,(('Historical Inputs'!$N$9*(1+(D33))^5)*(('Assumptions'!I37+(E33))*(1-'Assumptions'!I42-(0))+'Assumptions'!I47-'Assumptions'!I52*(F33)+'Assumptions'!I57-'Assumptions'!I62*(1)-'Assumptions'!I67-(0))+(('Historical Inputs'!$N$9*(1+(D33))^4)*('Assumptions'!H67+(0))))*'DCF'!I12/(1+(G33))^'DCF'!I13)+('Historical Inputs'!$N$9*(1+(D33))^5)*(1+(H33))*('Terminal Value'!$E$10+(E33))*(1-'Assumptions'!$E$15-(0))*(1-(H33)/('Terminal Value'!$E$12))/((G33)-(H33))/(1+(G33))^'DCF'!$E$19)+'Equity Bridge'!$E$17)/'Equity Bridge'!$E$20</x:f>
        <x:v>223.85542088384452</x:v>
      </x:c>
      <x:c r="L33" s="136"/>
      <x:c r="M33" s="136"/>
      <x:c r="N33" s="136"/>
      <x:c r="O33" s="249" t="n">
        <x:v>300</x:v>
      </x:c>
      <x:c r="P33" s="238" t="n">
        <x:f>COUNTIFS($K$32:$K$1031,"&gt;="&amp;(O33-12.5),$K$32:$K$1031,"&lt;"&amp;(O33+12.5))</x:f>
        <x:v>212</x:v>
      </x:c>
      <x:c r="Q33" s="136"/>
      <x:c r="R33" s="136"/>
      <x:c r="S33" s="136"/>
      <x:c r="T33" s="136"/>
      <x:c r="U33" s="136"/>
      <x:c r="V33" s="136"/>
      <x:c r="W33" s="136"/>
      <x:c r="X33" s="240" t="n">
        <x:v>0.1091796093900842</x:v>
      </x:c>
      <x:c r="Y33" s="240" t="n">
        <x:v>0.33671726780859335</x:v>
      </x:c>
      <x:c r="Z33" s="240" t="n">
        <x:v>0.1797593925098595</x:v>
      </x:c>
      <x:c r="AA33" s="255" t="n">
        <x:v>0.9371971433976931</x:v>
      </x:c>
      <x:c r="AB33" s="255" t="n">
        <x:v>0.7887583351261672</x:v>
      </x:c>
    </x:row>
    <x:row r="34" ht="24" customHeight="1">
      <x:c r="A34" s="136"/>
      <x:c r="B34" s="136"/>
      <x:c r="C34" s="136" t="n">
        <x:f>3</x:f>
        <x:v>3</x:v>
      </x:c>
      <x:c r="D34" s="162" t="n">
        <x:f>IF(X34&lt;($E$12-$D$12)/($F$12-$D$12),$D$12+SQRT(X34*($F$12-$D$12)*($E$12-$D$12)),$F$12-SQRT((1-X34)*($F$12-$D$12)*($F$12-$E$12)))</x:f>
        <x:v>0.1774720216875913</x:v>
      </x:c>
      <x:c r="E34" s="162" t="n">
        <x:f>IF(Y34&lt;($E$13-$D$13)/($F$13-$D$13),$D$13+SQRT(Y34*($F$13-$D$13)*($E$13-$D$13)),$F$13-SQRT((1-Y34)*($F$13-$D$13)*($F$13-$E$13)))</x:f>
        <x:v>0.0011562145322928444</x:v>
      </x:c>
      <x:c r="F34" s="222" t="n">
        <x:f>IF(Z34&lt;($E$14-$D$14)/($F$14-$D$14),$D$14+SQRT(Z34*($F$14-$D$14)*($E$14-$D$14)),$F$14-SQRT((1-Z34)*($F$14-$D$14)*($F$14-$E$14)))</x:f>
        <x:v>0.991345990898271</x:v>
      </x:c>
      <x:c r="G34" s="162" t="n">
        <x:f>IF(AA34&lt;($E$15-$D$15)/($F$15-$D$15),$D$15+SQRT(AA34*($F$15-$D$15)*($E$15-$D$15)),$F$15-SQRT((1-AA34)*($F$15-$D$15)*($F$15-$E$15)))</x:f>
        <x:v>0.0896303851989729</x:v>
      </x:c>
      <x:c r="H34" s="162" t="n">
        <x:f>IF(AB34&lt;($E$16-$D$16)/($F$16-$D$16),$D$16+SQRT(AB34*($F$16-$D$16)*($E$16-$D$16)),$F$16-SQRT((1-AB34)*($F$16-$D$16)*($F$16-$E$16)))</x:f>
        <x:v>0.027875547960440675</x:v>
      </x:c>
      <x:c r="I34" s="164" t="n">
        <x:f>'Historical Inputs'!$N$9*(1+D34)^5</x:f>
        <x:v>751069.9882213289</x:v>
      </x:c>
      <x:c r="J34" s="164" t="n">
        <x:f>I34*(1+H34)*('Terminal Value'!$E$10+E34)*(1-'Assumptions'!$E$15)*(1-H34/'Terminal Value'!$E$12)</x:f>
        <x:v>213224.46322045603</x:v>
      </x:c>
      <x:c r="K34" s="145" t="n">
        <x:f>((SUM((('Historical Inputs'!$N$9*(1+(D34))^1)*(('Assumptions'!E37+(E34))*(1-'Assumptions'!E42-(0))+'Assumptions'!E47-'Assumptions'!E52*(F34)+'Assumptions'!E57-'Assumptions'!E62*(1)-'Assumptions'!E67-(0))+('Working Capital'!$E$6))*'DCF'!E12/(1+(G34))^'DCF'!E13,(('Historical Inputs'!$N$9*(1+(D34))^2)*(('Assumptions'!F37+(E34))*(1-'Assumptions'!F42-(0))+'Assumptions'!F47-'Assumptions'!F52*(F34)+'Assumptions'!F57-'Assumptions'!F62*(1)-'Assumptions'!F67-(0))+(('Historical Inputs'!$N$9*(1+(D34))^1)*('Assumptions'!E67+(0))))*'DCF'!F12/(1+(G34))^'DCF'!F13,(('Historical Inputs'!$N$9*(1+(D34))^3)*(('Assumptions'!G37+(E34))*(1-'Assumptions'!G42-(0))+'Assumptions'!G47-'Assumptions'!G52*(F34)+'Assumptions'!G57-'Assumptions'!G62*(1)-'Assumptions'!G67-(0))+(('Historical Inputs'!$N$9*(1+(D34))^2)*('Assumptions'!F67+(0))))*'DCF'!G12/(1+(G34))^'DCF'!G13,(('Historical Inputs'!$N$9*(1+(D34))^4)*(('Assumptions'!H37+(E34))*(1-'Assumptions'!H42-(0))+'Assumptions'!H47-'Assumptions'!H52*(F34)+'Assumptions'!H57-'Assumptions'!H62*(1)-'Assumptions'!H67-(0))+(('Historical Inputs'!$N$9*(1+(D34))^3)*('Assumptions'!G67+(0))))*'DCF'!H12/(1+(G34))^'DCF'!H13,(('Historical Inputs'!$N$9*(1+(D34))^5)*(('Assumptions'!I37+(E34))*(1-'Assumptions'!I42-(0))+'Assumptions'!I47-'Assumptions'!I52*(F34)+'Assumptions'!I57-'Assumptions'!I62*(1)-'Assumptions'!I67-(0))+(('Historical Inputs'!$N$9*(1+(D34))^4)*('Assumptions'!H67+(0))))*'DCF'!I12/(1+(G34))^'DCF'!I13)+('Historical Inputs'!$N$9*(1+(D34))^5)*(1+(H34))*('Terminal Value'!$E$10+(E34))*(1-'Assumptions'!$E$15-(0))*(1-(H34)/('Terminal Value'!$E$12))/((G34)-(H34))/(1+(G34))^'DCF'!$E$19)+'Equity Bridge'!$E$17)/'Equity Bridge'!$E$20</x:f>
        <x:v>373.29944933609244</x:v>
      </x:c>
      <x:c r="L34" s="136"/>
      <x:c r="M34" s="136"/>
      <x:c r="N34" s="136"/>
      <x:c r="O34" s="249" t="n">
        <x:v>325</x:v>
      </x:c>
      <x:c r="P34" s="238" t="n">
        <x:f>COUNTIFS($K$32:$K$1031,"&gt;="&amp;(O34-12.5),$K$32:$K$1031,"&lt;"&amp;(O34+12.5))</x:f>
        <x:v>121</x:v>
      </x:c>
      <x:c r="Q34" s="136"/>
      <x:c r="R34" s="136"/>
      <x:c r="S34" s="136"/>
      <x:c r="T34" s="136"/>
      <x:c r="U34" s="136"/>
      <x:c r="V34" s="136"/>
      <x:c r="W34" s="136"/>
      <x:c r="X34" s="240" t="n">
        <x:v>0.9501667541257252</x:v>
      </x:c>
      <x:c r="Y34" s="240" t="n">
        <x:v>0.5228569242369199</x:v>
      </x:c>
      <x:c r="Z34" s="240" t="n">
        <x:v>0.3805464598669356</x:v>
      </x:c>
      <x:c r="AA34" s="255" t="n">
        <x:v>0.09360068107866615</x:v>
      </x:c>
      <x:c r="AB34" s="255" t="n">
        <x:v>0.31012127838600656</x:v>
      </x:c>
    </x:row>
    <x:row r="35" ht="24" customHeight="1">
      <x:c r="A35" s="136"/>
      <x:c r="B35" s="136"/>
      <x:c r="C35" s="136" t="n">
        <x:f>4</x:f>
        <x:v>4</x:v>
      </x:c>
      <x:c r="D35" s="162" t="n">
        <x:f>IF(X35&lt;($E$12-$D$12)/($F$12-$D$12),$D$12+SQRT(X35*($F$12-$D$12)*($E$12-$D$12)),$F$12-SQRT((1-X35)*($F$12-$D$12)*($F$12-$E$12)))</x:f>
        <x:v>0.1282822133983336</x:v>
      </x:c>
      <x:c r="E35" s="162" t="n">
        <x:f>IF(Y35&lt;($E$13-$D$13)/($F$13-$D$13),$D$13+SQRT(Y35*($F$13-$D$13)*($E$13-$D$13)),$F$13-SQRT((1-Y35)*($F$13-$D$13)*($F$13-$E$13)))</x:f>
        <x:v>-0.00012917029141865793</x:v>
      </x:c>
      <x:c r="F35" s="222" t="n">
        <x:f>IF(Z35&lt;($E$14-$D$14)/($F$14-$D$14),$D$14+SQRT(Z35*($F$14-$D$14)*($E$14-$D$14)),$F$14-SQRT((1-Z35)*($F$14-$D$14)*($F$14-$E$14)))</x:f>
        <x:v>0.906619025771108</x:v>
      </x:c>
      <x:c r="G35" s="162" t="n">
        <x:f>IF(AA35&lt;($E$15-$D$15)/($F$15-$D$15),$D$15+SQRT(AA35*($F$15-$D$15)*($E$15-$D$15)),$F$15-SQRT((1-AA35)*($F$15-$D$15)*($F$15-$E$15)))</x:f>
        <x:v>0.10087633144171144</x:v>
      </x:c>
      <x:c r="H35" s="162" t="n">
        <x:f>IF(AB35&lt;($E$16-$D$16)/($F$16-$D$16),$D$16+SQRT(AB35*($F$16-$D$16)*($E$16-$D$16)),$F$16-SQRT((1-AB35)*($F$16-$D$16)*($F$16-$E$16)))</x:f>
        <x:v>0.031010951835081207</x:v>
      </x:c>
      <x:c r="I35" s="164" t="n">
        <x:f>'Historical Inputs'!$N$9*(1+D35)^5</x:f>
        <x:v>606758.8718194955</x:v>
      </x:c>
      <x:c r="J35" s="164" t="n">
        <x:f>I35*(1+H35)*('Terminal Value'!$E$10+E35)*(1-'Assumptions'!$E$15)*(1-H35/'Terminal Value'!$E$12)</x:f>
        <x:v>169089.9083165141</x:v>
      </x:c>
      <x:c r="K35" s="145" t="n">
        <x:f>((SUM((('Historical Inputs'!$N$9*(1+(D35))^1)*(('Assumptions'!E37+(E35))*(1-'Assumptions'!E42-(0))+'Assumptions'!E47-'Assumptions'!E52*(F35)+'Assumptions'!E57-'Assumptions'!E62*(1)-'Assumptions'!E67-(0))+('Working Capital'!$E$6))*'DCF'!E12/(1+(G35))^'DCF'!E13,(('Historical Inputs'!$N$9*(1+(D35))^2)*(('Assumptions'!F37+(E35))*(1-'Assumptions'!F42-(0))+'Assumptions'!F47-'Assumptions'!F52*(F35)+'Assumptions'!F57-'Assumptions'!F62*(1)-'Assumptions'!F67-(0))+(('Historical Inputs'!$N$9*(1+(D35))^1)*('Assumptions'!E67+(0))))*'DCF'!F12/(1+(G35))^'DCF'!F13,(('Historical Inputs'!$N$9*(1+(D35))^3)*(('Assumptions'!G37+(E35))*(1-'Assumptions'!G42-(0))+'Assumptions'!G47-'Assumptions'!G52*(F35)+'Assumptions'!G57-'Assumptions'!G62*(1)-'Assumptions'!G67-(0))+(('Historical Inputs'!$N$9*(1+(D35))^2)*('Assumptions'!F67+(0))))*'DCF'!G12/(1+(G35))^'DCF'!G13,(('Historical Inputs'!$N$9*(1+(D35))^4)*(('Assumptions'!H37+(E35))*(1-'Assumptions'!H42-(0))+'Assumptions'!H47-'Assumptions'!H52*(F35)+'Assumptions'!H57-'Assumptions'!H62*(1)-'Assumptions'!H67-(0))+(('Historical Inputs'!$N$9*(1+(D35))^3)*('Assumptions'!G67+(0))))*'DCF'!H12/(1+(G35))^'DCF'!H13,(('Historical Inputs'!$N$9*(1+(D35))^5)*(('Assumptions'!I37+(E35))*(1-'Assumptions'!I42-(0))+'Assumptions'!I47-'Assumptions'!I52*(F35)+'Assumptions'!I57-'Assumptions'!I62*(1)-'Assumptions'!I67-(0))+(('Historical Inputs'!$N$9*(1+(D35))^4)*('Assumptions'!H67+(0))))*'DCF'!I12/(1+(G35))^'DCF'!I13)+('Historical Inputs'!$N$9*(1+(D35))^5)*(1+(H35))*('Terminal Value'!$E$10+(E35))*(1-'Assumptions'!$E$15-(0))*(1-(H35)/('Terminal Value'!$E$12))/((G35)-(H35))/(1+(G35))^'DCF'!$E$19)+'Equity Bridge'!$E$17)/'Equity Bridge'!$E$20</x:f>
        <x:v>264.64459214898824</x:v>
      </x:c>
      <x:c r="L35" s="136"/>
      <x:c r="M35" s="136"/>
      <x:c r="N35" s="136"/>
      <x:c r="O35" s="249" t="n">
        <x:v>350</x:v>
      </x:c>
      <x:c r="P35" s="238" t="n">
        <x:f>COUNTIFS($K$32:$K$1031,"&gt;="&amp;(O35-12.5),$K$32:$K$1031,"&lt;"&amp;(O35+12.5))</x:f>
        <x:v>80</x:v>
      </x:c>
      <x:c r="Q35" s="136"/>
      <x:c r="R35" s="136"/>
      <x:c r="S35" s="136"/>
      <x:c r="T35" s="136"/>
      <x:c r="U35" s="136"/>
      <x:c r="V35" s="136"/>
      <x:c r="W35" s="136"/>
      <x:c r="X35" s="240" t="n">
        <x:v>0.24535280893492983</x:v>
      </x:c>
      <x:c r="Y35" s="240" t="n">
        <x:v>0.4974199311644639</x:v>
      </x:c>
      <x:c r="Z35" s="240" t="n">
        <x:v>0.061061220557512175</x:v>
      </x:c>
      <x:c r="AA35" s="255" t="n">
        <x:v>0.6657630569568272</x:v>
      </x:c>
      <x:c r="AB35" s="255" t="n">
        <x:v>0.5959850654438505</x:v>
      </x:c>
    </x:row>
    <x:row r="36" ht="24" customHeight="1">
      <x:c r="A36" s="136"/>
      <x:c r="B36" s="136"/>
      <x:c r="C36" s="136" t="n">
        <x:f>5</x:f>
        <x:v>5</x:v>
      </x:c>
      <x:c r="D36" s="162" t="n">
        <x:f>IF(X36&lt;($E$12-$D$12)/($F$12-$D$12),$D$12+SQRT(X36*($F$12-$D$12)*($E$12-$D$12)),$F$12-SQRT((1-X36)*($F$12-$D$12)*($F$12-$E$12)))</x:f>
        <x:v>0.14098698986626207</x:v>
      </x:c>
      <x:c r="E36" s="162" t="n">
        <x:f>IF(Y36&lt;($E$13-$D$13)/($F$13-$D$13),$D$13+SQRT(Y36*($F$13-$D$13)*($E$13-$D$13)),$F$13-SQRT((1-Y36)*($F$13-$D$13)*($F$13-$E$13)))</x:f>
        <x:v>0.02271201991560597</x:v>
      </x:c>
      <x:c r="F36" s="222" t="n">
        <x:f>IF(Z36&lt;($E$14-$D$14)/($F$14-$D$14),$D$14+SQRT(Z36*($F$14-$D$14)*($E$14-$D$14)),$F$14-SQRT((1-Z36)*($F$14-$D$14)*($F$14-$E$14)))</x:f>
        <x:v>0.9236406259418614</x:v>
      </x:c>
      <x:c r="G36" s="162" t="n">
        <x:f>IF(AA36&lt;($E$15-$D$15)/($F$15-$D$15),$D$15+SQRT(AA36*($F$15-$D$15)*($E$15-$D$15)),$F$15-SQRT((1-AA36)*($F$15-$D$15)*($F$15-$E$15)))</x:f>
        <x:v>0.09238168421747975</x:v>
      </x:c>
      <x:c r="H36" s="162" t="n">
        <x:f>IF(AB36&lt;($E$16-$D$16)/($F$16-$D$16),$D$16+SQRT(AB36*($F$16-$D$16)*($E$16-$D$16)),$F$16-SQRT((1-AB36)*($F$16-$D$16)*($F$16-$E$16)))</x:f>
        <x:v>0.030478748145898116</x:v>
      </x:c>
      <x:c r="I36" s="164" t="n">
        <x:f>'Historical Inputs'!$N$9*(1+D36)^5</x:f>
        <x:v>641698.2987751847</x:v>
      </x:c>
      <x:c r="J36" s="164" t="n">
        <x:f>I36*(1+H36)*('Terminal Value'!$E$10+E36)*(1-'Assumptions'!$E$15)*(1-H36/'Terminal Value'!$E$12)</x:f>
        <x:v>189539.03578724278</x:v>
      </x:c>
      <x:c r="K36" s="145" t="n">
        <x:f>((SUM((('Historical Inputs'!$N$9*(1+(D36))^1)*(('Assumptions'!E37+(E36))*(1-'Assumptions'!E42-(0))+'Assumptions'!E47-'Assumptions'!E52*(F36)+'Assumptions'!E57-'Assumptions'!E62*(1)-'Assumptions'!E67-(0))+('Working Capital'!$E$6))*'DCF'!E12/(1+(G36))^'DCF'!E13,(('Historical Inputs'!$N$9*(1+(D36))^2)*(('Assumptions'!F37+(E36))*(1-'Assumptions'!F42-(0))+'Assumptions'!F47-'Assumptions'!F52*(F36)+'Assumptions'!F57-'Assumptions'!F62*(1)-'Assumptions'!F67-(0))+(('Historical Inputs'!$N$9*(1+(D36))^1)*('Assumptions'!E67+(0))))*'DCF'!F12/(1+(G36))^'DCF'!F13,(('Historical Inputs'!$N$9*(1+(D36))^3)*(('Assumptions'!G37+(E36))*(1-'Assumptions'!G42-(0))+'Assumptions'!G47-'Assumptions'!G52*(F36)+'Assumptions'!G57-'Assumptions'!G62*(1)-'Assumptions'!G67-(0))+(('Historical Inputs'!$N$9*(1+(D36))^2)*('Assumptions'!F67+(0))))*'DCF'!G12/(1+(G36))^'DCF'!G13,(('Historical Inputs'!$N$9*(1+(D36))^4)*(('Assumptions'!H37+(E36))*(1-'Assumptions'!H42-(0))+'Assumptions'!H47-'Assumptions'!H52*(F36)+'Assumptions'!H57-'Assumptions'!H62*(1)-'Assumptions'!H67-(0))+(('Historical Inputs'!$N$9*(1+(D36))^3)*('Assumptions'!G67+(0))))*'DCF'!H12/(1+(G36))^'DCF'!H13,(('Historical Inputs'!$N$9*(1+(D36))^5)*(('Assumptions'!I37+(E36))*(1-'Assumptions'!I42-(0))+'Assumptions'!I47-'Assumptions'!I52*(F36)+'Assumptions'!I57-'Assumptions'!I62*(1)-'Assumptions'!I67-(0))+(('Historical Inputs'!$N$9*(1+(D36))^4)*('Assumptions'!H67+(0))))*'DCF'!I12/(1+(G36))^'DCF'!I13)+('Historical Inputs'!$N$9*(1+(D36))^5)*(1+(H36))*('Terminal Value'!$E$10+(E36))*(1-'Assumptions'!$E$15-(0))*(1-(H36)/('Terminal Value'!$E$12))/((G36)-(H36))/(1+(G36))^'DCF'!$E$19)+'Equity Bridge'!$E$17)/'Equity Bridge'!$E$20</x:f>
        <x:v>336.418150231849</x:v>
      </x:c>
      <x:c r="L36" s="136"/>
      <x:c r="M36" s="136"/>
      <x:c r="N36" s="136"/>
      <x:c r="O36" s="249" t="n">
        <x:v>375</x:v>
      </x:c>
      <x:c r="P36" s="238" t="n">
        <x:f>COUNTIFS($K$32:$K$1031,"&gt;="&amp;(O36-12.5),$K$32:$K$1031,"&lt;"&amp;(O36+12.5))</x:f>
        <x:v>37</x:v>
      </x:c>
      <x:c r="Q36" s="136"/>
      <x:c r="R36" s="136"/>
      <x:c r="S36" s="136"/>
      <x:c r="T36" s="136"/>
      <x:c r="U36" s="136"/>
      <x:c r="V36" s="136"/>
      <x:c r="W36" s="136"/>
      <x:c r="X36" s="240" t="n">
        <x:v>0.45562996982379256</x:v>
      </x:c>
      <x:c r="Y36" s="240" t="n">
        <x:v>0.8510732285827429</x:v>
      </x:c>
      <x:c r="Z36" s="240" t="n">
        <x:v>0.10329412931636472</x:v>
      </x:c>
      <x:c r="AA36" s="255" t="n">
        <x:v>0.18978200348864638</x:v>
      </x:c>
      <x:c r="AB36" s="255" t="n">
        <x:v>0.5467288156538074</x:v>
      </x:c>
    </x:row>
    <x:row r="37" ht="24" customHeight="1">
      <x:c r="A37" s="136"/>
      <x:c r="B37" s="136"/>
      <x:c r="C37" s="136" t="n">
        <x:f>6</x:f>
        <x:v>6</x:v>
      </x:c>
      <x:c r="D37" s="162" t="n">
        <x:f>IF(X37&lt;($E$12-$D$12)/($F$12-$D$12),$D$12+SQRT(X37*($F$12-$D$12)*($E$12-$D$12)),$F$12-SQRT((1-X37)*($F$12-$D$12)*($F$12-$E$12)))</x:f>
        <x:v>0.1102308389375338</x:v>
      </x:c>
      <x:c r="E37" s="162" t="n">
        <x:f>IF(Y37&lt;($E$13-$D$13)/($F$13-$D$13),$D$13+SQRT(Y37*($F$13-$D$13)*($E$13-$D$13)),$F$13-SQRT((1-Y37)*($F$13-$D$13)*($F$13-$E$13)))</x:f>
        <x:v>-0.016919371476258167</x:v>
      </x:c>
      <x:c r="F37" s="222" t="n">
        <x:f>IF(Z37&lt;($E$14-$D$14)/($F$14-$D$14),$D$14+SQRT(Z37*($F$14-$D$14)*($E$14-$D$14)),$F$14-SQRT((1-Z37)*($F$14-$D$14)*($F$14-$E$14)))</x:f>
        <x:v>1.0743676114506266</x:v>
      </x:c>
      <x:c r="G37" s="162" t="n">
        <x:f>IF(AA37&lt;($E$15-$D$15)/($F$15-$D$15),$D$15+SQRT(AA37*($F$15-$D$15)*($E$15-$D$15)),$F$15-SQRT((1-AA37)*($F$15-$D$15)*($F$15-$E$15)))</x:f>
        <x:v>0.11129427727298466</x:v>
      </x:c>
      <x:c r="H37" s="162" t="n">
        <x:f>IF(AB37&lt;($E$16-$D$16)/($F$16-$D$16),$D$16+SQRT(AB37*($F$16-$D$16)*($E$16-$D$16)),$F$16-SQRT((1-AB37)*($F$16-$D$16)*($F$16-$E$16)))</x:f>
        <x:v>0.03231146287559519</x:v>
      </x:c>
      <x:c r="I37" s="164" t="n">
        <x:f>'Historical Inputs'!$N$9*(1+D37)^5</x:f>
        <x:v>559749.6863194805</x:v>
      </x:c>
      <x:c r="J37" s="164" t="n">
        <x:f>I37*(1+H37)*('Terminal Value'!$E$10+E37)*(1-'Assumptions'!$E$15)*(1-H37/'Terminal Value'!$E$12)</x:f>
        <x:v>148476.65244243483</x:v>
      </x:c>
      <x:c r="K37" s="145" t="n">
        <x:f>((SUM((('Historical Inputs'!$N$9*(1+(D37))^1)*(('Assumptions'!E37+(E37))*(1-'Assumptions'!E42-(0))+'Assumptions'!E47-'Assumptions'!E52*(F37)+'Assumptions'!E57-'Assumptions'!E62*(1)-'Assumptions'!E67-(0))+('Working Capital'!$E$6))*'DCF'!E12/(1+(G37))^'DCF'!E13,(('Historical Inputs'!$N$9*(1+(D37))^2)*(('Assumptions'!F37+(E37))*(1-'Assumptions'!F42-(0))+'Assumptions'!F47-'Assumptions'!F52*(F37)+'Assumptions'!F57-'Assumptions'!F62*(1)-'Assumptions'!F67-(0))+(('Historical Inputs'!$N$9*(1+(D37))^1)*('Assumptions'!E67+(0))))*'DCF'!F12/(1+(G37))^'DCF'!F13,(('Historical Inputs'!$N$9*(1+(D37))^3)*(('Assumptions'!G37+(E37))*(1-'Assumptions'!G42-(0))+'Assumptions'!G47-'Assumptions'!G52*(F37)+'Assumptions'!G57-'Assumptions'!G62*(1)-'Assumptions'!G67-(0))+(('Historical Inputs'!$N$9*(1+(D37))^2)*('Assumptions'!F67+(0))))*'DCF'!G12/(1+(G37))^'DCF'!G13,(('Historical Inputs'!$N$9*(1+(D37))^4)*(('Assumptions'!H37+(E37))*(1-'Assumptions'!H42-(0))+'Assumptions'!H47-'Assumptions'!H52*(F37)+'Assumptions'!H57-'Assumptions'!H62*(1)-'Assumptions'!H67-(0))+(('Historical Inputs'!$N$9*(1+(D37))^3)*('Assumptions'!G67+(0))))*'DCF'!H12/(1+(G37))^'DCF'!H13,(('Historical Inputs'!$N$9*(1+(D37))^5)*(('Assumptions'!I37+(E37))*(1-'Assumptions'!I42-(0))+'Assumptions'!I47-'Assumptions'!I52*(F37)+'Assumptions'!I57-'Assumptions'!I62*(1)-'Assumptions'!I67-(0))+(('Historical Inputs'!$N$9*(1+(D37))^4)*('Assumptions'!H67+(0))))*'DCF'!I12/(1+(G37))^'DCF'!I13)+('Historical Inputs'!$N$9*(1+(D37))^5)*(1+(H37))*('Terminal Value'!$E$10+(E37))*(1-'Assumptions'!$E$15-(0))*(1-(H37)/('Terminal Value'!$E$12))/((G37)-(H37))/(1+(G37))^'DCF'!$E$19)+'Equity Bridge'!$E$17)/'Equity Bridge'!$E$20</x:f>
        <x:v>194.35894601983824</x:v>
      </x:c>
      <x:c r="L37" s="136"/>
      <x:c r="M37" s="136"/>
      <x:c r="N37" s="136"/>
      <x:c r="O37" s="249" t="n">
        <x:v>400</x:v>
      </x:c>
      <x:c r="P37" s="238" t="n">
        <x:f>COUNTIFS($K$32:$K$1031,"&gt;="&amp;(O37-12.5),$K$32:$K$1031,"&lt;"&amp;(O37+12.5))</x:f>
        <x:v>10</x:v>
      </x:c>
      <x:c r="Q37" s="136"/>
      <x:c r="R37" s="136"/>
      <x:c r="S37" s="136"/>
      <x:c r="T37" s="136"/>
      <x:c r="U37" s="136"/>
      <x:c r="V37" s="136"/>
      <x:c r="W37" s="136"/>
      <x:c r="X37" s="240" t="n">
        <x:v>0.05762209346676994</x:v>
      </x:c>
      <x:c r="Y37" s="240" t="n">
        <x:v>0.21886559670516037</x:v>
      </x:c>
      <x:c r="Z37" s="240" t="n">
        <x:v>0.7745214706768471</x:v>
      </x:c>
      <x:c r="AA37" s="255" t="n">
        <x:v>0.9924265428020508</x:v>
      </x:c>
      <x:c r="AB37" s="255" t="n">
        <x:v>0.7044319844332454</x:v>
      </x:c>
    </x:row>
    <x:row r="38" ht="24" customHeight="1">
      <x:c r="A38" s="136"/>
      <x:c r="B38" s="136"/>
      <x:c r="C38" s="136" t="n">
        <x:f>7</x:f>
        <x:v>7</x:v>
      </x:c>
      <x:c r="D38" s="162" t="n">
        <x:f>IF(X38&lt;($E$12-$D$12)/($F$12-$D$12),$D$12+SQRT(X38*($F$12-$D$12)*($E$12-$D$12)),$F$12-SQRT((1-X38)*($F$12-$D$12)*($F$12-$E$12)))</x:f>
        <x:v>0.15184524940231975</x:v>
      </x:c>
      <x:c r="E38" s="162" t="n">
        <x:f>IF(Y38&lt;($E$13-$D$13)/($F$13-$D$13),$D$13+SQRT(Y38*($F$13-$D$13)*($E$13-$D$13)),$F$13-SQRT((1-Y38)*($F$13-$D$13)*($F$13-$E$13)))</x:f>
        <x:v>-0.020389736882475352</x:v>
      </x:c>
      <x:c r="F38" s="222" t="n">
        <x:f>IF(Z38&lt;($E$14-$D$14)/($F$14-$D$14),$D$14+SQRT(Z38*($F$14-$D$14)*($E$14-$D$14)),$F$14-SQRT((1-Z38)*($F$14-$D$14)*($F$14-$E$14)))</x:f>
        <x:v>1.0333132372956313</x:v>
      </x:c>
      <x:c r="G38" s="162" t="n">
        <x:f>IF(AA38&lt;($E$15-$D$15)/($F$15-$D$15),$D$15+SQRT(AA38*($F$15-$D$15)*($E$15-$D$15)),$F$15-SQRT((1-AA38)*($F$15-$D$15)*($F$15-$E$15)))</x:f>
        <x:v>0.09143962844766926</x:v>
      </x:c>
      <x:c r="H38" s="162" t="n">
        <x:f>IF(AB38&lt;($E$16-$D$16)/($F$16-$D$16),$D$16+SQRT(AB38*($F$16-$D$16)*($E$16-$D$16)),$F$16-SQRT((1-AB38)*($F$16-$D$16)*($F$16-$E$16)))</x:f>
        <x:v>0.03326394524592716</x:v>
      </x:c>
      <x:c r="I38" s="164" t="n">
        <x:f>'Historical Inputs'!$N$9*(1+D38)^5</x:f>
        <x:v>672818.77713369</x:v>
      </x:c>
      <x:c r="J38" s="164" t="n">
        <x:f>I38*(1+H38)*('Terminal Value'!$E$10+E38)*(1-'Assumptions'!$E$15)*(1-H38/'Terminal Value'!$E$12)</x:f>
        <x:v>176009.79481390346</x:v>
      </x:c>
      <x:c r="K38" s="145" t="n">
        <x:f>((SUM((('Historical Inputs'!$N$9*(1+(D38))^1)*(('Assumptions'!E37+(E38))*(1-'Assumptions'!E42-(0))+'Assumptions'!E47-'Assumptions'!E52*(F38)+'Assumptions'!E57-'Assumptions'!E62*(1)-'Assumptions'!E67-(0))+('Working Capital'!$E$6))*'DCF'!E12/(1+(G38))^'DCF'!E13,(('Historical Inputs'!$N$9*(1+(D38))^2)*(('Assumptions'!F37+(E38))*(1-'Assumptions'!F42-(0))+'Assumptions'!F47-'Assumptions'!F52*(F38)+'Assumptions'!F57-'Assumptions'!F62*(1)-'Assumptions'!F67-(0))+(('Historical Inputs'!$N$9*(1+(D38))^1)*('Assumptions'!E67+(0))))*'DCF'!F12/(1+(G38))^'DCF'!F13,(('Historical Inputs'!$N$9*(1+(D38))^3)*(('Assumptions'!G37+(E38))*(1-'Assumptions'!G42-(0))+'Assumptions'!G47-'Assumptions'!G52*(F38)+'Assumptions'!G57-'Assumptions'!G62*(1)-'Assumptions'!G67-(0))+(('Historical Inputs'!$N$9*(1+(D38))^2)*('Assumptions'!F67+(0))))*'DCF'!G12/(1+(G38))^'DCF'!G13,(('Historical Inputs'!$N$9*(1+(D38))^4)*(('Assumptions'!H37+(E38))*(1-'Assumptions'!H42-(0))+'Assumptions'!H47-'Assumptions'!H52*(F38)+'Assumptions'!H57-'Assumptions'!H62*(1)-'Assumptions'!H67-(0))+(('Historical Inputs'!$N$9*(1+(D38))^3)*('Assumptions'!G67+(0))))*'DCF'!H12/(1+(G38))^'DCF'!H13,(('Historical Inputs'!$N$9*(1+(D38))^5)*(('Assumptions'!I37+(E38))*(1-'Assumptions'!I42-(0))+'Assumptions'!I47-'Assumptions'!I52*(F38)+'Assumptions'!I57-'Assumptions'!I62*(1)-'Assumptions'!I67-(0))+(('Historical Inputs'!$N$9*(1+(D38))^4)*('Assumptions'!H67+(0))))*'DCF'!I12/(1+(G38))^'DCF'!I13)+('Historical Inputs'!$N$9*(1+(D38))^5)*(1+(H38))*('Terminal Value'!$E$10+(E38))*(1-'Assumptions'!$E$15-(0))*(1-(H38)/('Terminal Value'!$E$12))/((G38)-(H38))/(1+(G38))^'DCF'!$E$19)+'Equity Bridge'!$E$17)/'Equity Bridge'!$E$20</x:f>
        <x:v>320.301174310503</x:v>
      </x:c>
      <x:c r="L38" s="136"/>
      <x:c r="M38" s="136"/>
      <x:c r="N38" s="136"/>
      <x:c r="O38" s="136"/>
      <x:c r="P38" s="136"/>
      <x:c r="Q38" s="136"/>
      <x:c r="R38" s="136"/>
      <x:c r="S38" s="136"/>
      <x:c r="T38" s="136"/>
      <x:c r="U38" s="136"/>
      <x:c r="V38" s="136"/>
      <x:c r="W38" s="136"/>
      <x:c r="X38" s="240" t="n">
        <x:v>0.6570130209449127</x:v>
      </x:c>
      <x:c r="Y38" s="240" t="n">
        <x:v>0.17535353637780815</x:v>
      </x:c>
      <x:c r="Z38" s="240" t="n">
        <x:v>0.6030789019876781</x:v>
      </x:c>
      <x:c r="AA38" s="255" t="n">
        <x:v>0.15306156122027026</x:v>
      </x:c>
      <x:c r="AB38" s="255" t="n">
        <x:v>0.7731278317506632</x:v>
      </x:c>
    </x:row>
    <x:row r="39" ht="24" customHeight="1">
      <x:c r="A39" s="136"/>
      <x:c r="B39" s="136"/>
      <x:c r="C39" s="136" t="n">
        <x:f>8</x:f>
        <x:v>8</x:v>
      </x:c>
      <x:c r="D39" s="162" t="n">
        <x:f>IF(X39&lt;($E$12-$D$12)/($F$12-$D$12),$D$12+SQRT(X39*($F$12-$D$12)*($E$12-$D$12)),$F$12-SQRT((1-X39)*($F$12-$D$12)*($F$12-$E$12)))</x:f>
        <x:v>0.1759029093809468</x:v>
      </x:c>
      <x:c r="E39" s="162" t="n">
        <x:f>IF(Y39&lt;($E$13-$D$13)/($F$13-$D$13),$D$13+SQRT(Y39*($F$13-$D$13)*($E$13-$D$13)),$F$13-SQRT((1-Y39)*($F$13-$D$13)*($F$13-$E$13)))</x:f>
        <x:v>0.01710749021629432</x:v>
      </x:c>
      <x:c r="F39" s="222" t="n">
        <x:f>IF(Z39&lt;($E$14-$D$14)/($F$14-$D$14),$D$14+SQRT(Z39*($F$14-$D$14)*($E$14-$D$14)),$F$14-SQRT((1-Z39)*($F$14-$D$14)*($F$14-$E$14)))</x:f>
        <x:v>1.0427893434192619</x:v>
      </x:c>
      <x:c r="G39" s="162" t="n">
        <x:f>IF(AA39&lt;($E$15-$D$15)/($F$15-$D$15),$D$15+SQRT(AA39*($F$15-$D$15)*($E$15-$D$15)),$F$15-SQRT((1-AA39)*($F$15-$D$15)*($F$15-$E$15)))</x:f>
        <x:v>0.10233484049529429</x:v>
      </x:c>
      <x:c r="H39" s="162" t="n">
        <x:f>IF(AB39&lt;($E$16-$D$16)/($F$16-$D$16),$D$16+SQRT(AB39*($F$16-$D$16)*($E$16-$D$16)),$F$16-SQRT((1-AB39)*($F$16-$D$16)*($F$16-$E$16)))</x:f>
        <x:v>0.030205866244675708</x:v>
      </x:c>
      <x:c r="I39" s="164" t="n">
        <x:f>'Historical Inputs'!$N$9*(1+D39)^5</x:f>
        <x:v>746078.8872716656</x:v>
      </x:c>
      <x:c r="J39" s="164" t="n">
        <x:f>I39*(1+H39)*('Terminal Value'!$E$10+E39)*(1-'Assumptions'!$E$15)*(1-H39/'Terminal Value'!$E$12)</x:f>
        <x:v>217740.60769966265</x:v>
      </x:c>
      <x:c r="K39" s="145" t="n">
        <x:f>((SUM((('Historical Inputs'!$N$9*(1+(D39))^1)*(('Assumptions'!E37+(E39))*(1-'Assumptions'!E42-(0))+'Assumptions'!E47-'Assumptions'!E52*(F39)+'Assumptions'!E57-'Assumptions'!E62*(1)-'Assumptions'!E67-(0))+('Working Capital'!$E$6))*'DCF'!E12/(1+(G39))^'DCF'!E13,(('Historical Inputs'!$N$9*(1+(D39))^2)*(('Assumptions'!F37+(E39))*(1-'Assumptions'!F42-(0))+'Assumptions'!F47-'Assumptions'!F52*(F39)+'Assumptions'!F57-'Assumptions'!F62*(1)-'Assumptions'!F67-(0))+(('Historical Inputs'!$N$9*(1+(D39))^1)*('Assumptions'!E67+(0))))*'DCF'!F12/(1+(G39))^'DCF'!F13,(('Historical Inputs'!$N$9*(1+(D39))^3)*(('Assumptions'!G37+(E39))*(1-'Assumptions'!G42-(0))+'Assumptions'!G47-'Assumptions'!G52*(F39)+'Assumptions'!G57-'Assumptions'!G62*(1)-'Assumptions'!G67-(0))+(('Historical Inputs'!$N$9*(1+(D39))^2)*('Assumptions'!F67+(0))))*'DCF'!G12/(1+(G39))^'DCF'!G13,(('Historical Inputs'!$N$9*(1+(D39))^4)*(('Assumptions'!H37+(E39))*(1-'Assumptions'!H42-(0))+'Assumptions'!H47-'Assumptions'!H52*(F39)+'Assumptions'!H57-'Assumptions'!H62*(1)-'Assumptions'!H67-(0))+(('Historical Inputs'!$N$9*(1+(D39))^3)*('Assumptions'!G67+(0))))*'DCF'!H12/(1+(G39))^'DCF'!H13,(('Historical Inputs'!$N$9*(1+(D39))^5)*(('Assumptions'!I37+(E39))*(1-'Assumptions'!I42-(0))+'Assumptions'!I47-'Assumptions'!I52*(F39)+'Assumptions'!I57-'Assumptions'!I62*(1)-'Assumptions'!I67-(0))+(('Historical Inputs'!$N$9*(1+(D39))^4)*('Assumptions'!H67+(0))))*'DCF'!I12/(1+(G39))^'DCF'!I13)+('Historical Inputs'!$N$9*(1+(D39))^5)*(1+(H39))*('Terminal Value'!$E$10+(E39))*(1-'Assumptions'!$E$15-(0))*(1-(H39)/('Terminal Value'!$E$12))/((G39)-(H39))/(1+(G39))^'DCF'!$E$19)+'Equity Bridge'!$E$17)/'Equity Bridge'!$E$20</x:f>
        <x:v>317.64694489074066</x:v>
      </x:c>
      <x:c r="L39" s="136"/>
      <x:c r="M39" s="136"/>
      <x:c r="N39" s="136"/>
      <x:c r="O39" s="136"/>
      <x:c r="P39" s="136"/>
      <x:c r="Q39" s="136"/>
      <x:c r="R39" s="136"/>
      <x:c r="S39" s="136"/>
      <x:c r="T39" s="136"/>
      <x:c r="U39" s="136"/>
      <x:c r="V39" s="136"/>
      <x:c r="W39" s="136"/>
      <x:c r="X39" s="240" t="n">
        <x:v>0.9397669562484917</x:v>
      </x:c>
      <x:c r="Y39" s="240" t="n">
        <x:v>0.7836165600257652</x:v>
      </x:c>
      <x:c r="Z39" s="240" t="n">
        <x:v>0.6469258493921886</x:v>
      </x:c>
      <x:c r="AA39" s="255" t="n">
        <x:v>0.7405345498769016</x:v>
      </x:c>
      <x:c r="AB39" s="255" t="n">
        <x:v>0.5203747199140868</x:v>
      </x:c>
    </x:row>
    <x:row r="40" ht="24" customHeight="1">
      <x:c r="A40" s="136"/>
      <x:c r="B40" s="136"/>
      <x:c r="C40" s="136" t="n">
        <x:f>9</x:f>
        <x:v>9</x:v>
      </x:c>
      <x:c r="D40" s="162" t="n">
        <x:f>IF(X40&lt;($E$12-$D$12)/($F$12-$D$12),$D$12+SQRT(X40*($F$12-$D$12)*($E$12-$D$12)),$F$12-SQRT((1-X40)*($F$12-$D$12)*($F$12-$E$12)))</x:f>
        <x:v>0.15334182546741992</x:v>
      </x:c>
      <x:c r="E40" s="162" t="n">
        <x:f>IF(Y40&lt;($E$13-$D$13)/($F$13-$D$13),$D$13+SQRT(Y40*($F$13-$D$13)*($E$13-$D$13)),$F$13-SQRT((1-Y40)*($F$13-$D$13)*($F$13-$E$13)))</x:f>
        <x:v>0.002722741182216659</x:v>
      </x:c>
      <x:c r="F40" s="222" t="n">
        <x:f>IF(Z40&lt;($E$14-$D$14)/($F$14-$D$14),$D$14+SQRT(Z40*($F$14-$D$14)*($E$14-$D$14)),$F$14-SQRT((1-Z40)*($F$14-$D$14)*($F$14-$E$14)))</x:f>
        <x:v>0.9516827909150537</x:v>
      </x:c>
      <x:c r="G40" s="162" t="n">
        <x:f>IF(AA40&lt;($E$15-$D$15)/($F$15-$D$15),$D$15+SQRT(AA40*($F$15-$D$15)*($E$15-$D$15)),$F$15-SQRT((1-AA40)*($F$15-$D$15)*($F$15-$E$15)))</x:f>
        <x:v>0.09927445798322643</x:v>
      </x:c>
      <x:c r="H40" s="162" t="n">
        <x:f>IF(AB40&lt;($E$16-$D$16)/($F$16-$D$16),$D$16+SQRT(AB40*($F$16-$D$16)*($E$16-$D$16)),$F$16-SQRT((1-AB40)*($F$16-$D$16)*($F$16-$E$16)))</x:f>
        <x:v>0.030901312770395668</x:v>
      </x:c>
      <x:c r="I40" s="164" t="n">
        <x:f>'Historical Inputs'!$N$9*(1+D40)^5</x:f>
        <x:v>677201.0691367362</x:v>
      </x:c>
      <x:c r="J40" s="164" t="n">
        <x:f>I40*(1+H40)*('Terminal Value'!$E$10+E40)*(1-'Assumptions'!$E$15)*(1-H40/'Terminal Value'!$E$12)</x:f>
        <x:v>190169.6071816074</x:v>
      </x:c>
      <x:c r="K40" s="145" t="n">
        <x:f>((SUM((('Historical Inputs'!$N$9*(1+(D40))^1)*(('Assumptions'!E37+(E40))*(1-'Assumptions'!E42-(0))+'Assumptions'!E47-'Assumptions'!E52*(F40)+'Assumptions'!E57-'Assumptions'!E62*(1)-'Assumptions'!E67-(0))+('Working Capital'!$E$6))*'DCF'!E12/(1+(G40))^'DCF'!E13,(('Historical Inputs'!$N$9*(1+(D40))^2)*(('Assumptions'!F37+(E40))*(1-'Assumptions'!F42-(0))+'Assumptions'!F47-'Assumptions'!F52*(F40)+'Assumptions'!F57-'Assumptions'!F62*(1)-'Assumptions'!F67-(0))+(('Historical Inputs'!$N$9*(1+(D40))^1)*('Assumptions'!E67+(0))))*'DCF'!F12/(1+(G40))^'DCF'!F13,(('Historical Inputs'!$N$9*(1+(D40))^3)*(('Assumptions'!G37+(E40))*(1-'Assumptions'!G42-(0))+'Assumptions'!G47-'Assumptions'!G52*(F40)+'Assumptions'!G57-'Assumptions'!G62*(1)-'Assumptions'!G67-(0))+(('Historical Inputs'!$N$9*(1+(D40))^2)*('Assumptions'!F67+(0))))*'DCF'!G12/(1+(G40))^'DCF'!G13,(('Historical Inputs'!$N$9*(1+(D40))^4)*(('Assumptions'!H37+(E40))*(1-'Assumptions'!H42-(0))+'Assumptions'!H47-'Assumptions'!H52*(F40)+'Assumptions'!H57-'Assumptions'!H62*(1)-'Assumptions'!H67-(0))+(('Historical Inputs'!$N$9*(1+(D40))^3)*('Assumptions'!G67+(0))))*'DCF'!H12/(1+(G40))^'DCF'!H13,(('Historical Inputs'!$N$9*(1+(D40))^5)*(('Assumptions'!I37+(E40))*(1-'Assumptions'!I42-(0))+'Assumptions'!I47-'Assumptions'!I52*(F40)+'Assumptions'!I57-'Assumptions'!I62*(1)-'Assumptions'!I67-(0))+(('Historical Inputs'!$N$9*(1+(D40))^4)*('Assumptions'!H67+(0))))*'DCF'!I12/(1+(G40))^'DCF'!I13)+('Historical Inputs'!$N$9*(1+(D40))^5)*(1+(H40))*('Terminal Value'!$E$10+(E40))*(1-'Assumptions'!$E$15-(0))*(1-(H40)/('Terminal Value'!$E$12))/((G40)-(H40))/(1+(G40))^'DCF'!$E$19)+'Equity Bridge'!$E$17)/'Equity Bridge'!$E$20</x:f>
        <x:v>299.7636219252693</x:v>
      </x:c>
      <x:c r="L40" s="136"/>
      <x:c r="M40" s="136"/>
      <x:c r="N40" s="136"/>
      <x:c r="O40" s="136"/>
      <x:c r="P40" s="136"/>
      <x:c r="Q40" s="136"/>
      <x:c r="R40" s="136"/>
      <x:c r="S40" s="136"/>
      <x:c r="T40" s="136"/>
      <x:c r="U40" s="136"/>
      <x:c r="V40" s="136"/>
      <x:c r="W40" s="136"/>
      <x:c r="X40" s="240" t="n">
        <x:v>0.6813554199302835</x:v>
      </x:c>
      <x:c r="Y40" s="240" t="n">
        <x:v>0.5529721597352654</x:v>
      </x:c>
      <x:c r="Z40" s="240" t="n">
        <x:v>0.19694076130046734</x:v>
      </x:c>
      <x:c r="AA40" s="255" t="n">
        <x:v>0.5727477857871718</x:v>
      </x:c>
      <x:c r="AB40" s="255" t="n">
        <x:v>0.5860694534891753</x:v>
      </x:c>
    </x:row>
    <x:row r="41" ht="24" customHeight="1">
      <x:c r="A41" s="136"/>
      <x:c r="B41" s="136"/>
      <x:c r="C41" s="136" t="n">
        <x:f>10</x:f>
        <x:v>10</x:v>
      </x:c>
      <x:c r="D41" s="162" t="n">
        <x:f>IF(X41&lt;($E$12-$D$12)/($F$12-$D$12),$D$12+SQRT(X41*($F$12-$D$12)*($E$12-$D$12)),$F$12-SQRT((1-X41)*($F$12-$D$12)*($F$12-$E$12)))</x:f>
        <x:v>0.15776901327348078</x:v>
      </x:c>
      <x:c r="E41" s="162" t="n">
        <x:f>IF(Y41&lt;($E$13-$D$13)/($F$13-$D$13),$D$13+SQRT(Y41*($F$13-$D$13)*($E$13-$D$13)),$F$13-SQRT((1-Y41)*($F$13-$D$13)*($F$13-$E$13)))</x:f>
        <x:v>-0.016380624924811467</x:v>
      </x:c>
      <x:c r="F41" s="222" t="n">
        <x:f>IF(Z41&lt;($E$14-$D$14)/($F$14-$D$14),$D$14+SQRT(Z41*($F$14-$D$14)*($E$14-$D$14)),$F$14-SQRT((1-Z41)*($F$14-$D$14)*($F$14-$E$14)))</x:f>
        <x:v>1.0381500529517276</x:v>
      </x:c>
      <x:c r="G41" s="162" t="n">
        <x:f>IF(AA41&lt;($E$15-$D$15)/($F$15-$D$15),$D$15+SQRT(AA41*($F$15-$D$15)*($E$15-$D$15)),$F$15-SQRT((1-AA41)*($F$15-$D$15)*($F$15-$E$15)))</x:f>
        <x:v>0.11184469744343627</x:v>
      </x:c>
      <x:c r="H41" s="162" t="n">
        <x:f>IF(AB41&lt;($E$16-$D$16)/($F$16-$D$16),$D$16+SQRT(AB41*($F$16-$D$16)*($E$16-$D$16)),$F$16-SQRT((1-AB41)*($F$16-$D$16)*($F$16-$E$16)))</x:f>
        <x:v>0.027677566601787076</x:v>
      </x:c>
      <x:c r="I41" s="164" t="n">
        <x:f>'Historical Inputs'!$N$9*(1+D41)^5</x:f>
        <x:v>690298.667778933</x:v>
      </x:c>
      <x:c r="J41" s="164" t="n">
        <x:f>I41*(1+H41)*('Terminal Value'!$E$10+E41)*(1-'Assumptions'!$E$15)*(1-H41/'Terminal Value'!$E$12)</x:f>
        <x:v>187584.19987069123</x:v>
      </x:c>
      <x:c r="K41" s="145" t="n">
        <x:f>((SUM((('Historical Inputs'!$N$9*(1+(D41))^1)*(('Assumptions'!E37+(E41))*(1-'Assumptions'!E42-(0))+'Assumptions'!E47-'Assumptions'!E52*(F41)+'Assumptions'!E57-'Assumptions'!E62*(1)-'Assumptions'!E67-(0))+('Working Capital'!$E$6))*'DCF'!E12/(1+(G41))^'DCF'!E13,(('Historical Inputs'!$N$9*(1+(D41))^2)*(('Assumptions'!F37+(E41))*(1-'Assumptions'!F42-(0))+'Assumptions'!F47-'Assumptions'!F52*(F41)+'Assumptions'!F57-'Assumptions'!F62*(1)-'Assumptions'!F67-(0))+(('Historical Inputs'!$N$9*(1+(D41))^1)*('Assumptions'!E67+(0))))*'DCF'!F12/(1+(G41))^'DCF'!F13,(('Historical Inputs'!$N$9*(1+(D41))^3)*(('Assumptions'!G37+(E41))*(1-'Assumptions'!G42-(0))+'Assumptions'!G47-'Assumptions'!G52*(F41)+'Assumptions'!G57-'Assumptions'!G62*(1)-'Assumptions'!G67-(0))+(('Historical Inputs'!$N$9*(1+(D41))^2)*('Assumptions'!F67+(0))))*'DCF'!G12/(1+(G41))^'DCF'!G13,(('Historical Inputs'!$N$9*(1+(D41))^4)*(('Assumptions'!H37+(E41))*(1-'Assumptions'!H42-(0))+'Assumptions'!H47-'Assumptions'!H52*(F41)+'Assumptions'!H57-'Assumptions'!H62*(1)-'Assumptions'!H67-(0))+(('Historical Inputs'!$N$9*(1+(D41))^3)*('Assumptions'!G67+(0))))*'DCF'!H12/(1+(G41))^'DCF'!H13,(('Historical Inputs'!$N$9*(1+(D41))^5)*(('Assumptions'!I37+(E41))*(1-'Assumptions'!I42-(0))+'Assumptions'!I47-'Assumptions'!I52*(F41)+'Assumptions'!I57-'Assumptions'!I62*(1)-'Assumptions'!I67-(0))+(('Historical Inputs'!$N$9*(1+(D41))^4)*('Assumptions'!H67+(0))))*'DCF'!I12/(1+(G41))^'DCF'!I13)+('Historical Inputs'!$N$9*(1+(D41))^5)*(1+(H41))*('Terminal Value'!$E$10+(E41))*(1-'Assumptions'!$E$15-(0))*(1-(H41)/('Terminal Value'!$E$12))/((G41)-(H41))/(1+(G41))^'DCF'!$E$19)+'Equity Bridge'!$E$17)/'Equity Bridge'!$E$20</x:f>
        <x:v>231.6935353030986</x:v>
      </x:c>
      <x:c r="L41" s="136"/>
      <x:c r="M41" s="136"/>
      <x:c r="N41" s="136"/>
      <x:c r="O41" s="136"/>
      <x:c r="P41" s="136"/>
      <x:c r="Q41" s="136"/>
      <x:c r="R41" s="136"/>
      <x:c r="S41" s="136"/>
      <x:c r="T41" s="136"/>
      <x:c r="U41" s="136"/>
      <x:c r="V41" s="136"/>
      <x:c r="W41" s="136"/>
      <x:c r="X41" s="240" t="n">
        <x:v>0.7481202497944502</x:v>
      </x:c>
      <x:c r="Y41" s="240" t="n">
        <x:v>0.22605247608924162</x:v>
      </x:c>
      <x:c r="Z41" s="240" t="n">
        <x:v>0.6257799234353058</x:v>
      </x:c>
      <x:c r="AA41" s="255" t="n">
        <x:v>0.9962694099185835</x:v>
      </x:c>
      <x:c r="AB41" s="255" t="n">
        <x:v>0.2947251446243818</x:v>
      </x:c>
    </x:row>
    <x:row r="42" ht="24" customHeight="1">
      <x:c r="A42" s="136"/>
      <x:c r="B42" s="136"/>
      <x:c r="C42" s="136" t="n">
        <x:f>11</x:f>
        <x:v>11</x:v>
      </x:c>
      <x:c r="D42" s="162" t="n">
        <x:f>IF(X42&lt;($E$12-$D$12)/($F$12-$D$12),$D$12+SQRT(X42*($F$12-$D$12)*($E$12-$D$12)),$F$12-SQRT((1-X42)*($F$12-$D$12)*($F$12-$E$12)))</x:f>
        <x:v>0.15169604824910277</x:v>
      </x:c>
      <x:c r="E42" s="162" t="n">
        <x:f>IF(Y42&lt;($E$13-$D$13)/($F$13-$D$13),$D$13+SQRT(Y42*($F$13-$D$13)*($E$13-$D$13)),$F$13-SQRT((1-Y42)*($F$13-$D$13)*($F$13-$E$13)))</x:f>
        <x:v>-0.027802632718945397</x:v>
      </x:c>
      <x:c r="F42" s="222" t="n">
        <x:f>IF(Z42&lt;($E$14-$D$14)/($F$14-$D$14),$D$14+SQRT(Z42*($F$14-$D$14)*($E$14-$D$14)),$F$14-SQRT((1-Z42)*($F$14-$D$14)*($F$14-$E$14)))</x:f>
        <x:v>0.8837146821388193</x:v>
      </x:c>
      <x:c r="G42" s="162" t="n">
        <x:f>IF(AA42&lt;($E$15-$D$15)/($F$15-$D$15),$D$15+SQRT(AA42*($F$15-$D$15)*($E$15-$D$15)),$F$15-SQRT((1-AA42)*($F$15-$D$15)*($F$15-$E$15)))</x:f>
        <x:v>0.09705254627755525</x:v>
      </x:c>
      <x:c r="H42" s="162" t="n">
        <x:f>IF(AB42&lt;($E$16-$D$16)/($F$16-$D$16),$D$16+SQRT(AB42*($F$16-$D$16)*($E$16-$D$16)),$F$16-SQRT((1-AB42)*($F$16-$D$16)*($F$16-$E$16)))</x:f>
        <x:v>0.02699242466939666</x:v>
      </x:c>
      <x:c r="I42" s="164" t="n">
        <x:f>'Historical Inputs'!$N$9*(1+D42)^5</x:f>
        <x:v>672383.1312229674</x:v>
      </x:c>
      <x:c r="J42" s="164" t="n">
        <x:f>I42*(1+H42)*('Terminal Value'!$E$10+E42)*(1-'Assumptions'!$E$15)*(1-H42/'Terminal Value'!$E$12)</x:f>
        <x:v>177861.70748149432</x:v>
      </x:c>
      <x:c r="K42" s="145" t="n">
        <x:f>((SUM((('Historical Inputs'!$N$9*(1+(D42))^1)*(('Assumptions'!E37+(E42))*(1-'Assumptions'!E42-(0))+'Assumptions'!E47-'Assumptions'!E52*(F42)+'Assumptions'!E57-'Assumptions'!E62*(1)-'Assumptions'!E67-(0))+('Working Capital'!$E$6))*'DCF'!E12/(1+(G42))^'DCF'!E13,(('Historical Inputs'!$N$9*(1+(D42))^2)*(('Assumptions'!F37+(E42))*(1-'Assumptions'!F42-(0))+'Assumptions'!F47-'Assumptions'!F52*(F42)+'Assumptions'!F57-'Assumptions'!F62*(1)-'Assumptions'!F67-(0))+(('Historical Inputs'!$N$9*(1+(D42))^1)*('Assumptions'!E67+(0))))*'DCF'!F12/(1+(G42))^'DCF'!F13,(('Historical Inputs'!$N$9*(1+(D42))^3)*(('Assumptions'!G37+(E42))*(1-'Assumptions'!G42-(0))+'Assumptions'!G47-'Assumptions'!G52*(F42)+'Assumptions'!G57-'Assumptions'!G62*(1)-'Assumptions'!G67-(0))+(('Historical Inputs'!$N$9*(1+(D42))^2)*('Assumptions'!F67+(0))))*'DCF'!G12/(1+(G42))^'DCF'!G13,(('Historical Inputs'!$N$9*(1+(D42))^4)*(('Assumptions'!H37+(E42))*(1-'Assumptions'!H42-(0))+'Assumptions'!H47-'Assumptions'!H52*(F42)+'Assumptions'!H57-'Assumptions'!H62*(1)-'Assumptions'!H67-(0))+(('Historical Inputs'!$N$9*(1+(D42))^3)*('Assumptions'!G67+(0))))*'DCF'!H12/(1+(G42))^'DCF'!H13,(('Historical Inputs'!$N$9*(1+(D42))^5)*(('Assumptions'!I37+(E42))*(1-'Assumptions'!I42-(0))+'Assumptions'!I47-'Assumptions'!I52*(F42)+'Assumptions'!I57-'Assumptions'!I62*(1)-'Assumptions'!I67-(0))+(('Historical Inputs'!$N$9*(1+(D42))^4)*('Assumptions'!H67+(0))))*'DCF'!I12/(1+(G42))^'DCF'!I13)+('Historical Inputs'!$N$9*(1+(D42))^5)*(1+(H42))*('Terminal Value'!$E$10+(E42))*(1-'Assumptions'!$E$15-(0))*(1-(H42)/('Terminal Value'!$E$12))/((G42)-(H42))/(1+(G42))^'DCF'!$E$19)+'Equity Bridge'!$E$17)/'Equity Bridge'!$E$20</x:f>
        <x:v>279.0665689662636</x:v>
      </x:c>
      <x:c r="L42" s="136"/>
      <x:c r="M42" s="136"/>
      <x:c r="N42" s="136"/>
      <x:c r="O42" s="136"/>
      <x:c r="P42" s="136"/>
      <x:c r="Q42" s="136"/>
      <x:c r="R42" s="136"/>
      <x:c r="S42" s="136"/>
      <x:c r="T42" s="136"/>
      <x:c r="U42" s="136"/>
      <x:c r="V42" s="136"/>
      <x:c r="W42" s="136"/>
      <x:c r="X42" s="240" t="n">
        <x:v>0.6545370950671364</x:v>
      </x:c>
      <x:c r="Y42" s="240" t="n">
        <x:v>0.09854462284200671</x:v>
      </x:c>
      <x:c r="Z42" s="240" t="n">
        <x:v>0.02165104365184045</x:v>
      </x:c>
      <x:c r="AA42" s="255" t="n">
        <x:v>0.43010815223223353</x:v>
      </x:c>
      <x:c r="AB42" s="255" t="n">
        <x:v>0.24447001378593514</x:v>
      </x:c>
    </x:row>
    <x:row r="43" ht="24" customHeight="1">
      <x:c r="A43" s="136"/>
      <x:c r="B43" s="136"/>
      <x:c r="C43" s="136" t="n">
        <x:f>12</x:f>
        <x:v>12</x:v>
      </x:c>
      <x:c r="D43" s="162" t="n">
        <x:f>IF(X43&lt;($E$12-$D$12)/($F$12-$D$12),$D$12+SQRT(X43*($F$12-$D$12)*($E$12-$D$12)),$F$12-SQRT((1-X43)*($F$12-$D$12)*($F$12-$E$12)))</x:f>
        <x:v>0.16205641703824114</x:v>
      </x:c>
      <x:c r="E43" s="162" t="n">
        <x:f>IF(Y43&lt;($E$13-$D$13)/($F$13-$D$13),$D$13+SQRT(Y43*($F$13-$D$13)*($E$13-$D$13)),$F$13-SQRT((1-Y43)*($F$13-$D$13)*($F$13-$E$13)))</x:f>
        <x:v>-0.004195835775462793</x:v>
      </x:c>
      <x:c r="F43" s="222" t="n">
        <x:f>IF(Z43&lt;($E$14-$D$14)/($F$14-$D$14),$D$14+SQRT(Z43*($F$14-$D$14)*($E$14-$D$14)),$F$14-SQRT((1-Z43)*($F$14-$D$14)*($F$14-$E$14)))</x:f>
        <x:v>0.9141500832922766</x:v>
      </x:c>
      <x:c r="G43" s="162" t="n">
        <x:f>IF(AA43&lt;($E$15-$D$15)/($F$15-$D$15),$D$15+SQRT(AA43*($F$15-$D$15)*($E$15-$D$15)),$F$15-SQRT((1-AA43)*($F$15-$D$15)*($F$15-$E$15)))</x:f>
        <x:v>0.09559708633912169</x:v>
      </x:c>
      <x:c r="H43" s="162" t="n">
        <x:f>IF(AB43&lt;($E$16-$D$16)/($F$16-$D$16),$D$16+SQRT(AB43*($F$16-$D$16)*($E$16-$D$16)),$F$16-SQRT((1-AB43)*($F$16-$D$16)*($F$16-$E$16)))</x:f>
        <x:v>0.02281622123884012</x:v>
      </x:c>
      <x:c r="I43" s="164" t="n">
        <x:f>'Historical Inputs'!$N$9*(1+D43)^5</x:f>
        <x:v>703175.114024233</x:v>
      </x:c>
      <x:c r="J43" s="164" t="n">
        <x:f>I43*(1+H43)*('Terminal Value'!$E$10+E43)*(1-'Assumptions'!$E$15)*(1-H43/'Terminal Value'!$E$12)</x:f>
        <x:v>201755.51233556634</x:v>
      </x:c>
      <x:c r="K43" s="145" t="n">
        <x:f>((SUM((('Historical Inputs'!$N$9*(1+(D43))^1)*(('Assumptions'!E37+(E43))*(1-'Assumptions'!E42-(0))+'Assumptions'!E47-'Assumptions'!E52*(F43)+'Assumptions'!E57-'Assumptions'!E62*(1)-'Assumptions'!E67-(0))+('Working Capital'!$E$6))*'DCF'!E12/(1+(G43))^'DCF'!E13,(('Historical Inputs'!$N$9*(1+(D43))^2)*(('Assumptions'!F37+(E43))*(1-'Assumptions'!F42-(0))+'Assumptions'!F47-'Assumptions'!F52*(F43)+'Assumptions'!F57-'Assumptions'!F62*(1)-'Assumptions'!F67-(0))+(('Historical Inputs'!$N$9*(1+(D43))^1)*('Assumptions'!E67+(0))))*'DCF'!F12/(1+(G43))^'DCF'!F13,(('Historical Inputs'!$N$9*(1+(D43))^3)*(('Assumptions'!G37+(E43))*(1-'Assumptions'!G42-(0))+'Assumptions'!G47-'Assumptions'!G52*(F43)+'Assumptions'!G57-'Assumptions'!G62*(1)-'Assumptions'!G67-(0))+(('Historical Inputs'!$N$9*(1+(D43))^2)*('Assumptions'!F67+(0))))*'DCF'!G12/(1+(G43))^'DCF'!G13,(('Historical Inputs'!$N$9*(1+(D43))^4)*(('Assumptions'!H37+(E43))*(1-'Assumptions'!H42-(0))+'Assumptions'!H47-'Assumptions'!H52*(F43)+'Assumptions'!H57-'Assumptions'!H62*(1)-'Assumptions'!H67-(0))+(('Historical Inputs'!$N$9*(1+(D43))^3)*('Assumptions'!G67+(0))))*'DCF'!H12/(1+(G43))^'DCF'!H13,(('Historical Inputs'!$N$9*(1+(D43))^5)*(('Assumptions'!I37+(E43))*(1-'Assumptions'!I42-(0))+'Assumptions'!I47-'Assumptions'!I52*(F43)+'Assumptions'!I57-'Assumptions'!I62*(1)-'Assumptions'!I67-(0))+(('Historical Inputs'!$N$9*(1+(D43))^4)*('Assumptions'!H67+(0))))*'DCF'!I12/(1+(G43))^'DCF'!I13)+('Historical Inputs'!$N$9*(1+(D43))^5)*(1+(H43))*('Terminal Value'!$E$10+(E43))*(1-'Assumptions'!$E$15-(0))*(1-(H43)/('Terminal Value'!$E$12))/((G43)-(H43))/(1+(G43))^'DCF'!$E$19)+'Equity Bridge'!$E$17)/'Equity Bridge'!$E$20</x:f>
        <x:v>306.07820613913543</x:v>
      </x:c>
      <x:c r="L43" s="136"/>
      <x:c r="M43" s="136"/>
      <x:c r="N43" s="136"/>
      <x:c r="O43" s="136"/>
      <x:c r="P43" s="136"/>
      <x:c r="Q43" s="136"/>
      <x:c r="R43" s="136"/>
      <x:c r="S43" s="136"/>
      <x:c r="T43" s="136"/>
      <x:c r="U43" s="136"/>
      <x:c r="V43" s="136"/>
      <x:c r="W43" s="136"/>
      <x:c r="X43" s="240" t="n">
        <x:v>0.8053044521748998</x:v>
      </x:c>
      <x:c r="Y43" s="240" t="n">
        <x:v>0.41960429206167493</x:v>
      </x:c>
      <x:c r="Z43" s="240" t="n">
        <x:v>0.07838539402678157</x:v>
      </x:c>
      <x:c r="AA43" s="255" t="n">
        <x:v>0.3448217769251327</x:v>
      </x:c>
      <x:c r="AB43" s="255" t="n">
        <x:v>0.03965551033047099</x:v>
      </x:c>
    </x:row>
    <x:row r="44" ht="24" customHeight="1">
      <x:c r="A44" s="136"/>
      <x:c r="B44" s="136"/>
      <x:c r="C44" s="136" t="n">
        <x:f>13</x:f>
        <x:v>13</x:v>
      </x:c>
      <x:c r="D44" s="162" t="n">
        <x:f>IF(X44&lt;($E$12-$D$12)/($F$12-$D$12),$D$12+SQRT(X44*($F$12-$D$12)*($E$12-$D$12)),$F$12-SQRT((1-X44)*($F$12-$D$12)*($F$12-$E$12)))</x:f>
        <x:v>0.1211578494584604</x:v>
      </x:c>
      <x:c r="E44" s="162" t="n">
        <x:f>IF(Y44&lt;($E$13-$D$13)/($F$13-$D$13),$D$13+SQRT(Y44*($F$13-$D$13)*($E$13-$D$13)),$F$13-SQRT((1-Y44)*($F$13-$D$13)*($F$13-$E$13)))</x:f>
        <x:v>0.0012297789297605471</x:v>
      </x:c>
      <x:c r="F44" s="222" t="n">
        <x:f>IF(Z44&lt;($E$14-$D$14)/($F$14-$D$14),$D$14+SQRT(Z44*($F$14-$D$14)*($E$14-$D$14)),$F$14-SQRT((1-Z44)*($F$14-$D$14)*($F$14-$E$14)))</x:f>
        <x:v>1.1776231088305178</x:v>
      </x:c>
      <x:c r="G44" s="162" t="n">
        <x:f>IF(AA44&lt;($E$15-$D$15)/($F$15-$D$15),$D$15+SQRT(AA44*($F$15-$D$15)*($E$15-$D$15)),$F$15-SQRT((1-AA44)*($F$15-$D$15)*($F$15-$E$15)))</x:f>
        <x:v>0.09484745332213586</x:v>
      </x:c>
      <x:c r="H44" s="162" t="n">
        <x:f>IF(AB44&lt;($E$16-$D$16)/($F$16-$D$16),$D$16+SQRT(AB44*($F$16-$D$16)*($E$16-$D$16)),$F$16-SQRT((1-AB44)*($F$16-$D$16)*($F$16-$E$16)))</x:f>
        <x:v>0.024681613931513847</x:v>
      </x:c>
      <x:c r="I44" s="164" t="n">
        <x:f>'Historical Inputs'!$N$9*(1+D44)^5</x:f>
        <x:v>587842.8433038188</x:v>
      </x:c>
      <x:c r="J44" s="164" t="n">
        <x:f>I44*(1+H44)*('Terminal Value'!$E$10+E44)*(1-'Assumptions'!$E$15)*(1-H44/'Terminal Value'!$E$12)</x:f>
        <x:v>169484.81464295625</x:v>
      </x:c>
      <x:c r="K44" s="145" t="n">
        <x:f>((SUM((('Historical Inputs'!$N$9*(1+(D44))^1)*(('Assumptions'!E37+(E44))*(1-'Assumptions'!E42-(0))+'Assumptions'!E47-'Assumptions'!E52*(F44)+'Assumptions'!E57-'Assumptions'!E62*(1)-'Assumptions'!E67-(0))+('Working Capital'!$E$6))*'DCF'!E12/(1+(G44))^'DCF'!E13,(('Historical Inputs'!$N$9*(1+(D44))^2)*(('Assumptions'!F37+(E44))*(1-'Assumptions'!F42-(0))+'Assumptions'!F47-'Assumptions'!F52*(F44)+'Assumptions'!F57-'Assumptions'!F62*(1)-'Assumptions'!F67-(0))+(('Historical Inputs'!$N$9*(1+(D44))^1)*('Assumptions'!E67+(0))))*'DCF'!F12/(1+(G44))^'DCF'!F13,(('Historical Inputs'!$N$9*(1+(D44))^3)*(('Assumptions'!G37+(E44))*(1-'Assumptions'!G42-(0))+'Assumptions'!G47-'Assumptions'!G52*(F44)+'Assumptions'!G57-'Assumptions'!G62*(1)-'Assumptions'!G67-(0))+(('Historical Inputs'!$N$9*(1+(D44))^2)*('Assumptions'!F67+(0))))*'DCF'!G12/(1+(G44))^'DCF'!G13,(('Historical Inputs'!$N$9*(1+(D44))^4)*(('Assumptions'!H37+(E44))*(1-'Assumptions'!H42-(0))+'Assumptions'!H47-'Assumptions'!H52*(F44)+'Assumptions'!H57-'Assumptions'!H62*(1)-'Assumptions'!H67-(0))+(('Historical Inputs'!$N$9*(1+(D44))^3)*('Assumptions'!G67+(0))))*'DCF'!H12/(1+(G44))^'DCF'!H13,(('Historical Inputs'!$N$9*(1+(D44))^5)*(('Assumptions'!I37+(E44))*(1-'Assumptions'!I42-(0))+'Assumptions'!I47-'Assumptions'!I52*(F44)+'Assumptions'!I57-'Assumptions'!I62*(1)-'Assumptions'!I67-(0))+(('Historical Inputs'!$N$9*(1+(D44))^4)*('Assumptions'!H67+(0))))*'DCF'!I12/(1+(G44))^'DCF'!I13)+('Historical Inputs'!$N$9*(1+(D44))^5)*(1+(H44))*('Terminal Value'!$E$10+(E44))*(1-'Assumptions'!$E$15-(0))*(1-(H44)/('Terminal Value'!$E$12))/((G44)-(H44))/(1+(G44))^'DCF'!$E$19)+'Equity Bridge'!$E$17)/'Equity Bridge'!$E$20</x:f>
        <x:v>253.12914322618437</x:v>
      </x:c>
      <x:c r="L44" s="136"/>
      <x:c r="M44" s="136"/>
      <x:c r="N44" s="136"/>
      <x:c r="O44" s="136"/>
      <x:c r="P44" s="136"/>
      <x:c r="Q44" s="136"/>
      <x:c r="R44" s="136"/>
      <x:c r="S44" s="136"/>
      <x:c r="T44" s="136"/>
      <x:c r="U44" s="136"/>
      <x:c r="V44" s="136"/>
      <x:c r="W44" s="136"/>
      <x:c r="X44" s="240" t="n">
        <x:v>0.15569123651461292</x:v>
      </x:c>
      <x:c r="Y44" s="240" t="n">
        <x:v>0.5242931073519944</x:v>
      </x:c>
      <x:c r="Z44" s="240" t="n">
        <x:v>0.9928467820227022</x:v>
      </x:c>
      <x:c r="AA44" s="255" t="n">
        <x:v>0.304568481136578</x:v>
      </x:c>
      <x:c r="AB44" s="255" t="n">
        <x:v>0.10958754501872281</x:v>
      </x:c>
    </x:row>
    <x:row r="45" ht="24" customHeight="1">
      <x:c r="A45" s="136"/>
      <x:c r="B45" s="136"/>
      <x:c r="C45" s="136" t="n">
        <x:f>14</x:f>
        <x:v>14</x:v>
      </x:c>
      <x:c r="D45" s="162" t="n">
        <x:f>IF(X45&lt;($E$12-$D$12)/($F$12-$D$12),$D$12+SQRT(X45*($F$12-$D$12)*($E$12-$D$12)),$F$12-SQRT((1-X45)*($F$12-$D$12)*($F$12-$E$12)))</x:f>
        <x:v>0.14950544792451384</x:v>
      </x:c>
      <x:c r="E45" s="162" t="n">
        <x:f>IF(Y45&lt;($E$13-$D$13)/($F$13-$D$13),$D$13+SQRT(Y45*($F$13-$D$13)*($E$13-$D$13)),$F$13-SQRT((1-Y45)*($F$13-$D$13)*($F$13-$E$13)))</x:f>
        <x:v>-0.006666340625872423</x:v>
      </x:c>
      <x:c r="F45" s="222" t="n">
        <x:f>IF(Z45&lt;($E$14-$D$14)/($F$14-$D$14),$D$14+SQRT(Z45*($F$14-$D$14)*($E$14-$D$14)),$F$14-SQRT((1-Z45)*($F$14-$D$14)*($F$14-$E$14)))</x:f>
        <x:v>1.023608554273978</x:v>
      </x:c>
      <x:c r="G45" s="162" t="n">
        <x:f>IF(AA45&lt;($E$15-$D$15)/($F$15-$D$15),$D$15+SQRT(AA45*($F$15-$D$15)*($E$15-$D$15)),$F$15-SQRT((1-AA45)*($F$15-$D$15)*($F$15-$E$15)))</x:f>
        <x:v>0.11074643934984234</x:v>
      </x:c>
      <x:c r="H45" s="162" t="n">
        <x:f>IF(AB45&lt;($E$16-$D$16)/($F$16-$D$16),$D$16+SQRT(AB45*($F$16-$D$16)*($E$16-$D$16)),$F$16-SQRT((1-AB45)*($F$16-$D$16)*($F$16-$E$16)))</x:f>
        <x:v>0.025128624338429998</x:v>
      </x:c>
      <x:c r="I45" s="164" t="n">
        <x:f>'Historical Inputs'!$N$9*(1+D45)^5</x:f>
        <x:v>666012.8299318779</x:v>
      </x:c>
      <x:c r="J45" s="164" t="n">
        <x:f>I45*(1+H45)*('Terminal Value'!$E$10+E45)*(1-'Assumptions'!$E$15)*(1-H45/'Terminal Value'!$E$12)</x:f>
        <x:v>187845.49591813918</x:v>
      </x:c>
      <x:c r="K45" s="145" t="n">
        <x:f>((SUM((('Historical Inputs'!$N$9*(1+(D45))^1)*(('Assumptions'!E37+(E45))*(1-'Assumptions'!E42-(0))+'Assumptions'!E47-'Assumptions'!E52*(F45)+'Assumptions'!E57-'Assumptions'!E62*(1)-'Assumptions'!E67-(0))+('Working Capital'!$E$6))*'DCF'!E12/(1+(G45))^'DCF'!E13,(('Historical Inputs'!$N$9*(1+(D45))^2)*(('Assumptions'!F37+(E45))*(1-'Assumptions'!F42-(0))+'Assumptions'!F47-'Assumptions'!F52*(F45)+'Assumptions'!F57-'Assumptions'!F62*(1)-'Assumptions'!F67-(0))+(('Historical Inputs'!$N$9*(1+(D45))^1)*('Assumptions'!E67+(0))))*'DCF'!F12/(1+(G45))^'DCF'!F13,(('Historical Inputs'!$N$9*(1+(D45))^3)*(('Assumptions'!G37+(E45))*(1-'Assumptions'!G42-(0))+'Assumptions'!G47-'Assumptions'!G52*(F45)+'Assumptions'!G57-'Assumptions'!G62*(1)-'Assumptions'!G67-(0))+(('Historical Inputs'!$N$9*(1+(D45))^2)*('Assumptions'!F67+(0))))*'DCF'!G12/(1+(G45))^'DCF'!G13,(('Historical Inputs'!$N$9*(1+(D45))^4)*(('Assumptions'!H37+(E45))*(1-'Assumptions'!H42-(0))+'Assumptions'!H47-'Assumptions'!H52*(F45)+'Assumptions'!H57-'Assumptions'!H62*(1)-'Assumptions'!H67-(0))+(('Historical Inputs'!$N$9*(1+(D45))^3)*('Assumptions'!G67+(0))))*'DCF'!H12/(1+(G45))^'DCF'!H13,(('Historical Inputs'!$N$9*(1+(D45))^5)*(('Assumptions'!I37+(E45))*(1-'Assumptions'!I42-(0))+'Assumptions'!I47-'Assumptions'!I52*(F45)+'Assumptions'!I57-'Assumptions'!I62*(1)-'Assumptions'!I67-(0))+(('Historical Inputs'!$N$9*(1+(D45))^4)*('Assumptions'!H67+(0))))*'DCF'!I12/(1+(G45))^'DCF'!I13)+('Historical Inputs'!$N$9*(1+(D45))^5)*(1+(H45))*('Terminal Value'!$E$10+(E45))*(1-'Assumptions'!$E$15-(0))*(1-(H45)/('Terminal Value'!$E$12))/((G45)-(H45))/(1+(G45))^'DCF'!$E$19)+'Equity Bridge'!$E$17)/'Equity Bridge'!$E$20</x:f>
        <x:v>231.41449275291023</x:v>
      </x:c>
      <x:c r="L45" s="136"/>
      <x:c r="M45" s="136"/>
      <x:c r="N45" s="136"/>
      <x:c r="O45" s="136"/>
      <x:c r="P45" s="136"/>
      <x:c r="Q45" s="136"/>
      <x:c r="R45" s="136"/>
      <x:c r="S45" s="136"/>
      <x:c r="T45" s="136"/>
      <x:c r="U45" s="136"/>
      <x:c r="V45" s="136"/>
      <x:c r="W45" s="136"/>
      <x:c r="X45" s="240" t="n">
        <x:v>0.617159956227555</x:v>
      </x:c>
      <x:c r="Y45" s="240" t="n">
        <x:v>0.3755612069505829</x:v>
      </x:c>
      <x:c r="Z45" s="240" t="n">
        <x:v>0.5555151124954825</x:v>
      </x:c>
      <x:c r="AA45" s="255" t="n">
        <x:v>0.9872646654148952</x:v>
      </x:c>
      <x:c r="AB45" s="255" t="n">
        <x:v>0.13151393802368283</x:v>
      </x:c>
    </x:row>
    <x:row r="46" ht="24" customHeight="1">
      <x:c r="A46" s="136"/>
      <x:c r="B46" s="136"/>
      <x:c r="C46" s="136" t="n">
        <x:f>15</x:f>
        <x:v>15</x:v>
      </x:c>
      <x:c r="D46" s="162" t="n">
        <x:f>IF(X46&lt;($E$12-$D$12)/($F$12-$D$12),$D$12+SQRT(X46*($F$12-$D$12)*($E$12-$D$12)),$F$12-SQRT((1-X46)*($F$12-$D$12)*($F$12-$E$12)))</x:f>
        <x:v>0.14712899553748476</x:v>
      </x:c>
      <x:c r="E46" s="162" t="n">
        <x:f>IF(Y46&lt;($E$13-$D$13)/($F$13-$D$13),$D$13+SQRT(Y46*($F$13-$D$13)*($E$13-$D$13)),$F$13-SQRT((1-Y46)*($F$13-$D$13)*($F$13-$E$13)))</x:f>
        <x:v>-0.0322506090753049</x:v>
      </x:c>
      <x:c r="F46" s="222" t="n">
        <x:f>IF(Z46&lt;($E$14-$D$14)/($F$14-$D$14),$D$14+SQRT(Z46*($F$14-$D$14)*($E$14-$D$14)),$F$14-SQRT((1-Z46)*($F$14-$D$14)*($F$14-$E$14)))</x:f>
        <x:v>0.9683490597381533</x:v>
      </x:c>
      <x:c r="G46" s="162" t="n">
        <x:f>IF(AA46&lt;($E$15-$D$15)/($F$15-$D$15),$D$15+SQRT(AA46*($F$15-$D$15)*($E$15-$D$15)),$F$15-SQRT((1-AA46)*($F$15-$D$15)*($F$15-$E$15)))</x:f>
        <x:v>0.10342874161722597</x:v>
      </x:c>
      <x:c r="H46" s="162" t="n">
        <x:f>IF(AB46&lt;($E$16-$D$16)/($F$16-$D$16),$D$16+SQRT(AB46*($F$16-$D$16)*($E$16-$D$16)),$F$16-SQRT((1-AB46)*($F$16-$D$16)*($F$16-$E$16)))</x:f>
        <x:v>0.025470034446659875</x:v>
      </x:c>
      <x:c r="I46" s="164" t="n">
        <x:f>'Historical Inputs'!$N$9*(1+D46)^5</x:f>
        <x:v>659156.763920715</x:v>
      </x:c>
      <x:c r="J46" s="164" t="n">
        <x:f>I46*(1+H46)*('Terminal Value'!$E$10+E46)*(1-'Assumptions'!$E$15)*(1-H46/'Terminal Value'!$E$12)</x:f>
        <x:v>173537.62264336017</x:v>
      </x:c>
      <x:c r="K46" s="145" t="n">
        <x:f>((SUM((('Historical Inputs'!$N$9*(1+(D46))^1)*(('Assumptions'!E37+(E46))*(1-'Assumptions'!E42-(0))+'Assumptions'!E47-'Assumptions'!E52*(F46)+'Assumptions'!E57-'Assumptions'!E62*(1)-'Assumptions'!E67-(0))+('Working Capital'!$E$6))*'DCF'!E12/(1+(G46))^'DCF'!E13,(('Historical Inputs'!$N$9*(1+(D46))^2)*(('Assumptions'!F37+(E46))*(1-'Assumptions'!F42-(0))+'Assumptions'!F47-'Assumptions'!F52*(F46)+'Assumptions'!F57-'Assumptions'!F62*(1)-'Assumptions'!F67-(0))+(('Historical Inputs'!$N$9*(1+(D46))^1)*('Assumptions'!E67+(0))))*'DCF'!F12/(1+(G46))^'DCF'!F13,(('Historical Inputs'!$N$9*(1+(D46))^3)*(('Assumptions'!G37+(E46))*(1-'Assumptions'!G42-(0))+'Assumptions'!G47-'Assumptions'!G52*(F46)+'Assumptions'!G57-'Assumptions'!G62*(1)-'Assumptions'!G67-(0))+(('Historical Inputs'!$N$9*(1+(D46))^2)*('Assumptions'!F67+(0))))*'DCF'!G12/(1+(G46))^'DCF'!G13,(('Historical Inputs'!$N$9*(1+(D46))^4)*(('Assumptions'!H37+(E46))*(1-'Assumptions'!H42-(0))+'Assumptions'!H47-'Assumptions'!H52*(F46)+'Assumptions'!H57-'Assumptions'!H62*(1)-'Assumptions'!H67-(0))+(('Historical Inputs'!$N$9*(1+(D46))^3)*('Assumptions'!G67+(0))))*'DCF'!H12/(1+(G46))^'DCF'!H13,(('Historical Inputs'!$N$9*(1+(D46))^5)*(('Assumptions'!I37+(E46))*(1-'Assumptions'!I42-(0))+'Assumptions'!I47-'Assumptions'!I52*(F46)+'Assumptions'!I57-'Assumptions'!I62*(1)-'Assumptions'!I67-(0))+(('Historical Inputs'!$N$9*(1+(D46))^4)*('Assumptions'!H67+(0))))*'DCF'!I12/(1+(G46))^'DCF'!I13)+('Historical Inputs'!$N$9*(1+(D46))^5)*(1+(H46))*('Terminal Value'!$E$10+(E46))*(1-'Assumptions'!$E$15-(0))*(1-(H46)/('Terminal Value'!$E$12))/((G46)-(H46))/(1+(G46))^'DCF'!$E$19)+'Equity Bridge'!$E$17)/'Equity Bridge'!$E$20</x:f>
        <x:v>238.6772351128657</x:v>
      </x:c>
      <x:c r="L46" s="136"/>
      <x:c r="M46" s="136"/>
      <x:c r="N46" s="136"/>
      <x:c r="O46" s="136"/>
      <x:c r="P46" s="136"/>
      <x:c r="Q46" s="136"/>
      <x:c r="R46" s="136"/>
      <x:c r="S46" s="136"/>
      <x:c r="T46" s="136"/>
      <x:c r="U46" s="136"/>
      <x:c r="V46" s="136"/>
      <x:c r="W46" s="136"/>
      <x:c r="X46" s="240" t="n">
        <x:v>0.574441038144151</x:v>
      </x:c>
      <x:c r="Y46" s="240" t="n">
        <x:v>0.06300817563952976</x:v>
      </x:c>
      <x:c r="Z46" s="240" t="n">
        <x:v>0.26679047506485676</x:v>
      </x:c>
      <x:c r="AA46" s="255" t="n">
        <x:v>0.7904095287232781</x:v>
      </x:c>
      <x:c r="AB46" s="255" t="n">
        <x:v>0.14960638423822814</x:v>
      </x:c>
    </x:row>
    <x:row r="47" ht="24" customHeight="1">
      <x:c r="A47" s="136"/>
      <x:c r="B47" s="136"/>
      <x:c r="C47" s="136" t="n">
        <x:f>16</x:f>
        <x:v>16</x:v>
      </x:c>
      <x:c r="D47" s="162" t="n">
        <x:f>IF(X47&lt;($E$12-$D$12)/($F$12-$D$12),$D$12+SQRT(X47*($F$12-$D$12)*($E$12-$D$12)),$F$12-SQRT((1-X47)*($F$12-$D$12)*($F$12-$E$12)))</x:f>
        <x:v>0.13239912358854136</x:v>
      </x:c>
      <x:c r="E47" s="162" t="n">
        <x:f>IF(Y47&lt;($E$13-$D$13)/($F$13-$D$13),$D$13+SQRT(Y47*($F$13-$D$13)*($E$13-$D$13)),$F$13-SQRT((1-Y47)*($F$13-$D$13)*($F$13-$E$13)))</x:f>
        <x:v>-0.000521811328494888</x:v>
      </x:c>
      <x:c r="F47" s="222" t="n">
        <x:f>IF(Z47&lt;($E$14-$D$14)/($F$14-$D$14),$D$14+SQRT(Z47*($F$14-$D$14)*($E$14-$D$14)),$F$14-SQRT((1-Z47)*($F$14-$D$14)*($F$14-$E$14)))</x:f>
        <x:v>0.8945461246014355</x:v>
      </x:c>
      <x:c r="G47" s="162" t="n">
        <x:f>IF(AA47&lt;($E$15-$D$15)/($F$15-$D$15),$D$15+SQRT(AA47*($F$15-$D$15)*($E$15-$D$15)),$F$15-SQRT((1-AA47)*($F$15-$D$15)*($F$15-$E$15)))</x:f>
        <x:v>0.11026696244294344</x:v>
      </x:c>
      <x:c r="H47" s="162" t="n">
        <x:f>IF(AB47&lt;($E$16-$D$16)/($F$16-$D$16),$D$16+SQRT(AB47*($F$16-$D$16)*($E$16-$D$16)),$F$16-SQRT((1-AB47)*($F$16-$D$16)*($F$16-$E$16)))</x:f>
        <x:v>0.034225015551326725</x:v>
      </x:c>
      <x:c r="I47" s="164" t="n">
        <x:f>'Historical Inputs'!$N$9*(1+D47)^5</x:f>
        <x:v>617909.7511801899</x:v>
      </x:c>
      <x:c r="J47" s="164" t="n">
        <x:f>I47*(1+H47)*('Terminal Value'!$E$10+E47)*(1-'Assumptions'!$E$15)*(1-H47/'Terminal Value'!$E$12)</x:f>
        <x:v>169282.53197086733</x:v>
      </x:c>
      <x:c r="K47" s="145" t="n">
        <x:f>((SUM((('Historical Inputs'!$N$9*(1+(D47))^1)*(('Assumptions'!E37+(E47))*(1-'Assumptions'!E42-(0))+'Assumptions'!E47-'Assumptions'!E52*(F47)+'Assumptions'!E57-'Assumptions'!E62*(1)-'Assumptions'!E67-(0))+('Working Capital'!$E$6))*'DCF'!E12/(1+(G47))^'DCF'!E13,(('Historical Inputs'!$N$9*(1+(D47))^2)*(('Assumptions'!F37+(E47))*(1-'Assumptions'!F42-(0))+'Assumptions'!F47-'Assumptions'!F52*(F47)+'Assumptions'!F57-'Assumptions'!F62*(1)-'Assumptions'!F67-(0))+(('Historical Inputs'!$N$9*(1+(D47))^1)*('Assumptions'!E67+(0))))*'DCF'!F12/(1+(G47))^'DCF'!F13,(('Historical Inputs'!$N$9*(1+(D47))^3)*(('Assumptions'!G37+(E47))*(1-'Assumptions'!G42-(0))+'Assumptions'!G47-'Assumptions'!G52*(F47)+'Assumptions'!G57-'Assumptions'!G62*(1)-'Assumptions'!G67-(0))+(('Historical Inputs'!$N$9*(1+(D47))^2)*('Assumptions'!F67+(0))))*'DCF'!G12/(1+(G47))^'DCF'!G13,(('Historical Inputs'!$N$9*(1+(D47))^4)*(('Assumptions'!H37+(E47))*(1-'Assumptions'!H42-(0))+'Assumptions'!H47-'Assumptions'!H52*(F47)+'Assumptions'!H57-'Assumptions'!H62*(1)-'Assumptions'!H67-(0))+(('Historical Inputs'!$N$9*(1+(D47))^3)*('Assumptions'!G67+(0))))*'DCF'!H12/(1+(G47))^'DCF'!H13,(('Historical Inputs'!$N$9*(1+(D47))^5)*(('Assumptions'!I37+(E47))*(1-'Assumptions'!I42-(0))+'Assumptions'!I47-'Assumptions'!I52*(F47)+'Assumptions'!I57-'Assumptions'!I62*(1)-'Assumptions'!I67-(0))+(('Historical Inputs'!$N$9*(1+(D47))^4)*('Assumptions'!H67+(0))))*'DCF'!I12/(1+(G47))^'DCF'!I13)+('Historical Inputs'!$N$9*(1+(D47))^5)*(1+(H47))*('Terminal Value'!$E$10+(E47))*(1-'Assumptions'!$E$15-(0))*(1-(H47)/('Terminal Value'!$E$12))/((G47)-(H47))/(1+(G47))^'DCF'!$E$19)+'Equity Bridge'!$E$17)/'Equity Bridge'!$E$20</x:f>
        <x:v>240.66585071064998</x:v>
      </x:c>
      <x:c r="L47" s="136"/>
      <x:c r="M47" s="136"/>
      <x:c r="N47" s="136"/>
      <x:c r="O47" s="136"/>
      <x:c r="P47" s="136"/>
      <x:c r="Q47" s="136"/>
      <x:c r="R47" s="136"/>
      <x:c r="S47" s="136"/>
      <x:c r="T47" s="136"/>
      <x:c r="U47" s="136"/>
      <x:c r="V47" s="136"/>
      <x:c r="W47" s="136"/>
      <x:c r="X47" s="240" t="n">
        <x:v>0.30642082607693044</x:v>
      </x:c>
      <x:c r="Y47" s="240" t="n">
        <x:v>0.48961823084261136</x:v>
      </x:c>
      <x:c r="Z47" s="240" t="n">
        <x:v>0.03779728032393548</x:v>
      </x:c>
      <x:c r="AA47" s="255" t="n">
        <x:v>0.981652295745312</x:v>
      </x:c>
      <x:c r="AB47" s="255" t="n">
        <x:v>0.8332477730879091</x:v>
      </x:c>
    </x:row>
    <x:row r="48" ht="24" customHeight="1">
      <x:c r="A48" s="136"/>
      <x:c r="B48" s="136"/>
      <x:c r="C48" s="136" t="n">
        <x:f>17</x:f>
        <x:v>17</x:v>
      </x:c>
      <x:c r="D48" s="162" t="n">
        <x:f>IF(X48&lt;($E$12-$D$12)/($F$12-$D$12),$D$12+SQRT(X48*($F$12-$D$12)*($E$12-$D$12)),$F$12-SQRT((1-X48)*($F$12-$D$12)*($F$12-$E$12)))</x:f>
        <x:v>0.1144612181870884</x:v>
      </x:c>
      <x:c r="E48" s="162" t="n">
        <x:f>IF(Y48&lt;($E$13-$D$13)/($F$13-$D$13),$D$13+SQRT(Y48*($F$13-$D$13)*($E$13-$D$13)),$F$13-SQRT((1-Y48)*($F$13-$D$13)*($F$13-$E$13)))</x:f>
        <x:v>0.020343998640764603</x:v>
      </x:c>
      <x:c r="F48" s="222" t="n">
        <x:f>IF(Z48&lt;($E$14-$D$14)/($F$14-$D$14),$D$14+SQRT(Z48*($F$14-$D$14)*($E$14-$D$14)),$F$14-SQRT((1-Z48)*($F$14-$D$14)*($F$14-$E$14)))</x:f>
        <x:v>0.9430199046452724</x:v>
      </x:c>
      <x:c r="G48" s="162" t="n">
        <x:f>IF(AA48&lt;($E$15-$D$15)/($F$15-$D$15),$D$15+SQRT(AA48*($F$15-$D$15)*($E$15-$D$15)),$F$15-SQRT((1-AA48)*($F$15-$D$15)*($F$15-$E$15)))</x:f>
        <x:v>0.099202897520456</x:v>
      </x:c>
      <x:c r="H48" s="162" t="n">
        <x:f>IF(AB48&lt;($E$16-$D$16)/($F$16-$D$16),$D$16+SQRT(AB48*($F$16-$D$16)*($E$16-$D$16)),$F$16-SQRT((1-AB48)*($F$16-$D$16)*($F$16-$E$16)))</x:f>
        <x:v>0.031679622175267576</x:v>
      </x:c>
      <x:c r="I48" s="164" t="n">
        <x:f>'Historical Inputs'!$N$9*(1+D48)^5</x:f>
        <x:v>570495.5050079696</x:v>
      </x:c>
      <x:c r="J48" s="164" t="n">
        <x:f>I48*(1+H48)*('Terminal Value'!$E$10+E48)*(1-'Assumptions'!$E$15)*(1-H48/'Terminal Value'!$E$12)</x:f>
        <x:v>166570.70322432992</x:v>
      </x:c>
      <x:c r="K48" s="145" t="n">
        <x:f>((SUM((('Historical Inputs'!$N$9*(1+(D48))^1)*(('Assumptions'!E37+(E48))*(1-'Assumptions'!E42-(0))+'Assumptions'!E47-'Assumptions'!E52*(F48)+'Assumptions'!E57-'Assumptions'!E62*(1)-'Assumptions'!E67-(0))+('Working Capital'!$E$6))*'DCF'!E12/(1+(G48))^'DCF'!E13,(('Historical Inputs'!$N$9*(1+(D48))^2)*(('Assumptions'!F37+(E48))*(1-'Assumptions'!F42-(0))+'Assumptions'!F47-'Assumptions'!F52*(F48)+'Assumptions'!F57-'Assumptions'!F62*(1)-'Assumptions'!F67-(0))+(('Historical Inputs'!$N$9*(1+(D48))^1)*('Assumptions'!E67+(0))))*'DCF'!F12/(1+(G48))^'DCF'!F13,(('Historical Inputs'!$N$9*(1+(D48))^3)*(('Assumptions'!G37+(E48))*(1-'Assumptions'!G42-(0))+'Assumptions'!G47-'Assumptions'!G52*(F48)+'Assumptions'!G57-'Assumptions'!G62*(1)-'Assumptions'!G67-(0))+(('Historical Inputs'!$N$9*(1+(D48))^2)*('Assumptions'!F67+(0))))*'DCF'!G12/(1+(G48))^'DCF'!G13,(('Historical Inputs'!$N$9*(1+(D48))^4)*(('Assumptions'!H37+(E48))*(1-'Assumptions'!H42-(0))+'Assumptions'!H47-'Assumptions'!H52*(F48)+'Assumptions'!H57-'Assumptions'!H62*(1)-'Assumptions'!H67-(0))+(('Historical Inputs'!$N$9*(1+(D48))^3)*('Assumptions'!G67+(0))))*'DCF'!H12/(1+(G48))^'DCF'!H13,(('Historical Inputs'!$N$9*(1+(D48))^5)*(('Assumptions'!I37+(E48))*(1-'Assumptions'!I42-(0))+'Assumptions'!I47-'Assumptions'!I52*(F48)+'Assumptions'!I57-'Assumptions'!I62*(1)-'Assumptions'!I67-(0))+(('Historical Inputs'!$N$9*(1+(D48))^4)*('Assumptions'!H67+(0))))*'DCF'!I12/(1+(G48))^'DCF'!I13)+('Historical Inputs'!$N$9*(1+(D48))^5)*(1+(H48))*('Terminal Value'!$E$10+(E48))*(1-'Assumptions'!$E$15-(0))*(1-(H48)/('Terminal Value'!$E$12))/((G48)-(H48))/(1+(G48))^'DCF'!$E$19)+'Equity Bridge'!$E$17)/'Equity Bridge'!$E$20</x:f>
        <x:v>269.5965495790258</x:v>
      </x:c>
      <x:c r="L48" s="136"/>
      <x:c r="M48" s="136"/>
      <x:c r="N48" s="136"/>
      <x:c r="O48" s="136"/>
      <x:c r="P48" s="136"/>
      <x:c r="Q48" s="136"/>
      <x:c r="R48" s="136"/>
      <x:c r="S48" s="136"/>
      <x:c r="T48" s="136"/>
      <x:c r="U48" s="136"/>
      <x:c r="V48" s="136"/>
      <x:c r="W48" s="136"/>
      <x:c r="X48" s="240" t="n">
        <x:v>0.08992358866343231</x:v>
      </x:c>
      <x:c r="Y48" s="240" t="n">
        <x:v>0.8241043166762057</x:v>
      </x:c>
      <x:c r="Z48" s="240" t="n">
        <x:v>0.16481338400410606</x:v>
      </x:c>
      <x:c r="AA48" s="255" t="n">
        <x:v>0.568326401432345</x:v>
      </x:c>
      <x:c r="AB48" s="255" t="n">
        <x:v>0.6538565642685049</x:v>
      </x:c>
    </x:row>
    <x:row r="49" ht="24" customHeight="1">
      <x:c r="A49" s="136"/>
      <x:c r="B49" s="136"/>
      <x:c r="C49" s="136" t="n">
        <x:f>18</x:f>
        <x:v>18</x:v>
      </x:c>
      <x:c r="D49" s="162" t="n">
        <x:f>IF(X49&lt;($E$12-$D$12)/($F$12-$D$12),$D$12+SQRT(X49*($F$12-$D$12)*($E$12-$D$12)),$F$12-SQRT((1-X49)*($F$12-$D$12)*($F$12-$E$12)))</x:f>
        <x:v>0.11126172120425071</x:v>
      </x:c>
      <x:c r="E49" s="162" t="n">
        <x:f>IF(Y49&lt;($E$13-$D$13)/($F$13-$D$13),$D$13+SQRT(Y49*($F$13-$D$13)*($E$13-$D$13)),$F$13-SQRT((1-Y49)*($F$13-$D$13)*($F$13-$E$13)))</x:f>
        <x:v>-0.009397073471056575</x:v>
      </x:c>
      <x:c r="F49" s="222" t="n">
        <x:f>IF(Z49&lt;($E$14-$D$14)/($F$14-$D$14),$D$14+SQRT(Z49*($F$14-$D$14)*($E$14-$D$14)),$F$14-SQRT((1-Z49)*($F$14-$D$14)*($F$14-$E$14)))</x:f>
        <x:v>0.9479141743613542</x:v>
      </x:c>
      <x:c r="G49" s="162" t="n">
        <x:f>IF(AA49&lt;($E$15-$D$15)/($F$15-$D$15),$D$15+SQRT(AA49*($F$15-$D$15)*($E$15-$D$15)),$F$15-SQRT((1-AA49)*($F$15-$D$15)*($F$15-$E$15)))</x:f>
        <x:v>0.08602604130978458</x:v>
      </x:c>
      <x:c r="H49" s="162" t="n">
        <x:f>IF(AB49&lt;($E$16-$D$16)/($F$16-$D$16),$D$16+SQRT(AB49*($F$16-$D$16)*($E$16-$D$16)),$F$16-SQRT((1-AB49)*($F$16-$D$16)*($F$16-$E$16)))</x:f>
        <x:v>0.03289307856383316</x:v>
      </x:c>
      <x:c r="I49" s="164" t="n">
        <x:f>'Historical Inputs'!$N$9*(1+D49)^5</x:f>
        <x:v>562353.2377195577</x:v>
      </x:c>
      <x:c r="J49" s="164" t="n">
        <x:f>I49*(1+H49)*('Terminal Value'!$E$10+E49)*(1-'Assumptions'!$E$15)*(1-H49/'Terminal Value'!$E$12)</x:f>
        <x:v>151654.2165115325</x:v>
      </x:c>
      <x:c r="K49" s="145" t="n">
        <x:f>((SUM((('Historical Inputs'!$N$9*(1+(D49))^1)*(('Assumptions'!E37+(E49))*(1-'Assumptions'!E42-(0))+'Assumptions'!E47-'Assumptions'!E52*(F49)+'Assumptions'!E57-'Assumptions'!E62*(1)-'Assumptions'!E67-(0))+('Working Capital'!$E$6))*'DCF'!E12/(1+(G49))^'DCF'!E13,(('Historical Inputs'!$N$9*(1+(D49))^2)*(('Assumptions'!F37+(E49))*(1-'Assumptions'!F42-(0))+'Assumptions'!F47-'Assumptions'!F52*(F49)+'Assumptions'!F57-'Assumptions'!F62*(1)-'Assumptions'!F67-(0))+(('Historical Inputs'!$N$9*(1+(D49))^1)*('Assumptions'!E67+(0))))*'DCF'!F12/(1+(G49))^'DCF'!F13,(('Historical Inputs'!$N$9*(1+(D49))^3)*(('Assumptions'!G37+(E49))*(1-'Assumptions'!G42-(0))+'Assumptions'!G47-'Assumptions'!G52*(F49)+'Assumptions'!G57-'Assumptions'!G62*(1)-'Assumptions'!G67-(0))+(('Historical Inputs'!$N$9*(1+(D49))^2)*('Assumptions'!F67+(0))))*'DCF'!G12/(1+(G49))^'DCF'!G13,(('Historical Inputs'!$N$9*(1+(D49))^4)*(('Assumptions'!H37+(E49))*(1-'Assumptions'!H42-(0))+'Assumptions'!H47-'Assumptions'!H52*(F49)+'Assumptions'!H57-'Assumptions'!H62*(1)-'Assumptions'!H67-(0))+(('Historical Inputs'!$N$9*(1+(D49))^3)*('Assumptions'!G67+(0))))*'DCF'!H12/(1+(G49))^'DCF'!H13,(('Historical Inputs'!$N$9*(1+(D49))^5)*(('Assumptions'!I37+(E49))*(1-'Assumptions'!I42-(0))+'Assumptions'!I47-'Assumptions'!I52*(F49)+'Assumptions'!I57-'Assumptions'!I62*(1)-'Assumptions'!I67-(0))+(('Historical Inputs'!$N$9*(1+(D49))^4)*('Assumptions'!H67+(0))))*'DCF'!I12/(1+(G49))^'DCF'!I13)+('Historical Inputs'!$N$9*(1+(D49))^5)*(1+(H49))*('Terminal Value'!$E$10+(E49))*(1-'Assumptions'!$E$15-(0))*(1-(H49)/('Terminal Value'!$E$12))/((G49)-(H49))/(1+(G49))^'DCF'!$E$19)+'Equity Bridge'!$E$17)/'Equity Bridge'!$E$20</x:f>
        <x:v>312.5697222897185</x:v>
      </x:c>
      <x:c r="L49" s="136"/>
      <x:c r="M49" s="136"/>
      <x:c r="N49" s="136"/>
      <x:c r="O49" s="136"/>
      <x:c r="P49" s="136"/>
      <x:c r="Q49" s="136"/>
      <x:c r="R49" s="136"/>
      <x:c r="S49" s="136"/>
      <x:c r="T49" s="136"/>
      <x:c r="U49" s="136"/>
      <x:c r="V49" s="136"/>
      <x:c r="W49" s="136"/>
      <x:c r="X49" s="240" t="n">
        <x:v>0.06483383993982317</x:v>
      </x:c>
      <x:c r="Y49" s="240" t="n">
        <x:v>0.3297195285429556</x:v>
      </x:c>
      <x:c r="Z49" s="240" t="n">
        <x:v>0.1826130579212507</x:v>
      </x:c>
      <x:c r="AA49" s="255" t="n">
        <x:v>0.018504673332987553</x:v>
      </x:c>
      <x:c r="AB49" s="255" t="n">
        <x:v>0.7474583385007615</x:v>
      </x:c>
    </x:row>
    <x:row r="50" ht="24" customHeight="1">
      <x:c r="A50" s="136"/>
      <x:c r="B50" s="136"/>
      <x:c r="C50" s="136" t="n">
        <x:f>19</x:f>
        <x:v>19</x:v>
      </x:c>
      <x:c r="D50" s="162" t="n">
        <x:f>IF(X50&lt;($E$12-$D$12)/($F$12-$D$12),$D$12+SQRT(X50*($F$12-$D$12)*($E$12-$D$12)),$F$12-SQRT((1-X50)*($F$12-$D$12)*($F$12-$E$12)))</x:f>
        <x:v>0.11085860829374729</x:v>
      </x:c>
      <x:c r="E50" s="162" t="n">
        <x:f>IF(Y50&lt;($E$13-$D$13)/($F$13-$D$13),$D$13+SQRT(Y50*($F$13-$D$13)*($E$13-$D$13)),$F$13-SQRT((1-Y50)*($F$13-$D$13)*($F$13-$E$13)))</x:f>
        <x:v>-0.022666635010835785</x:v>
      </x:c>
      <x:c r="F50" s="222" t="n">
        <x:f>IF(Z50&lt;($E$14-$D$14)/($F$14-$D$14),$D$14+SQRT(Z50*($F$14-$D$14)*($E$14-$D$14)),$F$14-SQRT((1-Z50)*($F$14-$D$14)*($F$14-$E$14)))</x:f>
        <x:v>0.9097514049478447</x:v>
      </x:c>
      <x:c r="G50" s="162" t="n">
        <x:f>IF(AA50&lt;($E$15-$D$15)/($F$15-$D$15),$D$15+SQRT(AA50*($F$15-$D$15)*($E$15-$D$15)),$F$15-SQRT((1-AA50)*($F$15-$D$15)*($F$15-$E$15)))</x:f>
        <x:v>0.104051988523092</x:v>
      </x:c>
      <x:c r="H50" s="162" t="n">
        <x:f>IF(AB50&lt;($E$16-$D$16)/($F$16-$D$16),$D$16+SQRT(AB50*($F$16-$D$16)*($E$16-$D$16)),$F$16-SQRT((1-AB50)*($F$16-$D$16)*($F$16-$E$16)))</x:f>
        <x:v>0.03309293854401281</x:v>
      </x:c>
      <x:c r="I50" s="164" t="n">
        <x:f>'Historical Inputs'!$N$9*(1+D50)^5</x:f>
        <x:v>561334.0023780185</x:v>
      </x:c>
      <x:c r="J50" s="164" t="n">
        <x:f>I50*(1+H50)*('Terminal Value'!$E$10+E50)*(1-'Assumptions'!$E$15)*(1-H50/'Terminal Value'!$E$12)</x:f>
        <x:v>146090.0555043944</x:v>
      </x:c>
      <x:c r="K50" s="145" t="n">
        <x:f>((SUM((('Historical Inputs'!$N$9*(1+(D50))^1)*(('Assumptions'!E37+(E50))*(1-'Assumptions'!E42-(0))+'Assumptions'!E47-'Assumptions'!E52*(F50)+'Assumptions'!E57-'Assumptions'!E62*(1)-'Assumptions'!E67-(0))+('Working Capital'!$E$6))*'DCF'!E12/(1+(G50))^'DCF'!E13,(('Historical Inputs'!$N$9*(1+(D50))^2)*(('Assumptions'!F37+(E50))*(1-'Assumptions'!F42-(0))+'Assumptions'!F47-'Assumptions'!F52*(F50)+'Assumptions'!F57-'Assumptions'!F62*(1)-'Assumptions'!F67-(0))+(('Historical Inputs'!$N$9*(1+(D50))^1)*('Assumptions'!E67+(0))))*'DCF'!F12/(1+(G50))^'DCF'!F13,(('Historical Inputs'!$N$9*(1+(D50))^3)*(('Assumptions'!G37+(E50))*(1-'Assumptions'!G42-(0))+'Assumptions'!G47-'Assumptions'!G52*(F50)+'Assumptions'!G57-'Assumptions'!G62*(1)-'Assumptions'!G67-(0))+(('Historical Inputs'!$N$9*(1+(D50))^2)*('Assumptions'!F67+(0))))*'DCF'!G12/(1+(G50))^'DCF'!G13,(('Historical Inputs'!$N$9*(1+(D50))^4)*(('Assumptions'!H37+(E50))*(1-'Assumptions'!H42-(0))+'Assumptions'!H47-'Assumptions'!H52*(F50)+'Assumptions'!H57-'Assumptions'!H62*(1)-'Assumptions'!H67-(0))+(('Historical Inputs'!$N$9*(1+(D50))^3)*('Assumptions'!G67+(0))))*'DCF'!H12/(1+(G50))^'DCF'!H13,(('Historical Inputs'!$N$9*(1+(D50))^5)*(('Assumptions'!I37+(E50))*(1-'Assumptions'!I42-(0))+'Assumptions'!I47-'Assumptions'!I52*(F50)+'Assumptions'!I57-'Assumptions'!I62*(1)-'Assumptions'!I67-(0))+(('Historical Inputs'!$N$9*(1+(D50))^4)*('Assumptions'!H67+(0))))*'DCF'!I12/(1+(G50))^'DCF'!I13)+('Historical Inputs'!$N$9*(1+(D50))^5)*(1+(H50))*('Terminal Value'!$E$10+(E50))*(1-'Assumptions'!$E$15-(0))*(1-(H50)/('Terminal Value'!$E$12))/((G50)-(H50))/(1+(G50))^'DCF'!$E$19)+'Equity Bridge'!$E$17)/'Equity Bridge'!$E$20</x:f>
        <x:v>223.53841134804395</x:v>
      </x:c>
      <x:c r="L50" s="136"/>
      <x:c r="M50" s="136"/>
      <x:c r="N50" s="136"/>
      <x:c r="O50" s="136"/>
      <x:c r="P50" s="136"/>
      <x:c r="Q50" s="136"/>
      <x:c r="R50" s="136"/>
      <x:c r="S50" s="136"/>
      <x:c r="T50" s="136"/>
      <x:c r="U50" s="136"/>
      <x:c r="V50" s="136"/>
      <x:c r="W50" s="136"/>
      <x:c r="X50" s="240" t="n">
        <x:v>0.06196316923591294</x:v>
      </x:c>
      <x:c r="Y50" s="240" t="n">
        <x:v>0.14942256832617362</x:v>
      </x:c>
      <x:c r="Z50" s="240" t="n">
        <x:v>0.06800438844269174</x:v>
      </x:c>
      <x:c r="AA50" s="255" t="n">
        <x:v>0.8164474111489813</x:v>
      </x:c>
      <x:c r="AB50" s="255" t="n">
        <x:v>0.7614625102160807</x:v>
      </x:c>
    </x:row>
    <x:row r="51" ht="24" customHeight="1">
      <x:c r="A51" s="136"/>
      <x:c r="B51" s="136"/>
      <x:c r="C51" s="136" t="n">
        <x:f>20</x:f>
        <x:v>20</x:v>
      </x:c>
      <x:c r="D51" s="162" t="n">
        <x:f>IF(X51&lt;($E$12-$D$12)/($F$12-$D$12),$D$12+SQRT(X51*($F$12-$D$12)*($E$12-$D$12)),$F$12-SQRT((1-X51)*($F$12-$D$12)*($F$12-$E$12)))</x:f>
        <x:v>0.13857026317705418</x:v>
      </x:c>
      <x:c r="E51" s="162" t="n">
        <x:f>IF(Y51&lt;($E$13-$D$13)/($F$13-$D$13),$D$13+SQRT(Y51*($F$13-$D$13)*($E$13-$D$13)),$F$13-SQRT((1-Y51)*($F$13-$D$13)*($F$13-$E$13)))</x:f>
        <x:v>-0.0235176706970109</x:v>
      </x:c>
      <x:c r="F51" s="222" t="n">
        <x:f>IF(Z51&lt;($E$14-$D$14)/($F$14-$D$14),$D$14+SQRT(Z51*($F$14-$D$14)*($E$14-$D$14)),$F$14-SQRT((1-Z51)*($F$14-$D$14)*($F$14-$E$14)))</x:f>
        <x:v>1.0689168146764274</x:v>
      </x:c>
      <x:c r="G51" s="162" t="n">
        <x:f>IF(AA51&lt;($E$15-$D$15)/($F$15-$D$15),$D$15+SQRT(AA51*($F$15-$D$15)*($E$15-$D$15)),$F$15-SQRT((1-AA51)*($F$15-$D$15)*($F$15-$E$15)))</x:f>
        <x:v>0.1025507416631461</x:v>
      </x:c>
      <x:c r="H51" s="162" t="n">
        <x:f>IF(AB51&lt;($E$16-$D$16)/($F$16-$D$16),$D$16+SQRT(AB51*($F$16-$D$16)*($E$16-$D$16)),$F$16-SQRT((1-AB51)*($F$16-$D$16)*($F$16-$E$16)))</x:f>
        <x:v>0.031091905025706332</x:v>
      </x:c>
      <x:c r="I51" s="164" t="n">
        <x:f>'Historical Inputs'!$N$9*(1+D51)^5</x:f>
        <x:v>634931.114861679</x:v>
      </x:c>
      <x:c r="J51" s="164" t="n">
        <x:f>I51*(1+H51)*('Terminal Value'!$E$10+E51)*(1-'Assumptions'!$E$15)*(1-H51/'Terminal Value'!$E$12)</x:f>
        <x:v>166524.84551917165</x:v>
      </x:c>
      <x:c r="K51" s="145" t="n">
        <x:f>((SUM((('Historical Inputs'!$N$9*(1+(D51))^1)*(('Assumptions'!E37+(E51))*(1-'Assumptions'!E42-(0))+'Assumptions'!E47-'Assumptions'!E52*(F51)+'Assumptions'!E57-'Assumptions'!E62*(1)-'Assumptions'!E67-(0))+('Working Capital'!$E$6))*'DCF'!E12/(1+(G51))^'DCF'!E13,(('Historical Inputs'!$N$9*(1+(D51))^2)*(('Assumptions'!F37+(E51))*(1-'Assumptions'!F42-(0))+'Assumptions'!F47-'Assumptions'!F52*(F51)+'Assumptions'!F57-'Assumptions'!F62*(1)-'Assumptions'!F67-(0))+(('Historical Inputs'!$N$9*(1+(D51))^1)*('Assumptions'!E67+(0))))*'DCF'!F12/(1+(G51))^'DCF'!F13,(('Historical Inputs'!$N$9*(1+(D51))^3)*(('Assumptions'!G37+(E51))*(1-'Assumptions'!G42-(0))+'Assumptions'!G47-'Assumptions'!G52*(F51)+'Assumptions'!G57-'Assumptions'!G62*(1)-'Assumptions'!G67-(0))+(('Historical Inputs'!$N$9*(1+(D51))^2)*('Assumptions'!F67+(0))))*'DCF'!G12/(1+(G51))^'DCF'!G13,(('Historical Inputs'!$N$9*(1+(D51))^4)*(('Assumptions'!H37+(E51))*(1-'Assumptions'!H42-(0))+'Assumptions'!H47-'Assumptions'!H52*(F51)+'Assumptions'!H57-'Assumptions'!H62*(1)-'Assumptions'!H67-(0))+(('Historical Inputs'!$N$9*(1+(D51))^3)*('Assumptions'!G67+(0))))*'DCF'!H12/(1+(G51))^'DCF'!H13,(('Historical Inputs'!$N$9*(1+(D51))^5)*(('Assumptions'!I37+(E51))*(1-'Assumptions'!I42-(0))+'Assumptions'!I47-'Assumptions'!I52*(F51)+'Assumptions'!I57-'Assumptions'!I62*(1)-'Assumptions'!I67-(0))+(('Historical Inputs'!$N$9*(1+(D51))^4)*('Assumptions'!H67+(0))))*'DCF'!I12/(1+(G51))^'DCF'!I13)+('Historical Inputs'!$N$9*(1+(D51))^5)*(1+(H51))*('Terminal Value'!$E$10+(E51))*(1-'Assumptions'!$E$15-(0))*(1-(H51)/('Terminal Value'!$E$12))/((G51)-(H51))/(1+(G51))^'DCF'!$E$19)+'Equity Bridge'!$E$17)/'Equity Bridge'!$E$20</x:f>
        <x:v>242.43508291057597</x:v>
      </x:c>
      <x:c r="L51" s="136"/>
      <x:c r="M51" s="136"/>
      <x:c r="N51" s="136"/>
      <x:c r="O51" s="136"/>
      <x:c r="P51" s="136"/>
      <x:c r="Q51" s="136"/>
      <x:c r="R51" s="136"/>
      <x:c r="S51" s="136"/>
      <x:c r="T51" s="136"/>
      <x:c r="U51" s="136"/>
      <x:c r="V51" s="136"/>
      <x:c r="W51" s="136"/>
      <x:c r="X51" s="240" t="n">
        <x:v>0.4106579683467372</x:v>
      </x:c>
      <x:c r="Y51" s="240" t="n">
        <x:v>0.140262753062391</x:v>
      </x:c>
      <x:c r="Z51" s="240" t="n">
        <x:v>0.7545314075060845</x:v>
      </x:c>
      <x:c r="AA51" s="255" t="n">
        <x:v>0.750799526006302</x:v>
      </x:c>
      <x:c r="AB51" s="255" t="n">
        <x:v>0.6032292196448197</x:v>
      </x:c>
    </x:row>
    <x:row r="52" ht="24" customHeight="1">
      <x:c r="A52" s="136"/>
      <x:c r="B52" s="136"/>
      <x:c r="C52" s="136" t="n">
        <x:f>21</x:f>
        <x:v>21</x:v>
      </x:c>
      <x:c r="D52" s="162" t="n">
        <x:f>IF(X52&lt;($E$12-$D$12)/($F$12-$D$12),$D$12+SQRT(X52*($F$12-$D$12)*($E$12-$D$12)),$F$12-SQRT((1-X52)*($F$12-$D$12)*($F$12-$E$12)))</x:f>
        <x:v>0.14244367417493736</x:v>
      </x:c>
      <x:c r="E52" s="162" t="n">
        <x:f>IF(Y52&lt;($E$13-$D$13)/($F$13-$D$13),$D$13+SQRT(Y52*($F$13-$D$13)*($E$13-$D$13)),$F$13-SQRT((1-Y52)*($F$13-$D$13)*($F$13-$E$13)))</x:f>
        <x:v>0.03180083249877641</x:v>
      </x:c>
      <x:c r="F52" s="222" t="n">
        <x:f>IF(Z52&lt;($E$14-$D$14)/($F$14-$D$14),$D$14+SQRT(Z52*($F$14-$D$14)*($E$14-$D$14)),$F$14-SQRT((1-Z52)*($F$14-$D$14)*($F$14-$E$14)))</x:f>
        <x:v>0.9916018861627105</x:v>
      </x:c>
      <x:c r="G52" s="162" t="n">
        <x:f>IF(AA52&lt;($E$15-$D$15)/($F$15-$D$15),$D$15+SQRT(AA52*($F$15-$D$15)*($E$15-$D$15)),$F$15-SQRT((1-AA52)*($F$15-$D$15)*($F$15-$E$15)))</x:f>
        <x:v>0.1032293505779362</x:v>
      </x:c>
      <x:c r="H52" s="162" t="n">
        <x:f>IF(AB52&lt;($E$16-$D$16)/($F$16-$D$16),$D$16+SQRT(AB52*($F$16-$D$16)*($E$16-$D$16)),$F$16-SQRT((1-AB52)*($F$16-$D$16)*($F$16-$E$16)))</x:f>
        <x:v>0.029968473625308537</x:v>
      </x:c>
      <x:c r="I52" s="164" t="n">
        <x:f>'Historical Inputs'!$N$9*(1+D52)^5</x:f>
        <x:v>645805.0137199513</x:v>
      </x:c>
      <x:c r="J52" s="164" t="n">
        <x:f>I52*(1+H52)*('Terminal Value'!$E$10+E52)*(1-'Assumptions'!$E$15)*(1-H52/'Terminal Value'!$E$12)</x:f>
        <x:v>195343.18481496884</x:v>
      </x:c>
      <x:c r="K52" s="145" t="n">
        <x:f>((SUM((('Historical Inputs'!$N$9*(1+(D52))^1)*(('Assumptions'!E37+(E52))*(1-'Assumptions'!E42-(0))+'Assumptions'!E47-'Assumptions'!E52*(F52)+'Assumptions'!E57-'Assumptions'!E62*(1)-'Assumptions'!E67-(0))+('Working Capital'!$E$6))*'DCF'!E12/(1+(G52))^'DCF'!E13,(('Historical Inputs'!$N$9*(1+(D52))^2)*(('Assumptions'!F37+(E52))*(1-'Assumptions'!F42-(0))+'Assumptions'!F47-'Assumptions'!F52*(F52)+'Assumptions'!F57-'Assumptions'!F62*(1)-'Assumptions'!F67-(0))+(('Historical Inputs'!$N$9*(1+(D52))^1)*('Assumptions'!E67+(0))))*'DCF'!F12/(1+(G52))^'DCF'!F13,(('Historical Inputs'!$N$9*(1+(D52))^3)*(('Assumptions'!G37+(E52))*(1-'Assumptions'!G42-(0))+'Assumptions'!G47-'Assumptions'!G52*(F52)+'Assumptions'!G57-'Assumptions'!G62*(1)-'Assumptions'!G67-(0))+(('Historical Inputs'!$N$9*(1+(D52))^2)*('Assumptions'!F67+(0))))*'DCF'!G12/(1+(G52))^'DCF'!G13,(('Historical Inputs'!$N$9*(1+(D52))^4)*(('Assumptions'!H37+(E52))*(1-'Assumptions'!H42-(0))+'Assumptions'!H47-'Assumptions'!H52*(F52)+'Assumptions'!H57-'Assumptions'!H62*(1)-'Assumptions'!H67-(0))+(('Historical Inputs'!$N$9*(1+(D52))^3)*('Assumptions'!G67+(0))))*'DCF'!H12/(1+(G52))^'DCF'!H13,(('Historical Inputs'!$N$9*(1+(D52))^5)*(('Assumptions'!I37+(E52))*(1-'Assumptions'!I42-(0))+'Assumptions'!I47-'Assumptions'!I52*(F52)+'Assumptions'!I57-'Assumptions'!I62*(1)-'Assumptions'!I67-(0))+(('Historical Inputs'!$N$9*(1+(D52))^4)*('Assumptions'!H67+(0))))*'DCF'!I12/(1+(G52))^'DCF'!I13)+('Historical Inputs'!$N$9*(1+(D52))^5)*(1+(H52))*('Terminal Value'!$E$10+(E52))*(1-'Assumptions'!$E$15-(0))*(1-(H52)/('Terminal Value'!$E$12))/((G52)-(H52))/(1+(G52))^'DCF'!$E$19)+'Equity Bridge'!$E$17)/'Equity Bridge'!$E$20</x:f>
        <x:v>286.768223733749</x:v>
      </x:c>
      <x:c r="L52" s="136"/>
      <x:c r="M52" s="136"/>
      <x:c r="N52" s="136"/>
      <x:c r="O52" s="136"/>
      <x:c r="P52" s="136"/>
      <x:c r="Q52" s="136"/>
      <x:c r="R52" s="136"/>
      <x:c r="S52" s="136"/>
      <x:c r="T52" s="136"/>
      <x:c r="U52" s="136"/>
      <x:c r="V52" s="136"/>
      <x:c r="W52" s="136"/>
      <x:c r="X52" s="240" t="n">
        <x:v>0.4838653538579163</x:v>
      </x:c>
      <x:c r="Y52" s="240" t="n">
        <x:v>0.9337580604524814</x:v>
      </x:c>
      <x:c r="Z52" s="240" t="n">
        <x:v>0.38192560313975676</x:v>
      </x:c>
      <x:c r="AA52" s="255" t="n">
        <x:v>0.7817149068195053</x:v>
      </x:c>
      <x:c r="AB52" s="255" t="n">
        <x:v>0.49685233209235946</x:v>
      </x:c>
    </x:row>
    <x:row r="53" ht="24" customHeight="1">
      <x:c r="A53" s="136"/>
      <x:c r="B53" s="136"/>
      <x:c r="C53" s="136" t="n">
        <x:f>22</x:f>
        <x:v>22</x:v>
      </x:c>
      <x:c r="D53" s="162" t="n">
        <x:f>IF(X53&lt;($E$12-$D$12)/($F$12-$D$12),$D$12+SQRT(X53*($F$12-$D$12)*($E$12-$D$12)),$F$12-SQRT((1-X53)*($F$12-$D$12)*($F$12-$E$12)))</x:f>
        <x:v>0.10782653937138478</x:v>
      </x:c>
      <x:c r="E53" s="162" t="n">
        <x:f>IF(Y53&lt;($E$13-$D$13)/($F$13-$D$13),$D$13+SQRT(Y53*($F$13-$D$13)*($E$13-$D$13)),$F$13-SQRT((1-Y53)*($F$13-$D$13)*($F$13-$E$13)))</x:f>
        <x:v>-0.012342915151884362</x:v>
      </x:c>
      <x:c r="F53" s="222" t="n">
        <x:f>IF(Z53&lt;($E$14-$D$14)/($F$14-$D$14),$D$14+SQRT(Z53*($F$14-$D$14)*($E$14-$D$14)),$F$14-SQRT((1-Z53)*($F$14-$D$14)*($F$14-$E$14)))</x:f>
        <x:v>1.107035069140522</x:v>
      </x:c>
      <x:c r="G53" s="162" t="n">
        <x:f>IF(AA53&lt;($E$15-$D$15)/($F$15-$D$15),$D$15+SQRT(AA53*($F$15-$D$15)*($E$15-$D$15)),$F$15-SQRT((1-AA53)*($F$15-$D$15)*($F$15-$E$15)))</x:f>
        <x:v>0.094857026989624</x:v>
      </x:c>
      <x:c r="H53" s="162" t="n">
        <x:f>IF(AB53&lt;($E$16-$D$16)/($F$16-$D$16),$D$16+SQRT(AB53*($F$16-$D$16)*($E$16-$D$16)),$F$16-SQRT((1-AB53)*($F$16-$D$16)*($F$16-$E$16)))</x:f>
        <x:v>0.02722429415560543</x:v>
      </x:c>
      <x:c r="I53" s="164" t="n">
        <x:f>'Historical Inputs'!$N$9*(1+D53)^5</x:f>
        <x:v>553714.9520313465</x:v>
      </x:c>
      <x:c r="J53" s="164" t="n">
        <x:f>I53*(1+H53)*('Terminal Value'!$E$10+E53)*(1-'Assumptions'!$E$15)*(1-H53/'Terminal Value'!$E$12)</x:f>
        <x:v>152384.8969868529</x:v>
      </x:c>
      <x:c r="K53" s="145" t="n">
        <x:f>((SUM((('Historical Inputs'!$N$9*(1+(D53))^1)*(('Assumptions'!E37+(E53))*(1-'Assumptions'!E42-(0))+'Assumptions'!E47-'Assumptions'!E52*(F53)+'Assumptions'!E57-'Assumptions'!E62*(1)-'Assumptions'!E67-(0))+('Working Capital'!$E$6))*'DCF'!E12/(1+(G53))^'DCF'!E13,(('Historical Inputs'!$N$9*(1+(D53))^2)*(('Assumptions'!F37+(E53))*(1-'Assumptions'!F42-(0))+'Assumptions'!F47-'Assumptions'!F52*(F53)+'Assumptions'!F57-'Assumptions'!F62*(1)-'Assumptions'!F67-(0))+(('Historical Inputs'!$N$9*(1+(D53))^1)*('Assumptions'!E67+(0))))*'DCF'!F12/(1+(G53))^'DCF'!F13,(('Historical Inputs'!$N$9*(1+(D53))^3)*(('Assumptions'!G37+(E53))*(1-'Assumptions'!G42-(0))+'Assumptions'!G47-'Assumptions'!G52*(F53)+'Assumptions'!G57-'Assumptions'!G62*(1)-'Assumptions'!G67-(0))+(('Historical Inputs'!$N$9*(1+(D53))^2)*('Assumptions'!F67+(0))))*'DCF'!G12/(1+(G53))^'DCF'!G13,(('Historical Inputs'!$N$9*(1+(D53))^4)*(('Assumptions'!H37+(E53))*(1-'Assumptions'!H42-(0))+'Assumptions'!H47-'Assumptions'!H52*(F53)+'Assumptions'!H57-'Assumptions'!H62*(1)-'Assumptions'!H67-(0))+(('Historical Inputs'!$N$9*(1+(D53))^3)*('Assumptions'!G67+(0))))*'DCF'!H12/(1+(G53))^'DCF'!H13,(('Historical Inputs'!$N$9*(1+(D53))^5)*(('Assumptions'!I37+(E53))*(1-'Assumptions'!I42-(0))+'Assumptions'!I47-'Assumptions'!I52*(F53)+'Assumptions'!I57-'Assumptions'!I62*(1)-'Assumptions'!I67-(0))+(('Historical Inputs'!$N$9*(1+(D53))^4)*('Assumptions'!H67+(0))))*'DCF'!I12/(1+(G53))^'DCF'!I13)+('Historical Inputs'!$N$9*(1+(D53))^5)*(1+(H53))*('Terminal Value'!$E$10+(E53))*(1-'Assumptions'!$E$15-(0))*(1-(H53)/('Terminal Value'!$E$12))/((G53)-(H53))/(1+(G53))^'DCF'!$E$19)+'Equity Bridge'!$E$17)/'Equity Bridge'!$E$20</x:f>
        <x:v>238.6381409072283</x:v>
      </x:c>
      <x:c r="L53" s="136"/>
      <x:c r="M53" s="136"/>
      <x:c r="N53" s="136"/>
      <x:c r="O53" s="136"/>
      <x:c r="P53" s="136"/>
      <x:c r="Q53" s="136"/>
      <x:c r="R53" s="136"/>
      <x:c r="S53" s="136"/>
      <x:c r="T53" s="136"/>
      <x:c r="U53" s="136"/>
      <x:c r="V53" s="136"/>
      <x:c r="W53" s="136"/>
      <x:c r="X53" s="240" t="n">
        <x:v>0.042454168300720685</x:v>
      </x:c>
      <x:c r="Y53" s="240" t="n">
        <x:v>0.28361120785163607</x:v>
      </x:c>
      <x:c r="Z53" s="240" t="n">
        <x:v>0.8765360232898927</x:v>
      </x:c>
      <x:c r="AA53" s="255" t="n">
        <x:v>0.30506681694690796</x:v>
      </x:c>
      <x:c r="AB53" s="255" t="n">
        <x:v>0.260952130233574</x:v>
      </x:c>
    </x:row>
    <x:row r="54" ht="24" customHeight="1">
      <x:c r="A54" s="136"/>
      <x:c r="B54" s="136"/>
      <x:c r="C54" s="136" t="n">
        <x:f>23</x:f>
        <x:v>23</x:v>
      </x:c>
      <x:c r="D54" s="162" t="n">
        <x:f>IF(X54&lt;($E$12-$D$12)/($F$12-$D$12),$D$12+SQRT(X54*($F$12-$D$12)*($E$12-$D$12)),$F$12-SQRT((1-X54)*($F$12-$D$12)*($F$12-$E$12)))</x:f>
        <x:v>0.17240201003754269</x:v>
      </x:c>
      <x:c r="E54" s="162" t="n">
        <x:f>IF(Y54&lt;($E$13-$D$13)/($F$13-$D$13),$D$13+SQRT(Y54*($F$13-$D$13)*($E$13-$D$13)),$F$13-SQRT((1-Y54)*($F$13-$D$13)*($F$13-$E$13)))</x:f>
        <x:v>-0.009449752007079586</x:v>
      </x:c>
      <x:c r="F54" s="222" t="n">
        <x:f>IF(Z54&lt;($E$14-$D$14)/($F$14-$D$14),$D$14+SQRT(Z54*($F$14-$D$14)*($E$14-$D$14)),$F$14-SQRT((1-Z54)*($F$14-$D$14)*($F$14-$E$14)))</x:f>
        <x:v>1.0020288872941754</x:v>
      </x:c>
      <x:c r="G54" s="162" t="n">
        <x:f>IF(AA54&lt;($E$15-$D$15)/($F$15-$D$15),$D$15+SQRT(AA54*($F$15-$D$15)*($E$15-$D$15)),$F$15-SQRT((1-AA54)*($F$15-$D$15)*($F$15-$E$15)))</x:f>
        <x:v>0.09707620829980851</x:v>
      </x:c>
      <x:c r="H54" s="162" t="n">
        <x:f>IF(AB54&lt;($E$16-$D$16)/($F$16-$D$16),$D$16+SQRT(AB54*($F$16-$D$16)*($E$16-$D$16)),$F$16-SQRT((1-AB54)*($F$16-$D$16)*($F$16-$E$16)))</x:f>
        <x:v>0.03273964660649118</x:v>
      </x:c>
      <x:c r="I54" s="164" t="n">
        <x:f>'Historical Inputs'!$N$9*(1+D54)^5</x:f>
        <x:v>735038.686941037</x:v>
      </x:c>
      <x:c r="J54" s="164" t="n">
        <x:f>I54*(1+H54)*('Terminal Value'!$E$10+E54)*(1-'Assumptions'!$E$15)*(1-H54/'Terminal Value'!$E$12)</x:f>
        <x:v>198349.43456829723</x:v>
      </x:c>
      <x:c r="K54" s="145" t="n">
        <x:f>((SUM((('Historical Inputs'!$N$9*(1+(D54))^1)*(('Assumptions'!E37+(E54))*(1-'Assumptions'!E42-(0))+'Assumptions'!E47-'Assumptions'!E52*(F54)+'Assumptions'!E57-'Assumptions'!E62*(1)-'Assumptions'!E67-(0))+('Working Capital'!$E$6))*'DCF'!E12/(1+(G54))^'DCF'!E13,(('Historical Inputs'!$N$9*(1+(D54))^2)*(('Assumptions'!F37+(E54))*(1-'Assumptions'!F42-(0))+'Assumptions'!F47-'Assumptions'!F52*(F54)+'Assumptions'!F57-'Assumptions'!F62*(1)-'Assumptions'!F67-(0))+(('Historical Inputs'!$N$9*(1+(D54))^1)*('Assumptions'!E67+(0))))*'DCF'!F12/(1+(G54))^'DCF'!F13,(('Historical Inputs'!$N$9*(1+(D54))^3)*(('Assumptions'!G37+(E54))*(1-'Assumptions'!G42-(0))+'Assumptions'!G47-'Assumptions'!G52*(F54)+'Assumptions'!G57-'Assumptions'!G62*(1)-'Assumptions'!G67-(0))+(('Historical Inputs'!$N$9*(1+(D54))^2)*('Assumptions'!F67+(0))))*'DCF'!G12/(1+(G54))^'DCF'!G13,(('Historical Inputs'!$N$9*(1+(D54))^4)*(('Assumptions'!H37+(E54))*(1-'Assumptions'!H42-(0))+'Assumptions'!H47-'Assumptions'!H52*(F54)+'Assumptions'!H57-'Assumptions'!H62*(1)-'Assumptions'!H67-(0))+(('Historical Inputs'!$N$9*(1+(D54))^3)*('Assumptions'!G67+(0))))*'DCF'!H12/(1+(G54))^'DCF'!H13,(('Historical Inputs'!$N$9*(1+(D54))^5)*(('Assumptions'!I37+(E54))*(1-'Assumptions'!I42-(0))+'Assumptions'!I47-'Assumptions'!I52*(F54)+'Assumptions'!I57-'Assumptions'!I62*(1)-'Assumptions'!I67-(0))+(('Historical Inputs'!$N$9*(1+(D54))^4)*('Assumptions'!H67+(0))))*'DCF'!I12/(1+(G54))^'DCF'!I13)+('Historical Inputs'!$N$9*(1+(D54))^5)*(1+(H54))*('Terminal Value'!$E$10+(E54))*(1-'Assumptions'!$E$15-(0))*(1-(H54)/('Terminal Value'!$E$12))/((G54)-(H54))/(1+(G54))^'DCF'!$E$19)+'Equity Bridge'!$E$17)/'Equity Bridge'!$E$20</x:f>
        <x:v>326.11649902358636</x:v>
      </x:c>
      <x:c r="L54" s="136"/>
      <x:c r="M54" s="136"/>
      <x:c r="N54" s="136"/>
      <x:c r="O54" s="136"/>
      <x:c r="P54" s="136"/>
      <x:c r="Q54" s="136"/>
      <x:c r="R54" s="136"/>
      <x:c r="S54" s="136"/>
      <x:c r="T54" s="136"/>
      <x:c r="U54" s="136"/>
      <x:c r="V54" s="136"/>
      <x:c r="W54" s="136"/>
      <x:c r="X54" s="240" t="n">
        <x:v>0.9130136966601827</x:v>
      </x:c>
      <x:c r="Y54" s="240" t="n">
        <x:v>0.3288645224574692</x:v>
      </x:c>
      <x:c r="Z54" s="240" t="n">
        <x:v>0.4401062647716808</x:v>
      </x:c>
      <x:c r="AA54" s="255" t="n">
        <x:v>0.43157246417487816</x:v>
      </x:c>
      <x:c r="AB54" s="255" t="n">
        <x:v>0.7364363430068248</x:v>
      </x:c>
    </x:row>
    <x:row r="55" ht="24" customHeight="1">
      <x:c r="A55" s="136"/>
      <x:c r="B55" s="136"/>
      <x:c r="C55" s="136" t="n">
        <x:f>24</x:f>
        <x:v>24</x:v>
      </x:c>
      <x:c r="D55" s="162" t="n">
        <x:f>IF(X55&lt;($E$12-$D$12)/($F$12-$D$12),$D$12+SQRT(X55*($F$12-$D$12)*($E$12-$D$12)),$F$12-SQRT((1-X55)*($F$12-$D$12)*($F$12-$E$12)))</x:f>
        <x:v>0.1556174392220564</x:v>
      </x:c>
      <x:c r="E55" s="162" t="n">
        <x:f>IF(Y55&lt;($E$13-$D$13)/($F$13-$D$13),$D$13+SQRT(Y55*($F$13-$D$13)*($E$13-$D$13)),$F$13-SQRT((1-Y55)*($F$13-$D$13)*($F$13-$E$13)))</x:f>
        <x:v>-0.020972066609605683</x:v>
      </x:c>
      <x:c r="F55" s="222" t="n">
        <x:f>IF(Z55&lt;($E$14-$D$14)/($F$14-$D$14),$D$14+SQRT(Z55*($F$14-$D$14)*($E$14-$D$14)),$F$14-SQRT((1-Z55)*($F$14-$D$14)*($F$14-$E$14)))</x:f>
        <x:v>0.9193432160216053</x:v>
      </x:c>
      <x:c r="G55" s="162" t="n">
        <x:f>IF(AA55&lt;($E$15-$D$15)/($F$15-$D$15),$D$15+SQRT(AA55*($F$15-$D$15)*($E$15-$D$15)),$F$15-SQRT((1-AA55)*($F$15-$D$15)*($F$15-$E$15)))</x:f>
        <x:v>0.09599126636242504</x:v>
      </x:c>
      <x:c r="H55" s="162" t="n">
        <x:f>IF(AB55&lt;($E$16-$D$16)/($F$16-$D$16),$D$16+SQRT(AB55*($F$16-$D$16)*($E$16-$D$16)),$F$16-SQRT((1-AB55)*($F$16-$D$16)*($F$16-$E$16)))</x:f>
        <x:v>0.028090664517136477</x:v>
      </x:c>
      <x:c r="I55" s="164" t="n">
        <x:f>'Historical Inputs'!$N$9*(1+D55)^5</x:f>
        <x:v>683908.279468461</x:v>
      </x:c>
      <x:c r="J55" s="164" t="n">
        <x:f>I55*(1+H55)*('Terminal Value'!$E$10+E55)*(1-'Assumptions'!$E$15)*(1-H55/'Terminal Value'!$E$12)</x:f>
        <x:v>183256.73615013703</x:v>
      </x:c>
      <x:c r="K55" s="145" t="n">
        <x:f>((SUM((('Historical Inputs'!$N$9*(1+(D55))^1)*(('Assumptions'!E37+(E55))*(1-'Assumptions'!E42-(0))+'Assumptions'!E47-'Assumptions'!E52*(F55)+'Assumptions'!E57-'Assumptions'!E62*(1)-'Assumptions'!E67-(0))+('Working Capital'!$E$6))*'DCF'!E12/(1+(G55))^'DCF'!E13,(('Historical Inputs'!$N$9*(1+(D55))^2)*(('Assumptions'!F37+(E55))*(1-'Assumptions'!F42-(0))+'Assumptions'!F47-'Assumptions'!F52*(F55)+'Assumptions'!F57-'Assumptions'!F62*(1)-'Assumptions'!F67-(0))+(('Historical Inputs'!$N$9*(1+(D55))^1)*('Assumptions'!E67+(0))))*'DCF'!F12/(1+(G55))^'DCF'!F13,(('Historical Inputs'!$N$9*(1+(D55))^3)*(('Assumptions'!G37+(E55))*(1-'Assumptions'!G42-(0))+'Assumptions'!G47-'Assumptions'!G52*(F55)+'Assumptions'!G57-'Assumptions'!G62*(1)-'Assumptions'!G67-(0))+(('Historical Inputs'!$N$9*(1+(D55))^2)*('Assumptions'!F67+(0))))*'DCF'!G12/(1+(G55))^'DCF'!G13,(('Historical Inputs'!$N$9*(1+(D55))^4)*(('Assumptions'!H37+(E55))*(1-'Assumptions'!H42-(0))+'Assumptions'!H47-'Assumptions'!H52*(F55)+'Assumptions'!H57-'Assumptions'!H62*(1)-'Assumptions'!H67-(0))+(('Historical Inputs'!$N$9*(1+(D55))^3)*('Assumptions'!G67+(0))))*'DCF'!H12/(1+(G55))^'DCF'!H13,(('Historical Inputs'!$N$9*(1+(D55))^5)*(('Assumptions'!I37+(E55))*(1-'Assumptions'!I42-(0))+'Assumptions'!I47-'Assumptions'!I52*(F55)+'Assumptions'!I57-'Assumptions'!I62*(1)-'Assumptions'!I67-(0))+(('Historical Inputs'!$N$9*(1+(D55))^4)*('Assumptions'!H67+(0))))*'DCF'!I12/(1+(G55))^'DCF'!I13)+('Historical Inputs'!$N$9*(1+(D55))^5)*(1+(H55))*('Terminal Value'!$E$10+(E55))*(1-'Assumptions'!$E$15-(0))*(1-(H55)/('Terminal Value'!$E$12))/((G55)-(H55))/(1+(G55))^'DCF'!$E$19)+'Equity Bridge'!$E$17)/'Equity Bridge'!$E$20</x:f>
        <x:v>294.026367471488</x:v>
      </x:c>
      <x:c r="L55" s="136"/>
      <x:c r="M55" s="136"/>
      <x:c r="N55" s="136"/>
      <x:c r="O55" s="136"/>
      <x:c r="P55" s="136"/>
      <x:c r="Q55" s="136"/>
      <x:c r="R55" s="136"/>
      <x:c r="S55" s="136"/>
      <x:c r="T55" s="136"/>
      <x:c r="U55" s="136"/>
      <x:c r="V55" s="136"/>
      <x:c r="W55" s="136"/>
      <x:c r="X55" s="240" t="n">
        <x:v>0.7166523642793173</x:v>
      </x:c>
      <x:c r="Y55" s="240" t="n">
        <x:v>0.1685241833834339</x:v>
      </x:c>
      <x:c r="Z55" s="240" t="n">
        <x:v>0.09159012587083859</x:v>
      </x:c>
      <x:c r="AA55" s="255" t="n">
        <x:v>0.3669901234215205</x:v>
      </x:c>
      <x:c r="AB55" s="255" t="n">
        <x:v>0.32729426164425623</x:v>
      </x:c>
    </x:row>
    <x:row r="56" ht="24" customHeight="1">
      <x:c r="A56" s="136"/>
      <x:c r="B56" s="136"/>
      <x:c r="C56" s="136" t="n">
        <x:f>25</x:f>
        <x:v>25</x:v>
      </x:c>
      <x:c r="D56" s="162" t="n">
        <x:f>IF(X56&lt;($E$12-$D$12)/($F$12-$D$12),$D$12+SQRT(X56*($F$12-$D$12)*($E$12-$D$12)),$F$12-SQRT((1-X56)*($F$12-$D$12)*($F$12-$E$12)))</x:f>
        <x:v>0.14542775821753243</x:v>
      </x:c>
      <x:c r="E56" s="162" t="n">
        <x:f>IF(Y56&lt;($E$13-$D$13)/($F$13-$D$13),$D$13+SQRT(Y56*($F$13-$D$13)*($E$13-$D$13)),$F$13-SQRT((1-Y56)*($F$13-$D$13)*($F$13-$E$13)))</x:f>
        <x:v>-0.024083871993415773</x:v>
      </x:c>
      <x:c r="F56" s="222" t="n">
        <x:f>IF(Z56&lt;($E$14-$D$14)/($F$14-$D$14),$D$14+SQRT(Z56*($F$14-$D$14)*($E$14-$D$14)),$F$14-SQRT((1-Z56)*($F$14-$D$14)*($F$14-$E$14)))</x:f>
        <x:v>1.1008326535735158</x:v>
      </x:c>
      <x:c r="G56" s="162" t="n">
        <x:f>IF(AA56&lt;($E$15-$D$15)/($F$15-$D$15),$D$15+SQRT(AA56*($F$15-$D$15)*($E$15-$D$15)),$F$15-SQRT((1-AA56)*($F$15-$D$15)*($F$15-$E$15)))</x:f>
        <x:v>0.09886599950198552</x:v>
      </x:c>
      <x:c r="H56" s="162" t="n">
        <x:f>IF(AB56&lt;($E$16-$D$16)/($F$16-$D$16),$D$16+SQRT(AB56*($F$16-$D$16)*($E$16-$D$16)),$F$16-SQRT((1-AB56)*($F$16-$D$16)*($F$16-$E$16)))</x:f>
        <x:v>0.032350818092417064</x:v>
      </x:c>
      <x:c r="I56" s="164" t="n">
        <x:f>'Historical Inputs'!$N$9*(1+D56)^5</x:f>
        <x:v>654283.4632168071</x:v>
      </x:c>
      <x:c r="J56" s="164" t="n">
        <x:f>I56*(1+H56)*('Terminal Value'!$E$10+E56)*(1-'Assumptions'!$E$15)*(1-H56/'Terminal Value'!$E$12)</x:f>
        <x:v>170272.9415091694</x:v>
      </x:c>
      <x:c r="K56" s="145" t="n">
        <x:f>((SUM((('Historical Inputs'!$N$9*(1+(D56))^1)*(('Assumptions'!E37+(E56))*(1-'Assumptions'!E42-(0))+'Assumptions'!E47-'Assumptions'!E52*(F56)+'Assumptions'!E57-'Assumptions'!E62*(1)-'Assumptions'!E67-(0))+('Working Capital'!$E$6))*'DCF'!E12/(1+(G56))^'DCF'!E13,(('Historical Inputs'!$N$9*(1+(D56))^2)*(('Assumptions'!F37+(E56))*(1-'Assumptions'!F42-(0))+'Assumptions'!F47-'Assumptions'!F52*(F56)+'Assumptions'!F57-'Assumptions'!F62*(1)-'Assumptions'!F67-(0))+(('Historical Inputs'!$N$9*(1+(D56))^1)*('Assumptions'!E67+(0))))*'DCF'!F12/(1+(G56))^'DCF'!F13,(('Historical Inputs'!$N$9*(1+(D56))^3)*(('Assumptions'!G37+(E56))*(1-'Assumptions'!G42-(0))+'Assumptions'!G47-'Assumptions'!G52*(F56)+'Assumptions'!G57-'Assumptions'!G62*(1)-'Assumptions'!G67-(0))+(('Historical Inputs'!$N$9*(1+(D56))^2)*('Assumptions'!F67+(0))))*'DCF'!G12/(1+(G56))^'DCF'!G13,(('Historical Inputs'!$N$9*(1+(D56))^4)*(('Assumptions'!H37+(E56))*(1-'Assumptions'!H42-(0))+'Assumptions'!H47-'Assumptions'!H52*(F56)+'Assumptions'!H57-'Assumptions'!H62*(1)-'Assumptions'!H67-(0))+(('Historical Inputs'!$N$9*(1+(D56))^3)*('Assumptions'!G67+(0))))*'DCF'!H12/(1+(G56))^'DCF'!H13,(('Historical Inputs'!$N$9*(1+(D56))^5)*(('Assumptions'!I37+(E56))*(1-'Assumptions'!I42-(0))+'Assumptions'!I47-'Assumptions'!I52*(F56)+'Assumptions'!I57-'Assumptions'!I62*(1)-'Assumptions'!I67-(0))+(('Historical Inputs'!$N$9*(1+(D56))^4)*('Assumptions'!H67+(0))))*'DCF'!I12/(1+(G56))^'DCF'!I13)+('Historical Inputs'!$N$9*(1+(D56))^5)*(1+(H56))*('Terminal Value'!$E$10+(E56))*(1-'Assumptions'!$E$15-(0))*(1-(H56)/('Terminal Value'!$E$12))/((G56)-(H56))/(1+(G56))^'DCF'!$E$19)+'Equity Bridge'!$E$17)/'Equity Bridge'!$E$20</x:f>
        <x:v>264.65848943786295</x:v>
      </x:c>
      <x:c r="L56" s="136"/>
      <x:c r="M56" s="136"/>
      <x:c r="N56" s="136"/>
      <x:c r="O56" s="136"/>
      <x:c r="P56" s="136"/>
      <x:c r="Q56" s="136"/>
      <x:c r="R56" s="136"/>
      <x:c r="S56" s="136"/>
      <x:c r="T56" s="136"/>
      <x:c r="U56" s="136"/>
      <x:c r="V56" s="136"/>
      <x:c r="W56" s="136"/>
      <x:c r="X56" s="240" t="n">
        <x:v>0.5424723085332465</x:v>
      </x:c>
      <x:c r="Y56" s="240" t="n">
        <x:v>0.1343291381707319</x:v>
      </x:c>
      <x:c r="Z56" s="240" t="n">
        <x:v>0.8595119628961384</x:v>
      </x:c>
      <x:c r="AA56" s="255" t="n">
        <x:v>0.5472052602793764</x:v>
      </x:c>
      <x:c r="AB56" s="255" t="n">
        <x:v>0.7074500807235293</x:v>
      </x:c>
    </x:row>
    <x:row r="57" ht="24" customHeight="1">
      <x:c r="A57" s="136"/>
      <x:c r="B57" s="136"/>
      <x:c r="C57" s="136" t="n">
        <x:f>26</x:f>
        <x:v>26</x:v>
      </x:c>
      <x:c r="D57" s="162" t="n">
        <x:f>IF(X57&lt;($E$12-$D$12)/($F$12-$D$12),$D$12+SQRT(X57*($F$12-$D$12)*($E$12-$D$12)),$F$12-SQRT((1-X57)*($F$12-$D$12)*($F$12-$E$12)))</x:f>
        <x:v>0.1675396560967209</x:v>
      </x:c>
      <x:c r="E57" s="162" t="n">
        <x:f>IF(Y57&lt;($E$13-$D$13)/($F$13-$D$13),$D$13+SQRT(Y57*($F$13-$D$13)*($E$13-$D$13)),$F$13-SQRT((1-Y57)*($F$13-$D$13)*($F$13-$E$13)))</x:f>
        <x:v>-0.009349779211557378</x:v>
      </x:c>
      <x:c r="F57" s="222" t="n">
        <x:f>IF(Z57&lt;($E$14-$D$14)/($F$14-$D$14),$D$14+SQRT(Z57*($F$14-$D$14)*($E$14-$D$14)),$F$14-SQRT((1-Z57)*($F$14-$D$14)*($F$14-$E$14)))</x:f>
        <x:v>0.9099759984619061</x:v>
      </x:c>
      <x:c r="G57" s="162" t="n">
        <x:f>IF(AA57&lt;($E$15-$D$15)/($F$15-$D$15),$D$15+SQRT(AA57*($F$15-$D$15)*($E$15-$D$15)),$F$15-SQRT((1-AA57)*($F$15-$D$15)*($F$15-$E$15)))</x:f>
        <x:v>0.09042394325199665</x:v>
      </x:c>
      <x:c r="H57" s="162" t="n">
        <x:f>IF(AB57&lt;($E$16-$D$16)/($F$16-$D$16),$D$16+SQRT(AB57*($F$16-$D$16)*($E$16-$D$16)),$F$16-SQRT((1-AB57)*($F$16-$D$16)*($F$16-$E$16)))</x:f>
        <x:v>0.023485457565184213</x:v>
      </x:c>
      <x:c r="I57" s="164" t="n">
        <x:f>'Historical Inputs'!$N$9*(1+D57)^5</x:f>
        <x:v>719922.3038350975</x:v>
      </x:c>
      <x:c r="J57" s="164" t="n">
        <x:f>I57*(1+H57)*('Terminal Value'!$E$10+E57)*(1-'Assumptions'!$E$15)*(1-H57/'Terminal Value'!$E$12)</x:f>
        <x:v>203233.76444117745</x:v>
      </x:c>
      <x:c r="K57" s="145" t="n">
        <x:f>((SUM((('Historical Inputs'!$N$9*(1+(D57))^1)*(('Assumptions'!E37+(E57))*(1-'Assumptions'!E42-(0))+'Assumptions'!E47-'Assumptions'!E52*(F57)+'Assumptions'!E57-'Assumptions'!E62*(1)-'Assumptions'!E67-(0))+('Working Capital'!$E$6))*'DCF'!E12/(1+(G57))^'DCF'!E13,(('Historical Inputs'!$N$9*(1+(D57))^2)*(('Assumptions'!F37+(E57))*(1-'Assumptions'!F42-(0))+'Assumptions'!F47-'Assumptions'!F52*(F57)+'Assumptions'!F57-'Assumptions'!F62*(1)-'Assumptions'!F67-(0))+(('Historical Inputs'!$N$9*(1+(D57))^1)*('Assumptions'!E67+(0))))*'DCF'!F12/(1+(G57))^'DCF'!F13,(('Historical Inputs'!$N$9*(1+(D57))^3)*(('Assumptions'!G37+(E57))*(1-'Assumptions'!G42-(0))+'Assumptions'!G47-'Assumptions'!G52*(F57)+'Assumptions'!G57-'Assumptions'!G62*(1)-'Assumptions'!G67-(0))+(('Historical Inputs'!$N$9*(1+(D57))^2)*('Assumptions'!F67+(0))))*'DCF'!G12/(1+(G57))^'DCF'!G13,(('Historical Inputs'!$N$9*(1+(D57))^4)*(('Assumptions'!H37+(E57))*(1-'Assumptions'!H42-(0))+'Assumptions'!H47-'Assumptions'!H52*(F57)+'Assumptions'!H57-'Assumptions'!H62*(1)-'Assumptions'!H67-(0))+(('Historical Inputs'!$N$9*(1+(D57))^3)*('Assumptions'!G67+(0))))*'DCF'!H12/(1+(G57))^'DCF'!H13,(('Historical Inputs'!$N$9*(1+(D57))^5)*(('Assumptions'!I37+(E57))*(1-'Assumptions'!I42-(0))+'Assumptions'!I47-'Assumptions'!I52*(F57)+'Assumptions'!I57-'Assumptions'!I62*(1)-'Assumptions'!I67-(0))+(('Historical Inputs'!$N$9*(1+(D57))^4)*('Assumptions'!H67+(0))))*'DCF'!I12/(1+(G57))^'DCF'!I13)+('Historical Inputs'!$N$9*(1+(D57))^5)*(1+(H57))*('Terminal Value'!$E$10+(E57))*(1-'Assumptions'!$E$15-(0))*(1-(H57)/('Terminal Value'!$E$12))/((G57)-(H57))/(1+(G57))^'DCF'!$E$19)+'Equity Bridge'!$E$17)/'Equity Bridge'!$E$20</x:f>
        <x:v>336.2269201194527</x:v>
      </x:c>
      <x:c r="L57" s="136"/>
      <x:c r="M57" s="136"/>
      <x:c r="N57" s="136"/>
      <x:c r="O57" s="136"/>
      <x:c r="P57" s="136"/>
      <x:c r="Q57" s="136"/>
      <x:c r="R57" s="136"/>
      <x:c r="S57" s="136"/>
      <x:c r="T57" s="136"/>
      <x:c r="U57" s="136"/>
      <x:c r="V57" s="136"/>
      <x:c r="W57" s="136"/>
      <x:c r="X57" s="240" t="n">
        <x:v>0.8677234199887099</x:v>
      </x:c>
      <x:c r="Y57" s="240" t="n">
        <x:v>0.3304880900298266</x:v>
      </x:c>
      <x:c r="Z57" s="240" t="n">
        <x:v>0.06851657888576324</x:v>
      </x:c>
      <x:c r="AA57" s="255" t="n">
        <x:v>0.11788988809983325</x:v>
      </x:c>
      <x:c r="AB57" s="255" t="n">
        <x:v>0.060742072193499363</x:v>
      </x:c>
    </x:row>
    <x:row r="58" ht="24" customHeight="1">
      <x:c r="A58" s="136"/>
      <x:c r="B58" s="136"/>
      <x:c r="C58" s="136" t="n">
        <x:f>27</x:f>
        <x:v>27</x:v>
      </x:c>
      <x:c r="D58" s="162" t="n">
        <x:f>IF(X58&lt;($E$12-$D$12)/($F$12-$D$12),$D$12+SQRT(X58*($F$12-$D$12)*($E$12-$D$12)),$F$12-SQRT((1-X58)*($F$12-$D$12)*($F$12-$E$12)))</x:f>
        <x:v>0.12413282834666078</x:v>
      </x:c>
      <x:c r="E58" s="162" t="n">
        <x:f>IF(Y58&lt;($E$13-$D$13)/($F$13-$D$13),$D$13+SQRT(Y58*($F$13-$D$13)*($E$13-$D$13)),$F$13-SQRT((1-Y58)*($F$13-$D$13)*($F$13-$E$13)))</x:f>
        <x:v>0.03831741490774376</x:v>
      </x:c>
      <x:c r="F58" s="222" t="n">
        <x:f>IF(Z58&lt;($E$14-$D$14)/($F$14-$D$14),$D$14+SQRT(Z58*($F$14-$D$14)*($E$14-$D$14)),$F$14-SQRT((1-Z58)*($F$14-$D$14)*($F$14-$E$14)))</x:f>
        <x:v>1.0615725074442417</x:v>
      </x:c>
      <x:c r="G58" s="162" t="n">
        <x:f>IF(AA58&lt;($E$15-$D$15)/($F$15-$D$15),$D$15+SQRT(AA58*($F$15-$D$15)*($E$15-$D$15)),$F$15-SQRT((1-AA58)*($F$15-$D$15)*($F$15-$E$15)))</x:f>
        <x:v>0.1011818794655078</x:v>
      </x:c>
      <x:c r="H58" s="162" t="n">
        <x:f>IF(AB58&lt;($E$16-$D$16)/($F$16-$D$16),$D$16+SQRT(AB58*($F$16-$D$16)*($E$16-$D$16)),$F$16-SQRT((1-AB58)*($F$16-$D$16)*($F$16-$E$16)))</x:f>
        <x:v>0.034718693239458594</x:v>
      </x:c>
      <x:c r="I58" s="164" t="n">
        <x:f>'Historical Inputs'!$N$9*(1+D58)^5</x:f>
        <x:v>595683.5129063054</x:v>
      </x:c>
      <x:c r="J58" s="164" t="n">
        <x:f>I58*(1+H58)*('Terminal Value'!$E$10+E58)*(1-'Assumptions'!$E$15)*(1-H58/'Terminal Value'!$E$12)</x:f>
        <x:v>178611.87534740142</x:v>
      </x:c>
      <x:c r="K58" s="145" t="n">
        <x:f>((SUM((('Historical Inputs'!$N$9*(1+(D58))^1)*(('Assumptions'!E37+(E58))*(1-'Assumptions'!E42-(0))+'Assumptions'!E47-'Assumptions'!E52*(F58)+'Assumptions'!E57-'Assumptions'!E62*(1)-'Assumptions'!E67-(0))+('Working Capital'!$E$6))*'DCF'!E12/(1+(G58))^'DCF'!E13,(('Historical Inputs'!$N$9*(1+(D58))^2)*(('Assumptions'!F37+(E58))*(1-'Assumptions'!F42-(0))+'Assumptions'!F47-'Assumptions'!F52*(F58)+'Assumptions'!F57-'Assumptions'!F62*(1)-'Assumptions'!F67-(0))+(('Historical Inputs'!$N$9*(1+(D58))^1)*('Assumptions'!E67+(0))))*'DCF'!F12/(1+(G58))^'DCF'!F13,(('Historical Inputs'!$N$9*(1+(D58))^3)*(('Assumptions'!G37+(E58))*(1-'Assumptions'!G42-(0))+'Assumptions'!G47-'Assumptions'!G52*(F58)+'Assumptions'!G57-'Assumptions'!G62*(1)-'Assumptions'!G67-(0))+(('Historical Inputs'!$N$9*(1+(D58))^2)*('Assumptions'!F67+(0))))*'DCF'!G12/(1+(G58))^'DCF'!G13,(('Historical Inputs'!$N$9*(1+(D58))^4)*(('Assumptions'!H37+(E58))*(1-'Assumptions'!H42-(0))+'Assumptions'!H47-'Assumptions'!H52*(F58)+'Assumptions'!H57-'Assumptions'!H62*(1)-'Assumptions'!H67-(0))+(('Historical Inputs'!$N$9*(1+(D58))^3)*('Assumptions'!G67+(0))))*'DCF'!H12/(1+(G58))^'DCF'!H13,(('Historical Inputs'!$N$9*(1+(D58))^5)*(('Assumptions'!I37+(E58))*(1-'Assumptions'!I42-(0))+'Assumptions'!I47-'Assumptions'!I52*(F58)+'Assumptions'!I57-'Assumptions'!I62*(1)-'Assumptions'!I67-(0))+(('Historical Inputs'!$N$9*(1+(D58))^4)*('Assumptions'!H67+(0))))*'DCF'!I12/(1+(G58))^'DCF'!I13)+('Historical Inputs'!$N$9*(1+(D58))^5)*(1+(H58))*('Terminal Value'!$E$10+(E58))*(1-'Assumptions'!$E$15-(0))*(1-(H58)/('Terminal Value'!$E$12))/((G58)-(H58))/(1+(G58))^'DCF'!$E$19)+'Equity Bridge'!$E$17)/'Equity Bridge'!$E$20</x:f>
        <x:v>284.42362911041516</x:v>
      </x:c>
      <x:c r="L58" s="136"/>
      <x:c r="M58" s="136"/>
      <x:c r="N58" s="136"/>
      <x:c r="O58" s="136"/>
      <x:c r="P58" s="136"/>
      <x:c r="Q58" s="136"/>
      <x:c r="R58" s="136"/>
      <x:c r="S58" s="136"/>
      <x:c r="T58" s="136"/>
      <x:c r="U58" s="136"/>
      <x:c r="V58" s="136"/>
      <x:c r="W58" s="136"/>
      <x:c r="X58" s="240" t="n">
        <x:v>0.19066308565954715</x:v>
      </x:c>
      <x:c r="Y58" s="240" t="n">
        <x:v>0.9727034411124384</x:v>
      </x:c>
      <x:c r="Z58" s="240" t="n">
        <x:v>0.7262547043532216</x:v>
      </x:c>
      <x:c r="AA58" s="255" t="n">
        <x:v>0.6822100468732671</x:v>
      </x:c>
      <x:c r="AB58" s="255" t="n">
        <x:v>0.8605389945052982</x:v>
      </x:c>
    </x:row>
    <x:row r="59" ht="24" customHeight="1">
      <x:c r="A59" s="136"/>
      <x:c r="B59" s="136"/>
      <x:c r="C59" s="136" t="n">
        <x:f>28</x:f>
        <x:v>28</x:v>
      </x:c>
      <x:c r="D59" s="162" t="n">
        <x:f>IF(X59&lt;($E$12-$D$12)/($F$12-$D$12),$D$12+SQRT(X59*($F$12-$D$12)*($E$12-$D$12)),$F$12-SQRT((1-X59)*($F$12-$D$12)*($F$12-$E$12)))</x:f>
        <x:v>0.15128674847780954</x:v>
      </x:c>
      <x:c r="E59" s="162" t="n">
        <x:f>IF(Y59&lt;($E$13-$D$13)/($F$13-$D$13),$D$13+SQRT(Y59*($F$13-$D$13)*($E$13-$D$13)),$F$13-SQRT((1-Y59)*($F$13-$D$13)*($F$13-$E$13)))</x:f>
        <x:v>0.003938496202530499</x:v>
      </x:c>
      <x:c r="F59" s="222" t="n">
        <x:f>IF(Z59&lt;($E$14-$D$14)/($F$14-$D$14),$D$14+SQRT(Z59*($F$14-$D$14)*($E$14-$D$14)),$F$14-SQRT((1-Z59)*($F$14-$D$14)*($F$14-$E$14)))</x:f>
        <x:v>0.9980617148990503</x:v>
      </x:c>
      <x:c r="G59" s="162" t="n">
        <x:f>IF(AA59&lt;($E$15-$D$15)/($F$15-$D$15),$D$15+SQRT(AA59*($F$15-$D$15)*($E$15-$D$15)),$F$15-SQRT((1-AA59)*($F$15-$D$15)*($F$15-$E$15)))</x:f>
        <x:v>0.09196671014754405</x:v>
      </x:c>
      <x:c r="H59" s="162" t="n">
        <x:f>IF(AB59&lt;($E$16-$D$16)/($F$16-$D$16),$D$16+SQRT(AB59*($F$16-$D$16)*($E$16-$D$16)),$F$16-SQRT((1-AB59)*($F$16-$D$16)*($F$16-$E$16)))</x:f>
        <x:v>0.029772463372861983</x:v>
      </x:c>
      <x:c r="I59" s="164" t="n">
        <x:f>'Historical Inputs'!$N$9*(1+D59)^5</x:f>
        <x:v>671189.1932852691</x:v>
      </x:c>
      <x:c r="J59" s="164" t="n">
        <x:f>I59*(1+H59)*('Terminal Value'!$E$10+E59)*(1-'Assumptions'!$E$15)*(1-H59/'Terminal Value'!$E$12)</x:f>
        <x:v>190104.01090672205</x:v>
      </x:c>
      <x:c r="K59" s="145" t="n">
        <x:f>((SUM((('Historical Inputs'!$N$9*(1+(D59))^1)*(('Assumptions'!E37+(E59))*(1-'Assumptions'!E42-(0))+'Assumptions'!E47-'Assumptions'!E52*(F59)+'Assumptions'!E57-'Assumptions'!E62*(1)-'Assumptions'!E67-(0))+('Working Capital'!$E$6))*'DCF'!E12/(1+(G59))^'DCF'!E13,(('Historical Inputs'!$N$9*(1+(D59))^2)*(('Assumptions'!F37+(E59))*(1-'Assumptions'!F42-(0))+'Assumptions'!F47-'Assumptions'!F52*(F59)+'Assumptions'!F57-'Assumptions'!F62*(1)-'Assumptions'!F67-(0))+(('Historical Inputs'!$N$9*(1+(D59))^1)*('Assumptions'!E67+(0))))*'DCF'!F12/(1+(G59))^'DCF'!F13,(('Historical Inputs'!$N$9*(1+(D59))^3)*(('Assumptions'!G37+(E59))*(1-'Assumptions'!G42-(0))+'Assumptions'!G47-'Assumptions'!G52*(F59)+'Assumptions'!G57-'Assumptions'!G62*(1)-'Assumptions'!G67-(0))+(('Historical Inputs'!$N$9*(1+(D59))^2)*('Assumptions'!F67+(0))))*'DCF'!G12/(1+(G59))^'DCF'!G13,(('Historical Inputs'!$N$9*(1+(D59))^4)*(('Assumptions'!H37+(E59))*(1-'Assumptions'!H42-(0))+'Assumptions'!H47-'Assumptions'!H52*(F59)+'Assumptions'!H57-'Assumptions'!H62*(1)-'Assumptions'!H67-(0))+(('Historical Inputs'!$N$9*(1+(D59))^3)*('Assumptions'!G67+(0))))*'DCF'!H12/(1+(G59))^'DCF'!H13,(('Historical Inputs'!$N$9*(1+(D59))^5)*(('Assumptions'!I37+(E59))*(1-'Assumptions'!I42-(0))+'Assumptions'!I47-'Assumptions'!I52*(F59)+'Assumptions'!I57-'Assumptions'!I62*(1)-'Assumptions'!I67-(0))+(('Historical Inputs'!$N$9*(1+(D59))^4)*('Assumptions'!H67+(0))))*'DCF'!I12/(1+(G59))^'DCF'!I13)+('Historical Inputs'!$N$9*(1+(D59))^5)*(1+(H59))*('Terminal Value'!$E$10+(E59))*(1-'Assumptions'!$E$15-(0))*(1-(H59)/('Terminal Value'!$E$12))/((G59)-(H59))/(1+(G59))^'DCF'!$E$19)+'Equity Bridge'!$E$17)/'Equity Bridge'!$E$20</x:f>
        <x:v>329.7731067391224</x:v>
      </x:c>
      <x:c r="L59" s="136"/>
      <x:c r="M59" s="136"/>
      <x:c r="N59" s="136"/>
      <x:c r="O59" s="136"/>
      <x:c r="P59" s="136"/>
      <x:c r="Q59" s="136"/>
      <x:c r="R59" s="136"/>
      <x:c r="S59" s="136"/>
      <x:c r="T59" s="136"/>
      <x:c r="U59" s="136"/>
      <x:c r="V59" s="136"/>
      <x:c r="W59" s="136"/>
      <x:c r="X59" s="240" t="n">
        <x:v>0.6476992310146715</x:v>
      </x:c>
      <x:c r="Y59" s="240" t="n">
        <x:v>0.5756675735831406</x:v>
      </x:c>
      <x:c r="Z59" s="240" t="n">
        <x:v>0.41756707464471676</x:v>
      </x:c>
      <x:c r="AA59" s="255" t="n">
        <x:v>0.17312065092318718</x:v>
      </x:c>
      <x:c r="AB59" s="255" t="n">
        <x:v>0.47750520186964496</x:v>
      </x:c>
    </x:row>
    <x:row r="60" ht="24" customHeight="1">
      <x:c r="A60" s="136"/>
      <x:c r="B60" s="136"/>
      <x:c r="C60" s="136" t="n">
        <x:f>29</x:f>
        <x:v>29</x:v>
      </x:c>
      <x:c r="D60" s="162" t="n">
        <x:f>IF(X60&lt;($E$12-$D$12)/($F$12-$D$12),$D$12+SQRT(X60*($F$12-$D$12)*($E$12-$D$12)),$F$12-SQRT((1-X60)*($F$12-$D$12)*($F$12-$E$12)))</x:f>
        <x:v>0.12954514995443264</x:v>
      </x:c>
      <x:c r="E60" s="162" t="n">
        <x:f>IF(Y60&lt;($E$13-$D$13)/($F$13-$D$13),$D$13+SQRT(Y60*($F$13-$D$13)*($E$13-$D$13)),$F$13-SQRT((1-Y60)*($F$13-$D$13)*($F$13-$E$13)))</x:f>
        <x:v>-0.0038010317607115457</x:v>
      </x:c>
      <x:c r="F60" s="222" t="n">
        <x:f>IF(Z60&lt;($E$14-$D$14)/($F$14-$D$14),$D$14+SQRT(Z60*($F$14-$D$14)*($E$14-$D$14)),$F$14-SQRT((1-Z60)*($F$14-$D$14)*($F$14-$E$14)))</x:f>
        <x:v>1.0186333940079442</x:v>
      </x:c>
      <x:c r="G60" s="162" t="n">
        <x:f>IF(AA60&lt;($E$15-$D$15)/($F$15-$D$15),$D$15+SQRT(AA60*($F$15-$D$15)*($E$15-$D$15)),$F$15-SQRT((1-AA60)*($F$15-$D$15)*($F$15-$E$15)))</x:f>
        <x:v>0.08814805035424494</x:v>
      </x:c>
      <x:c r="H60" s="162" t="n">
        <x:f>IF(AB60&lt;($E$16-$D$16)/($F$16-$D$16),$D$16+SQRT(AB60*($F$16-$D$16)*($E$16-$D$16)),$F$16-SQRT((1-AB60)*($F$16-$D$16)*($F$16-$E$16)))</x:f>
        <x:v>0.02925272921539946</x:v>
      </x:c>
      <x:c r="I60" s="164" t="n">
        <x:f>'Historical Inputs'!$N$9*(1+D60)^5</x:f>
        <x:v>610162.3438190329</x:v>
      </x:c>
      <x:c r="J60" s="164" t="n">
        <x:f>I60*(1+H60)*('Terminal Value'!$E$10+E60)*(1-'Assumptions'!$E$15)*(1-H60/'Terminal Value'!$E$12)</x:f>
        <x:v>169939.57630910646</x:v>
      </x:c>
      <x:c r="K60" s="145" t="n">
        <x:f>((SUM((('Historical Inputs'!$N$9*(1+(D60))^1)*(('Assumptions'!E37+(E60))*(1-'Assumptions'!E42-(0))+'Assumptions'!E47-'Assumptions'!E52*(F60)+'Assumptions'!E57-'Assumptions'!E62*(1)-'Assumptions'!E67-(0))+('Working Capital'!$E$6))*'DCF'!E12/(1+(G60))^'DCF'!E13,(('Historical Inputs'!$N$9*(1+(D60))^2)*(('Assumptions'!F37+(E60))*(1-'Assumptions'!F42-(0))+'Assumptions'!F47-'Assumptions'!F52*(F60)+'Assumptions'!F57-'Assumptions'!F62*(1)-'Assumptions'!F67-(0))+(('Historical Inputs'!$N$9*(1+(D60))^1)*('Assumptions'!E67+(0))))*'DCF'!F12/(1+(G60))^'DCF'!F13,(('Historical Inputs'!$N$9*(1+(D60))^3)*(('Assumptions'!G37+(E60))*(1-'Assumptions'!G42-(0))+'Assumptions'!G47-'Assumptions'!G52*(F60)+'Assumptions'!G57-'Assumptions'!G62*(1)-'Assumptions'!G67-(0))+(('Historical Inputs'!$N$9*(1+(D60))^2)*('Assumptions'!F67+(0))))*'DCF'!G12/(1+(G60))^'DCF'!G13,(('Historical Inputs'!$N$9*(1+(D60))^4)*(('Assumptions'!H37+(E60))*(1-'Assumptions'!H42-(0))+'Assumptions'!H47-'Assumptions'!H52*(F60)+'Assumptions'!H57-'Assumptions'!H62*(1)-'Assumptions'!H67-(0))+(('Historical Inputs'!$N$9*(1+(D60))^3)*('Assumptions'!G67+(0))))*'DCF'!H12/(1+(G60))^'DCF'!H13,(('Historical Inputs'!$N$9*(1+(D60))^5)*(('Assumptions'!I37+(E60))*(1-'Assumptions'!I42-(0))+'Assumptions'!I47-'Assumptions'!I52*(F60)+'Assumptions'!I57-'Assumptions'!I62*(1)-'Assumptions'!I67-(0))+(('Historical Inputs'!$N$9*(1+(D60))^4)*('Assumptions'!H67+(0))))*'DCF'!I12/(1+(G60))^'DCF'!I13)+('Historical Inputs'!$N$9*(1+(D60))^5)*(1+(H60))*('Terminal Value'!$E$10+(E60))*(1-'Assumptions'!$E$15-(0))*(1-(H60)/('Terminal Value'!$E$12))/((G60)-(H60))/(1+(G60))^'DCF'!$E$19)+'Equity Bridge'!$E$17)/'Equity Bridge'!$E$20</x:f>
        <x:v>312.6181394260105</x:v>
      </x:c>
      <x:c r="L60" s="136"/>
      <x:c r="M60" s="136"/>
      <x:c r="N60" s="136"/>
      <x:c r="O60" s="136"/>
      <x:c r="P60" s="136"/>
      <x:c r="Q60" s="136"/>
      <x:c r="R60" s="136"/>
      <x:c r="S60" s="136"/>
      <x:c r="T60" s="136"/>
      <x:c r="U60" s="136"/>
      <x:c r="V60" s="136"/>
      <x:c r="W60" s="136"/>
      <x:c r="X60" s="240" t="n">
        <x:v>0.26336564861227607</x:v>
      </x:c>
      <x:c r="Y60" s="240" t="n">
        <x:v>0.4268689332749567</x:v>
      </x:c>
      <x:c r="Z60" s="240" t="n">
        <x:v>0.5300879175846057</x:v>
      </x:c>
      <x:c r="AA60" s="255" t="n">
        <x:v>0.05572637695759641</x:v>
      </x:c>
      <x:c r="AB60" s="255" t="n">
        <x:v>0.4280649896675337</x:v>
      </x:c>
    </x:row>
    <x:row r="61" ht="24" customHeight="1">
      <x:c r="A61" s="136"/>
      <x:c r="B61" s="136"/>
      <x:c r="C61" s="136" t="n">
        <x:f>30</x:f>
        <x:v>30</x:v>
      </x:c>
      <x:c r="D61" s="162" t="n">
        <x:f>IF(X61&lt;($E$12-$D$12)/($F$12-$D$12),$D$12+SQRT(X61*($F$12-$D$12)*($E$12-$D$12)),$F$12-SQRT((1-X61)*($F$12-$D$12)*($F$12-$E$12)))</x:f>
        <x:v>0.1188913788353854</x:v>
      </x:c>
      <x:c r="E61" s="162" t="n">
        <x:f>IF(Y61&lt;($E$13-$D$13)/($F$13-$D$13),$D$13+SQRT(Y61*($F$13-$D$13)*($E$13-$D$13)),$F$13-SQRT((1-Y61)*($F$13-$D$13)*($F$13-$E$13)))</x:f>
        <x:v>-0.010895317829525616</x:v>
      </x:c>
      <x:c r="F61" s="222" t="n">
        <x:f>IF(Z61&lt;($E$14-$D$14)/($F$14-$D$14),$D$14+SQRT(Z61*($F$14-$D$14)*($E$14-$D$14)),$F$14-SQRT((1-Z61)*($F$14-$D$14)*($F$14-$E$14)))</x:f>
        <x:v>0.9943074053563725</x:v>
      </x:c>
      <x:c r="G61" s="162" t="n">
        <x:f>IF(AA61&lt;($E$15-$D$15)/($F$15-$D$15),$D$15+SQRT(AA61*($F$15-$D$15)*($E$15-$D$15)),$F$15-SQRT((1-AA61)*($F$15-$D$15)*($F$15-$E$15)))</x:f>
        <x:v>0.0939948499607728</x:v>
      </x:c>
      <x:c r="H61" s="162" t="n">
        <x:f>IF(AB61&lt;($E$16-$D$16)/($F$16-$D$16),$D$16+SQRT(AB61*($F$16-$D$16)*($E$16-$D$16)),$F$16-SQRT((1-AB61)*($F$16-$D$16)*($F$16-$E$16)))</x:f>
        <x:v>0.0338252167889929</x:v>
      </x:c>
      <x:c r="I61" s="164" t="n">
        <x:f>'Historical Inputs'!$N$9*(1+D61)^5</x:f>
        <x:v>581925.0651279035</x:v>
      </x:c>
      <x:c r="J61" s="164" t="n">
        <x:f>I61*(1+H61)*('Terminal Value'!$E$10+E61)*(1-'Assumptions'!$E$15)*(1-H61/'Terminal Value'!$E$12)</x:f>
        <x:v>155598.62468647474</x:v>
      </x:c>
      <x:c r="K61" s="145" t="n">
        <x:f>((SUM((('Historical Inputs'!$N$9*(1+(D61))^1)*(('Assumptions'!E37+(E61))*(1-'Assumptions'!E42-(0))+'Assumptions'!E47-'Assumptions'!E52*(F61)+'Assumptions'!E57-'Assumptions'!E62*(1)-'Assumptions'!E67-(0))+('Working Capital'!$E$6))*'DCF'!E12/(1+(G61))^'DCF'!E13,(('Historical Inputs'!$N$9*(1+(D61))^2)*(('Assumptions'!F37+(E61))*(1-'Assumptions'!F42-(0))+'Assumptions'!F47-'Assumptions'!F52*(F61)+'Assumptions'!F57-'Assumptions'!F62*(1)-'Assumptions'!F67-(0))+(('Historical Inputs'!$N$9*(1+(D61))^1)*('Assumptions'!E67+(0))))*'DCF'!F12/(1+(G61))^'DCF'!F13,(('Historical Inputs'!$N$9*(1+(D61))^3)*(('Assumptions'!G37+(E61))*(1-'Assumptions'!G42-(0))+'Assumptions'!G47-'Assumptions'!G52*(F61)+'Assumptions'!G57-'Assumptions'!G62*(1)-'Assumptions'!G67-(0))+(('Historical Inputs'!$N$9*(1+(D61))^2)*('Assumptions'!F67+(0))))*'DCF'!G12/(1+(G61))^'DCF'!G13,(('Historical Inputs'!$N$9*(1+(D61))^4)*(('Assumptions'!H37+(E61))*(1-'Assumptions'!H42-(0))+'Assumptions'!H47-'Assumptions'!H52*(F61)+'Assumptions'!H57-'Assumptions'!H62*(1)-'Assumptions'!H67-(0))+(('Historical Inputs'!$N$9*(1+(D61))^3)*('Assumptions'!G67+(0))))*'DCF'!H12/(1+(G61))^'DCF'!H13,(('Historical Inputs'!$N$9*(1+(D61))^5)*(('Assumptions'!I37+(E61))*(1-'Assumptions'!I42-(0))+'Assumptions'!I47-'Assumptions'!I52*(F61)+'Assumptions'!I57-'Assumptions'!I62*(1)-'Assumptions'!I67-(0))+(('Historical Inputs'!$N$9*(1+(D61))^4)*('Assumptions'!H67+(0))))*'DCF'!I12/(1+(G61))^'DCF'!I13)+('Historical Inputs'!$N$9*(1+(D61))^5)*(1+(H61))*('Terminal Value'!$E$10+(E61))*(1-'Assumptions'!$E$15-(0))*(1-(H61)/('Terminal Value'!$E$12))/((G61)-(H61))/(1+(G61))^'DCF'!$E$19)+'Equity Bridge'!$E$17)/'Equity Bridge'!$E$20</x:f>
        <x:v>277.3376382101101</x:v>
      </x:c>
      <x:c r="L61" s="136"/>
      <x:c r="M61" s="136"/>
      <x:c r="N61" s="136"/>
      <x:c r="O61" s="136"/>
      <x:c r="P61" s="136"/>
      <x:c r="Q61" s="136"/>
      <x:c r="R61" s="136"/>
      <x:c r="S61" s="136"/>
      <x:c r="T61" s="136"/>
      <x:c r="U61" s="136"/>
      <x:c r="V61" s="136"/>
      <x:c r="W61" s="136"/>
      <x:c r="X61" s="240" t="n">
        <x:v>0.1314240518563371</x:v>
      </x:c>
      <x:c r="Y61" s="240" t="n">
        <x:v>0.3058352335307635</x:v>
      </x:c>
      <x:c r="Z61" s="240" t="n">
        <x:v>0.39665956648930345</x:v>
      </x:c>
      <x:c r="AA61" s="255" t="n">
        <x:v>0.26182166802200024</x:v>
      </x:c>
      <x:c r="AB61" s="255" t="n">
        <x:v>0.8093602614853241</x:v>
      </x:c>
    </x:row>
    <x:row r="62" ht="24" customHeight="1">
      <x:c r="A62" s="136"/>
      <x:c r="B62" s="136"/>
      <x:c r="C62" s="136" t="n">
        <x:f>31</x:f>
        <x:v>31</x:v>
      </x:c>
      <x:c r="D62" s="162" t="n">
        <x:f>IF(X62&lt;($E$12-$D$12)/($F$12-$D$12),$D$12+SQRT(X62*($F$12-$D$12)*($E$12-$D$12)),$F$12-SQRT((1-X62)*($F$12-$D$12)*($F$12-$E$12)))</x:f>
        <x:v>0.14017487133600867</x:v>
      </x:c>
      <x:c r="E62" s="162" t="n">
        <x:f>IF(Y62&lt;($E$13-$D$13)/($F$13-$D$13),$D$13+SQRT(Y62*($F$13-$D$13)*($E$13-$D$13)),$F$13-SQRT((1-Y62)*($F$13-$D$13)*($F$13-$E$13)))</x:f>
        <x:v>-0.032980797334369386</x:v>
      </x:c>
      <x:c r="F62" s="222" t="n">
        <x:f>IF(Z62&lt;($E$14-$D$14)/($F$14-$D$14),$D$14+SQRT(Z62*($F$14-$D$14)*($E$14-$D$14)),$F$14-SQRT((1-Z62)*($F$14-$D$14)*($F$14-$E$14)))</x:f>
        <x:v>0.9944298759603545</x:v>
      </x:c>
      <x:c r="G62" s="162" t="n">
        <x:f>IF(AA62&lt;($E$15-$D$15)/($F$15-$D$15),$D$15+SQRT(AA62*($F$15-$D$15)*($E$15-$D$15)),$F$15-SQRT((1-AA62)*($F$15-$D$15)*($F$15-$E$15)))</x:f>
        <x:v>0.10100973525636851</x:v>
      </x:c>
      <x:c r="H62" s="162" t="n">
        <x:f>IF(AB62&lt;($E$16-$D$16)/($F$16-$D$16),$D$16+SQRT(AB62*($F$16-$D$16)*($E$16-$D$16)),$F$16-SQRT((1-AB62)*($F$16-$D$16)*($F$16-$E$16)))</x:f>
        <x:v>0.02852163480670626</x:v>
      </x:c>
      <x:c r="I62" s="164" t="n">
        <x:f>'Historical Inputs'!$N$9*(1+D62)^5</x:f>
        <x:v>639417.8444110017</x:v>
      </x:c>
      <x:c r="J62" s="164" t="n">
        <x:f>I62*(1+H62)*('Terminal Value'!$E$10+E62)*(1-'Assumptions'!$E$15)*(1-H62/'Terminal Value'!$E$12)</x:f>
        <x:v>165560.3350863203</x:v>
      </x:c>
      <x:c r="K62" s="145" t="n">
        <x:f>((SUM((('Historical Inputs'!$N$9*(1+(D62))^1)*(('Assumptions'!E37+(E62))*(1-'Assumptions'!E42-(0))+'Assumptions'!E47-'Assumptions'!E52*(F62)+'Assumptions'!E57-'Assumptions'!E62*(1)-'Assumptions'!E67-(0))+('Working Capital'!$E$6))*'DCF'!E12/(1+(G62))^'DCF'!E13,(('Historical Inputs'!$N$9*(1+(D62))^2)*(('Assumptions'!F37+(E62))*(1-'Assumptions'!F42-(0))+'Assumptions'!F47-'Assumptions'!F52*(F62)+'Assumptions'!F57-'Assumptions'!F62*(1)-'Assumptions'!F67-(0))+(('Historical Inputs'!$N$9*(1+(D62))^1)*('Assumptions'!E67+(0))))*'DCF'!F12/(1+(G62))^'DCF'!F13,(('Historical Inputs'!$N$9*(1+(D62))^3)*(('Assumptions'!G37+(E62))*(1-'Assumptions'!G42-(0))+'Assumptions'!G47-'Assumptions'!G52*(F62)+'Assumptions'!G57-'Assumptions'!G62*(1)-'Assumptions'!G67-(0))+(('Historical Inputs'!$N$9*(1+(D62))^2)*('Assumptions'!F67+(0))))*'DCF'!G12/(1+(G62))^'DCF'!G13,(('Historical Inputs'!$N$9*(1+(D62))^4)*(('Assumptions'!H37+(E62))*(1-'Assumptions'!H42-(0))+'Assumptions'!H47-'Assumptions'!H52*(F62)+'Assumptions'!H57-'Assumptions'!H62*(1)-'Assumptions'!H67-(0))+(('Historical Inputs'!$N$9*(1+(D62))^3)*('Assumptions'!G67+(0))))*'DCF'!H12/(1+(G62))^'DCF'!H13,(('Historical Inputs'!$N$9*(1+(D62))^5)*(('Assumptions'!I37+(E62))*(1-'Assumptions'!I42-(0))+'Assumptions'!I47-'Assumptions'!I52*(F62)+'Assumptions'!I57-'Assumptions'!I62*(1)-'Assumptions'!I67-(0))+(('Historical Inputs'!$N$9*(1+(D62))^4)*('Assumptions'!H67+(0))))*'DCF'!I12/(1+(G62))^'DCF'!I13)+('Historical Inputs'!$N$9*(1+(D62))^5)*(1+(H62))*('Terminal Value'!$E$10+(E62))*(1-'Assumptions'!$E$15-(0))*(1-(H62)/('Terminal Value'!$E$12))/((G62)-(H62))/(1+(G62))^'DCF'!$E$19)+'Equity Bridge'!$E$17)/'Equity Bridge'!$E$20</x:f>
        <x:v>242.97801611444825</x:v>
      </x:c>
      <x:c r="L62" s="136"/>
      <x:c r="M62" s="136"/>
      <x:c r="N62" s="136"/>
      <x:c r="O62" s="136"/>
      <x:c r="P62" s="136"/>
      <x:c r="Q62" s="136"/>
      <x:c r="R62" s="136"/>
      <x:c r="S62" s="136"/>
      <x:c r="T62" s="136"/>
      <x:c r="U62" s="136"/>
      <x:c r="V62" s="136"/>
      <x:c r="W62" s="136"/>
      <x:c r="X62" s="240" t="n">
        <x:v>0.4402569205276876</x:v>
      </x:c>
      <x:c r="Y62" s="240" t="n">
        <x:v>0.05793065187476165</x:v>
      </x:c>
      <x:c r="Z62" s="240" t="n">
        <x:v>0.39733312514139785</x:v>
      </x:c>
      <x:c r="AA62" s="255" t="n">
        <x:v>0.6729949287048927</x:v>
      </x:c>
      <x:c r="AB62" s="255" t="n">
        <x:v>0.36309129889433833</x:v>
      </x:c>
    </x:row>
    <x:row r="63" ht="24" customHeight="1">
      <x:c r="A63" s="136"/>
      <x:c r="B63" s="136"/>
      <x:c r="C63" s="136" t="n">
        <x:f>32</x:f>
        <x:v>32</x:v>
      </x:c>
      <x:c r="D63" s="162" t="n">
        <x:f>IF(X63&lt;($E$12-$D$12)/($F$12-$D$12),$D$12+SQRT(X63*($F$12-$D$12)*($E$12-$D$12)),$F$12-SQRT((1-X63)*($F$12-$D$12)*($F$12-$E$12)))</x:f>
        <x:v>0.1853636646720394</x:v>
      </x:c>
      <x:c r="E63" s="162" t="n">
        <x:f>IF(Y63&lt;($E$13-$D$13)/($F$13-$D$13),$D$13+SQRT(Y63*($F$13-$D$13)*($E$13-$D$13)),$F$13-SQRT((1-Y63)*($F$13-$D$13)*($F$13-$E$13)))</x:f>
        <x:v>0.011833545415431496</x:v>
      </x:c>
      <x:c r="F63" s="222" t="n">
        <x:f>IF(Z63&lt;($E$14-$D$14)/($F$14-$D$14),$D$14+SQRT(Z63*($F$14-$D$14)*($E$14-$D$14)),$F$14-SQRT((1-Z63)*($F$14-$D$14)*($F$14-$E$14)))</x:f>
        <x:v>1.099218448102024</x:v>
      </x:c>
      <x:c r="G63" s="162" t="n">
        <x:f>IF(AA63&lt;($E$15-$D$15)/($F$15-$D$15),$D$15+SQRT(AA63*($F$15-$D$15)*($E$15-$D$15)),$F$15-SQRT((1-AA63)*($F$15-$D$15)*($F$15-$E$15)))</x:f>
        <x:v>0.08441477174391848</x:v>
      </x:c>
      <x:c r="H63" s="162" t="n">
        <x:f>IF(AB63&lt;($E$16-$D$16)/($F$16-$D$16),$D$16+SQRT(AB63*($F$16-$D$16)*($E$16-$D$16)),$F$16-SQRT((1-AB63)*($F$16-$D$16)*($F$16-$E$16)))</x:f>
        <x:v>0.03221197258170343</x:v>
      </x:c>
      <x:c r="I63" s="164" t="n">
        <x:f>'Historical Inputs'!$N$9*(1+D63)^5</x:f>
        <x:v>776578.7073655372</x:v>
      </x:c>
      <x:c r="J63" s="164" t="n">
        <x:f>I63*(1+H63)*('Terminal Value'!$E$10+E63)*(1-'Assumptions'!$E$15)*(1-H63/'Terminal Value'!$E$12)</x:f>
        <x:v>221562.90418685967</x:v>
      </x:c>
      <x:c r="K63" s="145" t="n">
        <x:f>((SUM((('Historical Inputs'!$N$9*(1+(D63))^1)*(('Assumptions'!E37+(E63))*(1-'Assumptions'!E42-(0))+'Assumptions'!E47-'Assumptions'!E52*(F63)+'Assumptions'!E57-'Assumptions'!E62*(1)-'Assumptions'!E67-(0))+('Working Capital'!$E$6))*'DCF'!E12/(1+(G63))^'DCF'!E13,(('Historical Inputs'!$N$9*(1+(D63))^2)*(('Assumptions'!F37+(E63))*(1-'Assumptions'!F42-(0))+'Assumptions'!F47-'Assumptions'!F52*(F63)+'Assumptions'!F57-'Assumptions'!F62*(1)-'Assumptions'!F67-(0))+(('Historical Inputs'!$N$9*(1+(D63))^1)*('Assumptions'!E67+(0))))*'DCF'!F12/(1+(G63))^'DCF'!F13,(('Historical Inputs'!$N$9*(1+(D63))^3)*(('Assumptions'!G37+(E63))*(1-'Assumptions'!G42-(0))+'Assumptions'!G47-'Assumptions'!G52*(F63)+'Assumptions'!G57-'Assumptions'!G62*(1)-'Assumptions'!G67-(0))+(('Historical Inputs'!$N$9*(1+(D63))^2)*('Assumptions'!F67+(0))))*'DCF'!G12/(1+(G63))^'DCF'!G13,(('Historical Inputs'!$N$9*(1+(D63))^4)*(('Assumptions'!H37+(E63))*(1-'Assumptions'!H42-(0))+'Assumptions'!H47-'Assumptions'!H52*(F63)+'Assumptions'!H57-'Assumptions'!H62*(1)-'Assumptions'!H67-(0))+(('Historical Inputs'!$N$9*(1+(D63))^3)*('Assumptions'!G67+(0))))*'DCF'!H12/(1+(G63))^'DCF'!H13,(('Historical Inputs'!$N$9*(1+(D63))^5)*(('Assumptions'!I37+(E63))*(1-'Assumptions'!I42-(0))+'Assumptions'!I47-'Assumptions'!I52*(F63)+'Assumptions'!I57-'Assumptions'!I62*(1)-'Assumptions'!I67-(0))+(('Historical Inputs'!$N$9*(1+(D63))^4)*('Assumptions'!H67+(0))))*'DCF'!I12/(1+(G63))^'DCF'!I13)+('Historical Inputs'!$N$9*(1+(D63))^5)*(1+(H63))*('Terminal Value'!$E$10+(E63))*(1-'Assumptions'!$E$15-(0))*(1-(H63)/('Terminal Value'!$E$12))/((G63)-(H63))/(1+(G63))^'DCF'!$E$19)+'Equity Bridge'!$E$17)/'Equity Bridge'!$E$20</x:f>
        <x:v>450.04610170421256</x:v>
      </x:c>
      <x:c r="L63" s="136"/>
      <x:c r="M63" s="136"/>
      <x:c r="N63" s="136"/>
      <x:c r="O63" s="136"/>
      <x:c r="P63" s="136"/>
      <x:c r="Q63" s="136"/>
      <x:c r="R63" s="136"/>
      <x:c r="S63" s="136"/>
      <x:c r="T63" s="136"/>
      <x:c r="U63" s="136"/>
      <x:c r="V63" s="136"/>
      <x:c r="W63" s="136"/>
      <x:c r="X63" s="240" t="n">
        <x:v>0.9875389825678227</x:v>
      </x:c>
      <x:c r="Y63" s="240" t="n">
        <x:v>0.7086643488888139</x:v>
      </x:c>
      <x:c r="Z63" s="240" t="n">
        <x:v>0.8549011256719365</x:v>
      </x:c>
      <x:c r="AA63" s="255" t="n">
        <x:v>0.0036091146931945817</x:v>
      </x:c>
      <x:c r="AB63" s="255" t="n">
        <x:v>0.6967331446593039</x:v>
      </x:c>
    </x:row>
    <x:row r="64" ht="24" customHeight="1">
      <x:c r="A64" s="136"/>
      <x:c r="B64" s="136"/>
      <x:c r="C64" s="136" t="n">
        <x:f>33</x:f>
        <x:v>33</x:v>
      </x:c>
      <x:c r="D64" s="162" t="n">
        <x:f>IF(X64&lt;($E$12-$D$12)/($F$12-$D$12),$D$12+SQRT(X64*($F$12-$D$12)*($E$12-$D$12)),$F$12-SQRT((1-X64)*($F$12-$D$12)*($F$12-$E$12)))</x:f>
        <x:v>0.16644749709399712</x:v>
      </x:c>
      <x:c r="E64" s="162" t="n">
        <x:f>IF(Y64&lt;($E$13-$D$13)/($F$13-$D$13),$D$13+SQRT(Y64*($F$13-$D$13)*($E$13-$D$13)),$F$13-SQRT((1-Y64)*($F$13-$D$13)*($F$13-$E$13)))</x:f>
        <x:v>-0.02606052644753005</x:v>
      </x:c>
      <x:c r="F64" s="222" t="n">
        <x:f>IF(Z64&lt;($E$14-$D$14)/($F$14-$D$14),$D$14+SQRT(Z64*($F$14-$D$14)*($E$14-$D$14)),$F$14-SQRT((1-Z64)*($F$14-$D$14)*($F$14-$E$14)))</x:f>
        <x:v>1.075536214219672</x:v>
      </x:c>
      <x:c r="G64" s="162" t="n">
        <x:f>IF(AA64&lt;($E$15-$D$15)/($F$15-$D$15),$D$15+SQRT(AA64*($F$15-$D$15)*($E$15-$D$15)),$F$15-SQRT((1-AA64)*($F$15-$D$15)*($F$15-$E$15)))</x:f>
        <x:v>0.09121112063970706</x:v>
      </x:c>
      <x:c r="H64" s="162" t="n">
        <x:f>IF(AB64&lt;($E$16-$D$16)/($F$16-$D$16),$D$16+SQRT(AB64*($F$16-$D$16)*($E$16-$D$16)),$F$16-SQRT((1-AB64)*($F$16-$D$16)*($F$16-$E$16)))</x:f>
        <x:v>0.030746193545493468</x:v>
      </x:c>
      <x:c r="I64" s="164" t="n">
        <x:f>'Historical Inputs'!$N$9*(1+D64)^5</x:f>
        <x:v>716561.3901977933</x:v>
      </x:c>
      <x:c r="J64" s="164" t="n">
        <x:f>I64*(1+H64)*('Terminal Value'!$E$10+E64)*(1-'Assumptions'!$E$15)*(1-H64/'Terminal Value'!$E$12)</x:f>
        <x:v>186984.19184378852</x:v>
      </x:c>
      <x:c r="K64" s="145" t="n">
        <x:f>((SUM((('Historical Inputs'!$N$9*(1+(D64))^1)*(('Assumptions'!E37+(E64))*(1-'Assumptions'!E42-(0))+'Assumptions'!E47-'Assumptions'!E52*(F64)+'Assumptions'!E57-'Assumptions'!E62*(1)-'Assumptions'!E67-(0))+('Working Capital'!$E$6))*'DCF'!E12/(1+(G64))^'DCF'!E13,(('Historical Inputs'!$N$9*(1+(D64))^2)*(('Assumptions'!F37+(E64))*(1-'Assumptions'!F42-(0))+'Assumptions'!F47-'Assumptions'!F52*(F64)+'Assumptions'!F57-'Assumptions'!F62*(1)-'Assumptions'!F67-(0))+(('Historical Inputs'!$N$9*(1+(D64))^1)*('Assumptions'!E67+(0))))*'DCF'!F12/(1+(G64))^'DCF'!F13,(('Historical Inputs'!$N$9*(1+(D64))^3)*(('Assumptions'!G37+(E64))*(1-'Assumptions'!G42-(0))+'Assumptions'!G47-'Assumptions'!G52*(F64)+'Assumptions'!G57-'Assumptions'!G62*(1)-'Assumptions'!G67-(0))+(('Historical Inputs'!$N$9*(1+(D64))^2)*('Assumptions'!F67+(0))))*'DCF'!G12/(1+(G64))^'DCF'!G13,(('Historical Inputs'!$N$9*(1+(D64))^4)*(('Assumptions'!H37+(E64))*(1-'Assumptions'!H42-(0))+'Assumptions'!H47-'Assumptions'!H52*(F64)+'Assumptions'!H57-'Assumptions'!H62*(1)-'Assumptions'!H67-(0))+(('Historical Inputs'!$N$9*(1+(D64))^3)*('Assumptions'!G67+(0))))*'DCF'!H12/(1+(G64))^'DCF'!H13,(('Historical Inputs'!$N$9*(1+(D64))^5)*(('Assumptions'!I37+(E64))*(1-'Assumptions'!I42-(0))+'Assumptions'!I47-'Assumptions'!I52*(F64)+'Assumptions'!I57-'Assumptions'!I62*(1)-'Assumptions'!I67-(0))+(('Historical Inputs'!$N$9*(1+(D64))^4)*('Assumptions'!H67+(0))))*'DCF'!I12/(1+(G64))^'DCF'!I13)+('Historical Inputs'!$N$9*(1+(D64))^5)*(1+(H64))*('Terminal Value'!$E$10+(E64))*(1-'Assumptions'!$E$15-(0))*(1-(H64)/('Terminal Value'!$E$12))/((G64)-(H64))/(1+(G64))^'DCF'!$E$19)+'Equity Bridge'!$E$17)/'Equity Bridge'!$E$20</x:f>
        <x:v>324.8963883987117</x:v>
      </x:c>
      <x:c r="L64" s="136"/>
      <x:c r="M64" s="136"/>
      <x:c r="N64" s="136"/>
      <x:c r="O64" s="136"/>
      <x:c r="P64" s="136"/>
      <x:c r="Q64" s="136"/>
      <x:c r="R64" s="136"/>
      <x:c r="S64" s="136"/>
      <x:c r="T64" s="136"/>
      <x:c r="U64" s="136"/>
      <x:c r="V64" s="136"/>
      <x:c r="W64" s="136"/>
      <x:c r="X64" s="240" t="n">
        <x:v>0.8562498767282101</x:v>
      </x:c>
      <x:c r="Y64" s="240" t="n">
        <x:v>0.11461967879388169</x:v>
      </x:c>
      <x:c r="Z64" s="240" t="n">
        <x:v>0.7786966575604091</x:v>
      </x:c>
      <x:c r="AA64" s="255" t="n">
        <x:v>0.1447489496271821</x:v>
      </x:c>
      <x:c r="AB64" s="255" t="n">
        <x:v>0.5718353305126664</x:v>
      </x:c>
    </x:row>
    <x:row r="65" ht="24" customHeight="1">
      <x:c r="A65" s="136"/>
      <x:c r="B65" s="136"/>
      <x:c r="C65" s="136" t="n">
        <x:f>34</x:f>
        <x:v>34</x:v>
      </x:c>
      <x:c r="D65" s="162" t="n">
        <x:f>IF(X65&lt;($E$12-$D$12)/($F$12-$D$12),$D$12+SQRT(X65*($F$12-$D$12)*($E$12-$D$12)),$F$12-SQRT((1-X65)*($F$12-$D$12)*($F$12-$E$12)))</x:f>
        <x:v>0.14209751156909453</x:v>
      </x:c>
      <x:c r="E65" s="162" t="n">
        <x:f>IF(Y65&lt;($E$13-$D$13)/($F$13-$D$13),$D$13+SQRT(Y65*($F$13-$D$13)*($E$13-$D$13)),$F$13-SQRT((1-Y65)*($F$13-$D$13)*($F$13-$E$13)))</x:f>
        <x:v>-0.03401867747655093</x:v>
      </x:c>
      <x:c r="F65" s="222" t="n">
        <x:f>IF(Z65&lt;($E$14-$D$14)/($F$14-$D$14),$D$14+SQRT(Z65*($F$14-$D$14)*($E$14-$D$14)),$F$14-SQRT((1-Z65)*($F$14-$D$14)*($F$14-$E$14)))</x:f>
        <x:v>1.056283320615174</x:v>
      </x:c>
      <x:c r="G65" s="162" t="n">
        <x:f>IF(AA65&lt;($E$15-$D$15)/($F$15-$D$15),$D$15+SQRT(AA65*($F$15-$D$15)*($E$15-$D$15)),$F$15-SQRT((1-AA65)*($F$15-$D$15)*($F$15-$E$15)))</x:f>
        <x:v>0.08859603353461334</x:v>
      </x:c>
      <x:c r="H65" s="162" t="n">
        <x:f>IF(AB65&lt;($E$16-$D$16)/($F$16-$D$16),$D$16+SQRT(AB65*($F$16-$D$16)*($E$16-$D$16)),$F$16-SQRT((1-AB65)*($F$16-$D$16)*($F$16-$E$16)))</x:f>
        <x:v>0.027208750822083867</x:v>
      </x:c>
      <x:c r="I65" s="164" t="n">
        <x:f>'Historical Inputs'!$N$9*(1+D65)^5</x:f>
        <x:v>644827.2057185182</x:v>
      </x:c>
      <x:c r="J65" s="164" t="n">
        <x:f>I65*(1+H65)*('Terminal Value'!$E$10+E65)*(1-'Assumptions'!$E$15)*(1-H65/'Terminal Value'!$E$12)</x:f>
        <x:v>167549.33973443002</x:v>
      </x:c>
      <x:c r="K65" s="145" t="n">
        <x:f>((SUM((('Historical Inputs'!$N$9*(1+(D65))^1)*(('Assumptions'!E37+(E65))*(1-'Assumptions'!E42-(0))+'Assumptions'!E47-'Assumptions'!E52*(F65)+'Assumptions'!E57-'Assumptions'!E62*(1)-'Assumptions'!E67-(0))+('Working Capital'!$E$6))*'DCF'!E12/(1+(G65))^'DCF'!E13,(('Historical Inputs'!$N$9*(1+(D65))^2)*(('Assumptions'!F37+(E65))*(1-'Assumptions'!F42-(0))+'Assumptions'!F47-'Assumptions'!F52*(F65)+'Assumptions'!F57-'Assumptions'!F62*(1)-'Assumptions'!F67-(0))+(('Historical Inputs'!$N$9*(1+(D65))^1)*('Assumptions'!E67+(0))))*'DCF'!F12/(1+(G65))^'DCF'!F13,(('Historical Inputs'!$N$9*(1+(D65))^3)*(('Assumptions'!G37+(E65))*(1-'Assumptions'!G42-(0))+'Assumptions'!G47-'Assumptions'!G52*(F65)+'Assumptions'!G57-'Assumptions'!G62*(1)-'Assumptions'!G67-(0))+(('Historical Inputs'!$N$9*(1+(D65))^2)*('Assumptions'!F67+(0))))*'DCF'!G12/(1+(G65))^'DCF'!G13,(('Historical Inputs'!$N$9*(1+(D65))^4)*(('Assumptions'!H37+(E65))*(1-'Assumptions'!H42-(0))+'Assumptions'!H47-'Assumptions'!H52*(F65)+'Assumptions'!H57-'Assumptions'!H62*(1)-'Assumptions'!H67-(0))+(('Historical Inputs'!$N$9*(1+(D65))^3)*('Assumptions'!G67+(0))))*'DCF'!H12/(1+(G65))^'DCF'!H13,(('Historical Inputs'!$N$9*(1+(D65))^5)*(('Assumptions'!I37+(E65))*(1-'Assumptions'!I42-(0))+'Assumptions'!I47-'Assumptions'!I52*(F65)+'Assumptions'!I57-'Assumptions'!I62*(1)-'Assumptions'!I67-(0))+(('Historical Inputs'!$N$9*(1+(D65))^4)*('Assumptions'!H67+(0))))*'DCF'!I12/(1+(G65))^'DCF'!I13)+('Historical Inputs'!$N$9*(1+(D65))^5)*(1+(H65))*('Terminal Value'!$E$10+(E65))*(1-'Assumptions'!$E$15-(0))*(1-(H65)/('Terminal Value'!$E$12))/((G65)-(H65))/(1+(G65))^'DCF'!$E$19)+'Equity Bridge'!$E$17)/'Equity Bridge'!$E$20</x:f>
        <x:v>291.4617652716807</x:v>
      </x:c>
      <x:c r="L65" s="136"/>
      <x:c r="M65" s="136"/>
      <x:c r="N65" s="136"/>
      <x:c r="O65" s="136"/>
      <x:c r="P65" s="136"/>
      <x:c r="Q65" s="136"/>
      <x:c r="R65" s="136"/>
      <x:c r="S65" s="136"/>
      <x:c r="T65" s="136"/>
      <x:c r="U65" s="136"/>
      <x:c r="V65" s="136"/>
      <x:c r="W65" s="136"/>
      <x:c r="X65" s="240" t="n">
        <x:v>0.4770786876679436</x:v>
      </x:c>
      <x:c r="Y65" s="240" t="n">
        <x:v>0.05108053391970013</x:v>
      </x:c>
      <x:c r="Z65" s="240" t="n">
        <x:v>0.7049359438085593</x:v>
      </x:c>
      <x:c r="AA65" s="255" t="n">
        <x:v>0.06614282741945321</x:v>
      </x:c>
      <x:c r="AB65" s="255" t="n">
        <x:v>0.25983044207447414</x:v>
      </x:c>
    </x:row>
    <x:row r="66" ht="24" customHeight="1">
      <x:c r="A66" s="136"/>
      <x:c r="B66" s="136"/>
      <x:c r="C66" s="136" t="n">
        <x:f>35</x:f>
        <x:v>35</x:v>
      </x:c>
      <x:c r="D66" s="162" t="n">
        <x:f>IF(X66&lt;($E$12-$D$12)/($F$12-$D$12),$D$12+SQRT(X66*($F$12-$D$12)*($E$12-$D$12)),$F$12-SQRT((1-X66)*($F$12-$D$12)*($F$12-$E$12)))</x:f>
        <x:v>0.15457793356851482</x:v>
      </x:c>
      <x:c r="E66" s="162" t="n">
        <x:f>IF(Y66&lt;($E$13-$D$13)/($F$13-$D$13),$D$13+SQRT(Y66*($F$13-$D$13)*($E$13-$D$13)),$F$13-SQRT((1-Y66)*($F$13-$D$13)*($F$13-$E$13)))</x:f>
        <x:v>-0.005084966037334639</x:v>
      </x:c>
      <x:c r="F66" s="222" t="n">
        <x:f>IF(Z66&lt;($E$14-$D$14)/($F$14-$D$14),$D$14+SQRT(Z66*($F$14-$D$14)*($E$14-$D$14)),$F$14-SQRT((1-Z66)*($F$14-$D$14)*($F$14-$E$14)))</x:f>
        <x:v>0.9067438332245934</x:v>
      </x:c>
      <x:c r="G66" s="162" t="n">
        <x:f>IF(AA66&lt;($E$15-$D$15)/($F$15-$D$15),$D$15+SQRT(AA66*($F$15-$D$15)*($E$15-$D$15)),$F$15-SQRT((1-AA66)*($F$15-$D$15)*($F$15-$E$15)))</x:f>
        <x:v>0.10303786746453915</x:v>
      </x:c>
      <x:c r="H66" s="162" t="n">
        <x:f>IF(AB66&lt;($E$16-$D$16)/($F$16-$D$16),$D$16+SQRT(AB66*($F$16-$D$16)*($E$16-$D$16)),$F$16-SQRT((1-AB66)*($F$16-$D$16)*($F$16-$E$16)))</x:f>
        <x:v>0.028386657208312745</x:v>
      </x:c>
      <x:c r="I66" s="164" t="n">
        <x:f>'Historical Inputs'!$N$9*(1+D66)^5</x:f>
        <x:v>680837.8486411284</x:v>
      </x:c>
      <x:c r="J66" s="164" t="n">
        <x:f>I66*(1+H66)*('Terminal Value'!$E$10+E66)*(1-'Assumptions'!$E$15)*(1-H66/'Terminal Value'!$E$12)</x:f>
        <x:v>189808.13996727773</x:v>
      </x:c>
      <x:c r="K66" s="145" t="n">
        <x:f>((SUM((('Historical Inputs'!$N$9*(1+(D66))^1)*(('Assumptions'!E37+(E66))*(1-'Assumptions'!E42-(0))+'Assumptions'!E47-'Assumptions'!E52*(F66)+'Assumptions'!E57-'Assumptions'!E62*(1)-'Assumptions'!E67-(0))+('Working Capital'!$E$6))*'DCF'!E12/(1+(G66))^'DCF'!E13,(('Historical Inputs'!$N$9*(1+(D66))^2)*(('Assumptions'!F37+(E66))*(1-'Assumptions'!F42-(0))+'Assumptions'!F47-'Assumptions'!F52*(F66)+'Assumptions'!F57-'Assumptions'!F62*(1)-'Assumptions'!F67-(0))+(('Historical Inputs'!$N$9*(1+(D66))^1)*('Assumptions'!E67+(0))))*'DCF'!F12/(1+(G66))^'DCF'!F13,(('Historical Inputs'!$N$9*(1+(D66))^3)*(('Assumptions'!G37+(E66))*(1-'Assumptions'!G42-(0))+'Assumptions'!G47-'Assumptions'!G52*(F66)+'Assumptions'!G57-'Assumptions'!G62*(1)-'Assumptions'!G67-(0))+(('Historical Inputs'!$N$9*(1+(D66))^2)*('Assumptions'!F67+(0))))*'DCF'!G12/(1+(G66))^'DCF'!G13,(('Historical Inputs'!$N$9*(1+(D66))^4)*(('Assumptions'!H37+(E66))*(1-'Assumptions'!H42-(0))+'Assumptions'!H47-'Assumptions'!H52*(F66)+'Assumptions'!H57-'Assumptions'!H62*(1)-'Assumptions'!H67-(0))+(('Historical Inputs'!$N$9*(1+(D66))^3)*('Assumptions'!G67+(0))))*'DCF'!H12/(1+(G66))^'DCF'!H13,(('Historical Inputs'!$N$9*(1+(D66))^5)*(('Assumptions'!I37+(E66))*(1-'Assumptions'!I42-(0))+'Assumptions'!I47-'Assumptions'!I52*(F66)+'Assumptions'!I57-'Assumptions'!I62*(1)-'Assumptions'!I67-(0))+(('Historical Inputs'!$N$9*(1+(D66))^4)*('Assumptions'!H67+(0))))*'DCF'!I12/(1+(G66))^'DCF'!I13)+('Historical Inputs'!$N$9*(1+(D66))^5)*(1+(H66))*('Terminal Value'!$E$10+(E66))*(1-'Assumptions'!$E$15-(0))*(1-(H66)/('Terminal Value'!$E$12))/((G66)-(H66))/(1+(G66))^'DCF'!$E$19)+'Equity Bridge'!$E$17)/'Equity Bridge'!$E$20</x:f>
        <x:v>276.69669263921963</x:v>
      </x:c>
      <x:c r="L66" s="136"/>
      <x:c r="M66" s="136"/>
      <x:c r="N66" s="136"/>
      <x:c r="O66" s="136"/>
      <x:c r="P66" s="136"/>
      <x:c r="Q66" s="136"/>
      <x:c r="R66" s="136"/>
      <x:c r="S66" s="136"/>
      <x:c r="T66" s="136"/>
      <x:c r="U66" s="136"/>
      <x:c r="V66" s="136"/>
      <x:c r="W66" s="136"/>
      <x:c r="X66" s="240" t="n">
        <x:v>0.7007856263130469</x:v>
      </x:c>
      <x:c r="Y66" s="240" t="n">
        <x:v>0.4034720551734765</x:v>
      </x:c>
      <x:c r="Z66" s="240" t="n">
        <x:v>0.06133071636229459</x:v>
      </x:c>
      <x:c r="AA66" s="255" t="n">
        <x:v>0.7731987929907185</x:v>
      </x:c>
      <x:c r="AB66" s="255" t="n">
        <x:v>0.3516800956487207</x:v>
      </x:c>
    </x:row>
    <x:row r="67" ht="24" customHeight="1">
      <x:c r="A67" s="136"/>
      <x:c r="B67" s="136"/>
      <x:c r="C67" s="136" t="n">
        <x:f>36</x:f>
        <x:v>36</x:v>
      </x:c>
      <x:c r="D67" s="162" t="n">
        <x:f>IF(X67&lt;($E$12-$D$12)/($F$12-$D$12),$D$12+SQRT(X67*($F$12-$D$12)*($E$12-$D$12)),$F$12-SQRT((1-X67)*($F$12-$D$12)*($F$12-$E$12)))</x:f>
        <x:v>0.1541362505528428</x:v>
      </x:c>
      <x:c r="E67" s="162" t="n">
        <x:f>IF(Y67&lt;($E$13-$D$13)/($F$13-$D$13),$D$13+SQRT(Y67*($F$13-$D$13)*($E$13-$D$13)),$F$13-SQRT((1-Y67)*($F$13-$D$13)*($F$13-$E$13)))</x:f>
        <x:v>0.0339392343130335</x:v>
      </x:c>
      <x:c r="F67" s="222" t="n">
        <x:f>IF(Z67&lt;($E$14-$D$14)/($F$14-$D$14),$D$14+SQRT(Z67*($F$14-$D$14)*($E$14-$D$14)),$F$14-SQRT((1-Z67)*($F$14-$D$14)*($F$14-$E$14)))</x:f>
        <x:v>1.0484940893151133</x:v>
      </x:c>
      <x:c r="G67" s="162" t="n">
        <x:f>IF(AA67&lt;($E$15-$D$15)/($F$15-$D$15),$D$15+SQRT(AA67*($F$15-$D$15)*($E$15-$D$15)),$F$15-SQRT((1-AA67)*($F$15-$D$15)*($F$15-$E$15)))</x:f>
        <x:v>0.09447758312736038</x:v>
      </x:c>
      <x:c r="H67" s="162" t="n">
        <x:f>IF(AB67&lt;($E$16-$D$16)/($F$16-$D$16),$D$16+SQRT(AB67*($F$16-$D$16)*($E$16-$D$16)),$F$16-SQRT((1-AB67)*($F$16-$D$16)*($F$16-$E$16)))</x:f>
        <x:v>0.027117887333302185</x:v>
      </x:c>
      <x:c r="I67" s="164" t="n">
        <x:f>'Historical Inputs'!$N$9*(1+D67)^5</x:f>
        <x:v>679536.5743089172</x:v>
      </x:c>
      <x:c r="J67" s="164" t="n">
        <x:f>I67*(1+H67)*('Terminal Value'!$E$10+E67)*(1-'Assumptions'!$E$15)*(1-H67/'Terminal Value'!$E$12)</x:f>
        <x:v>209446.0140759292</x:v>
      </x:c>
      <x:c r="K67" s="145" t="n">
        <x:f>((SUM((('Historical Inputs'!$N$9*(1+(D67))^1)*(('Assumptions'!E37+(E67))*(1-'Assumptions'!E42-(0))+'Assumptions'!E47-'Assumptions'!E52*(F67)+'Assumptions'!E57-'Assumptions'!E62*(1)-'Assumptions'!E67-(0))+('Working Capital'!$E$6))*'DCF'!E12/(1+(G67))^'DCF'!E13,(('Historical Inputs'!$N$9*(1+(D67))^2)*(('Assumptions'!F37+(E67))*(1-'Assumptions'!F42-(0))+'Assumptions'!F47-'Assumptions'!F52*(F67)+'Assumptions'!F57-'Assumptions'!F62*(1)-'Assumptions'!F67-(0))+(('Historical Inputs'!$N$9*(1+(D67))^1)*('Assumptions'!E67+(0))))*'DCF'!F12/(1+(G67))^'DCF'!F13,(('Historical Inputs'!$N$9*(1+(D67))^3)*(('Assumptions'!G37+(E67))*(1-'Assumptions'!G42-(0))+'Assumptions'!G47-'Assumptions'!G52*(F67)+'Assumptions'!G57-'Assumptions'!G62*(1)-'Assumptions'!G67-(0))+(('Historical Inputs'!$N$9*(1+(D67))^2)*('Assumptions'!F67+(0))))*'DCF'!G12/(1+(G67))^'DCF'!G13,(('Historical Inputs'!$N$9*(1+(D67))^4)*(('Assumptions'!H37+(E67))*(1-'Assumptions'!H42-(0))+'Assumptions'!H47-'Assumptions'!H52*(F67)+'Assumptions'!H57-'Assumptions'!H62*(1)-'Assumptions'!H67-(0))+(('Historical Inputs'!$N$9*(1+(D67))^3)*('Assumptions'!G67+(0))))*'DCF'!H12/(1+(G67))^'DCF'!H13,(('Historical Inputs'!$N$9*(1+(D67))^5)*(('Assumptions'!I37+(E67))*(1-'Assumptions'!I42-(0))+'Assumptions'!I47-'Assumptions'!I52*(F67)+'Assumptions'!I57-'Assumptions'!I62*(1)-'Assumptions'!I67-(0))+(('Historical Inputs'!$N$9*(1+(D67))^4)*('Assumptions'!H67+(0))))*'DCF'!I12/(1+(G67))^'DCF'!I13)+('Historical Inputs'!$N$9*(1+(D67))^5)*(1+(H67))*('Terminal Value'!$E$10+(E67))*(1-'Assumptions'!$E$15-(0))*(1-(H67)/('Terminal Value'!$E$12))/((G67)-(H67))/(1+(G67))^'DCF'!$E$19)+'Equity Bridge'!$E$17)/'Equity Bridge'!$E$20</x:f>
        <x:v>334.6901475894748</x:v>
      </x:c>
      <x:c r="L67" s="136"/>
      <x:c r="M67" s="136"/>
      <x:c r="N67" s="136"/>
      <x:c r="O67" s="136"/>
      <x:c r="P67" s="136"/>
      <x:c r="Q67" s="136"/>
      <x:c r="R67" s="136"/>
      <x:c r="S67" s="136"/>
      <x:c r="T67" s="136"/>
      <x:c r="U67" s="136"/>
      <x:c r="V67" s="136"/>
      <x:c r="W67" s="136"/>
      <x:c r="X67" s="240" t="n">
        <x:v>0.6939130509977662</x:v>
      </x:c>
      <x:c r="Y67" s="240" t="n">
        <x:v>0.9484103611096719</x:v>
      </x:c>
      <x:c r="Z67" s="240" t="n">
        <x:v>0.6720851289649024</x:v>
      </x:c>
      <x:c r="AA67" s="255" t="n">
        <x:v>0.2856275946016985</x:v>
      </x:c>
      <x:c r="AB67" s="255" t="n">
        <x:v>0.2533216004479185</x:v>
      </x:c>
    </x:row>
    <x:row r="68" ht="24" customHeight="1">
      <x:c r="A68" s="136"/>
      <x:c r="B68" s="136"/>
      <x:c r="C68" s="136" t="n">
        <x:f>37</x:f>
        <x:v>37</x:v>
      </x:c>
      <x:c r="D68" s="162" t="n">
        <x:f>IF(X68&lt;($E$12-$D$12)/($F$12-$D$12),$D$12+SQRT(X68*($F$12-$D$12)*($E$12-$D$12)),$F$12-SQRT((1-X68)*($F$12-$D$12)*($F$12-$E$12)))</x:f>
        <x:v>0.10914844544407663</x:v>
      </x:c>
      <x:c r="E68" s="162" t="n">
        <x:f>IF(Y68&lt;($E$13-$D$13)/($F$13-$D$13),$D$13+SQRT(Y68*($F$13-$D$13)*($E$13-$D$13)),$F$13-SQRT((1-Y68)*($F$13-$D$13)*($F$13-$E$13)))</x:f>
        <x:v>-0.01953374792926809</x:v>
      </x:c>
      <x:c r="F68" s="222" t="n">
        <x:f>IF(Z68&lt;($E$14-$D$14)/($F$14-$D$14),$D$14+SQRT(Z68*($F$14-$D$14)*($E$14-$D$14)),$F$14-SQRT((1-Z68)*($F$14-$D$14)*($F$14-$E$14)))</x:f>
        <x:v>1.0345614901607014</x:v>
      </x:c>
      <x:c r="G68" s="162" t="n">
        <x:f>IF(AA68&lt;($E$15-$D$15)/($F$15-$D$15),$D$15+SQRT(AA68*($F$15-$D$15)*($E$15-$D$15)),$F$15-SQRT((1-AA68)*($F$15-$D$15)*($F$15-$E$15)))</x:f>
        <x:v>0.10052565330176401</x:v>
      </x:c>
      <x:c r="H68" s="162" t="n">
        <x:f>IF(AB68&lt;($E$16-$D$16)/($F$16-$D$16),$D$16+SQRT(AB68*($F$16-$D$16)*($E$16-$D$16)),$F$16-SQRT((1-AB68)*($F$16-$D$16)*($F$16-$E$16)))</x:f>
        <x:v>0.027726732989347042</x:v>
      </x:c>
      <x:c r="I68" s="164" t="n">
        <x:f>'Historical Inputs'!$N$9*(1+D68)^5</x:f>
        <x:v>557026.4273715633</x:v>
      </x:c>
      <x:c r="J68" s="164" t="n">
        <x:f>I68*(1+H68)*('Terminal Value'!$E$10+E68)*(1-'Assumptions'!$E$15)*(1-H68/'Terminal Value'!$E$12)</x:f>
        <x:v>150088.51996089626</x:v>
      </x:c>
      <x:c r="K68" s="145" t="n">
        <x:f>((SUM((('Historical Inputs'!$N$9*(1+(D68))^1)*(('Assumptions'!E37+(E68))*(1-'Assumptions'!E42-(0))+'Assumptions'!E47-'Assumptions'!E52*(F68)+'Assumptions'!E57-'Assumptions'!E62*(1)-'Assumptions'!E67-(0))+('Working Capital'!$E$6))*'DCF'!E12/(1+(G68))^'DCF'!E13,(('Historical Inputs'!$N$9*(1+(D68))^2)*(('Assumptions'!F37+(E68))*(1-'Assumptions'!F42-(0))+'Assumptions'!F47-'Assumptions'!F52*(F68)+'Assumptions'!F57-'Assumptions'!F62*(1)-'Assumptions'!F67-(0))+(('Historical Inputs'!$N$9*(1+(D68))^1)*('Assumptions'!E67+(0))))*'DCF'!F12/(1+(G68))^'DCF'!F13,(('Historical Inputs'!$N$9*(1+(D68))^3)*(('Assumptions'!G37+(E68))*(1-'Assumptions'!G42-(0))+'Assumptions'!G47-'Assumptions'!G52*(F68)+'Assumptions'!G57-'Assumptions'!G62*(1)-'Assumptions'!G67-(0))+(('Historical Inputs'!$N$9*(1+(D68))^2)*('Assumptions'!F67+(0))))*'DCF'!G12/(1+(G68))^'DCF'!G13,(('Historical Inputs'!$N$9*(1+(D68))^4)*(('Assumptions'!H37+(E68))*(1-'Assumptions'!H42-(0))+'Assumptions'!H47-'Assumptions'!H52*(F68)+'Assumptions'!H57-'Assumptions'!H62*(1)-'Assumptions'!H67-(0))+(('Historical Inputs'!$N$9*(1+(D68))^3)*('Assumptions'!G67+(0))))*'DCF'!H12/(1+(G68))^'DCF'!H13,(('Historical Inputs'!$N$9*(1+(D68))^5)*(('Assumptions'!I37+(E68))*(1-'Assumptions'!I42-(0))+'Assumptions'!I47-'Assumptions'!I52*(F68)+'Assumptions'!I57-'Assumptions'!I62*(1)-'Assumptions'!I67-(0))+(('Historical Inputs'!$N$9*(1+(D68))^4)*('Assumptions'!H67+(0))))*'DCF'!I12/(1+(G68))^'DCF'!I13)+('Historical Inputs'!$N$9*(1+(D68))^5)*(1+(H68))*('Terminal Value'!$E$10+(E68))*(1-'Assumptions'!$E$15-(0))*(1-(H68)/('Terminal Value'!$E$12))/((G68)-(H68))/(1+(G68))^'DCF'!$E$19)+'Equity Bridge'!$E$17)/'Equity Bridge'!$E$20</x:f>
        <x:v>219.95595901727697</x:v>
      </x:c>
      <x:c r="L68" s="136"/>
      <x:c r="M68" s="136"/>
      <x:c r="N68" s="136"/>
      <x:c r="O68" s="136"/>
      <x:c r="P68" s="136"/>
      <x:c r="Q68" s="136"/>
      <x:c r="R68" s="136"/>
      <x:c r="S68" s="136"/>
      <x:c r="T68" s="136"/>
      <x:c r="U68" s="136"/>
      <x:c r="V68" s="136"/>
      <x:c r="W68" s="136"/>
      <x:c r="X68" s="240" t="n">
        <x:v>0.05050746892146807</x:v>
      </x:c>
      <x:c r="Y68" s="240" t="n">
        <x:v>0.1856385030474753</x:v>
      </x:c>
      <x:c r="Z68" s="240" t="n">
        <x:v>0.6090014208878907</x:v>
      </x:c>
      <x:c r="AA68" s="255" t="n">
        <x:v>0.646375423356111</x:v>
      </x:c>
      <x:c r="AB68" s="255" t="n">
        <x:v>0.29851201344331957</x:v>
      </x:c>
    </x:row>
    <x:row r="69" ht="24" customHeight="1">
      <x:c r="A69" s="136"/>
      <x:c r="B69" s="136"/>
      <x:c r="C69" s="136" t="n">
        <x:f>38</x:f>
        <x:v>38</x:v>
      </x:c>
      <x:c r="D69" s="162" t="n">
        <x:f>IF(X69&lt;($E$12-$D$12)/($F$12-$D$12),$D$12+SQRT(X69*($F$12-$D$12)*($E$12-$D$12)),$F$12-SQRT((1-X69)*($F$12-$D$12)*($F$12-$E$12)))</x:f>
        <x:v>0.1622925447326809</x:v>
      </x:c>
      <x:c r="E69" s="162" t="n">
        <x:f>IF(Y69&lt;($E$13-$D$13)/($F$13-$D$13),$D$13+SQRT(Y69*($F$13-$D$13)*($E$13-$D$13)),$F$13-SQRT((1-Y69)*($F$13-$D$13)*($F$13-$E$13)))</x:f>
        <x:v>-0.003971758166302013</x:v>
      </x:c>
      <x:c r="F69" s="222" t="n">
        <x:f>IF(Z69&lt;($E$14-$D$14)/($F$14-$D$14),$D$14+SQRT(Z69*($F$14-$D$14)*($E$14-$D$14)),$F$14-SQRT((1-Z69)*($F$14-$D$14)*($F$14-$E$14)))</x:f>
        <x:v>1.1244343713154688</x:v>
      </x:c>
      <x:c r="G69" s="162" t="n">
        <x:f>IF(AA69&lt;($E$15-$D$15)/($F$15-$D$15),$D$15+SQRT(AA69*($F$15-$D$15)*($E$15-$D$15)),$F$15-SQRT((1-AA69)*($F$15-$D$15)*($F$15-$E$15)))</x:f>
        <x:v>0.09562788490299771</x:v>
      </x:c>
      <x:c r="H69" s="162" t="n">
        <x:f>IF(AB69&lt;($E$16-$D$16)/($F$16-$D$16),$D$16+SQRT(AB69*($F$16-$D$16)*($E$16-$D$16)),$F$16-SQRT((1-AB69)*($F$16-$D$16)*($F$16-$E$16)))</x:f>
        <x:v>0.03177377942965144</x:v>
      </x:c>
      <x:c r="I69" s="164" t="n">
        <x:f>'Historical Inputs'!$N$9*(1+D69)^5</x:f>
        <x:v>703889.8237724733</x:v>
      </x:c>
      <x:c r="J69" s="164" t="n">
        <x:f>I69*(1+H69)*('Terminal Value'!$E$10+E69)*(1-'Assumptions'!$E$15)*(1-H69/'Terminal Value'!$E$12)</x:f>
        <x:v>193539.23076619967</x:v>
      </x:c>
      <x:c r="K69" s="145" t="n">
        <x:f>((SUM((('Historical Inputs'!$N$9*(1+(D69))^1)*(('Assumptions'!E37+(E69))*(1-'Assumptions'!E42-(0))+'Assumptions'!E47-'Assumptions'!E52*(F69)+'Assumptions'!E57-'Assumptions'!E62*(1)-'Assumptions'!E67-(0))+('Working Capital'!$E$6))*'DCF'!E12/(1+(G69))^'DCF'!E13,(('Historical Inputs'!$N$9*(1+(D69))^2)*(('Assumptions'!F37+(E69))*(1-'Assumptions'!F42-(0))+'Assumptions'!F47-'Assumptions'!F52*(F69)+'Assumptions'!F57-'Assumptions'!F62*(1)-'Assumptions'!F67-(0))+(('Historical Inputs'!$N$9*(1+(D69))^1)*('Assumptions'!E67+(0))))*'DCF'!F12/(1+(G69))^'DCF'!F13,(('Historical Inputs'!$N$9*(1+(D69))^3)*(('Assumptions'!G37+(E69))*(1-'Assumptions'!G42-(0))+'Assumptions'!G47-'Assumptions'!G52*(F69)+'Assumptions'!G57-'Assumptions'!G62*(1)-'Assumptions'!G67-(0))+(('Historical Inputs'!$N$9*(1+(D69))^2)*('Assumptions'!F67+(0))))*'DCF'!G12/(1+(G69))^'DCF'!G13,(('Historical Inputs'!$N$9*(1+(D69))^4)*(('Assumptions'!H37+(E69))*(1-'Assumptions'!H42-(0))+'Assumptions'!H47-'Assumptions'!H52*(F69)+'Assumptions'!H57-'Assumptions'!H62*(1)-'Assumptions'!H67-(0))+(('Historical Inputs'!$N$9*(1+(D69))^3)*('Assumptions'!G67+(0))))*'DCF'!H12/(1+(G69))^'DCF'!H13,(('Historical Inputs'!$N$9*(1+(D69))^5)*(('Assumptions'!I37+(E69))*(1-'Assumptions'!I42-(0))+'Assumptions'!I47-'Assumptions'!I52*(F69)+'Assumptions'!I57-'Assumptions'!I62*(1)-'Assumptions'!I67-(0))+(('Historical Inputs'!$N$9*(1+(D69))^4)*('Assumptions'!H67+(0))))*'DCF'!I12/(1+(G69))^'DCF'!I13)+('Historical Inputs'!$N$9*(1+(D69))^5)*(1+(H69))*('Terminal Value'!$E$10+(E69))*(1-'Assumptions'!$E$15-(0))*(1-(H69)/('Terminal Value'!$E$12))/((G69)-(H69))/(1+(G69))^'DCF'!$E$19)+'Equity Bridge'!$E$17)/'Equity Bridge'!$E$20</x:f>
        <x:v>314.5872182067262</x:v>
      </x:c>
      <x:c r="L69" s="136"/>
      <x:c r="M69" s="136"/>
      <x:c r="N69" s="136"/>
      <x:c r="O69" s="136"/>
      <x:c r="P69" s="136"/>
      <x:c r="Q69" s="136"/>
      <x:c r="R69" s="136"/>
      <x:c r="S69" s="136"/>
      <x:c r="T69" s="136"/>
      <x:c r="U69" s="136"/>
      <x:c r="V69" s="136"/>
      <x:c r="W69" s="136"/>
      <x:c r="X69" s="240" t="n">
        <x:v>0.8082402316667529</x:v>
      </x:c>
      <x:c r="Y69" s="240" t="n">
        <x:v>0.4237198092602771</x:v>
      </x:c>
      <x:c r="Z69" s="240" t="n">
        <x:v>0.9184262251644506</x:v>
      </x:c>
      <x:c r="AA69" s="255" t="n">
        <x:v>0.3465289914649542</x:v>
      </x:c>
      <x:c r="AB69" s="255" t="n">
        <x:v>0.6616464756398712</x:v>
      </x:c>
    </x:row>
    <x:row r="70" ht="24" customHeight="1">
      <x:c r="A70" s="136"/>
      <x:c r="B70" s="136"/>
      <x:c r="C70" s="136" t="n">
        <x:f>39</x:f>
        <x:v>39</x:v>
      </x:c>
      <x:c r="D70" s="162" t="n">
        <x:f>IF(X70&lt;($E$12-$D$12)/($F$12-$D$12),$D$12+SQRT(X70*($F$12-$D$12)*($E$12-$D$12)),$F$12-SQRT((1-X70)*($F$12-$D$12)*($F$12-$E$12)))</x:f>
        <x:v>0.12571245645227072</x:v>
      </x:c>
      <x:c r="E70" s="162" t="n">
        <x:f>IF(Y70&lt;($E$13-$D$13)/($F$13-$D$13),$D$13+SQRT(Y70*($F$13-$D$13)*($E$13-$D$13)),$F$13-SQRT((1-Y70)*($F$13-$D$13)*($F$13-$E$13)))</x:f>
        <x:v>-0.013389249658062874</x:v>
      </x:c>
      <x:c r="F70" s="222" t="n">
        <x:f>IF(Z70&lt;($E$14-$D$14)/($F$14-$D$14),$D$14+SQRT(Z70*($F$14-$D$14)*($E$14-$D$14)),$F$14-SQRT((1-Z70)*($F$14-$D$14)*($F$14-$E$14)))</x:f>
        <x:v>1.0167349309872837</x:v>
      </x:c>
      <x:c r="G70" s="162" t="n">
        <x:f>IF(AA70&lt;($E$15-$D$15)/($F$15-$D$15),$D$15+SQRT(AA70*($F$15-$D$15)*($E$15-$D$15)),$F$15-SQRT((1-AA70)*($F$15-$D$15)*($F$15-$E$15)))</x:f>
        <x:v>0.1094566237982525</x:v>
      </x:c>
      <x:c r="H70" s="162" t="n">
        <x:f>IF(AB70&lt;($E$16-$D$16)/($F$16-$D$16),$D$16+SQRT(AB70*($F$16-$D$16)*($E$16-$D$16)),$F$16-SQRT((1-AB70)*($F$16-$D$16)*($F$16-$E$16)))</x:f>
        <x:v>0.028702085104483813</x:v>
      </x:c>
      <x:c r="I70" s="164" t="n">
        <x:f>'Historical Inputs'!$N$9*(1+D70)^5</x:f>
        <x:v>599880.5551854144</x:v>
      </x:c>
      <x:c r="J70" s="164" t="n">
        <x:f>I70*(1+H70)*('Terminal Value'!$E$10+E70)*(1-'Assumptions'!$E$15)*(1-H70/'Terminal Value'!$E$12)</x:f>
        <x:v>163470.87938788807</x:v>
      </x:c>
      <x:c r="K70" s="145" t="n">
        <x:f>((SUM((('Historical Inputs'!$N$9*(1+(D70))^1)*(('Assumptions'!E37+(E70))*(1-'Assumptions'!E42-(0))+'Assumptions'!E47-'Assumptions'!E52*(F70)+'Assumptions'!E57-'Assumptions'!E62*(1)-'Assumptions'!E67-(0))+('Working Capital'!$E$6))*'DCF'!E12/(1+(G70))^'DCF'!E13,(('Historical Inputs'!$N$9*(1+(D70))^2)*(('Assumptions'!F37+(E70))*(1-'Assumptions'!F42-(0))+'Assumptions'!F47-'Assumptions'!F52*(F70)+'Assumptions'!F57-'Assumptions'!F62*(1)-'Assumptions'!F67-(0))+(('Historical Inputs'!$N$9*(1+(D70))^1)*('Assumptions'!E67+(0))))*'DCF'!F12/(1+(G70))^'DCF'!F13,(('Historical Inputs'!$N$9*(1+(D70))^3)*(('Assumptions'!G37+(E70))*(1-'Assumptions'!G42-(0))+'Assumptions'!G47-'Assumptions'!G52*(F70)+'Assumptions'!G57-'Assumptions'!G62*(1)-'Assumptions'!G67-(0))+(('Historical Inputs'!$N$9*(1+(D70))^2)*('Assumptions'!F67+(0))))*'DCF'!G12/(1+(G70))^'DCF'!G13,(('Historical Inputs'!$N$9*(1+(D70))^4)*(('Assumptions'!H37+(E70))*(1-'Assumptions'!H42-(0))+'Assumptions'!H47-'Assumptions'!H52*(F70)+'Assumptions'!H57-'Assumptions'!H62*(1)-'Assumptions'!H67-(0))+(('Historical Inputs'!$N$9*(1+(D70))^3)*('Assumptions'!G67+(0))))*'DCF'!H12/(1+(G70))^'DCF'!H13,(('Historical Inputs'!$N$9*(1+(D70))^5)*(('Assumptions'!I37+(E70))*(1-'Assumptions'!I42-(0))+'Assumptions'!I47-'Assumptions'!I52*(F70)+'Assumptions'!I57-'Assumptions'!I62*(1)-'Assumptions'!I67-(0))+(('Historical Inputs'!$N$9*(1+(D70))^4)*('Assumptions'!H67+(0))))*'DCF'!I12/(1+(G70))^'DCF'!I13)+('Historical Inputs'!$N$9*(1+(D70))^5)*(1+(H70))*('Terminal Value'!$E$10+(E70))*(1-'Assumptions'!$E$15-(0))*(1-(H70)/('Terminal Value'!$E$12))/((G70)-(H70))/(1+(G70))^'DCF'!$E$19)+'Equity Bridge'!$E$17)/'Equity Bridge'!$E$20</x:f>
        <x:v>213.90341791113394</x:v>
      </x:c>
      <x:c r="L70" s="136"/>
      <x:c r="M70" s="136"/>
      <x:c r="N70" s="136"/>
      <x:c r="O70" s="136"/>
      <x:c r="P70" s="136"/>
      <x:c r="Q70" s="136"/>
      <x:c r="R70" s="136"/>
      <x:c r="S70" s="136"/>
      <x:c r="T70" s="136"/>
      <x:c r="U70" s="136"/>
      <x:c r="V70" s="136"/>
      <x:c r="W70" s="136"/>
      <x:c r="X70" s="240" t="n">
        <x:v>0.21067104735528164</x:v>
      </x:c>
      <x:c r="Y70" s="240" t="n">
        <x:v>0.26806940811992985</x:v>
      </x:c>
      <x:c r="Z70" s="240" t="n">
        <x:v>0.5201987782823485</x:v>
      </x:c>
      <x:c r="AA70" s="255" t="n">
        <x:v>0.9698444869877078</x:v>
      </x:c>
      <x:c r="AB70" s="255" t="n">
        <x:v>0.37863142582839526</x:v>
      </x:c>
    </x:row>
    <x:row r="71" ht="24" customHeight="1">
      <x:c r="A71" s="136"/>
      <x:c r="B71" s="136"/>
      <x:c r="C71" s="136" t="n">
        <x:f>40</x:f>
        <x:v>40</x:v>
      </x:c>
      <x:c r="D71" s="162" t="n">
        <x:f>IF(X71&lt;($E$12-$D$12)/($F$12-$D$12),$D$12+SQRT(X71*($F$12-$D$12)*($E$12-$D$12)),$F$12-SQRT((1-X71)*($F$12-$D$12)*($F$12-$E$12)))</x:f>
        <x:v>0.13870583096682632</x:v>
      </x:c>
      <x:c r="E71" s="162" t="n">
        <x:f>IF(Y71&lt;($E$13-$D$13)/($F$13-$D$13),$D$13+SQRT(Y71*($F$13-$D$13)*($E$13-$D$13)),$F$13-SQRT((1-Y71)*($F$13-$D$13)*($F$13-$E$13)))</x:f>
        <x:v>-0.006479376588542758</x:v>
      </x:c>
      <x:c r="F71" s="222" t="n">
        <x:f>IF(Z71&lt;($E$14-$D$14)/($F$14-$D$14),$D$14+SQRT(Z71*($F$14-$D$14)*($E$14-$D$14)),$F$14-SQRT((1-Z71)*($F$14-$D$14)*($F$14-$E$14)))</x:f>
        <x:v>1.112017130634411</x:v>
      </x:c>
      <x:c r="G71" s="162" t="n">
        <x:f>IF(AA71&lt;($E$15-$D$15)/($F$15-$D$15),$D$15+SQRT(AA71*($F$15-$D$15)*($E$15-$D$15)),$F$15-SQRT((1-AA71)*($F$15-$D$15)*($F$15-$E$15)))</x:f>
        <x:v>0.09902764589004673</x:v>
      </x:c>
      <x:c r="H71" s="162" t="n">
        <x:f>IF(AB71&lt;($E$16-$D$16)/($F$16-$D$16),$D$16+SQRT(AB71*($F$16-$D$16)*($E$16-$D$16)),$F$16-SQRT((1-AB71)*($F$16-$D$16)*($F$16-$E$16)))</x:f>
        <x:v>0.03231779742222749</x:v>
      </x:c>
      <x:c r="I71" s="164" t="n">
        <x:f>'Historical Inputs'!$N$9*(1+D71)^5</x:f>
        <x:v>635309.2061883408</x:v>
      </x:c>
      <x:c r="J71" s="164" t="n">
        <x:f>I71*(1+H71)*('Terminal Value'!$E$10+E71)*(1-'Assumptions'!$E$15)*(1-H71/'Terminal Value'!$E$12)</x:f>
        <x:v>173106.35919618123</x:v>
      </x:c>
      <x:c r="K71" s="145" t="n">
        <x:f>((SUM((('Historical Inputs'!$N$9*(1+(D71))^1)*(('Assumptions'!E37+(E71))*(1-'Assumptions'!E42-(0))+'Assumptions'!E47-'Assumptions'!E52*(F71)+'Assumptions'!E57-'Assumptions'!E62*(1)-'Assumptions'!E67-(0))+('Working Capital'!$E$6))*'DCF'!E12/(1+(G71))^'DCF'!E13,(('Historical Inputs'!$N$9*(1+(D71))^2)*(('Assumptions'!F37+(E71))*(1-'Assumptions'!F42-(0))+'Assumptions'!F47-'Assumptions'!F52*(F71)+'Assumptions'!F57-'Assumptions'!F62*(1)-'Assumptions'!F67-(0))+(('Historical Inputs'!$N$9*(1+(D71))^1)*('Assumptions'!E67+(0))))*'DCF'!F12/(1+(G71))^'DCF'!F13,(('Historical Inputs'!$N$9*(1+(D71))^3)*(('Assumptions'!G37+(E71))*(1-'Assumptions'!G42-(0))+'Assumptions'!G47-'Assumptions'!G52*(F71)+'Assumptions'!G57-'Assumptions'!G62*(1)-'Assumptions'!G67-(0))+(('Historical Inputs'!$N$9*(1+(D71))^2)*('Assumptions'!F67+(0))))*'DCF'!G12/(1+(G71))^'DCF'!G13,(('Historical Inputs'!$N$9*(1+(D71))^4)*(('Assumptions'!H37+(E71))*(1-'Assumptions'!H42-(0))+'Assumptions'!H47-'Assumptions'!H52*(F71)+'Assumptions'!H57-'Assumptions'!H62*(1)-'Assumptions'!H67-(0))+(('Historical Inputs'!$N$9*(1+(D71))^3)*('Assumptions'!G67+(0))))*'DCF'!H12/(1+(G71))^'DCF'!H13,(('Historical Inputs'!$N$9*(1+(D71))^5)*(('Assumptions'!I37+(E71))*(1-'Assumptions'!I42-(0))+'Assumptions'!I47-'Assumptions'!I52*(F71)+'Assumptions'!I57-'Assumptions'!I62*(1)-'Assumptions'!I67-(0))+(('Historical Inputs'!$N$9*(1+(D71))^4)*('Assumptions'!H67+(0))))*'DCF'!I12/(1+(G71))^'DCF'!I13)+('Historical Inputs'!$N$9*(1+(D71))^5)*(1+(H71))*('Terminal Value'!$E$10+(E71))*(1-'Assumptions'!$E$15-(0))*(1-(H71)/('Terminal Value'!$E$12))/((G71)-(H71))/(1+(G71))^'DCF'!$E$19)+'Equity Bridge'!$E$17)/'Equity Bridge'!$E$20</x:f>
        <x:v>269.36657964878805</x:v>
      </x:c>
      <x:c r="L71" s="136"/>
      <x:c r="M71" s="136"/>
      <x:c r="N71" s="136"/>
      <x:c r="O71" s="136"/>
      <x:c r="P71" s="136"/>
      <x:c r="Q71" s="136"/>
      <x:c r="R71" s="136"/>
      <x:c r="S71" s="136"/>
      <x:c r="T71" s="136"/>
      <x:c r="U71" s="136"/>
      <x:c r="V71" s="136"/>
      <x:c r="W71" s="136"/>
      <x:c r="X71" s="240" t="n">
        <x:v>0.4131188504628086</x:v>
      </x:c>
      <x:c r="Y71" s="240" t="n">
        <x:v>0.3788089324243761</x:v>
      </x:c>
      <x:c r="Z71" s="240" t="n">
        <x:v>0.8894144956885387</x:v>
      </x:c>
      <x:c r="AA71" s="255" t="n">
        <x:v>0.5574023071276509</x:v>
      </x:c>
      <x:c r="AB71" s="255" t="n">
        <x:v>0.7049188177703274</x:v>
      </x:c>
    </x:row>
    <x:row r="72" ht="24" customHeight="1">
      <x:c r="A72" s="136"/>
      <x:c r="B72" s="136"/>
      <x:c r="C72" s="136" t="n">
        <x:f>41</x:f>
        <x:v>41</x:v>
      </x:c>
      <x:c r="D72" s="162" t="n">
        <x:f>IF(X72&lt;($E$12-$D$12)/($F$12-$D$12),$D$12+SQRT(X72*($F$12-$D$12)*($E$12-$D$12)),$F$12-SQRT((1-X72)*($F$12-$D$12)*($F$12-$E$12)))</x:f>
        <x:v>0.1678242561824817</x:v>
      </x:c>
      <x:c r="E72" s="162" t="n">
        <x:f>IF(Y72&lt;($E$13-$D$13)/($F$13-$D$13),$D$13+SQRT(Y72*($F$13-$D$13)*($E$13-$D$13)),$F$13-SQRT((1-Y72)*($F$13-$D$13)*($F$13-$E$13)))</x:f>
        <x:v>-0.03442761090111194</x:v>
      </x:c>
      <x:c r="F72" s="222" t="n">
        <x:f>IF(Z72&lt;($E$14-$D$14)/($F$14-$D$14),$D$14+SQRT(Z72*($F$14-$D$14)*($E$14-$D$14)),$F$14-SQRT((1-Z72)*($F$14-$D$14)*($F$14-$E$14)))</x:f>
        <x:v>1.0888080325492457</x:v>
      </x:c>
      <x:c r="G72" s="162" t="n">
        <x:f>IF(AA72&lt;($E$15-$D$15)/($F$15-$D$15),$D$15+SQRT(AA72*($F$15-$D$15)*($E$15-$D$15)),$F$15-SQRT((1-AA72)*($F$15-$D$15)*($F$15-$E$15)))</x:f>
        <x:v>0.10050577803783452</x:v>
      </x:c>
      <x:c r="H72" s="162" t="n">
        <x:f>IF(AB72&lt;($E$16-$D$16)/($F$16-$D$16),$D$16+SQRT(AB72*($F$16-$D$16)*($E$16-$D$16)),$F$16-SQRT((1-AB72)*($F$16-$D$16)*($F$16-$E$16)))</x:f>
        <x:v>0.028159071385105254</x:v>
      </x:c>
      <x:c r="I72" s="164" t="n">
        <x:f>'Historical Inputs'!$N$9*(1+D72)^5</x:f>
        <x:v>720800.174924355</x:v>
      </x:c>
      <x:c r="J72" s="164" t="n">
        <x:f>I72*(1+H72)*('Terminal Value'!$E$10+E72)*(1-'Assumptions'!$E$15)*(1-H72/'Terminal Value'!$E$12)</x:f>
        <x:v>186223.79990630577</x:v>
      </x:c>
      <x:c r="K72" s="145" t="n">
        <x:f>((SUM((('Historical Inputs'!$N$9*(1+(D72))^1)*(('Assumptions'!E37+(E72))*(1-'Assumptions'!E42-(0))+'Assumptions'!E47-'Assumptions'!E52*(F72)+'Assumptions'!E57-'Assumptions'!E62*(1)-'Assumptions'!E67-(0))+('Working Capital'!$E$6))*'DCF'!E12/(1+(G72))^'DCF'!E13,(('Historical Inputs'!$N$9*(1+(D72))^2)*(('Assumptions'!F37+(E72))*(1-'Assumptions'!F42-(0))+'Assumptions'!F47-'Assumptions'!F52*(F72)+'Assumptions'!F57-'Assumptions'!F62*(1)-'Assumptions'!F67-(0))+(('Historical Inputs'!$N$9*(1+(D72))^1)*('Assumptions'!E67+(0))))*'DCF'!F12/(1+(G72))^'DCF'!F13,(('Historical Inputs'!$N$9*(1+(D72))^3)*(('Assumptions'!G37+(E72))*(1-'Assumptions'!G42-(0))+'Assumptions'!G47-'Assumptions'!G52*(F72)+'Assumptions'!G57-'Assumptions'!G62*(1)-'Assumptions'!G67-(0))+(('Historical Inputs'!$N$9*(1+(D72))^2)*('Assumptions'!F67+(0))))*'DCF'!G12/(1+(G72))^'DCF'!G13,(('Historical Inputs'!$N$9*(1+(D72))^4)*(('Assumptions'!H37+(E72))*(1-'Assumptions'!H42-(0))+'Assumptions'!H47-'Assumptions'!H52*(F72)+'Assumptions'!H57-'Assumptions'!H62*(1)-'Assumptions'!H67-(0))+(('Historical Inputs'!$N$9*(1+(D72))^3)*('Assumptions'!G67+(0))))*'DCF'!H12/(1+(G72))^'DCF'!H13,(('Historical Inputs'!$N$9*(1+(D72))^5)*(('Assumptions'!I37+(E72))*(1-'Assumptions'!I42-(0))+'Assumptions'!I47-'Assumptions'!I52*(F72)+'Assumptions'!I57-'Assumptions'!I62*(1)-'Assumptions'!I67-(0))+(('Historical Inputs'!$N$9*(1+(D72))^4)*('Assumptions'!H67+(0))))*'DCF'!I12/(1+(G72))^'DCF'!I13)+('Historical Inputs'!$N$9*(1+(D72))^5)*(1+(H72))*('Terminal Value'!$E$10+(E72))*(1-'Assumptions'!$E$15-(0))*(1-(H72)/('Terminal Value'!$E$12))/((G72)-(H72))/(1+(G72))^'DCF'!$E$19)+'Equity Bridge'!$E$17)/'Equity Bridge'!$E$20</x:f>
        <x:v>266.0680584608442</x:v>
      </x:c>
      <x:c r="L72" s="136"/>
      <x:c r="M72" s="136"/>
      <x:c r="N72" s="136"/>
      <x:c r="O72" s="136"/>
      <x:c r="P72" s="136"/>
      <x:c r="Q72" s="136"/>
      <x:c r="R72" s="136"/>
      <x:c r="S72" s="136"/>
      <x:c r="T72" s="136"/>
      <x:c r="U72" s="136"/>
      <x:c r="V72" s="136"/>
      <x:c r="W72" s="136"/>
      <x:c r="X72" s="240" t="n">
        <x:v>0.8706348863437915</x:v>
      </x:c>
      <x:c r="Y72" s="240" t="n">
        <x:v>0.04849986044943355</x:v>
      </x:c>
      <x:c r="Z72" s="240" t="n">
        <x:v>0.8233763767775775</x:v>
      </x:c>
      <x:c r="AA72" s="255" t="n">
        <x:v>0.6452602308105985</x:v>
      </x:c>
      <x:c r="AB72" s="255" t="n">
        <x:v>0.33285222933621683</x:v>
      </x:c>
    </x:row>
    <x:row r="73" ht="24" customHeight="1">
      <x:c r="A73" s="136"/>
      <x:c r="B73" s="136"/>
      <x:c r="C73" s="136" t="n">
        <x:f>42</x:f>
        <x:v>42</x:v>
      </x:c>
      <x:c r="D73" s="162" t="n">
        <x:f>IF(X73&lt;($E$12-$D$12)/($F$12-$D$12),$D$12+SQRT(X73*($F$12-$D$12)*($E$12-$D$12)),$F$12-SQRT((1-X73)*($F$12-$D$12)*($F$12-$E$12)))</x:f>
        <x:v>0.12226926846457481</x:v>
      </x:c>
      <x:c r="E73" s="162" t="n">
        <x:f>IF(Y73&lt;($E$13-$D$13)/($F$13-$D$13),$D$13+SQRT(Y73*($F$13-$D$13)*($E$13-$D$13)),$F$13-SQRT((1-Y73)*($F$13-$D$13)*($F$13-$E$13)))</x:f>
        <x:v>-0.0029192399492230167</x:v>
      </x:c>
      <x:c r="F73" s="222" t="n">
        <x:f>IF(Z73&lt;($E$14-$D$14)/($F$14-$D$14),$D$14+SQRT(Z73*($F$14-$D$14)*($E$14-$D$14)),$F$14-SQRT((1-Z73)*($F$14-$D$14)*($F$14-$E$14)))</x:f>
        <x:v>0.9650052076514322</x:v>
      </x:c>
      <x:c r="G73" s="162" t="n">
        <x:f>IF(AA73&lt;($E$15-$D$15)/($F$15-$D$15),$D$15+SQRT(AA73*($F$15-$D$15)*($E$15-$D$15)),$F$15-SQRT((1-AA73)*($F$15-$D$15)*($F$15-$E$15)))</x:f>
        <x:v>0.08634433416265556</x:v>
      </x:c>
      <x:c r="H73" s="162" t="n">
        <x:f>IF(AB73&lt;($E$16-$D$16)/($F$16-$D$16),$D$16+SQRT(AB73*($F$16-$D$16)*($E$16-$D$16)),$F$16-SQRT((1-AB73)*($F$16-$D$16)*($F$16-$E$16)))</x:f>
        <x:v>0.023849469087413647</x:v>
      </x:c>
      <x:c r="I73" s="164" t="n">
        <x:f>'Historical Inputs'!$N$9*(1+D73)^5</x:f>
        <x:v>590762.3087597432</x:v>
      </x:c>
      <x:c r="J73" s="164" t="n">
        <x:f>I73*(1+H73)*('Terminal Value'!$E$10+E73)*(1-'Assumptions'!$E$15)*(1-H73/'Terminal Value'!$E$12)</x:f>
        <x:v>169227.7891858267</x:v>
      </x:c>
      <x:c r="K73" s="145" t="n">
        <x:f>((SUM((('Historical Inputs'!$N$9*(1+(D73))^1)*(('Assumptions'!E37+(E73))*(1-'Assumptions'!E42-(0))+'Assumptions'!E47-'Assumptions'!E52*(F73)+'Assumptions'!E57-'Assumptions'!E62*(1)-'Assumptions'!E67-(0))+('Working Capital'!$E$6))*'DCF'!E12/(1+(G73))^'DCF'!E13,(('Historical Inputs'!$N$9*(1+(D73))^2)*(('Assumptions'!F37+(E73))*(1-'Assumptions'!F42-(0))+'Assumptions'!F47-'Assumptions'!F52*(F73)+'Assumptions'!F57-'Assumptions'!F62*(1)-'Assumptions'!F67-(0))+(('Historical Inputs'!$N$9*(1+(D73))^1)*('Assumptions'!E67+(0))))*'DCF'!F12/(1+(G73))^'DCF'!F13,(('Historical Inputs'!$N$9*(1+(D73))^3)*(('Assumptions'!G37+(E73))*(1-'Assumptions'!G42-(0))+'Assumptions'!G47-'Assumptions'!G52*(F73)+'Assumptions'!G57-'Assumptions'!G62*(1)-'Assumptions'!G67-(0))+(('Historical Inputs'!$N$9*(1+(D73))^2)*('Assumptions'!F67+(0))))*'DCF'!G12/(1+(G73))^'DCF'!G13,(('Historical Inputs'!$N$9*(1+(D73))^4)*(('Assumptions'!H37+(E73))*(1-'Assumptions'!H42-(0))+'Assumptions'!H47-'Assumptions'!H52*(F73)+'Assumptions'!H57-'Assumptions'!H62*(1)-'Assumptions'!H67-(0))+(('Historical Inputs'!$N$9*(1+(D73))^3)*('Assumptions'!G67+(0))))*'DCF'!H12/(1+(G73))^'DCF'!H13,(('Historical Inputs'!$N$9*(1+(D73))^5)*(('Assumptions'!I37+(E73))*(1-'Assumptions'!I42-(0))+'Assumptions'!I47-'Assumptions'!I52*(F73)+'Assumptions'!I57-'Assumptions'!I62*(1)-'Assumptions'!I67-(0))+(('Historical Inputs'!$N$9*(1+(D73))^4)*('Assumptions'!H67+(0))))*'DCF'!I12/(1+(G73))^'DCF'!I13)+('Historical Inputs'!$N$9*(1+(D73))^5)*(1+(H73))*('Terminal Value'!$E$10+(E73))*(1-'Assumptions'!$E$15-(0))*(1-(H73)/('Terminal Value'!$E$12))/((G73)-(H73))/(1+(G73))^'DCF'!$E$19)+'Equity Bridge'!$E$17)/'Equity Bridge'!$E$20</x:f>
        <x:v>301.0390203373882</x:v>
      </x:c>
      <x:c r="L73" s="136"/>
      <x:c r="M73" s="136"/>
      <x:c r="N73" s="136"/>
      <x:c r="O73" s="136"/>
      <x:c r="P73" s="136"/>
      <x:c r="Q73" s="136"/>
      <x:c r="R73" s="136"/>
      <x:c r="S73" s="136"/>
      <x:c r="T73" s="136"/>
      <x:c r="U73" s="136"/>
      <x:c r="V73" s="136"/>
      <x:c r="W73" s="136"/>
      <x:c r="X73" s="240" t="n">
        <x:v>0.16834209100283337</x:v>
      </x:c>
      <x:c r="Y73" s="240" t="n">
        <x:v>0.4433195933917675</x:v>
      </x:c>
      <x:c r="Z73" s="240" t="n">
        <x:v>0.2519275768942675</x:v>
      </x:c>
      <x:c r="AA73" s="255" t="n">
        <x:v>0.022811979774742697</x:v>
      </x:c>
      <x:c r="AB73" s="255" t="n">
        <x:v>0.07409206127476642</x:v>
      </x:c>
    </x:row>
    <x:row r="74" ht="24" customHeight="1">
      <x:c r="A74" s="136"/>
      <x:c r="B74" s="136"/>
      <x:c r="C74" s="136" t="n">
        <x:f>43</x:f>
        <x:v>43</x:v>
      </x:c>
      <x:c r="D74" s="162" t="n">
        <x:f>IF(X74&lt;($E$12-$D$12)/($F$12-$D$12),$D$12+SQRT(X74*($F$12-$D$12)*($E$12-$D$12)),$F$12-SQRT((1-X74)*($F$12-$D$12)*($F$12-$E$12)))</x:f>
        <x:v>0.15944223400694235</x:v>
      </x:c>
      <x:c r="E74" s="162" t="n">
        <x:f>IF(Y74&lt;($E$13-$D$13)/($F$13-$D$13),$D$13+SQRT(Y74*($F$13-$D$13)*($E$13-$D$13)),$F$13-SQRT((1-Y74)*($F$13-$D$13)*($F$13-$E$13)))</x:f>
        <x:v>-0.0229963587842806</x:v>
      </x:c>
      <x:c r="F74" s="222" t="n">
        <x:f>IF(Z74&lt;($E$14-$D$14)/($F$14-$D$14),$D$14+SQRT(Z74*($F$14-$D$14)*($E$14-$D$14)),$F$14-SQRT((1-Z74)*($F$14-$D$14)*($F$14-$E$14)))</x:f>
        <x:v>1.018628308925845</x:v>
      </x:c>
      <x:c r="G74" s="162" t="n">
        <x:f>IF(AA74&lt;($E$15-$D$15)/($F$15-$D$15),$D$15+SQRT(AA74*($F$15-$D$15)*($E$15-$D$15)),$F$15-SQRT((1-AA74)*($F$15-$D$15)*($F$15-$E$15)))</x:f>
        <x:v>0.10288169504555461</x:v>
      </x:c>
      <x:c r="H74" s="162" t="n">
        <x:f>IF(AB74&lt;($E$16-$D$16)/($F$16-$D$16),$D$16+SQRT(AB74*($F$16-$D$16)*($E$16-$D$16)),$F$16-SQRT((1-AB74)*($F$16-$D$16)*($F$16-$E$16)))</x:f>
        <x:v>0.02997535039365189</x:v>
      </x:c>
      <x:c r="I74" s="164" t="n">
        <x:f>'Historical Inputs'!$N$9*(1+D74)^5</x:f>
        <x:v>695301.243248732</x:v>
      </x:c>
      <x:c r="J74" s="164" t="n">
        <x:f>I74*(1+H74)*('Terminal Value'!$E$10+E74)*(1-'Assumptions'!$E$15)*(1-H74/'Terminal Value'!$E$12)</x:f>
        <x:v>183618.8494295294</x:v>
      </x:c>
      <x:c r="K74" s="145" t="n">
        <x:f>((SUM((('Historical Inputs'!$N$9*(1+(D74))^1)*(('Assumptions'!E37+(E74))*(1-'Assumptions'!E42-(0))+'Assumptions'!E47-'Assumptions'!E52*(F74)+'Assumptions'!E57-'Assumptions'!E62*(1)-'Assumptions'!E67-(0))+('Working Capital'!$E$6))*'DCF'!E12/(1+(G74))^'DCF'!E13,(('Historical Inputs'!$N$9*(1+(D74))^2)*(('Assumptions'!F37+(E74))*(1-'Assumptions'!F42-(0))+'Assumptions'!F47-'Assumptions'!F52*(F74)+'Assumptions'!F57-'Assumptions'!F62*(1)-'Assumptions'!F67-(0))+(('Historical Inputs'!$N$9*(1+(D74))^1)*('Assumptions'!E67+(0))))*'DCF'!F12/(1+(G74))^'DCF'!F13,(('Historical Inputs'!$N$9*(1+(D74))^3)*(('Assumptions'!G37+(E74))*(1-'Assumptions'!G42-(0))+'Assumptions'!G47-'Assumptions'!G52*(F74)+'Assumptions'!G57-'Assumptions'!G62*(1)-'Assumptions'!G67-(0))+(('Historical Inputs'!$N$9*(1+(D74))^2)*('Assumptions'!F67+(0))))*'DCF'!G12/(1+(G74))^'DCF'!G13,(('Historical Inputs'!$N$9*(1+(D74))^4)*(('Assumptions'!H37+(E74))*(1-'Assumptions'!H42-(0))+'Assumptions'!H47-'Assumptions'!H52*(F74)+'Assumptions'!H57-'Assumptions'!H62*(1)-'Assumptions'!H67-(0))+(('Historical Inputs'!$N$9*(1+(D74))^3)*('Assumptions'!G67+(0))))*'DCF'!H12/(1+(G74))^'DCF'!H13,(('Historical Inputs'!$N$9*(1+(D74))^5)*(('Assumptions'!I37+(E74))*(1-'Assumptions'!I42-(0))+'Assumptions'!I47-'Assumptions'!I52*(F74)+'Assumptions'!I57-'Assumptions'!I62*(1)-'Assumptions'!I67-(0))+(('Historical Inputs'!$N$9*(1+(D74))^4)*('Assumptions'!H67+(0))))*'DCF'!I12/(1+(G74))^'DCF'!I13)+('Historical Inputs'!$N$9*(1+(D74))^5)*(1+(H74))*('Terminal Value'!$E$10+(E74))*(1-'Assumptions'!$E$15-(0))*(1-(H74)/('Terminal Value'!$E$12))/((G74)-(H74))/(1+(G74))^'DCF'!$E$19)+'Equity Bridge'!$E$17)/'Equity Bridge'!$E$20</x:f>
        <x:v>264.62938426145223</x:v>
      </x:c>
      <x:c r="L74" s="136"/>
      <x:c r="M74" s="136"/>
      <x:c r="N74" s="136"/>
      <x:c r="O74" s="136"/>
      <x:c r="P74" s="136"/>
      <x:c r="Q74" s="136"/>
      <x:c r="R74" s="136"/>
      <x:c r="S74" s="136"/>
      <x:c r="T74" s="136"/>
      <x:c r="U74" s="136"/>
      <x:c r="V74" s="136"/>
      <x:c r="W74" s="136"/>
      <x:c r="X74" s="240" t="n">
        <x:v>0.7713120249496462</x:v>
      </x:c>
      <x:c r="Y74" s="240" t="n">
        <x:v>0.14583932778145992</x:v>
      </x:c>
      <x:c r="Z74" s="240" t="n">
        <x:v>0.5300615668128754</x:v>
      </x:c>
      <x:c r="AA74" s="255" t="n">
        <x:v>0.7661324505006566</x:v>
      </x:c>
      <x:c r="AB74" s="255" t="n">
        <x:v>0.4975380773806548</x:v>
      </x:c>
    </x:row>
    <x:row r="75" ht="24" customHeight="1">
      <x:c r="A75" s="136"/>
      <x:c r="B75" s="136"/>
      <x:c r="C75" s="136" t="n">
        <x:f>44</x:f>
        <x:v>44</x:v>
      </x:c>
      <x:c r="D75" s="162" t="n">
        <x:f>IF(X75&lt;($E$12-$D$12)/($F$12-$D$12),$D$12+SQRT(X75*($F$12-$D$12)*($E$12-$D$12)),$F$12-SQRT((1-X75)*($F$12-$D$12)*($F$12-$E$12)))</x:f>
        <x:v>0.1444107416468941</x:v>
      </x:c>
      <x:c r="E75" s="162" t="n">
        <x:f>IF(Y75&lt;($E$13-$D$13)/($F$13-$D$13),$D$13+SQRT(Y75*($F$13-$D$13)*($E$13-$D$13)),$F$13-SQRT((1-Y75)*($F$13-$D$13)*($F$13-$E$13)))</x:f>
        <x:v>-0.0006107530724536112</x:v>
      </x:c>
      <x:c r="F75" s="222" t="n">
        <x:f>IF(Z75&lt;($E$14-$D$14)/($F$14-$D$14),$D$14+SQRT(Z75*($F$14-$D$14)*($E$14-$D$14)),$F$14-SQRT((1-Z75)*($F$14-$D$14)*($F$14-$E$14)))</x:f>
        <x:v>1.1512234145471285</x:v>
      </x:c>
      <x:c r="G75" s="162" t="n">
        <x:f>IF(AA75&lt;($E$15-$D$15)/($F$15-$D$15),$D$15+SQRT(AA75*($F$15-$D$15)*($E$15-$D$15)),$F$15-SQRT((1-AA75)*($F$15-$D$15)*($F$15-$E$15)))</x:f>
        <x:v>0.10210164983500605</x:v>
      </x:c>
      <x:c r="H75" s="162" t="n">
        <x:f>IF(AB75&lt;($E$16-$D$16)/($F$16-$D$16),$D$16+SQRT(AB75*($F$16-$D$16)*($E$16-$D$16)),$F$16-SQRT((1-AB75)*($F$16-$D$16)*($F$16-$E$16)))</x:f>
        <x:v>0.030759720807199083</x:v>
      </x:c>
      <x:c r="I75" s="164" t="n">
        <x:f>'Historical Inputs'!$N$9*(1+D75)^5</x:f>
        <x:v>651383.9502167803</x:v>
      </x:c>
      <x:c r="J75" s="164" t="n">
        <x:f>I75*(1+H75)*('Terminal Value'!$E$10+E75)*(1-'Assumptions'!$E$15)*(1-H75/'Terminal Value'!$E$12)</x:f>
        <x:v>181532.58209128302</x:v>
      </x:c>
      <x:c r="K75" s="145" t="n">
        <x:f>((SUM((('Historical Inputs'!$N$9*(1+(D75))^1)*(('Assumptions'!E37+(E75))*(1-'Assumptions'!E42-(0))+'Assumptions'!E47-'Assumptions'!E52*(F75)+'Assumptions'!E57-'Assumptions'!E62*(1)-'Assumptions'!E67-(0))+('Working Capital'!$E$6))*'DCF'!E12/(1+(G75))^'DCF'!E13,(('Historical Inputs'!$N$9*(1+(D75))^2)*(('Assumptions'!F37+(E75))*(1-'Assumptions'!F42-(0))+'Assumptions'!F47-'Assumptions'!F52*(F75)+'Assumptions'!F57-'Assumptions'!F62*(1)-'Assumptions'!F67-(0))+(('Historical Inputs'!$N$9*(1+(D75))^1)*('Assumptions'!E67+(0))))*'DCF'!F12/(1+(G75))^'DCF'!F13,(('Historical Inputs'!$N$9*(1+(D75))^3)*(('Assumptions'!G37+(E75))*(1-'Assumptions'!G42-(0))+'Assumptions'!G47-'Assumptions'!G52*(F75)+'Assumptions'!G57-'Assumptions'!G62*(1)-'Assumptions'!G67-(0))+(('Historical Inputs'!$N$9*(1+(D75))^2)*('Assumptions'!F67+(0))))*'DCF'!G12/(1+(G75))^'DCF'!G13,(('Historical Inputs'!$N$9*(1+(D75))^4)*(('Assumptions'!H37+(E75))*(1-'Assumptions'!H42-(0))+'Assumptions'!H47-'Assumptions'!H52*(F75)+'Assumptions'!H57-'Assumptions'!H62*(1)-'Assumptions'!H67-(0))+(('Historical Inputs'!$N$9*(1+(D75))^3)*('Assumptions'!G67+(0))))*'DCF'!H12/(1+(G75))^'DCF'!H13,(('Historical Inputs'!$N$9*(1+(D75))^5)*(('Assumptions'!I37+(E75))*(1-'Assumptions'!I42-(0))+'Assumptions'!I47-'Assumptions'!I52*(F75)+'Assumptions'!I57-'Assumptions'!I62*(1)-'Assumptions'!I67-(0))+(('Historical Inputs'!$N$9*(1+(D75))^4)*('Assumptions'!H67+(0))))*'DCF'!I12/(1+(G75))^'DCF'!I13)+('Historical Inputs'!$N$9*(1+(D75))^5)*(1+(H75))*('Terminal Value'!$E$10+(E75))*(1-'Assumptions'!$E$15-(0))*(1-(H75)/('Terminal Value'!$E$12))/((G75)-(H75))/(1+(G75))^'DCF'!$E$19)+'Equity Bridge'!$E$17)/'Equity Bridge'!$E$20</x:f>
        <x:v>261.3774359868286</x:v>
      </x:c>
      <x:c r="L75" s="136"/>
      <x:c r="M75" s="136"/>
      <x:c r="N75" s="136"/>
      <x:c r="O75" s="136"/>
      <x:c r="P75" s="136"/>
      <x:c r="Q75" s="136"/>
      <x:c r="R75" s="136"/>
      <x:c r="S75" s="136"/>
      <x:c r="T75" s="136"/>
      <x:c r="U75" s="136"/>
      <x:c r="V75" s="136"/>
      <x:c r="W75" s="136"/>
      <x:c r="X75" s="240" t="n">
        <x:v>0.5228081825317364</x:v>
      </x:c>
      <x:c r="Y75" s="240" t="n">
        <x:v>0.48785954241403007</x:v>
      </x:c>
      <x:c r="Z75" s="240" t="n">
        <x:v>0.9660120673079817</x:v>
      </x:c>
      <x:c r="AA75" s="255" t="n">
        <x:v>0.7292148283806218</x:v>
      </x:c>
      <x:c r="AB75" s="255" t="n">
        <x:v>0.573086202195452</x:v>
      </x:c>
    </x:row>
    <x:row r="76" ht="24" customHeight="1">
      <x:c r="A76" s="136"/>
      <x:c r="B76" s="136"/>
      <x:c r="C76" s="136" t="n">
        <x:f>45</x:f>
        <x:v>45</x:v>
      </x:c>
      <x:c r="D76" s="162" t="n">
        <x:f>IF(X76&lt;($E$12-$D$12)/($F$12-$D$12),$D$12+SQRT(X76*($F$12-$D$12)*($E$12-$D$12)),$F$12-SQRT((1-X76)*($F$12-$D$12)*($F$12-$E$12)))</x:f>
        <x:v>0.14781052716231535</x:v>
      </x:c>
      <x:c r="E76" s="162" t="n">
        <x:f>IF(Y76&lt;($E$13-$D$13)/($F$13-$D$13),$D$13+SQRT(Y76*($F$13-$D$13)*($E$13-$D$13)),$F$13-SQRT((1-Y76)*($F$13-$D$13)*($F$13-$E$13)))</x:f>
        <x:v>-0.03964809505672901</x:v>
      </x:c>
      <x:c r="F76" s="222" t="n">
        <x:f>IF(Z76&lt;($E$14-$D$14)/($F$14-$D$14),$D$14+SQRT(Z76*($F$14-$D$14)*($E$14-$D$14)),$F$14-SQRT((1-Z76)*($F$14-$D$14)*($F$14-$E$14)))</x:f>
        <x:v>1.1552410028533373</x:v>
      </x:c>
      <x:c r="G76" s="162" t="n">
        <x:f>IF(AA76&lt;($E$15-$D$15)/($F$15-$D$15),$D$15+SQRT(AA76*($F$15-$D$15)*($E$15-$D$15)),$F$15-SQRT((1-AA76)*($F$15-$D$15)*($F$15-$E$15)))</x:f>
        <x:v>0.10252417044529379</x:v>
      </x:c>
      <x:c r="H76" s="162" t="n">
        <x:f>IF(AB76&lt;($E$16-$D$16)/($F$16-$D$16),$D$16+SQRT(AB76*($F$16-$D$16)*($E$16-$D$16)),$F$16-SQRT((1-AB76)*($F$16-$D$16)*($F$16-$E$16)))</x:f>
        <x:v>0.029753524897607957</x:v>
      </x:c>
      <x:c r="I76" s="164" t="n">
        <x:f>'Historical Inputs'!$N$9*(1+D76)^5</x:f>
        <x:v>661117.1811850521</x:v>
      </x:c>
      <x:c r="J76" s="164" t="n">
        <x:f>I76*(1+H76)*('Terminal Value'!$E$10+E76)*(1-'Assumptions'!$E$15)*(1-H76/'Terminal Value'!$E$12)</x:f>
        <x:v>167061.61419168022</x:v>
      </x:c>
      <x:c r="K76" s="145" t="n">
        <x:f>((SUM((('Historical Inputs'!$N$9*(1+(D76))^1)*(('Assumptions'!E37+(E76))*(1-'Assumptions'!E42-(0))+'Assumptions'!E47-'Assumptions'!E52*(F76)+'Assumptions'!E57-'Assumptions'!E62*(1)-'Assumptions'!E67-(0))+('Working Capital'!$E$6))*'DCF'!E12/(1+(G76))^'DCF'!E13,(('Historical Inputs'!$N$9*(1+(D76))^2)*(('Assumptions'!F37+(E76))*(1-'Assumptions'!F42-(0))+'Assumptions'!F47-'Assumptions'!F52*(F76)+'Assumptions'!F57-'Assumptions'!F62*(1)-'Assumptions'!F67-(0))+(('Historical Inputs'!$N$9*(1+(D76))^1)*('Assumptions'!E67+(0))))*'DCF'!F12/(1+(G76))^'DCF'!F13,(('Historical Inputs'!$N$9*(1+(D76))^3)*(('Assumptions'!G37+(E76))*(1-'Assumptions'!G42-(0))+'Assumptions'!G47-'Assumptions'!G52*(F76)+'Assumptions'!G57-'Assumptions'!G62*(1)-'Assumptions'!G67-(0))+(('Historical Inputs'!$N$9*(1+(D76))^2)*('Assumptions'!F67+(0))))*'DCF'!G12/(1+(G76))^'DCF'!G13,(('Historical Inputs'!$N$9*(1+(D76))^4)*(('Assumptions'!H37+(E76))*(1-'Assumptions'!H42-(0))+'Assumptions'!H47-'Assumptions'!H52*(F76)+'Assumptions'!H57-'Assumptions'!H62*(1)-'Assumptions'!H67-(0))+(('Historical Inputs'!$N$9*(1+(D76))^3)*('Assumptions'!G67+(0))))*'DCF'!H12/(1+(G76))^'DCF'!H13,(('Historical Inputs'!$N$9*(1+(D76))^5)*(('Assumptions'!I37+(E76))*(1-'Assumptions'!I42-(0))+'Assumptions'!I47-'Assumptions'!I52*(F76)+'Assumptions'!I57-'Assumptions'!I62*(1)-'Assumptions'!I67-(0))+(('Historical Inputs'!$N$9*(1+(D76))^4)*('Assumptions'!H67+(0))))*'DCF'!I12/(1+(G76))^'DCF'!I13)+('Historical Inputs'!$N$9*(1+(D76))^5)*(1+(H76))*('Terminal Value'!$E$10+(E76))*(1-'Assumptions'!$E$15-(0))*(1-(H76)/('Terminal Value'!$E$12))/((G76)-(H76))/(1+(G76))^'DCF'!$E$19)+'Equity Bridge'!$E$17)/'Equity Bridge'!$E$20</x:f>
        <x:v>232.1006547573829</x:v>
      </x:c>
      <x:c r="L76" s="136"/>
      <x:c r="M76" s="136"/>
      <x:c r="N76" s="136"/>
      <x:c r="O76" s="136"/>
      <x:c r="P76" s="136"/>
      <x:c r="Q76" s="136"/>
      <x:c r="R76" s="136"/>
      <x:c r="S76" s="136"/>
      <x:c r="T76" s="136"/>
      <x:c r="U76" s="136"/>
      <x:c r="V76" s="136"/>
      <x:c r="W76" s="136"/>
      <x:c r="X76" s="240" t="n">
        <x:v>0.5869232245556933</x:v>
      </x:c>
      <x:c r="Y76" s="240" t="n">
        <x:v>0.02143238719090368</x:v>
      </x:c>
      <x:c r="Z76" s="240" t="n">
        <x:v>0.9713804596346435</x:v>
      </x:c>
      <x:c r="AA76" s="255" t="n">
        <x:v>0.7495473823730385</x:v>
      </x:c>
      <x:c r="AB76" s="255" t="n">
        <x:v>0.47565623964129145</x:v>
      </x:c>
    </x:row>
    <x:row r="77" ht="24" customHeight="1">
      <x:c r="A77" s="136"/>
      <x:c r="B77" s="136"/>
      <x:c r="C77" s="136" t="n">
        <x:f>46</x:f>
        <x:v>46</x:v>
      </x:c>
      <x:c r="D77" s="162" t="n">
        <x:f>IF(X77&lt;($E$12-$D$12)/($F$12-$D$12),$D$12+SQRT(X77*($F$12-$D$12)*($E$12-$D$12)),$F$12-SQRT((1-X77)*($F$12-$D$12)*($F$12-$E$12)))</x:f>
        <x:v>0.15126265729117777</x:v>
      </x:c>
      <x:c r="E77" s="162" t="n">
        <x:f>IF(Y77&lt;($E$13-$D$13)/($F$13-$D$13),$D$13+SQRT(Y77*($F$13-$D$13)*($E$13-$D$13)),$F$13-SQRT((1-Y77)*($F$13-$D$13)*($F$13-$E$13)))</x:f>
        <x:v>0.021431058332991505</x:v>
      </x:c>
      <x:c r="F77" s="222" t="n">
        <x:f>IF(Z77&lt;($E$14-$D$14)/($F$14-$D$14),$D$14+SQRT(Z77*($F$14-$D$14)*($E$14-$D$14)),$F$14-SQRT((1-Z77)*($F$14-$D$14)*($F$14-$E$14)))</x:f>
        <x:v>1.0050784526523082</x:v>
      </x:c>
      <x:c r="G77" s="162" t="n">
        <x:f>IF(AA77&lt;($E$15-$D$15)/($F$15-$D$15),$D$15+SQRT(AA77*($F$15-$D$15)*($E$15-$D$15)),$F$15-SQRT((1-AA77)*($F$15-$D$15)*($F$15-$E$15)))</x:f>
        <x:v>0.09484827974383421</x:v>
      </x:c>
      <x:c r="H77" s="162" t="n">
        <x:f>IF(AB77&lt;($E$16-$D$16)/($F$16-$D$16),$D$16+SQRT(AB77*($F$16-$D$16)*($E$16-$D$16)),$F$16-SQRT((1-AB77)*($F$16-$D$16)*($F$16-$E$16)))</x:f>
        <x:v>0.027812484261839004</x:v>
      </x:c>
      <x:c r="I77" s="164" t="n">
        <x:f>'Historical Inputs'!$N$9*(1+D77)^5</x:f>
        <x:v>671118.9715640598</x:v>
      </x:c>
      <x:c r="J77" s="164" t="n">
        <x:f>I77*(1+H77)*('Terminal Value'!$E$10+E77)*(1-'Assumptions'!$E$15)*(1-H77/'Terminal Value'!$E$12)</x:f>
        <x:v>200217.29735088005</x:v>
      </x:c>
      <x:c r="K77" s="145" t="n">
        <x:f>((SUM((('Historical Inputs'!$N$9*(1+(D77))^1)*(('Assumptions'!E37+(E77))*(1-'Assumptions'!E42-(0))+'Assumptions'!E47-'Assumptions'!E52*(F77)+'Assumptions'!E57-'Assumptions'!E62*(1)-'Assumptions'!E67-(0))+('Working Capital'!$E$6))*'DCF'!E12/(1+(G77))^'DCF'!E13,(('Historical Inputs'!$N$9*(1+(D77))^2)*(('Assumptions'!F37+(E77))*(1-'Assumptions'!F42-(0))+'Assumptions'!F47-'Assumptions'!F52*(F77)+'Assumptions'!F57-'Assumptions'!F62*(1)-'Assumptions'!F67-(0))+(('Historical Inputs'!$N$9*(1+(D77))^1)*('Assumptions'!E67+(0))))*'DCF'!F12/(1+(G77))^'DCF'!F13,(('Historical Inputs'!$N$9*(1+(D77))^3)*(('Assumptions'!G37+(E77))*(1-'Assumptions'!G42-(0))+'Assumptions'!G47-'Assumptions'!G52*(F77)+'Assumptions'!G57-'Assumptions'!G62*(1)-'Assumptions'!G67-(0))+(('Historical Inputs'!$N$9*(1+(D77))^2)*('Assumptions'!F67+(0))))*'DCF'!G12/(1+(G77))^'DCF'!G13,(('Historical Inputs'!$N$9*(1+(D77))^4)*(('Assumptions'!H37+(E77))*(1-'Assumptions'!H42-(0))+'Assumptions'!H47-'Assumptions'!H52*(F77)+'Assumptions'!H57-'Assumptions'!H62*(1)-'Assumptions'!H67-(0))+(('Historical Inputs'!$N$9*(1+(D77))^3)*('Assumptions'!G67+(0))))*'DCF'!H12/(1+(G77))^'DCF'!H13,(('Historical Inputs'!$N$9*(1+(D77))^5)*(('Assumptions'!I37+(E77))*(1-'Assumptions'!I42-(0))+'Assumptions'!I47-'Assumptions'!I52*(F77)+'Assumptions'!I57-'Assumptions'!I62*(1)-'Assumptions'!I67-(0))+(('Historical Inputs'!$N$9*(1+(D77))^4)*('Assumptions'!H67+(0))))*'DCF'!I12/(1+(G77))^'DCF'!I13)+('Historical Inputs'!$N$9*(1+(D77))^5)*(1+(H77))*('Terminal Value'!$E$10+(E77))*(1-'Assumptions'!$E$15-(0))*(1-(H77)/('Terminal Value'!$E$12))/((G77)-(H77))/(1+(G77))^'DCF'!$E$19)+'Equity Bridge'!$E$17)/'Equity Bridge'!$E$20</x:f>
        <x:v>323.0948703167499</x:v>
      </x:c>
      <x:c r="L77" s="136"/>
      <x:c r="M77" s="136"/>
      <x:c r="N77" s="136"/>
      <x:c r="O77" s="136"/>
      <x:c r="P77" s="136"/>
      <x:c r="Q77" s="136"/>
      <x:c r="R77" s="136"/>
      <x:c r="S77" s="136"/>
      <x:c r="T77" s="136"/>
      <x:c r="U77" s="136"/>
      <x:c r="V77" s="136"/>
      <x:c r="W77" s="136"/>
      <x:c r="X77" s="240" t="n">
        <x:v>0.6472946694623293</x:v>
      </x:c>
      <x:c r="Y77" s="240" t="n">
        <x:v>0.8367631144054132</x:v>
      </x:c>
      <x:c r="Z77" s="240" t="n">
        <x:v>0.4572227197083074</x:v>
      </x:c>
      <x:c r="AA77" s="255" t="n">
        <x:v>0.30461148260215143</x:v>
      </x:c>
      <x:c r="AB77" s="255" t="n">
        <x:v>0.3051745517074107</x:v>
      </x:c>
    </x:row>
    <x:row r="78" ht="24" customHeight="1">
      <x:c r="A78" s="136"/>
      <x:c r="B78" s="136"/>
      <x:c r="C78" s="136" t="n">
        <x:f>47</x:f>
        <x:v>47</x:v>
      </x:c>
      <x:c r="D78" s="162" t="n">
        <x:f>IF(X78&lt;($E$12-$D$12)/($F$12-$D$12),$D$12+SQRT(X78*($F$12-$D$12)*($E$12-$D$12)),$F$12-SQRT((1-X78)*($F$12-$D$12)*($F$12-$E$12)))</x:f>
        <x:v>0.11885565438406179</x:v>
      </x:c>
      <x:c r="E78" s="162" t="n">
        <x:f>IF(Y78&lt;($E$13-$D$13)/($F$13-$D$13),$D$13+SQRT(Y78*($F$13-$D$13)*($E$13-$D$13)),$F$13-SQRT((1-Y78)*($F$13-$D$13)*($F$13-$E$13)))</x:f>
        <x:v>0.02492195115919616</x:v>
      </x:c>
      <x:c r="F78" s="222" t="n">
        <x:f>IF(Z78&lt;($E$14-$D$14)/($F$14-$D$14),$D$14+SQRT(Z78*($F$14-$D$14)*($E$14-$D$14)),$F$14-SQRT((1-Z78)*($F$14-$D$14)*($F$14-$E$14)))</x:f>
        <x:v>1.0724048786125135</x:v>
      </x:c>
      <x:c r="G78" s="162" t="n">
        <x:f>IF(AA78&lt;($E$15-$D$15)/($F$15-$D$15),$D$15+SQRT(AA78*($F$15-$D$15)*($E$15-$D$15)),$F$15-SQRT((1-AA78)*($F$15-$D$15)*($F$15-$E$15)))</x:f>
        <x:v>0.1023644237069943</x:v>
      </x:c>
      <x:c r="H78" s="162" t="n">
        <x:f>IF(AB78&lt;($E$16-$D$16)/($F$16-$D$16),$D$16+SQRT(AB78*($F$16-$D$16)*($E$16-$D$16)),$F$16-SQRT((1-AB78)*($F$16-$D$16)*($F$16-$E$16)))</x:f>
        <x:v>0.02863541701238135</x:v>
      </x:c>
      <x:c r="I78" s="164" t="n">
        <x:f>'Historical Inputs'!$N$9*(1+D78)^5</x:f>
        <x:v>581832.1712751971</x:v>
      </x:c>
      <x:c r="J78" s="164" t="n">
        <x:f>I78*(1+H78)*('Terminal Value'!$E$10+E78)*(1-'Assumptions'!$E$15)*(1-H78/'Terminal Value'!$E$12)</x:f>
        <x:v>174320.8886921365</x:v>
      </x:c>
      <x:c r="K78" s="145" t="n">
        <x:f>((SUM((('Historical Inputs'!$N$9*(1+(D78))^1)*(('Assumptions'!E37+(E78))*(1-'Assumptions'!E42-(0))+'Assumptions'!E47-'Assumptions'!E52*(F78)+'Assumptions'!E57-'Assumptions'!E62*(1)-'Assumptions'!E67-(0))+('Working Capital'!$E$6))*'DCF'!E12/(1+(G78))^'DCF'!E13,(('Historical Inputs'!$N$9*(1+(D78))^2)*(('Assumptions'!F37+(E78))*(1-'Assumptions'!F42-(0))+'Assumptions'!F47-'Assumptions'!F52*(F78)+'Assumptions'!F57-'Assumptions'!F62*(1)-'Assumptions'!F67-(0))+(('Historical Inputs'!$N$9*(1+(D78))^1)*('Assumptions'!E67+(0))))*'DCF'!F12/(1+(G78))^'DCF'!F13,(('Historical Inputs'!$N$9*(1+(D78))^3)*(('Assumptions'!G37+(E78))*(1-'Assumptions'!G42-(0))+'Assumptions'!G47-'Assumptions'!G52*(F78)+'Assumptions'!G57-'Assumptions'!G62*(1)-'Assumptions'!G67-(0))+(('Historical Inputs'!$N$9*(1+(D78))^2)*('Assumptions'!F67+(0))))*'DCF'!G12/(1+(G78))^'DCF'!G13,(('Historical Inputs'!$N$9*(1+(D78))^4)*(('Assumptions'!H37+(E78))*(1-'Assumptions'!H42-(0))+'Assumptions'!H47-'Assumptions'!H52*(F78)+'Assumptions'!H57-'Assumptions'!H62*(1)-'Assumptions'!H67-(0))+(('Historical Inputs'!$N$9*(1+(D78))^3)*('Assumptions'!G67+(0))))*'DCF'!H12/(1+(G78))^'DCF'!H13,(('Historical Inputs'!$N$9*(1+(D78))^5)*(('Assumptions'!I37+(E78))*(1-'Assumptions'!I42-(0))+'Assumptions'!I47-'Assumptions'!I52*(F78)+'Assumptions'!I57-'Assumptions'!I62*(1)-'Assumptions'!I67-(0))+(('Historical Inputs'!$N$9*(1+(D78))^4)*('Assumptions'!H67+(0))))*'DCF'!I12/(1+(G78))^'DCF'!I13)+('Historical Inputs'!$N$9*(1+(D78))^5)*(1+(H78))*('Terminal Value'!$E$10+(E78))*(1-'Assumptions'!$E$15-(0))*(1-(H78)/('Terminal Value'!$E$12))/((G78)-(H78))/(1+(G78))^'DCF'!$E$19)+'Equity Bridge'!$E$17)/'Equity Bridge'!$E$20</x:f>
        <x:v>251.62125536693725</x:v>
      </x:c>
      <x:c r="L78" s="136"/>
      <x:c r="M78" s="136"/>
      <x:c r="N78" s="136"/>
      <x:c r="O78" s="136"/>
      <x:c r="P78" s="136"/>
      <x:c r="Q78" s="136"/>
      <x:c r="R78" s="136"/>
      <x:c r="S78" s="136"/>
      <x:c r="T78" s="136"/>
      <x:c r="U78" s="136"/>
      <x:c r="V78" s="136"/>
      <x:c r="W78" s="136"/>
      <x:c r="X78" s="240" t="n">
        <x:v>0.1310579977679447</x:v>
      </x:c>
      <x:c r="Y78" s="240" t="n">
        <x:v>0.8742182932676514</x:v>
      </x:c>
      <x:c r="Z78" s="240" t="n">
        <x:v>0.7674212142587516</x:v>
      </x:c>
      <x:c r="AA78" s="255" t="n">
        <x:v>0.7419533261555132</x:v>
      </x:c>
      <x:c r="AB78" s="255" t="n">
        <x:v>0.37285213488862623</x:v>
      </x:c>
    </x:row>
    <x:row r="79" ht="24" customHeight="1">
      <x:c r="A79" s="136"/>
      <x:c r="B79" s="136"/>
      <x:c r="C79" s="136" t="n">
        <x:f>48</x:f>
        <x:v>48</x:v>
      </x:c>
      <x:c r="D79" s="162" t="n">
        <x:f>IF(X79&lt;($E$12-$D$12)/($F$12-$D$12),$D$12+SQRT(X79*($F$12-$D$12)*($E$12-$D$12)),$F$12-SQRT((1-X79)*($F$12-$D$12)*($F$12-$E$12)))</x:f>
        <x:v>0.13069691864138558</x:v>
      </x:c>
      <x:c r="E79" s="162" t="n">
        <x:f>IF(Y79&lt;($E$13-$D$13)/($F$13-$D$13),$D$13+SQRT(Y79*($F$13-$D$13)*($E$13-$D$13)),$F$13-SQRT((1-Y79)*($F$13-$D$13)*($F$13-$E$13)))</x:f>
        <x:v>0.018862702696698565</x:v>
      </x:c>
      <x:c r="F79" s="222" t="n">
        <x:f>IF(Z79&lt;($E$14-$D$14)/($F$14-$D$14),$D$14+SQRT(Z79*($F$14-$D$14)*($E$14-$D$14)),$F$14-SQRT((1-Z79)*($F$14-$D$14)*($F$14-$E$14)))</x:f>
        <x:v>0.9335416803309411</x:v>
      </x:c>
      <x:c r="G79" s="162" t="n">
        <x:f>IF(AA79&lt;($E$15-$D$15)/($F$15-$D$15),$D$15+SQRT(AA79*($F$15-$D$15)*($E$15-$D$15)),$F$15-SQRT((1-AA79)*($F$15-$D$15)*($F$15-$E$15)))</x:f>
        <x:v>0.08875169943529844</x:v>
      </x:c>
      <x:c r="H79" s="162" t="n">
        <x:f>IF(AB79&lt;($E$16-$D$16)/($F$16-$D$16),$D$16+SQRT(AB79*($F$16-$D$16)*($E$16-$D$16)),$F$16-SQRT((1-AB79)*($F$16-$D$16)*($F$16-$E$16)))</x:f>
        <x:v>0.0337001688207946</x:v>
      </x:c>
      <x:c r="I79" s="164" t="n">
        <x:f>'Historical Inputs'!$N$9*(1+D79)^5</x:f>
        <x:v>613279.530099711</x:v>
      </x:c>
      <x:c r="J79" s="164" t="n">
        <x:f>I79*(1+H79)*('Terminal Value'!$E$10+E79)*(1-'Assumptions'!$E$15)*(1-H79/'Terminal Value'!$E$12)</x:f>
        <x:v>176634.91215867078</x:v>
      </x:c>
      <x:c r="K79" s="145" t="n">
        <x:f>((SUM((('Historical Inputs'!$N$9*(1+(D79))^1)*(('Assumptions'!E37+(E79))*(1-'Assumptions'!E42-(0))+'Assumptions'!E47-'Assumptions'!E52*(F79)+'Assumptions'!E57-'Assumptions'!E62*(1)-'Assumptions'!E67-(0))+('Working Capital'!$E$6))*'DCF'!E12/(1+(G79))^'DCF'!E13,(('Historical Inputs'!$N$9*(1+(D79))^2)*(('Assumptions'!F37+(E79))*(1-'Assumptions'!F42-(0))+'Assumptions'!F47-'Assumptions'!F52*(F79)+'Assumptions'!F57-'Assumptions'!F62*(1)-'Assumptions'!F67-(0))+(('Historical Inputs'!$N$9*(1+(D79))^1)*('Assumptions'!E67+(0))))*'DCF'!F12/(1+(G79))^'DCF'!F13,(('Historical Inputs'!$N$9*(1+(D79))^3)*(('Assumptions'!G37+(E79))*(1-'Assumptions'!G42-(0))+'Assumptions'!G47-'Assumptions'!G52*(F79)+'Assumptions'!G57-'Assumptions'!G62*(1)-'Assumptions'!G67-(0))+(('Historical Inputs'!$N$9*(1+(D79))^2)*('Assumptions'!F67+(0))))*'DCF'!G12/(1+(G79))^'DCF'!G13,(('Historical Inputs'!$N$9*(1+(D79))^4)*(('Assumptions'!H37+(E79))*(1-'Assumptions'!H42-(0))+'Assumptions'!H47-'Assumptions'!H52*(F79)+'Assumptions'!H57-'Assumptions'!H62*(1)-'Assumptions'!H67-(0))+(('Historical Inputs'!$N$9*(1+(D79))^3)*('Assumptions'!G67+(0))))*'DCF'!H12/(1+(G79))^'DCF'!H13,(('Historical Inputs'!$N$9*(1+(D79))^5)*(('Assumptions'!I37+(E79))*(1-'Assumptions'!I42-(0))+'Assumptions'!I47-'Assumptions'!I52*(F79)+'Assumptions'!I57-'Assumptions'!I62*(1)-'Assumptions'!I67-(0))+(('Historical Inputs'!$N$9*(1+(D79))^4)*('Assumptions'!H67+(0))))*'DCF'!I12/(1+(G79))^'DCF'!I13)+('Historical Inputs'!$N$9*(1+(D79))^5)*(1+(H79))*('Terminal Value'!$E$10+(E79))*(1-'Assumptions'!$E$15-(0))*(1-(H79)/('Terminal Value'!$E$12))/((G79)-(H79))/(1+(G79))^'DCF'!$E$19)+'Equity Bridge'!$E$17)/'Equity Bridge'!$E$20</x:f>
        <x:v>350.9887162052007</x:v>
      </x:c>
      <x:c r="L79" s="136"/>
      <x:c r="M79" s="136"/>
      <x:c r="N79" s="136"/>
      <x:c r="O79" s="136"/>
      <x:c r="P79" s="136"/>
      <x:c r="Q79" s="136"/>
      <x:c r="R79" s="136"/>
      <x:c r="S79" s="136"/>
      <x:c r="T79" s="136"/>
      <x:c r="U79" s="136"/>
      <x:c r="V79" s="136"/>
      <x:c r="W79" s="136"/>
      <x:c r="X79" s="240" t="n">
        <x:v>0.2803491747084845</x:v>
      </x:c>
      <x:c r="Y79" s="240" t="n">
        <x:v>0.8060937433291634</x:v>
      </x:c>
      <x:c r="Z79" s="240" t="n">
        <x:v>0.13293737814318396</x:v>
      </x:c>
      <x:c r="AA79" s="255" t="n">
        <x:v>0.06997116886225996</x:v>
      </x:c>
      <x:c r="AB79" s="255" t="n">
        <x:v>0.8015606355675577</x:v>
      </x:c>
    </x:row>
    <x:row r="80" ht="24" customHeight="1">
      <x:c r="A80" s="136"/>
      <x:c r="B80" s="136"/>
      <x:c r="C80" s="136" t="n">
        <x:f>49</x:f>
        <x:v>49</x:v>
      </x:c>
      <x:c r="D80" s="162" t="n">
        <x:f>IF(X80&lt;($E$12-$D$12)/($F$12-$D$12),$D$12+SQRT(X80*($F$12-$D$12)*($E$12-$D$12)),$F$12-SQRT((1-X80)*($F$12-$D$12)*($F$12-$E$12)))</x:f>
        <x:v>0.1468921991125881</x:v>
      </x:c>
      <x:c r="E80" s="162" t="n">
        <x:f>IF(Y80&lt;($E$13-$D$13)/($F$13-$D$13),$D$13+SQRT(Y80*($F$13-$D$13)*($E$13-$D$13)),$F$13-SQRT((1-Y80)*($F$13-$D$13)*($F$13-$E$13)))</x:f>
        <x:v>-0.0027086282409545664</x:v>
      </x:c>
      <x:c r="F80" s="222" t="n">
        <x:f>IF(Z80&lt;($E$14-$D$14)/($F$14-$D$14),$D$14+SQRT(Z80*($F$14-$D$14)*($E$14-$D$14)),$F$14-SQRT((1-Z80)*($F$14-$D$14)*($F$14-$E$14)))</x:f>
        <x:v>1.006377186948483</x:v>
      </x:c>
      <x:c r="G80" s="162" t="n">
        <x:f>IF(AA80&lt;($E$15-$D$15)/($F$15-$D$15),$D$15+SQRT(AA80*($F$15-$D$15)*($E$15-$D$15)),$F$15-SQRT((1-AA80)*($F$15-$D$15)*($F$15-$E$15)))</x:f>
        <x:v>0.10243286668868275</x:v>
      </x:c>
      <x:c r="H80" s="162" t="n">
        <x:f>IF(AB80&lt;($E$16-$D$16)/($F$16-$D$16),$D$16+SQRT(AB80*($F$16-$D$16)*($E$16-$D$16)),$F$16-SQRT((1-AB80)*($F$16-$D$16)*($F$16-$E$16)))</x:f>
        <x:v>0.033606714763022454</x:v>
      </x:c>
      <x:c r="I80" s="164" t="n">
        <x:f>'Historical Inputs'!$N$9*(1+D80)^5</x:f>
        <x:v>658476.7116385726</x:v>
      </x:c>
      <x:c r="J80" s="164" t="n">
        <x:f>I80*(1+H80)*('Terminal Value'!$E$10+E80)*(1-'Assumptions'!$E$15)*(1-H80/'Terminal Value'!$E$12)</x:f>
        <x:v>179970.2263906995</x:v>
      </x:c>
      <x:c r="K80" s="145" t="n">
        <x:f>((SUM((('Historical Inputs'!$N$9*(1+(D80))^1)*(('Assumptions'!E37+(E80))*(1-'Assumptions'!E42-(0))+'Assumptions'!E47-'Assumptions'!E52*(F80)+'Assumptions'!E57-'Assumptions'!E62*(1)-'Assumptions'!E67-(0))+('Working Capital'!$E$6))*'DCF'!E12/(1+(G80))^'DCF'!E13,(('Historical Inputs'!$N$9*(1+(D80))^2)*(('Assumptions'!F37+(E80))*(1-'Assumptions'!F42-(0))+'Assumptions'!F47-'Assumptions'!F52*(F80)+'Assumptions'!F57-'Assumptions'!F62*(1)-'Assumptions'!F67-(0))+(('Historical Inputs'!$N$9*(1+(D80))^1)*('Assumptions'!E67+(0))))*'DCF'!F12/(1+(G80))^'DCF'!F13,(('Historical Inputs'!$N$9*(1+(D80))^3)*(('Assumptions'!G37+(E80))*(1-'Assumptions'!G42-(0))+'Assumptions'!G47-'Assumptions'!G52*(F80)+'Assumptions'!G57-'Assumptions'!G62*(1)-'Assumptions'!G67-(0))+(('Historical Inputs'!$N$9*(1+(D80))^2)*('Assumptions'!F67+(0))))*'DCF'!G12/(1+(G80))^'DCF'!G13,(('Historical Inputs'!$N$9*(1+(D80))^4)*(('Assumptions'!H37+(E80))*(1-'Assumptions'!H42-(0))+'Assumptions'!H47-'Assumptions'!H52*(F80)+'Assumptions'!H57-'Assumptions'!H62*(1)-'Assumptions'!H67-(0))+(('Historical Inputs'!$N$9*(1+(D80))^3)*('Assumptions'!G67+(0))))*'DCF'!H12/(1+(G80))^'DCF'!H13,(('Historical Inputs'!$N$9*(1+(D80))^5)*(('Assumptions'!I37+(E80))*(1-'Assumptions'!I42-(0))+'Assumptions'!I47-'Assumptions'!I52*(F80)+'Assumptions'!I57-'Assumptions'!I62*(1)-'Assumptions'!I67-(0))+(('Historical Inputs'!$N$9*(1+(D80))^4)*('Assumptions'!H67+(0))))*'DCF'!I12/(1+(G80))^'DCF'!I13)+('Historical Inputs'!$N$9*(1+(D80))^5)*(1+(H80))*('Terminal Value'!$E$10+(E80))*(1-'Assumptions'!$E$15-(0))*(1-(H80)/('Terminal Value'!$E$12))/((G80)-(H80))/(1+(G80))^'DCF'!$E$19)+'Equity Bridge'!$E$17)/'Equity Bridge'!$E$20</x:f>
        <x:v>276.1433922428741</x:v>
      </x:c>
      <x:c r="L80" s="136"/>
      <x:c r="M80" s="136"/>
      <x:c r="N80" s="136"/>
      <x:c r="O80" s="136"/>
      <x:c r="P80" s="136"/>
      <x:c r="Q80" s="136"/>
      <x:c r="R80" s="136"/>
      <x:c r="S80" s="136"/>
      <x:c r="T80" s="136"/>
      <x:c r="U80" s="136"/>
      <x:c r="V80" s="136"/>
      <x:c r="W80" s="136"/>
      <x:c r="X80" s="240" t="n">
        <x:v>0.5700606429497131</x:v>
      </x:c>
      <x:c r="Y80" s="240" t="n">
        <x:v>0.4472947685704479</x:v>
      </x:c>
      <x:c r="Z80" s="240" t="n">
        <x:v>0.46443151808596117</x:v>
      </x:c>
      <x:c r="AA80" s="255" t="n">
        <x:v>0.7452208622684569</x:v>
      </x:c>
      <x:c r="AB80" s="255" t="n">
        <x:v>0.7956295193932248</x:v>
      </x:c>
    </x:row>
    <x:row r="81" ht="24" customHeight="1">
      <x:c r="A81" s="136"/>
      <x:c r="B81" s="136"/>
      <x:c r="C81" s="136" t="n">
        <x:f>50</x:f>
        <x:v>50</x:v>
      </x:c>
      <x:c r="D81" s="162" t="n">
        <x:f>IF(X81&lt;($E$12-$D$12)/($F$12-$D$12),$D$12+SQRT(X81*($F$12-$D$12)*($E$12-$D$12)),$F$12-SQRT((1-X81)*($F$12-$D$12)*($F$12-$E$12)))</x:f>
        <x:v>0.1746183027263067</x:v>
      </x:c>
      <x:c r="E81" s="162" t="n">
        <x:f>IF(Y81&lt;($E$13-$D$13)/($F$13-$D$13),$D$13+SQRT(Y81*($F$13-$D$13)*($E$13-$D$13)),$F$13-SQRT((1-Y81)*($F$13-$D$13)*($F$13-$E$13)))</x:f>
        <x:v>-0.028077523299176482</x:v>
      </x:c>
      <x:c r="F81" s="222" t="n">
        <x:f>IF(Z81&lt;($E$14-$D$14)/($F$14-$D$14),$D$14+SQRT(Z81*($F$14-$D$14)*($E$14-$D$14)),$F$14-SQRT((1-Z81)*($F$14-$D$14)*($F$14-$E$14)))</x:f>
        <x:v>1.0726169865683308</x:v>
      </x:c>
      <x:c r="G81" s="162" t="n">
        <x:f>IF(AA81&lt;($E$15-$D$15)/($F$15-$D$15),$D$15+SQRT(AA81*($F$15-$D$15)*($E$15-$D$15)),$F$15-SQRT((1-AA81)*($F$15-$D$15)*($F$15-$E$15)))</x:f>
        <x:v>0.10775860681792661</x:v>
      </x:c>
      <x:c r="H81" s="162" t="n">
        <x:f>IF(AB81&lt;($E$16-$D$16)/($F$16-$D$16),$D$16+SQRT(AB81*($F$16-$D$16)*($E$16-$D$16)),$F$16-SQRT((1-AB81)*($F$16-$D$16)*($F$16-$E$16)))</x:f>
        <x:v>0.030822245391819048</x:v>
      </x:c>
      <x:c r="I81" s="164" t="n">
        <x:f>'Historical Inputs'!$N$9*(1+D81)^5</x:f>
        <x:v>742012.5389840956</x:v>
      </x:c>
      <x:c r="J81" s="164" t="n">
        <x:f>I81*(1+H81)*('Terminal Value'!$E$10+E81)*(1-'Assumptions'!$E$15)*(1-H81/'Terminal Value'!$E$12)</x:f>
        <x:v>192508.84996626523</x:v>
      </x:c>
      <x:c r="K81" s="145" t="n">
        <x:f>((SUM((('Historical Inputs'!$N$9*(1+(D81))^1)*(('Assumptions'!E37+(E81))*(1-'Assumptions'!E42-(0))+'Assumptions'!E47-'Assumptions'!E52*(F81)+'Assumptions'!E57-'Assumptions'!E62*(1)-'Assumptions'!E67-(0))+('Working Capital'!$E$6))*'DCF'!E12/(1+(G81))^'DCF'!E13,(('Historical Inputs'!$N$9*(1+(D81))^2)*(('Assumptions'!F37+(E81))*(1-'Assumptions'!F42-(0))+'Assumptions'!F47-'Assumptions'!F52*(F81)+'Assumptions'!F57-'Assumptions'!F62*(1)-'Assumptions'!F67-(0))+(('Historical Inputs'!$N$9*(1+(D81))^1)*('Assumptions'!E67+(0))))*'DCF'!F12/(1+(G81))^'DCF'!F13,(('Historical Inputs'!$N$9*(1+(D81))^3)*(('Assumptions'!G37+(E81))*(1-'Assumptions'!G42-(0))+'Assumptions'!G47-'Assumptions'!G52*(F81)+'Assumptions'!G57-'Assumptions'!G62*(1)-'Assumptions'!G67-(0))+(('Historical Inputs'!$N$9*(1+(D81))^2)*('Assumptions'!F67+(0))))*'DCF'!G12/(1+(G81))^'DCF'!G13,(('Historical Inputs'!$N$9*(1+(D81))^4)*(('Assumptions'!H37+(E81))*(1-'Assumptions'!H42-(0))+'Assumptions'!H47-'Assumptions'!H52*(F81)+'Assumptions'!H57-'Assumptions'!H62*(1)-'Assumptions'!H67-(0))+(('Historical Inputs'!$N$9*(1+(D81))^3)*('Assumptions'!G67+(0))))*'DCF'!H12/(1+(G81))^'DCF'!H13,(('Historical Inputs'!$N$9*(1+(D81))^5)*(('Assumptions'!I37+(E81))*(1-'Assumptions'!I42-(0))+'Assumptions'!I47-'Assumptions'!I52*(F81)+'Assumptions'!I57-'Assumptions'!I62*(1)-'Assumptions'!I67-(0))+(('Historical Inputs'!$N$9*(1+(D81))^4)*('Assumptions'!H67+(0))))*'DCF'!I12/(1+(G81))^'DCF'!I13)+('Historical Inputs'!$N$9*(1+(D81))^5)*(1+(H81))*('Terminal Value'!$E$10+(E81))*(1-'Assumptions'!$E$15-(0))*(1-(H81)/('Terminal Value'!$E$12))/((G81)-(H81))/(1+(G81))^'DCF'!$E$19)+'Equity Bridge'!$E$17)/'Equity Bridge'!$E$20</x:f>
        <x:v>255.9883551205571</x:v>
      </x:c>
      <x:c r="L81" s="136"/>
      <x:c r="M81" s="136"/>
      <x:c r="N81" s="136"/>
      <x:c r="O81" s="136"/>
      <x:c r="P81" s="136"/>
      <x:c r="Q81" s="136"/>
      <x:c r="R81" s="136"/>
      <x:c r="S81" s="136"/>
      <x:c r="T81" s="136"/>
      <x:c r="U81" s="136"/>
      <x:c r="V81" s="136"/>
      <x:c r="W81" s="136"/>
      <x:c r="X81" s="240" t="n">
        <x:v>0.930519630064118</x:v>
      </x:c>
      <x:c r="Y81" s="240" t="n">
        <x:v>0.09611899693963</x:v>
      </x:c>
      <x:c r="Z81" s="240" t="n">
        <x:v>0.768193826986674</x:v>
      </x:c>
      <x:c r="AA81" s="255" t="n">
        <x:v>0.9356369615180794</x:v>
      </x:c>
      <x:c r="AB81" s="255" t="n">
        <x:v>0.5788441017600666</x:v>
      </x:c>
    </x:row>
    <x:row r="82" ht="24" customHeight="1">
      <x:c r="A82" s="136"/>
      <x:c r="B82" s="136"/>
      <x:c r="C82" s="136" t="n">
        <x:f>51</x:f>
        <x:v>51</x:v>
      </x:c>
      <x:c r="D82" s="162" t="n">
        <x:f>IF(X82&lt;($E$12-$D$12)/($F$12-$D$12),$D$12+SQRT(X82*($F$12-$D$12)*($E$12-$D$12)),$F$12-SQRT((1-X82)*($F$12-$D$12)*($F$12-$E$12)))</x:f>
        <x:v>0.14379773737895576</x:v>
      </x:c>
      <x:c r="E82" s="162" t="n">
        <x:f>IF(Y82&lt;($E$13-$D$13)/($F$13-$D$13),$D$13+SQRT(Y82*($F$13-$D$13)*($E$13-$D$13)),$F$13-SQRT((1-Y82)*($F$13-$D$13)*($F$13-$E$13)))</x:f>
        <x:v>0.024082440742654858</x:v>
      </x:c>
      <x:c r="F82" s="222" t="n">
        <x:f>IF(Z82&lt;($E$14-$D$14)/($F$14-$D$14),$D$14+SQRT(Z82*($F$14-$D$14)*($E$14-$D$14)),$F$14-SQRT((1-Z82)*($F$14-$D$14)*($F$14-$E$14)))</x:f>
        <x:v>0.895019136619026</x:v>
      </x:c>
      <x:c r="G82" s="162" t="n">
        <x:f>IF(AA82&lt;($E$15-$D$15)/($F$15-$D$15),$D$15+SQRT(AA82*($F$15-$D$15)*($E$15-$D$15)),$F$15-SQRT((1-AA82)*($F$15-$D$15)*($F$15-$E$15)))</x:f>
        <x:v>0.08434683713710894</x:v>
      </x:c>
      <x:c r="H82" s="162" t="n">
        <x:f>IF(AB82&lt;($E$16-$D$16)/($F$16-$D$16),$D$16+SQRT(AB82*($F$16-$D$16)*($E$16-$D$16)),$F$16-SQRT((1-AB82)*($F$16-$D$16)*($F$16-$E$16)))</x:f>
        <x:v>0.024854088739583325</x:v>
      </x:c>
      <x:c r="I82" s="164" t="n">
        <x:f>'Historical Inputs'!$N$9*(1+D82)^5</x:f>
        <x:v>649641.247250358</x:v>
      </x:c>
      <x:c r="J82" s="164" t="n">
        <x:f>I82*(1+H82)*('Terminal Value'!$E$10+E82)*(1-'Assumptions'!$E$15)*(1-H82/'Terminal Value'!$E$12)</x:f>
        <x:v>197808.93965224532</x:v>
      </x:c>
      <x:c r="K82" s="145" t="n">
        <x:f>((SUM((('Historical Inputs'!$N$9*(1+(D82))^1)*(('Assumptions'!E37+(E82))*(1-'Assumptions'!E42-(0))+'Assumptions'!E47-'Assumptions'!E52*(F82)+'Assumptions'!E57-'Assumptions'!E62*(1)-'Assumptions'!E67-(0))+('Working Capital'!$E$6))*'DCF'!E12/(1+(G82))^'DCF'!E13,(('Historical Inputs'!$N$9*(1+(D82))^2)*(('Assumptions'!F37+(E82))*(1-'Assumptions'!F42-(0))+'Assumptions'!F47-'Assumptions'!F52*(F82)+'Assumptions'!F57-'Assumptions'!F62*(1)-'Assumptions'!F67-(0))+(('Historical Inputs'!$N$9*(1+(D82))^1)*('Assumptions'!E67+(0))))*'DCF'!F12/(1+(G82))^'DCF'!F13,(('Historical Inputs'!$N$9*(1+(D82))^3)*(('Assumptions'!G37+(E82))*(1-'Assumptions'!G42-(0))+'Assumptions'!G47-'Assumptions'!G52*(F82)+'Assumptions'!G57-'Assumptions'!G62*(1)-'Assumptions'!G67-(0))+(('Historical Inputs'!$N$9*(1+(D82))^2)*('Assumptions'!F67+(0))))*'DCF'!G12/(1+(G82))^'DCF'!G13,(('Historical Inputs'!$N$9*(1+(D82))^4)*(('Assumptions'!H37+(E82))*(1-'Assumptions'!H42-(0))+'Assumptions'!H47-'Assumptions'!H52*(F82)+'Assumptions'!H57-'Assumptions'!H62*(1)-'Assumptions'!H67-(0))+(('Historical Inputs'!$N$9*(1+(D82))^3)*('Assumptions'!G67+(0))))*'DCF'!H12/(1+(G82))^'DCF'!H13,(('Historical Inputs'!$N$9*(1+(D82))^5)*(('Assumptions'!I37+(E82))*(1-'Assumptions'!I42-(0))+'Assumptions'!I47-'Assumptions'!I52*(F82)+'Assumptions'!I57-'Assumptions'!I62*(1)-'Assumptions'!I67-(0))+(('Historical Inputs'!$N$9*(1+(D82))^4)*('Assumptions'!H67+(0))))*'DCF'!I12/(1+(G82))^'DCF'!I13)+('Historical Inputs'!$N$9*(1+(D82))^5)*(1+(H82))*('Terminal Value'!$E$10+(E82))*(1-'Assumptions'!$E$15-(0))*(1-(H82)/('Terminal Value'!$E$12))/((G82)-(H82))/(1+(G82))^'DCF'!$E$19)+'Equity Bridge'!$E$17)/'Equity Bridge'!$E$20</x:f>
        <x:v>374.2508113878368</x:v>
      </x:c>
      <x:c r="L82" s="136"/>
      <x:c r="M82" s="136"/>
      <x:c r="N82" s="136"/>
      <x:c r="O82" s="136"/>
      <x:c r="P82" s="136"/>
      <x:c r="Q82" s="136"/>
      <x:c r="R82" s="136"/>
      <x:c r="S82" s="136"/>
      <x:c r="T82" s="136"/>
      <x:c r="U82" s="136"/>
      <x:c r="V82" s="136"/>
      <x:c r="W82" s="136"/>
      <x:c r="X82" s="240" t="n">
        <x:v>0.5107558363961386</x:v>
      </x:c>
      <x:c r="Y82" s="240" t="n">
        <x:v>0.8656560244284006</x:v>
      </x:c>
      <x:c r="Z82" s="240" t="n">
        <x:v>0.038604241179476806</x:v>
      </x:c>
      <x:c r="AA82" s="255" t="n">
        <x:v>0.003234588141402761</x:v>
      </x:c>
      <x:c r="AB82" s="255" t="n">
        <x:v>0.11781088745874824</x:v>
      </x:c>
    </x:row>
    <x:row r="83" ht="24" customHeight="1">
      <x:c r="A83" s="136"/>
      <x:c r="B83" s="136"/>
      <x:c r="C83" s="136" t="n">
        <x:f>52</x:f>
        <x:v>52</x:v>
      </x:c>
      <x:c r="D83" s="162" t="n">
        <x:f>IF(X83&lt;($E$12-$D$12)/($F$12-$D$12),$D$12+SQRT(X83*($F$12-$D$12)*($E$12-$D$12)),$F$12-SQRT((1-X83)*($F$12-$D$12)*($F$12-$E$12)))</x:f>
        <x:v>0.1302718074927195</x:v>
      </x:c>
      <x:c r="E83" s="162" t="n">
        <x:f>IF(Y83&lt;($E$13-$D$13)/($F$13-$D$13),$D$13+SQRT(Y83*($F$13-$D$13)*($E$13-$D$13)),$F$13-SQRT((1-Y83)*($F$13-$D$13)*($F$13-$E$13)))</x:f>
        <x:v>-0.012886058108256285</x:v>
      </x:c>
      <x:c r="F83" s="222" t="n">
        <x:f>IF(Z83&lt;($E$14-$D$14)/($F$14-$D$14),$D$14+SQRT(Z83*($F$14-$D$14)*($E$14-$D$14)),$F$14-SQRT((1-Z83)*($F$14-$D$14)*($F$14-$E$14)))</x:f>
        <x:v>0.9786448838958501</x:v>
      </x:c>
      <x:c r="G83" s="162" t="n">
        <x:f>IF(AA83&lt;($E$15-$D$15)/($F$15-$D$15),$D$15+SQRT(AA83*($F$15-$D$15)*($E$15-$D$15)),$F$15-SQRT((1-AA83)*($F$15-$D$15)*($F$15-$E$15)))</x:f>
        <x:v>0.09256187902944106</x:v>
      </x:c>
      <x:c r="H83" s="162" t="n">
        <x:f>IF(AB83&lt;($E$16-$D$16)/($F$16-$D$16),$D$16+SQRT(AB83*($F$16-$D$16)*($E$16-$D$16)),$F$16-SQRT((1-AB83)*($F$16-$D$16)*($F$16-$E$16)))</x:f>
        <x:v>0.02512592930943757</x:v>
      </x:c>
      <x:c r="I83" s="164" t="n">
        <x:f>'Historical Inputs'!$N$9*(1+D83)^5</x:f>
        <x:v>612127.5149410085</x:v>
      </x:c>
      <x:c r="J83" s="164" t="n">
        <x:f>I83*(1+H83)*('Terminal Value'!$E$10+E83)*(1-'Assumptions'!$E$15)*(1-H83/'Terminal Value'!$E$12)</x:f>
        <x:v>169919.54777366534</x:v>
      </x:c>
      <x:c r="K83" s="145" t="n">
        <x:f>((SUM((('Historical Inputs'!$N$9*(1+(D83))^1)*(('Assumptions'!E37+(E83))*(1-'Assumptions'!E42-(0))+'Assumptions'!E47-'Assumptions'!E52*(F83)+'Assumptions'!E57-'Assumptions'!E62*(1)-'Assumptions'!E67-(0))+('Working Capital'!$E$6))*'DCF'!E12/(1+(G83))^'DCF'!E13,(('Historical Inputs'!$N$9*(1+(D83))^2)*(('Assumptions'!F37+(E83))*(1-'Assumptions'!F42-(0))+'Assumptions'!F47-'Assumptions'!F52*(F83)+'Assumptions'!F57-'Assumptions'!F62*(1)-'Assumptions'!F67-(0))+(('Historical Inputs'!$N$9*(1+(D83))^1)*('Assumptions'!E67+(0))))*'DCF'!F12/(1+(G83))^'DCF'!F13,(('Historical Inputs'!$N$9*(1+(D83))^3)*(('Assumptions'!G37+(E83))*(1-'Assumptions'!G42-(0))+'Assumptions'!G47-'Assumptions'!G52*(F83)+'Assumptions'!G57-'Assumptions'!G62*(1)-'Assumptions'!G67-(0))+(('Historical Inputs'!$N$9*(1+(D83))^2)*('Assumptions'!F67+(0))))*'DCF'!G12/(1+(G83))^'DCF'!G13,(('Historical Inputs'!$N$9*(1+(D83))^4)*(('Assumptions'!H37+(E83))*(1-'Assumptions'!H42-(0))+'Assumptions'!H47-'Assumptions'!H52*(F83)+'Assumptions'!H57-'Assumptions'!H62*(1)-'Assumptions'!H67-(0))+(('Historical Inputs'!$N$9*(1+(D83))^3)*('Assumptions'!G67+(0))))*'DCF'!H12/(1+(G83))^'DCF'!H13,(('Historical Inputs'!$N$9*(1+(D83))^5)*(('Assumptions'!I37+(E83))*(1-'Assumptions'!I42-(0))+'Assumptions'!I47-'Assumptions'!I52*(F83)+'Assumptions'!I57-'Assumptions'!I62*(1)-'Assumptions'!I67-(0))+(('Historical Inputs'!$N$9*(1+(D83))^4)*('Assumptions'!H67+(0))))*'DCF'!I12/(1+(G83))^'DCF'!I13)+('Historical Inputs'!$N$9*(1+(D83))^5)*(1+(H83))*('Terminal Value'!$E$10+(E83))*(1-'Assumptions'!$E$15-(0))*(1-(H83)/('Terminal Value'!$E$12))/((G83)-(H83))/(1+(G83))^'DCF'!$E$19)+'Equity Bridge'!$E$17)/'Equity Bridge'!$E$20</x:f>
        <x:v>275.5570749539468</x:v>
      </x:c>
      <x:c r="L83" s="136"/>
      <x:c r="M83" s="136"/>
      <x:c r="N83" s="136"/>
      <x:c r="O83" s="136"/>
      <x:c r="P83" s="136"/>
      <x:c r="Q83" s="136"/>
      <x:c r="R83" s="136"/>
      <x:c r="S83" s="136"/>
      <x:c r="T83" s="136"/>
      <x:c r="U83" s="136"/>
      <x:c r="V83" s="136"/>
      <x:c r="W83" s="136"/>
      <x:c r="X83" s="240" t="n">
        <x:v>0.2740188715897869</x:v>
      </x:c>
      <x:c r="Y83" s="240" t="n">
        <x:v>0.27548893654874584</x:v>
      </x:c>
      <x:c r="Z83" s="240" t="n">
        <x:v>0.3152286886205101</x:v>
      </x:c>
      <x:c r="AA83" s="255" t="n">
        <x:v>0.19725521278009728</x:v>
      </x:c>
      <x:c r="AB83" s="255" t="n">
        <x:v>0.1313757564267557</x:v>
      </x:c>
    </x:row>
    <x:row r="84" ht="24" customHeight="1">
      <x:c r="A84" s="136"/>
      <x:c r="B84" s="136"/>
      <x:c r="C84" s="136" t="n">
        <x:f>53</x:f>
        <x:v>53</x:v>
      </x:c>
      <x:c r="D84" s="162" t="n">
        <x:f>IF(X84&lt;($E$12-$D$12)/($F$12-$D$12),$D$12+SQRT(X84*($F$12-$D$12)*($E$12-$D$12)),$F$12-SQRT((1-X84)*($F$12-$D$12)*($F$12-$E$12)))</x:f>
        <x:v>0.16104021728453227</x:v>
      </x:c>
      <x:c r="E84" s="162" t="n">
        <x:f>IF(Y84&lt;($E$13-$D$13)/($F$13-$D$13),$D$13+SQRT(Y84*($F$13-$D$13)*($E$13-$D$13)),$F$13-SQRT((1-Y84)*($F$13-$D$13)*($F$13-$E$13)))</x:f>
        <x:v>-0.008541399346488565</x:v>
      </x:c>
      <x:c r="F84" s="222" t="n">
        <x:f>IF(Z84&lt;($E$14-$D$14)/($F$14-$D$14),$D$14+SQRT(Z84*($F$14-$D$14)*($E$14-$D$14)),$F$14-SQRT((1-Z84)*($F$14-$D$14)*($F$14-$E$14)))</x:f>
        <x:v>0.9959169562161931</x:v>
      </x:c>
      <x:c r="G84" s="162" t="n">
        <x:f>IF(AA84&lt;($E$15-$D$15)/($F$15-$D$15),$D$15+SQRT(AA84*($F$15-$D$15)*($E$15-$D$15)),$F$15-SQRT((1-AA84)*($F$15-$D$15)*($F$15-$E$15)))</x:f>
        <x:v>0.09230043123077808</x:v>
      </x:c>
      <x:c r="H84" s="162" t="n">
        <x:f>IF(AB84&lt;($E$16-$D$16)/($F$16-$D$16),$D$16+SQRT(AB84*($F$16-$D$16)*($E$16-$D$16)),$F$16-SQRT((1-AB84)*($F$16-$D$16)*($F$16-$E$16)))</x:f>
        <x:v>0.030585170335561844</x:v>
      </x:c>
      <x:c r="I84" s="164" t="n">
        <x:f>'Historical Inputs'!$N$9*(1+D84)^5</x:f>
        <x:v>700105.9096986164</x:v>
      </x:c>
      <x:c r="J84" s="164" t="n">
        <x:f>I84*(1+H84)*('Terminal Value'!$E$10+E84)*(1-'Assumptions'!$E$15)*(1-H84/'Terminal Value'!$E$12)</x:f>
        <x:v>191401.30149087924</x:v>
      </x:c>
      <x:c r="K84" s="145" t="n">
        <x:f>((SUM((('Historical Inputs'!$N$9*(1+(D84))^1)*(('Assumptions'!E37+(E84))*(1-'Assumptions'!E42-(0))+'Assumptions'!E47-'Assumptions'!E52*(F84)+'Assumptions'!E57-'Assumptions'!E62*(1)-'Assumptions'!E67-(0))+('Working Capital'!$E$6))*'DCF'!E12/(1+(G84))^'DCF'!E13,(('Historical Inputs'!$N$9*(1+(D84))^2)*(('Assumptions'!F37+(E84))*(1-'Assumptions'!F42-(0))+'Assumptions'!F47-'Assumptions'!F52*(F84)+'Assumptions'!F57-'Assumptions'!F62*(1)-'Assumptions'!F67-(0))+(('Historical Inputs'!$N$9*(1+(D84))^1)*('Assumptions'!E67+(0))))*'DCF'!F12/(1+(G84))^'DCF'!F13,(('Historical Inputs'!$N$9*(1+(D84))^3)*(('Assumptions'!G37+(E84))*(1-'Assumptions'!G42-(0))+'Assumptions'!G47-'Assumptions'!G52*(F84)+'Assumptions'!G57-'Assumptions'!G62*(1)-'Assumptions'!G67-(0))+(('Historical Inputs'!$N$9*(1+(D84))^2)*('Assumptions'!F67+(0))))*'DCF'!G12/(1+(G84))^'DCF'!G13,(('Historical Inputs'!$N$9*(1+(D84))^4)*(('Assumptions'!H37+(E84))*(1-'Assumptions'!H42-(0))+'Assumptions'!H47-'Assumptions'!H52*(F84)+'Assumptions'!H57-'Assumptions'!H62*(1)-'Assumptions'!H67-(0))+(('Historical Inputs'!$N$9*(1+(D84))^3)*('Assumptions'!G67+(0))))*'DCF'!H12/(1+(G84))^'DCF'!H13,(('Historical Inputs'!$N$9*(1+(D84))^5)*(('Assumptions'!I37+(E84))*(1-'Assumptions'!I42-(0))+'Assumptions'!I47-'Assumptions'!I52*(F84)+'Assumptions'!I57-'Assumptions'!I62*(1)-'Assumptions'!I67-(0))+(('Historical Inputs'!$N$9*(1+(D84))^4)*('Assumptions'!H67+(0))))*'DCF'!I12/(1+(G84))^'DCF'!I13)+('Historical Inputs'!$N$9*(1+(D84))^5)*(1+(H84))*('Terminal Value'!$E$10+(E84))*(1-'Assumptions'!$E$15-(0))*(1-(H84)/('Terminal Value'!$E$12))/((G84)-(H84))/(1+(G84))^'DCF'!$E$19)+'Equity Bridge'!$E$17)/'Equity Bridge'!$E$20</x:f>
        <x:v>332.55869336005304</x:v>
      </x:c>
      <x:c r="L84" s="136"/>
      <x:c r="M84" s="136"/>
      <x:c r="N84" s="136"/>
      <x:c r="O84" s="136"/>
      <x:c r="P84" s="136"/>
      <x:c r="Q84" s="136"/>
      <x:c r="R84" s="136"/>
      <x:c r="S84" s="136"/>
      <x:c r="T84" s="136"/>
      <x:c r="U84" s="136"/>
      <x:c r="V84" s="136"/>
      <x:c r="W84" s="136"/>
      <x:c r="X84" s="240" t="n">
        <x:v>0.7924155010266334</x:v>
      </x:c>
      <x:c r="Y84" s="240" t="n">
        <x:v>0.34376311362946776</x:v>
      </x:c>
      <x:c r="Z84" s="240" t="n">
        <x:v>0.40555729735997037</x:v>
      </x:c>
      <x:c r="AA84" s="255" t="n">
        <x:v>0.18645941053353043</x:v>
      </x:c>
      <x:c r="AB84" s="255" t="n">
        <x:v>0.5568049119480766</x:v>
      </x:c>
    </x:row>
    <x:row r="85" ht="24" customHeight="1">
      <x:c r="A85" s="136"/>
      <x:c r="B85" s="136"/>
      <x:c r="C85" s="136" t="n">
        <x:f>54</x:f>
        <x:v>54</x:v>
      </x:c>
      <x:c r="D85" s="162" t="n">
        <x:f>IF(X85&lt;($E$12-$D$12)/($F$12-$D$12),$D$12+SQRT(X85*($F$12-$D$12)*($E$12-$D$12)),$F$12-SQRT((1-X85)*($F$12-$D$12)*($F$12-$E$12)))</x:f>
        <x:v>0.17467608930578024</x:v>
      </x:c>
      <x:c r="E85" s="162" t="n">
        <x:f>IF(Y85&lt;($E$13-$D$13)/($F$13-$D$13),$D$13+SQRT(Y85*($F$13-$D$13)*($E$13-$D$13)),$F$13-SQRT((1-Y85)*($F$13-$D$13)*($F$13-$E$13)))</x:f>
        <x:v>0.03060568390082621</x:v>
      </x:c>
      <x:c r="F85" s="222" t="n">
        <x:f>IF(Z85&lt;($E$14-$D$14)/($F$14-$D$14),$D$14+SQRT(Z85*($F$14-$D$14)*($E$14-$D$14)),$F$14-SQRT((1-Z85)*($F$14-$D$14)*($F$14-$E$14)))</x:f>
        <x:v>0.9544812414212452</x:v>
      </x:c>
      <x:c r="G85" s="162" t="n">
        <x:f>IF(AA85&lt;($E$15-$D$15)/($F$15-$D$15),$D$15+SQRT(AA85*($F$15-$D$15)*($E$15-$D$15)),$F$15-SQRT((1-AA85)*($F$15-$D$15)*($F$15-$E$15)))</x:f>
        <x:v>0.09275975857851229</x:v>
      </x:c>
      <x:c r="H85" s="162" t="n">
        <x:f>IF(AB85&lt;($E$16-$D$16)/($F$16-$D$16),$D$16+SQRT(AB85*($F$16-$D$16)*($E$16-$D$16)),$F$16-SQRT((1-AB85)*($F$16-$D$16)*($F$16-$E$16)))</x:f>
        <x:v>0.036775249776879924</x:v>
      </x:c>
      <x:c r="I85" s="164" t="n">
        <x:f>'Historical Inputs'!$N$9*(1+D85)^5</x:f>
        <x:v>742195.0773693515</x:v>
      </x:c>
      <x:c r="J85" s="164" t="n">
        <x:f>I85*(1+H85)*('Terminal Value'!$E$10+E85)*(1-'Assumptions'!$E$15)*(1-H85/'Terminal Value'!$E$12)</x:f>
        <x:v>216335.82927965236</x:v>
      </x:c>
      <x:c r="K85" s="145" t="n">
        <x:f>((SUM((('Historical Inputs'!$N$9*(1+(D85))^1)*(('Assumptions'!E37+(E85))*(1-'Assumptions'!E42-(0))+'Assumptions'!E47-'Assumptions'!E52*(F85)+'Assumptions'!E57-'Assumptions'!E62*(1)-'Assumptions'!E67-(0))+('Working Capital'!$E$6))*'DCF'!E12/(1+(G85))^'DCF'!E13,(('Historical Inputs'!$N$9*(1+(D85))^2)*(('Assumptions'!F37+(E85))*(1-'Assumptions'!F42-(0))+'Assumptions'!F47-'Assumptions'!F52*(F85)+'Assumptions'!F57-'Assumptions'!F62*(1)-'Assumptions'!F67-(0))+(('Historical Inputs'!$N$9*(1+(D85))^1)*('Assumptions'!E67+(0))))*'DCF'!F12/(1+(G85))^'DCF'!F13,(('Historical Inputs'!$N$9*(1+(D85))^3)*(('Assumptions'!G37+(E85))*(1-'Assumptions'!G42-(0))+'Assumptions'!G47-'Assumptions'!G52*(F85)+'Assumptions'!G57-'Assumptions'!G62*(1)-'Assumptions'!G67-(0))+(('Historical Inputs'!$N$9*(1+(D85))^2)*('Assumptions'!F67+(0))))*'DCF'!G12/(1+(G85))^'DCF'!G13,(('Historical Inputs'!$N$9*(1+(D85))^4)*(('Assumptions'!H37+(E85))*(1-'Assumptions'!H42-(0))+'Assumptions'!H47-'Assumptions'!H52*(F85)+'Assumptions'!H57-'Assumptions'!H62*(1)-'Assumptions'!H67-(0))+(('Historical Inputs'!$N$9*(1+(D85))^3)*('Assumptions'!G67+(0))))*'DCF'!H12/(1+(G85))^'DCF'!H13,(('Historical Inputs'!$N$9*(1+(D85))^5)*(('Assumptions'!I37+(E85))*(1-'Assumptions'!I42-(0))+'Assumptions'!I47-'Assumptions'!I52*(F85)+'Assumptions'!I57-'Assumptions'!I62*(1)-'Assumptions'!I67-(0))+(('Historical Inputs'!$N$9*(1+(D85))^4)*('Assumptions'!H67+(0))))*'DCF'!I12/(1+(G85))^'DCF'!I13)+('Historical Inputs'!$N$9*(1+(D85))^5)*(1+(H85))*('Terminal Value'!$E$10+(E85))*(1-'Assumptions'!$E$15-(0))*(1-(H85)/('Terminal Value'!$E$12))/((G85)-(H85))/(1+(G85))^'DCF'!$E$19)+'Equity Bridge'!$E$17)/'Equity Bridge'!$E$20</x:f>
        <x:v>413.6103198112787</x:v>
      </x:c>
      <x:c r="L85" s="136"/>
      <x:c r="M85" s="136"/>
      <x:c r="N85" s="136"/>
      <x:c r="O85" s="136"/>
      <x:c r="P85" s="136"/>
      <x:c r="Q85" s="136"/>
      <x:c r="R85" s="136"/>
      <x:c r="S85" s="136"/>
      <x:c r="T85" s="136"/>
      <x:c r="U85" s="136"/>
      <x:c r="V85" s="136"/>
      <x:c r="W85" s="136"/>
      <x:c r="X85" s="240" t="n">
        <x:v>0.9309497893353815</x:v>
      </x:c>
      <x:c r="Y85" s="240" t="n">
        <x:v>0.9247721006090657</x:v>
      </x:c>
      <x:c r="Z85" s="240" t="n">
        <x:v>0.2079300915985628</x:v>
      </x:c>
      <x:c r="AA85" s="255" t="n">
        <x:v>0.2056281116982217</x:v>
      </x:c>
      <x:c r="AB85" s="255" t="n">
        <x:v>0.948004929992435</x:v>
      </x:c>
    </x:row>
    <x:row r="86" ht="24" customHeight="1">
      <x:c r="A86" s="136"/>
      <x:c r="B86" s="136"/>
      <x:c r="C86" s="136" t="n">
        <x:f>55</x:f>
        <x:v>55</x:v>
      </x:c>
      <x:c r="D86" s="162" t="n">
        <x:f>IF(X86&lt;($E$12-$D$12)/($F$12-$D$12),$D$12+SQRT(X86*($F$12-$D$12)*($E$12-$D$12)),$F$12-SQRT((1-X86)*($F$12-$D$12)*($F$12-$E$12)))</x:f>
        <x:v>0.14029441481242985</x:v>
      </x:c>
      <x:c r="E86" s="162" t="n">
        <x:f>IF(Y86&lt;($E$13-$D$13)/($F$13-$D$13),$D$13+SQRT(Y86*($F$13-$D$13)*($E$13-$D$13)),$F$13-SQRT((1-Y86)*($F$13-$D$13)*($F$13-$E$13)))</x:f>
        <x:v>0.029090141042406675</x:v>
      </x:c>
      <x:c r="F86" s="222" t="n">
        <x:f>IF(Z86&lt;($E$14-$D$14)/($F$14-$D$14),$D$14+SQRT(Z86*($F$14-$D$14)*($E$14-$D$14)),$F$14-SQRT((1-Z86)*($F$14-$D$14)*($F$14-$E$14)))</x:f>
        <x:v>1.0050842834639324</x:v>
      </x:c>
      <x:c r="G86" s="162" t="n">
        <x:f>IF(AA86&lt;($E$15-$D$15)/($F$15-$D$15),$D$15+SQRT(AA86*($F$15-$D$15)*($E$15-$D$15)),$F$15-SQRT((1-AA86)*($F$15-$D$15)*($F$15-$E$15)))</x:f>
        <x:v>0.100170917291665</x:v>
      </x:c>
      <x:c r="H86" s="162" t="n">
        <x:f>IF(AB86&lt;($E$16-$D$16)/($F$16-$D$16),$D$16+SQRT(AB86*($F$16-$D$16)*($E$16-$D$16)),$F$16-SQRT((1-AB86)*($F$16-$D$16)*($F$16-$E$16)))</x:f>
        <x:v>0.029589742902685946</x:v>
      </x:c>
      <x:c r="I86" s="164" t="n">
        <x:f>'Historical Inputs'!$N$9*(1+D86)^5</x:f>
        <x:v>639753.1186929963</x:v>
      </x:c>
      <x:c r="J86" s="164" t="n">
        <x:f>I86*(1+H86)*('Terminal Value'!$E$10+E86)*(1-'Assumptions'!$E$15)*(1-H86/'Terminal Value'!$E$12)</x:f>
        <x:v>192655.2632045295</x:v>
      </x:c>
      <x:c r="K86" s="145" t="n">
        <x:f>((SUM((('Historical Inputs'!$N$9*(1+(D86))^1)*(('Assumptions'!E37+(E86))*(1-'Assumptions'!E42-(0))+'Assumptions'!E47-'Assumptions'!E52*(F86)+'Assumptions'!E57-'Assumptions'!E62*(1)-'Assumptions'!E67-(0))+('Working Capital'!$E$6))*'DCF'!E12/(1+(G86))^'DCF'!E13,(('Historical Inputs'!$N$9*(1+(D86))^2)*(('Assumptions'!F37+(E86))*(1-'Assumptions'!F42-(0))+'Assumptions'!F47-'Assumptions'!F52*(F86)+'Assumptions'!F57-'Assumptions'!F62*(1)-'Assumptions'!F67-(0))+(('Historical Inputs'!$N$9*(1+(D86))^1)*('Assumptions'!E67+(0))))*'DCF'!F12/(1+(G86))^'DCF'!F13,(('Historical Inputs'!$N$9*(1+(D86))^3)*(('Assumptions'!G37+(E86))*(1-'Assumptions'!G42-(0))+'Assumptions'!G47-'Assumptions'!G52*(F86)+'Assumptions'!G57-'Assumptions'!G62*(1)-'Assumptions'!G67-(0))+(('Historical Inputs'!$N$9*(1+(D86))^2)*('Assumptions'!F67+(0))))*'DCF'!G12/(1+(G86))^'DCF'!G13,(('Historical Inputs'!$N$9*(1+(D86))^4)*(('Assumptions'!H37+(E86))*(1-'Assumptions'!H42-(0))+'Assumptions'!H47-'Assumptions'!H52*(F86)+'Assumptions'!H57-'Assumptions'!H62*(1)-'Assumptions'!H67-(0))+(('Historical Inputs'!$N$9*(1+(D86))^3)*('Assumptions'!G67+(0))))*'DCF'!H12/(1+(G86))^'DCF'!H13,(('Historical Inputs'!$N$9*(1+(D86))^5)*(('Assumptions'!I37+(E86))*(1-'Assumptions'!I42-(0))+'Assumptions'!I47-'Assumptions'!I52*(F86)+'Assumptions'!I57-'Assumptions'!I62*(1)-'Assumptions'!I67-(0))+(('Historical Inputs'!$N$9*(1+(D86))^4)*('Assumptions'!H67+(0))))*'DCF'!I12/(1+(G86))^'DCF'!I13)+('Historical Inputs'!$N$9*(1+(D86))^5)*(1+(H86))*('Terminal Value'!$E$10+(E86))*(1-'Assumptions'!$E$15-(0))*(1-(H86)/('Terminal Value'!$E$12))/((G86)-(H86))/(1+(G86))^'DCF'!$E$19)+'Equity Bridge'!$E$17)/'Equity Bridge'!$E$20</x:f>
        <x:v>293.80886640403264</x:v>
      </x:c>
      <x:c r="L86" s="136"/>
      <x:c r="M86" s="136"/>
      <x:c r="N86" s="136"/>
      <x:c r="O86" s="136"/>
      <x:c r="P86" s="136"/>
      <x:c r="Q86" s="136"/>
      <x:c r="R86" s="136"/>
      <x:c r="S86" s="136"/>
      <x:c r="T86" s="136"/>
      <x:c r="U86" s="136"/>
      <x:c r="V86" s="136"/>
      <x:c r="W86" s="136"/>
      <x:c r="X86" s="240" t="n">
        <x:v>0.44250326779088855</x:v>
      </x:c>
      <x:c r="Y86" s="240" t="n">
        <x:v>0.9125555596747108</x:v>
      </x:c>
      <x:c r="Z86" s="240" t="n">
        <x:v>0.4572551921033051</x:v>
      </x:c>
      <x:c r="AA86" s="255" t="n">
        <x:v>0.6262073663028059</x:v>
      </x:c>
      <x:c r="AB86" s="255" t="n">
        <x:v>0.45981584469807746</x:v>
      </x:c>
    </x:row>
    <x:row r="87" ht="24" customHeight="1">
      <x:c r="A87" s="136"/>
      <x:c r="B87" s="136"/>
      <x:c r="C87" s="136" t="n">
        <x:f>56</x:f>
        <x:v>56</x:v>
      </x:c>
      <x:c r="D87" s="162" t="n">
        <x:f>IF(X87&lt;($E$12-$D$12)/($F$12-$D$12),$D$12+SQRT(X87*($F$12-$D$12)*($E$12-$D$12)),$F$12-SQRT((1-X87)*($F$12-$D$12)*($F$12-$E$12)))</x:f>
        <x:v>0.15559981919745722</x:v>
      </x:c>
      <x:c r="E87" s="162" t="n">
        <x:f>IF(Y87&lt;($E$13-$D$13)/($F$13-$D$13),$D$13+SQRT(Y87*($F$13-$D$13)*($E$13-$D$13)),$F$13-SQRT((1-Y87)*($F$13-$D$13)*($F$13-$E$13)))</x:f>
        <x:v>-0.005431909269632516</x:v>
      </x:c>
      <x:c r="F87" s="222" t="n">
        <x:f>IF(Z87&lt;($E$14-$D$14)/($F$14-$D$14),$D$14+SQRT(Z87*($F$14-$D$14)*($E$14-$D$14)),$F$14-SQRT((1-Z87)*($F$14-$D$14)*($F$14-$E$14)))</x:f>
        <x:v>1.04088035232343</x:v>
      </x:c>
      <x:c r="G87" s="162" t="n">
        <x:f>IF(AA87&lt;($E$15-$D$15)/($F$15-$D$15),$D$15+SQRT(AA87*($F$15-$D$15)*($E$15-$D$15)),$F$15-SQRT((1-AA87)*($F$15-$D$15)*($F$15-$E$15)))</x:f>
        <x:v>0.1023351236880683</x:v>
      </x:c>
      <x:c r="H87" s="162" t="n">
        <x:f>IF(AB87&lt;($E$16-$D$16)/($F$16-$D$16),$D$16+SQRT(AB87*($F$16-$D$16)*($E$16-$D$16)),$F$16-SQRT((1-AB87)*($F$16-$D$16)*($F$16-$E$16)))</x:f>
        <x:v>0.025807261504137386</x:v>
      </x:c>
      <x:c r="I87" s="164" t="n">
        <x:f>'Historical Inputs'!$N$9*(1+D87)^5</x:f>
        <x:v>683856.142347515</x:v>
      </x:c>
      <x:c r="J87" s="164" t="n">
        <x:f>I87*(1+H87)*('Terminal Value'!$E$10+E87)*(1-'Assumptions'!$E$15)*(1-H87/'Terminal Value'!$E$12)</x:f>
        <x:v>192860.1585961498</x:v>
      </x:c>
      <x:c r="K87" s="145" t="n">
        <x:f>((SUM((('Historical Inputs'!$N$9*(1+(D87))^1)*(('Assumptions'!E37+(E87))*(1-'Assumptions'!E42-(0))+'Assumptions'!E47-'Assumptions'!E52*(F87)+'Assumptions'!E57-'Assumptions'!E62*(1)-'Assumptions'!E67-(0))+('Working Capital'!$E$6))*'DCF'!E12/(1+(G87))^'DCF'!E13,(('Historical Inputs'!$N$9*(1+(D87))^2)*(('Assumptions'!F37+(E87))*(1-'Assumptions'!F42-(0))+'Assumptions'!F47-'Assumptions'!F52*(F87)+'Assumptions'!F57-'Assumptions'!F62*(1)-'Assumptions'!F67-(0))+(('Historical Inputs'!$N$9*(1+(D87))^1)*('Assumptions'!E67+(0))))*'DCF'!F12/(1+(G87))^'DCF'!F13,(('Historical Inputs'!$N$9*(1+(D87))^3)*(('Assumptions'!G37+(E87))*(1-'Assumptions'!G42-(0))+'Assumptions'!G47-'Assumptions'!G52*(F87)+'Assumptions'!G57-'Assumptions'!G62*(1)-'Assumptions'!G67-(0))+(('Historical Inputs'!$N$9*(1+(D87))^2)*('Assumptions'!F67+(0))))*'DCF'!G12/(1+(G87))^'DCF'!G13,(('Historical Inputs'!$N$9*(1+(D87))^4)*(('Assumptions'!H37+(E87))*(1-'Assumptions'!H42-(0))+'Assumptions'!H47-'Assumptions'!H52*(F87)+'Assumptions'!H57-'Assumptions'!H62*(1)-'Assumptions'!H67-(0))+(('Historical Inputs'!$N$9*(1+(D87))^3)*('Assumptions'!G67+(0))))*'DCF'!H12/(1+(G87))^'DCF'!H13,(('Historical Inputs'!$N$9*(1+(D87))^5)*(('Assumptions'!I37+(E87))*(1-'Assumptions'!I42-(0))+'Assumptions'!I47-'Assumptions'!I52*(F87)+'Assumptions'!I57-'Assumptions'!I62*(1)-'Assumptions'!I67-(0))+(('Historical Inputs'!$N$9*(1+(D87))^4)*('Assumptions'!H67+(0))))*'DCF'!I12/(1+(G87))^'DCF'!I13)+('Historical Inputs'!$N$9*(1+(D87))^5)*(1+(H87))*('Terminal Value'!$E$10+(E87))*(1-'Assumptions'!$E$15-(0))*(1-(H87)/('Terminal Value'!$E$12))/((G87)-(H87))/(1+(G87))^'DCF'!$E$19)+'Equity Bridge'!$E$17)/'Equity Bridge'!$E$20</x:f>
        <x:v>266.948206382611</x:v>
      </x:c>
      <x:c r="L87" s="136"/>
      <x:c r="M87" s="136"/>
      <x:c r="N87" s="136"/>
      <x:c r="O87" s="136"/>
      <x:c r="P87" s="136"/>
      <x:c r="Q87" s="136"/>
      <x:c r="R87" s="136"/>
      <x:c r="S87" s="136"/>
      <x:c r="T87" s="136"/>
      <x:c r="U87" s="136"/>
      <x:c r="V87" s="136"/>
      <x:c r="W87" s="136"/>
      <x:c r="X87" s="240" t="n">
        <x:v>0.71638701803771</x:v>
      </x:c>
      <x:c r="Y87" s="240" t="n">
        <x:v>0.39726294227005365</x:v>
      </x:c>
      <x:c r="Z87" s="240" t="n">
        <x:v>0.6382991103326321</x:v>
      </x:c>
      <x:c r="AA87" s="255" t="n">
        <x:v>0.7405481499105697</x:v>
      </x:c>
      <x:c r="AB87" s="255" t="n">
        <x:v>0.16862143088718018</x:v>
      </x:c>
    </x:row>
    <x:row r="88" ht="24" customHeight="1">
      <x:c r="A88" s="136"/>
      <x:c r="B88" s="136"/>
      <x:c r="C88" s="136" t="n">
        <x:f>57</x:f>
        <x:v>57</x:v>
      </x:c>
      <x:c r="D88" s="162" t="n">
        <x:f>IF(X88&lt;($E$12-$D$12)/($F$12-$D$12),$D$12+SQRT(X88*($F$12-$D$12)*($E$12-$D$12)),$F$12-SQRT((1-X88)*($F$12-$D$12)*($F$12-$E$12)))</x:f>
        <x:v>0.13471389631093691</x:v>
      </x:c>
      <x:c r="E88" s="162" t="n">
        <x:f>IF(Y88&lt;($E$13-$D$13)/($F$13-$D$13),$D$13+SQRT(Y88*($F$13-$D$13)*($E$13-$D$13)),$F$13-SQRT((1-Y88)*($F$13-$D$13)*($F$13-$E$13)))</x:f>
        <x:v>0.01630756290567749</x:v>
      </x:c>
      <x:c r="F88" s="222" t="n">
        <x:f>IF(Z88&lt;($E$14-$D$14)/($F$14-$D$14),$D$14+SQRT(Z88*($F$14-$D$14)*($E$14-$D$14)),$F$14-SQRT((1-Z88)*($F$14-$D$14)*($F$14-$E$14)))</x:f>
        <x:v>1.054308100880235</x:v>
      </x:c>
      <x:c r="G88" s="162" t="n">
        <x:f>IF(AA88&lt;($E$15-$D$15)/($F$15-$D$15),$D$15+SQRT(AA88*($F$15-$D$15)*($E$15-$D$15)),$F$15-SQRT((1-AA88)*($F$15-$D$15)*($F$15-$E$15)))</x:f>
        <x:v>0.10279478602081467</x:v>
      </x:c>
      <x:c r="H88" s="162" t="n">
        <x:f>IF(AB88&lt;($E$16-$D$16)/($F$16-$D$16),$D$16+SQRT(AB88*($F$16-$D$16)*($E$16-$D$16)),$F$16-SQRT((1-AB88)*($F$16-$D$16)*($F$16-$E$16)))</x:f>
        <x:v>0.02302372865439717</x:v>
      </x:c>
      <x:c r="I88" s="164" t="n">
        <x:f>'Historical Inputs'!$N$9*(1+D88)^5</x:f>
        <x:v>624251.0671495332</x:v>
      </x:c>
      <x:c r="J88" s="164" t="n">
        <x:f>I88*(1+H88)*('Terminal Value'!$E$10+E88)*(1-'Assumptions'!$E$15)*(1-H88/'Terminal Value'!$E$12)</x:f>
        <x:v>188206.37649501156</x:v>
      </x:c>
      <x:c r="K88" s="145" t="n">
        <x:f>((SUM((('Historical Inputs'!$N$9*(1+(D88))^1)*(('Assumptions'!E37+(E88))*(1-'Assumptions'!E42-(0))+'Assumptions'!E47-'Assumptions'!E52*(F88)+'Assumptions'!E57-'Assumptions'!E62*(1)-'Assumptions'!E67-(0))+('Working Capital'!$E$6))*'DCF'!E12/(1+(G88))^'DCF'!E13,(('Historical Inputs'!$N$9*(1+(D88))^2)*(('Assumptions'!F37+(E88))*(1-'Assumptions'!F42-(0))+'Assumptions'!F47-'Assumptions'!F52*(F88)+'Assumptions'!F57-'Assumptions'!F62*(1)-'Assumptions'!F67-(0))+(('Historical Inputs'!$N$9*(1+(D88))^1)*('Assumptions'!E67+(0))))*'DCF'!F12/(1+(G88))^'DCF'!F13,(('Historical Inputs'!$N$9*(1+(D88))^3)*(('Assumptions'!G37+(E88))*(1-'Assumptions'!G42-(0))+'Assumptions'!G47-'Assumptions'!G52*(F88)+'Assumptions'!G57-'Assumptions'!G62*(1)-'Assumptions'!G67-(0))+(('Historical Inputs'!$N$9*(1+(D88))^2)*('Assumptions'!F67+(0))))*'DCF'!G12/(1+(G88))^'DCF'!G13,(('Historical Inputs'!$N$9*(1+(D88))^4)*(('Assumptions'!H37+(E88))*(1-'Assumptions'!H42-(0))+'Assumptions'!H47-'Assumptions'!H52*(F88)+'Assumptions'!H57-'Assumptions'!H62*(1)-'Assumptions'!H67-(0))+(('Historical Inputs'!$N$9*(1+(D88))^3)*('Assumptions'!G67+(0))))*'DCF'!H12/(1+(G88))^'DCF'!H13,(('Historical Inputs'!$N$9*(1+(D88))^5)*(('Assumptions'!I37+(E88))*(1-'Assumptions'!I42-(0))+'Assumptions'!I47-'Assumptions'!I52*(F88)+'Assumptions'!I57-'Assumptions'!I62*(1)-'Assumptions'!I67-(0))+(('Historical Inputs'!$N$9*(1+(D88))^4)*('Assumptions'!H67+(0))))*'DCF'!I12/(1+(G88))^'DCF'!I13)+('Historical Inputs'!$N$9*(1+(D88))^5)*(1+(H88))*('Terminal Value'!$E$10+(E88))*(1-'Assumptions'!$E$15-(0))*(1-(H88)/('Terminal Value'!$E$12))/((G88)-(H88))/(1+(G88))^'DCF'!$E$19)+'Equity Bridge'!$E$17)/'Equity Bridge'!$E$20</x:f>
        <x:v>252.8748031236124</x:v>
      </x:c>
      <x:c r="L88" s="136"/>
      <x:c r="M88" s="136"/>
      <x:c r="N88" s="136"/>
      <x:c r="O88" s="136"/>
      <x:c r="P88" s="136"/>
      <x:c r="Q88" s="136"/>
      <x:c r="R88" s="136"/>
      <x:c r="S88" s="136"/>
      <x:c r="T88" s="136"/>
      <x:c r="U88" s="136"/>
      <x:c r="V88" s="136"/>
      <x:c r="W88" s="136"/>
      <x:c r="X88" s="240" t="n">
        <x:v>0.3437344884110114</x:v>
      </x:c>
      <x:c r="Y88" s="240" t="n">
        <x:v>0.7729639365290241</x:v>
      </x:c>
      <x:c r="Z88" s="240" t="n">
        <x:v>0.6967695790125181</x:v>
      </x:c>
      <x:c r="AA88" s="255" t="n">
        <x:v>0.7621531262202597</x:v>
      </x:c>
      <x:c r="AB88" s="255" t="n">
        <x:v>0.04571467487711267</x:v>
      </x:c>
    </x:row>
    <x:row r="89" ht="24" customHeight="1">
      <x:c r="A89" s="136"/>
      <x:c r="B89" s="136"/>
      <x:c r="C89" s="136" t="n">
        <x:f>58</x:f>
        <x:v>58</x:v>
      </x:c>
      <x:c r="D89" s="162" t="n">
        <x:f>IF(X89&lt;($E$12-$D$12)/($F$12-$D$12),$D$12+SQRT(X89*($F$12-$D$12)*($E$12-$D$12)),$F$12-SQRT((1-X89)*($F$12-$D$12)*($F$12-$E$12)))</x:f>
        <x:v>0.1567309191909863</x:v>
      </x:c>
      <x:c r="E89" s="162" t="n">
        <x:f>IF(Y89&lt;($E$13-$D$13)/($F$13-$D$13),$D$13+SQRT(Y89*($F$13-$D$13)*($E$13-$D$13)),$F$13-SQRT((1-Y89)*($F$13-$D$13)*($F$13-$E$13)))</x:f>
        <x:v>0.047058119305747666</x:v>
      </x:c>
      <x:c r="F89" s="222" t="n">
        <x:f>IF(Z89&lt;($E$14-$D$14)/($F$14-$D$14),$D$14+SQRT(Z89*($F$14-$D$14)*($E$14-$D$14)),$F$14-SQRT((1-Z89)*($F$14-$D$14)*($F$14-$E$14)))</x:f>
        <x:v>0.960118503878077</x:v>
      </x:c>
      <x:c r="G89" s="162" t="n">
        <x:f>IF(AA89&lt;($E$15-$D$15)/($F$15-$D$15),$D$15+SQRT(AA89*($F$15-$D$15)*($E$15-$D$15)),$F$15-SQRT((1-AA89)*($F$15-$D$15)*($F$15-$E$15)))</x:f>
        <x:v>0.0939866041712754</x:v>
      </x:c>
      <x:c r="H89" s="162" t="n">
        <x:f>IF(AB89&lt;($E$16-$D$16)/($F$16-$D$16),$D$16+SQRT(AB89*($F$16-$D$16)*($E$16-$D$16)),$F$16-SQRT((1-AB89)*($F$16-$D$16)*($F$16-$E$16)))</x:f>
        <x:v>0.026917332956671765</x:v>
      </x:c>
      <x:c r="I89" s="164" t="n">
        <x:f>'Historical Inputs'!$N$9*(1+D89)^5</x:f>
        <x:v>687209.489108276</x:v>
      </x:c>
      <x:c r="J89" s="164" t="n">
        <x:f>I89*(1+H89)*('Terminal Value'!$E$10+E89)*(1-'Assumptions'!$E$15)*(1-H89/'Terminal Value'!$E$12)</x:f>
        <x:v>218424.92167980224</x:v>
      </x:c>
      <x:c r="K89" s="145" t="n">
        <x:f>((SUM((('Historical Inputs'!$N$9*(1+(D89))^1)*(('Assumptions'!E37+(E89))*(1-'Assumptions'!E42-(0))+'Assumptions'!E47-'Assumptions'!E52*(F89)+'Assumptions'!E57-'Assumptions'!E62*(1)-'Assumptions'!E67-(0))+('Working Capital'!$E$6))*'DCF'!E12/(1+(G89))^'DCF'!E13,(('Historical Inputs'!$N$9*(1+(D89))^2)*(('Assumptions'!F37+(E89))*(1-'Assumptions'!F42-(0))+'Assumptions'!F47-'Assumptions'!F52*(F89)+'Assumptions'!F57-'Assumptions'!F62*(1)-'Assumptions'!F67-(0))+(('Historical Inputs'!$N$9*(1+(D89))^1)*('Assumptions'!E67+(0))))*'DCF'!F12/(1+(G89))^'DCF'!F13,(('Historical Inputs'!$N$9*(1+(D89))^3)*(('Assumptions'!G37+(E89))*(1-'Assumptions'!G42-(0))+'Assumptions'!G47-'Assumptions'!G52*(F89)+'Assumptions'!G57-'Assumptions'!G62*(1)-'Assumptions'!G67-(0))+(('Historical Inputs'!$N$9*(1+(D89))^2)*('Assumptions'!F67+(0))))*'DCF'!G12/(1+(G89))^'DCF'!G13,(('Historical Inputs'!$N$9*(1+(D89))^4)*(('Assumptions'!H37+(E89))*(1-'Assumptions'!H42-(0))+'Assumptions'!H47-'Assumptions'!H52*(F89)+'Assumptions'!H57-'Assumptions'!H62*(1)-'Assumptions'!H67-(0))+(('Historical Inputs'!$N$9*(1+(D89))^3)*('Assumptions'!G67+(0))))*'DCF'!H12/(1+(G89))^'DCF'!H13,(('Historical Inputs'!$N$9*(1+(D89))^5)*(('Assumptions'!I37+(E89))*(1-'Assumptions'!I42-(0))+'Assumptions'!I47-'Assumptions'!I52*(F89)+'Assumptions'!I57-'Assumptions'!I62*(1)-'Assumptions'!I67-(0))+(('Historical Inputs'!$N$9*(1+(D89))^4)*('Assumptions'!H67+(0))))*'DCF'!I12/(1+(G89))^'DCF'!I13)+('Historical Inputs'!$N$9*(1+(D89))^5)*(1+(H89))*('Terminal Value'!$E$10+(E89))*(1-'Assumptions'!$E$15-(0))*(1-(H89)/('Terminal Value'!$E$12))/((G89)-(H89))/(1+(G89))^'DCF'!$E$19)+'Equity Bridge'!$E$17)/'Equity Bridge'!$E$20</x:f>
        <x:v>357.48891451368013</x:v>
      </x:c>
      <x:c r="L89" s="136"/>
      <x:c r="M89" s="136"/>
      <x:c r="N89" s="136"/>
      <x:c r="O89" s="136"/>
      <x:c r="P89" s="136"/>
      <x:c r="Q89" s="136"/>
      <x:c r="R89" s="136"/>
      <x:c r="S89" s="136"/>
      <x:c r="T89" s="136"/>
      <x:c r="U89" s="136"/>
      <x:c r="V89" s="136"/>
      <x:c r="W89" s="136"/>
      <x:c r="X89" s="240" t="n">
        <x:v>0.7331687652584511</x:v>
      </x:c>
      <x:c r="Y89" s="240" t="n">
        <x:v>0.9982690675961571</x:v>
      </x:c>
      <x:c r="Z89" s="240" t="n">
        <x:v>0.2309730456446868</x:v>
      </x:c>
      <x:c r="AA89" s="255" t="n">
        <x:v>0.2614240246167371</x:v>
      </x:c>
      <x:c r="AB89" s="255" t="n">
        <x:v>0.2392474761672868</x:v>
      </x:c>
    </x:row>
    <x:row r="90" ht="24" customHeight="1">
      <x:c r="A90" s="136"/>
      <x:c r="B90" s="136"/>
      <x:c r="C90" s="136" t="n">
        <x:f>59</x:f>
        <x:v>59</x:v>
      </x:c>
      <x:c r="D90" s="162" t="n">
        <x:f>IF(X90&lt;($E$12-$D$12)/($F$12-$D$12),$D$12+SQRT(X90*($F$12-$D$12)*($E$12-$D$12)),$F$12-SQRT((1-X90)*($F$12-$D$12)*($F$12-$E$12)))</x:f>
        <x:v>0.17669950844643084</x:v>
      </x:c>
      <x:c r="E90" s="162" t="n">
        <x:f>IF(Y90&lt;($E$13-$D$13)/($F$13-$D$13),$D$13+SQRT(Y90*($F$13-$D$13)*($E$13-$D$13)),$F$13-SQRT((1-Y90)*($F$13-$D$13)*($F$13-$E$13)))</x:f>
        <x:v>-0.0005700444601968238</x:v>
      </x:c>
      <x:c r="F90" s="222" t="n">
        <x:f>IF(Z90&lt;($E$14-$D$14)/($F$14-$D$14),$D$14+SQRT(Z90*($F$14-$D$14)*($E$14-$D$14)),$F$14-SQRT((1-Z90)*($F$14-$D$14)*($F$14-$E$14)))</x:f>
        <x:v>0.9380365173577121</x:v>
      </x:c>
      <x:c r="G90" s="162" t="n">
        <x:f>IF(AA90&lt;($E$15-$D$15)/($F$15-$D$15),$D$15+SQRT(AA90*($F$15-$D$15)*($E$15-$D$15)),$F$15-SQRT((1-AA90)*($F$15-$D$15)*($F$15-$E$15)))</x:f>
        <x:v>0.1002581462978779</x:v>
      </x:c>
      <x:c r="H90" s="162" t="n">
        <x:f>IF(AB90&lt;($E$16-$D$16)/($F$16-$D$16),$D$16+SQRT(AB90*($F$16-$D$16)*($E$16-$D$16)),$F$16-SQRT((1-AB90)*($F$16-$D$16)*($F$16-$E$16)))</x:f>
        <x:v>0.022433811786552856</x:v>
      </x:c>
      <x:c r="I90" s="164" t="n">
        <x:f>'Historical Inputs'!$N$9*(1+D90)^5</x:f>
        <x:v>748609.4173040511</x:v>
      </x:c>
      <x:c r="J90" s="164" t="n">
        <x:f>I90*(1+H90)*('Terminal Value'!$E$10+E90)*(1-'Assumptions'!$E$15)*(1-H90/'Terminal Value'!$E$12)</x:f>
        <x:v>217145.77534817462</x:v>
      </x:c>
      <x:c r="K90" s="145" t="n">
        <x:f>((SUM((('Historical Inputs'!$N$9*(1+(D90))^1)*(('Assumptions'!E37+(E90))*(1-'Assumptions'!E42-(0))+'Assumptions'!E47-'Assumptions'!E52*(F90)+'Assumptions'!E57-'Assumptions'!E62*(1)-'Assumptions'!E67-(0))+('Working Capital'!$E$6))*'DCF'!E12/(1+(G90))^'DCF'!E13,(('Historical Inputs'!$N$9*(1+(D90))^2)*(('Assumptions'!F37+(E90))*(1-'Assumptions'!F42-(0))+'Assumptions'!F47-'Assumptions'!F52*(F90)+'Assumptions'!F57-'Assumptions'!F62*(1)-'Assumptions'!F67-(0))+(('Historical Inputs'!$N$9*(1+(D90))^1)*('Assumptions'!E67+(0))))*'DCF'!F12/(1+(G90))^'DCF'!F13,(('Historical Inputs'!$N$9*(1+(D90))^3)*(('Assumptions'!G37+(E90))*(1-'Assumptions'!G42-(0))+'Assumptions'!G47-'Assumptions'!G52*(F90)+'Assumptions'!G57-'Assumptions'!G62*(1)-'Assumptions'!G67-(0))+(('Historical Inputs'!$N$9*(1+(D90))^2)*('Assumptions'!F67+(0))))*'DCF'!G12/(1+(G90))^'DCF'!G13,(('Historical Inputs'!$N$9*(1+(D90))^4)*(('Assumptions'!H37+(E90))*(1-'Assumptions'!H42-(0))+'Assumptions'!H47-'Assumptions'!H52*(F90)+'Assumptions'!H57-'Assumptions'!H62*(1)-'Assumptions'!H67-(0))+(('Historical Inputs'!$N$9*(1+(D90))^3)*('Assumptions'!G67+(0))))*'DCF'!H12/(1+(G90))^'DCF'!H13,(('Historical Inputs'!$N$9*(1+(D90))^5)*(('Assumptions'!I37+(E90))*(1-'Assumptions'!I42-(0))+'Assumptions'!I47-'Assumptions'!I52*(F90)+'Assumptions'!I57-'Assumptions'!I62*(1)-'Assumptions'!I67-(0))+(('Historical Inputs'!$N$9*(1+(D90))^4)*('Assumptions'!H67+(0))))*'DCF'!I12/(1+(G90))^'DCF'!I13)+('Historical Inputs'!$N$9*(1+(D90))^5)*(1+(H90))*('Terminal Value'!$E$10+(E90))*(1-'Assumptions'!$E$15-(0))*(1-(H90)/('Terminal Value'!$E$12))/((G90)-(H90))/(1+(G90))^'DCF'!$E$19)+'Equity Bridge'!$E$17)/'Equity Bridge'!$E$20</x:f>
        <x:v>304.1689223611084</x:v>
      </x:c>
      <x:c r="L90" s="136"/>
      <x:c r="M90" s="136"/>
      <x:c r="N90" s="136"/>
      <x:c r="O90" s="136"/>
      <x:c r="P90" s="136"/>
      <x:c r="Q90" s="136"/>
      <x:c r="R90" s="136"/>
      <x:c r="S90" s="136"/>
      <x:c r="T90" s="136"/>
      <x:c r="U90" s="136"/>
      <x:c r="V90" s="136"/>
      <x:c r="W90" s="136"/>
      <x:c r="X90" s="240" t="n">
        <x:v>0.9451697501366978</x:v>
      </x:c>
      <x:c r="Y90" s="240" t="n">
        <x:v>0.48866410093338375</x:v>
      </x:c>
      <x:c r="Z90" s="240" t="n">
        <x:v>0.14762720739951907</x:v>
      </x:c>
      <x:c r="AA90" s="255" t="n">
        <x:v>0.6312185127884404</x:v>
      </x:c>
      <x:c r="AB90" s="255" t="n">
        <x:v>0.029617199061818034</x:v>
      </x:c>
    </x:row>
    <x:row r="91" ht="24" customHeight="1">
      <x:c r="A91" s="136"/>
      <x:c r="B91" s="136"/>
      <x:c r="C91" s="136" t="n">
        <x:f>60</x:f>
        <x:v>60</x:v>
      </x:c>
      <x:c r="D91" s="162" t="n">
        <x:f>IF(X91&lt;($E$12-$D$12)/($F$12-$D$12),$D$12+SQRT(X91*($F$12-$D$12)*($E$12-$D$12)),$F$12-SQRT((1-X91)*($F$12-$D$12)*($F$12-$E$12)))</x:f>
        <x:v>0.14369598775139641</x:v>
      </x:c>
      <x:c r="E91" s="162" t="n">
        <x:f>IF(Y91&lt;($E$13-$D$13)/($F$13-$D$13),$D$13+SQRT(Y91*($F$13-$D$13)*($E$13-$D$13)),$F$13-SQRT((1-Y91)*($F$13-$D$13)*($F$13-$E$13)))</x:f>
        <x:v>-0.020839397890184023</x:v>
      </x:c>
      <x:c r="F91" s="222" t="n">
        <x:f>IF(Z91&lt;($E$14-$D$14)/($F$14-$D$14),$D$14+SQRT(Z91*($F$14-$D$14)*($E$14-$D$14)),$F$14-SQRT((1-Z91)*($F$14-$D$14)*($F$14-$E$14)))</x:f>
        <x:v>0.9870988179618796</x:v>
      </x:c>
      <x:c r="G91" s="162" t="n">
        <x:f>IF(AA91&lt;($E$15-$D$15)/($F$15-$D$15),$D$15+SQRT(AA91*($F$15-$D$15)*($E$15-$D$15)),$F$15-SQRT((1-AA91)*($F$15-$D$15)*($F$15-$E$15)))</x:f>
        <x:v>0.10687337031468877</x:v>
      </x:c>
      <x:c r="H91" s="162" t="n">
        <x:f>IF(AB91&lt;($E$16-$D$16)/($F$16-$D$16),$D$16+SQRT(AB91*($F$16-$D$16)*($E$16-$D$16)),$F$16-SQRT((1-AB91)*($F$16-$D$16)*($F$16-$E$16)))</x:f>
        <x:v>0.03231889333050532</x:v>
      </x:c>
      <x:c r="I91" s="164" t="n">
        <x:f>'Historical Inputs'!$N$9*(1+D91)^5</x:f>
        <x:v>649352.3456661977</x:v>
      </x:c>
      <x:c r="J91" s="164" t="n">
        <x:f>I91*(1+H91)*('Terminal Value'!$E$10+E91)*(1-'Assumptions'!$E$15)*(1-H91/'Terminal Value'!$E$12)</x:f>
        <x:v>170475.36016535555</x:v>
      </x:c>
      <x:c r="K91" s="145" t="n">
        <x:f>((SUM((('Historical Inputs'!$N$9*(1+(D91))^1)*(('Assumptions'!E37+(E91))*(1-'Assumptions'!E42-(0))+'Assumptions'!E47-'Assumptions'!E52*(F91)+'Assumptions'!E57-'Assumptions'!E62*(1)-'Assumptions'!E67-(0))+('Working Capital'!$E$6))*'DCF'!E12/(1+(G91))^'DCF'!E13,(('Historical Inputs'!$N$9*(1+(D91))^2)*(('Assumptions'!F37+(E91))*(1-'Assumptions'!F42-(0))+'Assumptions'!F47-'Assumptions'!F52*(F91)+'Assumptions'!F57-'Assumptions'!F62*(1)-'Assumptions'!F67-(0))+(('Historical Inputs'!$N$9*(1+(D91))^1)*('Assumptions'!E67+(0))))*'DCF'!F12/(1+(G91))^'DCF'!F13,(('Historical Inputs'!$N$9*(1+(D91))^3)*(('Assumptions'!G37+(E91))*(1-'Assumptions'!G42-(0))+'Assumptions'!G47-'Assumptions'!G52*(F91)+'Assumptions'!G57-'Assumptions'!G62*(1)-'Assumptions'!G67-(0))+(('Historical Inputs'!$N$9*(1+(D91))^2)*('Assumptions'!F67+(0))))*'DCF'!G12/(1+(G91))^'DCF'!G13,(('Historical Inputs'!$N$9*(1+(D91))^4)*(('Assumptions'!H37+(E91))*(1-'Assumptions'!H42-(0))+'Assumptions'!H47-'Assumptions'!H52*(F91)+'Assumptions'!H57-'Assumptions'!H62*(1)-'Assumptions'!H67-(0))+(('Historical Inputs'!$N$9*(1+(D91))^3)*('Assumptions'!G67+(0))))*'DCF'!H12/(1+(G91))^'DCF'!H13,(('Historical Inputs'!$N$9*(1+(D91))^5)*(('Assumptions'!I37+(E91))*(1-'Assumptions'!I42-(0))+'Assumptions'!I47-'Assumptions'!I52*(F91)+'Assumptions'!I57-'Assumptions'!I62*(1)-'Assumptions'!I67-(0))+(('Historical Inputs'!$N$9*(1+(D91))^4)*('Assumptions'!H67+(0))))*'DCF'!I12/(1+(G91))^'DCF'!I13)+('Historical Inputs'!$N$9*(1+(D91))^5)*(1+(H91))*('Terminal Value'!$E$10+(E91))*(1-'Assumptions'!$E$15-(0))*(1-(H91)/('Terminal Value'!$E$12))/((G91)-(H91))/(1+(G91))^'DCF'!$E$19)+'Equity Bridge'!$E$17)/'Equity Bridge'!$E$20</x:f>
        <x:v>241.07724189180107</x:v>
      </x:c>
      <x:c r="L91" s="136"/>
      <x:c r="M91" s="136"/>
      <x:c r="N91" s="136"/>
      <x:c r="O91" s="136"/>
      <x:c r="P91" s="136"/>
      <x:c r="Q91" s="136"/>
      <x:c r="R91" s="136"/>
      <x:c r="S91" s="136"/>
      <x:c r="T91" s="136"/>
      <x:c r="U91" s="136"/>
      <x:c r="V91" s="136"/>
      <x:c r="W91" s="136"/>
      <x:c r="X91" s="240" t="n">
        <x:v>0.5087407802900591</x:v>
      </x:c>
      <x:c r="Y91" s="240" t="n">
        <x:v>0.17006814308140084</x:v>
      </x:c>
      <x:c r="Z91" s="240" t="n">
        <x:v>0.35802068355323025</x:v>
      </x:c>
      <x:c r="AA91" s="255" t="n">
        <x:v>0.9127216085124091</x:v>
      </x:c>
      <x:c r="AB91" s="255" t="n">
        <x:v>0.7050030016592217</x:v>
      </x:c>
    </x:row>
    <x:row r="92" ht="24" customHeight="1">
      <x:c r="A92" s="136"/>
      <x:c r="B92" s="136"/>
      <x:c r="C92" s="136" t="n">
        <x:f>61</x:f>
        <x:v>61</x:v>
      </x:c>
      <x:c r="D92" s="162" t="n">
        <x:f>IF(X92&lt;($E$12-$D$12)/($F$12-$D$12),$D$12+SQRT(X92*($F$12-$D$12)*($E$12-$D$12)),$F$12-SQRT((1-X92)*($F$12-$D$12)*($F$12-$E$12)))</x:f>
        <x:v>0.11513689308759167</x:v>
      </x:c>
      <x:c r="E92" s="162" t="n">
        <x:f>IF(Y92&lt;($E$13-$D$13)/($F$13-$D$13),$D$13+SQRT(Y92*($F$13-$D$13)*($E$13-$D$13)),$F$13-SQRT((1-Y92)*($F$13-$D$13)*($F$13-$E$13)))</x:f>
        <x:v>-0.016129777533705994</x:v>
      </x:c>
      <x:c r="F92" s="222" t="n">
        <x:f>IF(Z92&lt;($E$14-$D$14)/($F$14-$D$14),$D$14+SQRT(Z92*($F$14-$D$14)*($E$14-$D$14)),$F$14-SQRT((1-Z92)*($F$14-$D$14)*($F$14-$E$14)))</x:f>
        <x:v>1.1125914576506528</x:v>
      </x:c>
      <x:c r="G92" s="162" t="n">
        <x:f>IF(AA92&lt;($E$15-$D$15)/($F$15-$D$15),$D$15+SQRT(AA92*($F$15-$D$15)*($E$15-$D$15)),$F$15-SQRT((1-AA92)*($F$15-$D$15)*($F$15-$E$15)))</x:f>
        <x:v>0.09746064999986832</x:v>
      </x:c>
      <x:c r="H92" s="162" t="n">
        <x:f>IF(AB92&lt;($E$16-$D$16)/($F$16-$D$16),$D$16+SQRT(AB92*($F$16-$D$16)*($E$16-$D$16)),$F$16-SQRT((1-AB92)*($F$16-$D$16)*($F$16-$E$16)))</x:f>
        <x:v>0.023647491789291996</x:v>
      </x:c>
      <x:c r="I92" s="164" t="n">
        <x:f>'Historical Inputs'!$N$9*(1+D92)^5</x:f>
        <x:v>572227.0016952966</x:v>
      </x:c>
      <x:c r="J92" s="164" t="n">
        <x:f>I92*(1+H92)*('Terminal Value'!$E$10+E92)*(1-'Assumptions'!$E$15)*(1-H92/'Terminal Value'!$E$12)</x:f>
        <x:v>158615.2098986888</x:v>
      </x:c>
      <x:c r="K92" s="145" t="n">
        <x:f>((SUM((('Historical Inputs'!$N$9*(1+(D92))^1)*(('Assumptions'!E37+(E92))*(1-'Assumptions'!E42-(0))+'Assumptions'!E47-'Assumptions'!E52*(F92)+'Assumptions'!E57-'Assumptions'!E62*(1)-'Assumptions'!E67-(0))+('Working Capital'!$E$6))*'DCF'!E12/(1+(G92))^'DCF'!E13,(('Historical Inputs'!$N$9*(1+(D92))^2)*(('Assumptions'!F37+(E92))*(1-'Assumptions'!F42-(0))+'Assumptions'!F47-'Assumptions'!F52*(F92)+'Assumptions'!F57-'Assumptions'!F62*(1)-'Assumptions'!F67-(0))+(('Historical Inputs'!$N$9*(1+(D92))^1)*('Assumptions'!E67+(0))))*'DCF'!F12/(1+(G92))^'DCF'!F13,(('Historical Inputs'!$N$9*(1+(D92))^3)*(('Assumptions'!G37+(E92))*(1-'Assumptions'!G42-(0))+'Assumptions'!G47-'Assumptions'!G52*(F92)+'Assumptions'!G57-'Assumptions'!G62*(1)-'Assumptions'!G67-(0))+(('Historical Inputs'!$N$9*(1+(D92))^2)*('Assumptions'!F67+(0))))*'DCF'!G12/(1+(G92))^'DCF'!G13,(('Historical Inputs'!$N$9*(1+(D92))^4)*(('Assumptions'!H37+(E92))*(1-'Assumptions'!H42-(0))+'Assumptions'!H47-'Assumptions'!H52*(F92)+'Assumptions'!H57-'Assumptions'!H62*(1)-'Assumptions'!H67-(0))+(('Historical Inputs'!$N$9*(1+(D92))^3)*('Assumptions'!G67+(0))))*'DCF'!H12/(1+(G92))^'DCF'!H13,(('Historical Inputs'!$N$9*(1+(D92))^5)*(('Assumptions'!I37+(E92))*(1-'Assumptions'!I42-(0))+'Assumptions'!I47-'Assumptions'!I52*(F92)+'Assumptions'!I57-'Assumptions'!I62*(1)-'Assumptions'!I67-(0))+(('Historical Inputs'!$N$9*(1+(D92))^4)*('Assumptions'!H67+(0))))*'DCF'!I12/(1+(G92))^'DCF'!I13)+('Historical Inputs'!$N$9*(1+(D92))^5)*(1+(H92))*('Terminal Value'!$E$10+(E92))*(1-'Assumptions'!$E$15-(0))*(1-(H92)/('Terminal Value'!$E$12))/((G92)-(H92))/(1+(G92))^'DCF'!$E$19)+'Equity Bridge'!$E$17)/'Equity Bridge'!$E$20</x:f>
        <x:v>227.10958395694317</x:v>
      </x:c>
      <x:c r="L92" s="136"/>
      <x:c r="M92" s="136"/>
      <x:c r="N92" s="136"/>
      <x:c r="O92" s="136"/>
      <x:c r="P92" s="136"/>
      <x:c r="Q92" s="136"/>
      <x:c r="R92" s="136"/>
      <x:c r="S92" s="136"/>
      <x:c r="T92" s="136"/>
      <x:c r="U92" s="136"/>
      <x:c r="V92" s="136"/>
      <x:c r="W92" s="136"/>
      <x:c r="X92" s="240" t="n">
        <x:v>0.09574575328426294</x:v>
      </x:c>
      <x:c r="Y92" s="240" t="n">
        <x:v>0.2294383939832495</x:v>
      </x:c>
      <x:c r="Z92" s="240" t="n">
        <x:v>0.8908535246337481</x:v>
      </x:c>
      <x:c r="AA92" s="255" t="n">
        <x:v>0.4557120879556277</x:v>
      </x:c>
      <x:c r="AB92" s="255" t="n">
        <x:v>0.06652098176476273</x:v>
      </x:c>
    </x:row>
    <x:row r="93" ht="24" customHeight="1">
      <x:c r="A93" s="136"/>
      <x:c r="B93" s="136"/>
      <x:c r="C93" s="136" t="n">
        <x:f>62</x:f>
        <x:v>62</x:v>
      </x:c>
      <x:c r="D93" s="162" t="n">
        <x:f>IF(X93&lt;($E$12-$D$12)/($F$12-$D$12),$D$12+SQRT(X93*($F$12-$D$12)*($E$12-$D$12)),$F$12-SQRT((1-X93)*($F$12-$D$12)*($F$12-$E$12)))</x:f>
        <x:v>0.1209975144013185</x:v>
      </x:c>
      <x:c r="E93" s="162" t="n">
        <x:f>IF(Y93&lt;($E$13-$D$13)/($F$13-$D$13),$D$13+SQRT(Y93*($F$13-$D$13)*($E$13-$D$13)),$F$13-SQRT((1-Y93)*($F$13-$D$13)*($F$13-$E$13)))</x:f>
        <x:v>-0.03321674778632559</x:v>
      </x:c>
      <x:c r="F93" s="222" t="n">
        <x:f>IF(Z93&lt;($E$14-$D$14)/($F$14-$D$14),$D$14+SQRT(Z93*($F$14-$D$14)*($E$14-$D$14)),$F$14-SQRT((1-Z93)*($F$14-$D$14)*($F$14-$E$14)))</x:f>
        <x:v>1.0186985540617357</x:v>
      </x:c>
      <x:c r="G93" s="162" t="n">
        <x:f>IF(AA93&lt;($E$15-$D$15)/($F$15-$D$15),$D$15+SQRT(AA93*($F$15-$D$15)*($E$15-$D$15)),$F$15-SQRT((1-AA93)*($F$15-$D$15)*($F$15-$E$15)))</x:f>
        <x:v>0.11121822640556744</x:v>
      </x:c>
      <x:c r="H93" s="162" t="n">
        <x:f>IF(AB93&lt;($E$16-$D$16)/($F$16-$D$16),$D$16+SQRT(AB93*($F$16-$D$16)*($E$16-$D$16)),$F$16-SQRT((1-AB93)*($F$16-$D$16)*($F$16-$E$16)))</x:f>
        <x:v>0.02469715832506663</x:v>
      </x:c>
      <x:c r="I93" s="164" t="n">
        <x:f>'Historical Inputs'!$N$9*(1+D93)^5</x:f>
        <x:v>587422.6310109735</x:v>
      </x:c>
      <x:c r="J93" s="164" t="n">
        <x:f>I93*(1+H93)*('Terminal Value'!$E$10+E93)*(1-'Assumptions'!$E$15)*(1-H93/'Terminal Value'!$E$12)</x:f>
        <x:v>154812.01037678006</x:v>
      </x:c>
      <x:c r="K93" s="145" t="n">
        <x:f>((SUM((('Historical Inputs'!$N$9*(1+(D93))^1)*(('Assumptions'!E37+(E93))*(1-'Assumptions'!E42-(0))+'Assumptions'!E47-'Assumptions'!E52*(F93)+'Assumptions'!E57-'Assumptions'!E62*(1)-'Assumptions'!E67-(0))+('Working Capital'!$E$6))*'DCF'!E12/(1+(G93))^'DCF'!E13,(('Historical Inputs'!$N$9*(1+(D93))^2)*(('Assumptions'!F37+(E93))*(1-'Assumptions'!F42-(0))+'Assumptions'!F47-'Assumptions'!F52*(F93)+'Assumptions'!F57-'Assumptions'!F62*(1)-'Assumptions'!F67-(0))+(('Historical Inputs'!$N$9*(1+(D93))^1)*('Assumptions'!E67+(0))))*'DCF'!F12/(1+(G93))^'DCF'!F13,(('Historical Inputs'!$N$9*(1+(D93))^3)*(('Assumptions'!G37+(E93))*(1-'Assumptions'!G42-(0))+'Assumptions'!G47-'Assumptions'!G52*(F93)+'Assumptions'!G57-'Assumptions'!G62*(1)-'Assumptions'!G67-(0))+(('Historical Inputs'!$N$9*(1+(D93))^2)*('Assumptions'!F67+(0))))*'DCF'!G12/(1+(G93))^'DCF'!G13,(('Historical Inputs'!$N$9*(1+(D93))^4)*(('Assumptions'!H37+(E93))*(1-'Assumptions'!H42-(0))+'Assumptions'!H47-'Assumptions'!H52*(F93)+'Assumptions'!H57-'Assumptions'!H62*(1)-'Assumptions'!H67-(0))+(('Historical Inputs'!$N$9*(1+(D93))^3)*('Assumptions'!G67+(0))))*'DCF'!H12/(1+(G93))^'DCF'!H13,(('Historical Inputs'!$N$9*(1+(D93))^5)*(('Assumptions'!I37+(E93))*(1-'Assumptions'!I42-(0))+'Assumptions'!I47-'Assumptions'!I52*(F93)+'Assumptions'!I57-'Assumptions'!I62*(1)-'Assumptions'!I67-(0))+(('Historical Inputs'!$N$9*(1+(D93))^4)*('Assumptions'!H67+(0))))*'DCF'!I12/(1+(G93))^'DCF'!I13)+('Historical Inputs'!$N$9*(1+(D93))^5)*(1+(H93))*('Terminal Value'!$E$10+(E93))*(1-'Assumptions'!$E$15-(0))*(1-(H93)/('Terminal Value'!$E$12))/((G93)-(H93))/(1+(G93))^'DCF'!$E$19)+'Equity Bridge'!$E$17)/'Equity Bridge'!$E$20</x:f>
        <x:v>188.72917566723777</x:v>
      </x:c>
      <x:c r="L93" s="136"/>
      <x:c r="M93" s="136"/>
      <x:c r="N93" s="136"/>
      <x:c r="O93" s="136"/>
      <x:c r="P93" s="136"/>
      <x:c r="Q93" s="136"/>
      <x:c r="R93" s="136"/>
      <x:c r="S93" s="136"/>
      <x:c r="T93" s="136"/>
      <x:c r="U93" s="136"/>
      <x:c r="V93" s="136"/>
      <x:c r="W93" s="136"/>
      <x:c r="X93" s="240" t="n">
        <x:v>0.1539069856636236</x:v>
      </x:c>
      <x:c r="Y93" s="240" t="n">
        <x:v>0.056335510973561376</x:v>
      </x:c>
      <x:c r="Z93" s="240" t="n">
        <x:v>0.5304255100099233</x:v>
      </x:c>
      <x:c r="AA93" s="255" t="n">
        <x:v>0.991789703839733</x:v>
      </x:c>
      <x:c r="AB93" s="255" t="n">
        <x:v>0.11031648165371377</x:v>
      </x:c>
    </x:row>
    <x:row r="94" ht="24" customHeight="1">
      <x:c r="A94" s="136"/>
      <x:c r="B94" s="136"/>
      <x:c r="C94" s="136" t="n">
        <x:f>63</x:f>
        <x:v>63</x:v>
      </x:c>
      <x:c r="D94" s="162" t="n">
        <x:f>IF(X94&lt;($E$12-$D$12)/($F$12-$D$12),$D$12+SQRT(X94*($F$12-$D$12)*($E$12-$D$12)),$F$12-SQRT((1-X94)*($F$12-$D$12)*($F$12-$E$12)))</x:f>
        <x:v>0.14364164303078075</x:v>
      </x:c>
      <x:c r="E94" s="162" t="n">
        <x:f>IF(Y94&lt;($E$13-$D$13)/($F$13-$D$13),$D$13+SQRT(Y94*($F$13-$D$13)*($E$13-$D$13)),$F$13-SQRT((1-Y94)*($F$13-$D$13)*($F$13-$E$13)))</x:f>
        <x:v>0.022632277707911895</x:v>
      </x:c>
      <x:c r="F94" s="222" t="n">
        <x:f>IF(Z94&lt;($E$14-$D$14)/($F$14-$D$14),$D$14+SQRT(Z94*($F$14-$D$14)*($E$14-$D$14)),$F$14-SQRT((1-Z94)*($F$14-$D$14)*($F$14-$E$14)))</x:f>
        <x:v>0.9636268053890072</x:v>
      </x:c>
      <x:c r="G94" s="162" t="n">
        <x:f>IF(AA94&lt;($E$15-$D$15)/($F$15-$D$15),$D$15+SQRT(AA94*($F$15-$D$15)*($E$15-$D$15)),$F$15-SQRT((1-AA94)*($F$15-$D$15)*($F$15-$E$15)))</x:f>
        <x:v>0.08940676593181147</x:v>
      </x:c>
      <x:c r="H94" s="162" t="n">
        <x:f>IF(AB94&lt;($E$16-$D$16)/($F$16-$D$16),$D$16+SQRT(AB94*($F$16-$D$16)*($E$16-$D$16)),$F$16-SQRT((1-AB94)*($F$16-$D$16)*($F$16-$E$16)))</x:f>
        <x:v>0.0358146838718061</x:v>
      </x:c>
      <x:c r="I94" s="164" t="n">
        <x:f>'Historical Inputs'!$N$9*(1+D94)^5</x:f>
        <x:v>649198.0847493182</x:v>
      </x:c>
      <x:c r="J94" s="164" t="n">
        <x:f>I94*(1+H94)*('Terminal Value'!$E$10+E94)*(1-'Assumptions'!$E$15)*(1-H94/'Terminal Value'!$E$12)</x:f>
        <x:v>186644.957144987</x:v>
      </x:c>
      <x:c r="K94" s="145" t="n">
        <x:f>((SUM((('Historical Inputs'!$N$9*(1+(D94))^1)*(('Assumptions'!E37+(E94))*(1-'Assumptions'!E42-(0))+'Assumptions'!E47-'Assumptions'!E52*(F94)+'Assumptions'!E57-'Assumptions'!E62*(1)-'Assumptions'!E67-(0))+('Working Capital'!$E$6))*'DCF'!E12/(1+(G94))^'DCF'!E13,(('Historical Inputs'!$N$9*(1+(D94))^2)*(('Assumptions'!F37+(E94))*(1-'Assumptions'!F42-(0))+'Assumptions'!F47-'Assumptions'!F52*(F94)+'Assumptions'!F57-'Assumptions'!F62*(1)-'Assumptions'!F67-(0))+(('Historical Inputs'!$N$9*(1+(D94))^1)*('Assumptions'!E67+(0))))*'DCF'!F12/(1+(G94))^'DCF'!F13,(('Historical Inputs'!$N$9*(1+(D94))^3)*(('Assumptions'!G37+(E94))*(1-'Assumptions'!G42-(0))+'Assumptions'!G47-'Assumptions'!G52*(F94)+'Assumptions'!G57-'Assumptions'!G62*(1)-'Assumptions'!G67-(0))+(('Historical Inputs'!$N$9*(1+(D94))^2)*('Assumptions'!F67+(0))))*'DCF'!G12/(1+(G94))^'DCF'!G13,(('Historical Inputs'!$N$9*(1+(D94))^4)*(('Assumptions'!H37+(E94))*(1-'Assumptions'!H42-(0))+'Assumptions'!H47-'Assumptions'!H52*(F94)+'Assumptions'!H57-'Assumptions'!H62*(1)-'Assumptions'!H67-(0))+(('Historical Inputs'!$N$9*(1+(D94))^3)*('Assumptions'!G67+(0))))*'DCF'!H12/(1+(G94))^'DCF'!H13,(('Historical Inputs'!$N$9*(1+(D94))^5)*(('Assumptions'!I37+(E94))*(1-'Assumptions'!I42-(0))+'Assumptions'!I47-'Assumptions'!I52*(F94)+'Assumptions'!I57-'Assumptions'!I62*(1)-'Assumptions'!I67-(0))+(('Historical Inputs'!$N$9*(1+(D94))^4)*('Assumptions'!H67+(0))))*'DCF'!I12/(1+(G94))^'DCF'!I13)+('Historical Inputs'!$N$9*(1+(D94))^5)*(1+(H94))*('Terminal Value'!$E$10+(E94))*(1-'Assumptions'!$E$15-(0))*(1-(H94)/('Terminal Value'!$E$12))/((G94)-(H94))/(1+(G94))^'DCF'!$E$19)+'Equity Bridge'!$E$17)/'Equity Bridge'!$E$20</x:f>
        <x:v>376.06940752767554</x:v>
      </x:c>
      <x:c r="L94" s="136"/>
      <x:c r="M94" s="136"/>
      <x:c r="N94" s="136"/>
      <x:c r="O94" s="136"/>
      <x:c r="P94" s="136"/>
      <x:c r="Q94" s="136"/>
      <x:c r="R94" s="136"/>
      <x:c r="S94" s="136"/>
      <x:c r="T94" s="136"/>
      <x:c r="U94" s="136"/>
      <x:c r="V94" s="136"/>
      <x:c r="W94" s="136"/>
      <x:c r="X94" s="240" t="n">
        <x:v>0.5076628374002429</x:v>
      </x:c>
      <x:c r="Y94" s="240" t="n">
        <x:v>0.8502015553086287</x:v>
      </x:c>
      <x:c r="Z94" s="240" t="n">
        <x:v>0.2459247791030731</x:v>
      </x:c>
      <x:c r="AA94" s="255" t="n">
        <x:v>0.08726161524365217</x:v>
      </x:c>
      <x:c r="AB94" s="255" t="n">
        <x:v>0.9124156445354001</x:v>
      </x:c>
    </x:row>
    <x:row r="95" ht="24" customHeight="1">
      <x:c r="A95" s="136"/>
      <x:c r="B95" s="136"/>
      <x:c r="C95" s="136" t="n">
        <x:f>64</x:f>
        <x:v>64</x:v>
      </x:c>
      <x:c r="D95" s="162" t="n">
        <x:f>IF(X95&lt;($E$12-$D$12)/($F$12-$D$12),$D$12+SQRT(X95*($F$12-$D$12)*($E$12-$D$12)),$F$12-SQRT((1-X95)*($F$12-$D$12)*($F$12-$E$12)))</x:f>
        <x:v>0.15709400723009348</x:v>
      </x:c>
      <x:c r="E95" s="162" t="n">
        <x:f>IF(Y95&lt;($E$13-$D$13)/($F$13-$D$13),$D$13+SQRT(Y95*($F$13-$D$13)*($E$13-$D$13)),$F$13-SQRT((1-Y95)*($F$13-$D$13)*($F$13-$E$13)))</x:f>
        <x:v>-0.01236220814668175</x:v>
      </x:c>
      <x:c r="F95" s="222" t="n">
        <x:f>IF(Z95&lt;($E$14-$D$14)/($F$14-$D$14),$D$14+SQRT(Z95*($F$14-$D$14)*($E$14-$D$14)),$F$14-SQRT((1-Z95)*($F$14-$D$14)*($F$14-$E$14)))</x:f>
        <x:v>1.0394708126222276</x:v>
      </x:c>
      <x:c r="G95" s="162" t="n">
        <x:f>IF(AA95&lt;($E$15-$D$15)/($F$15-$D$15),$D$15+SQRT(AA95*($F$15-$D$15)*($E$15-$D$15)),$F$15-SQRT((1-AA95)*($F$15-$D$15)*($F$15-$E$15)))</x:f>
        <x:v>0.09505543836213831</x:v>
      </x:c>
      <x:c r="H95" s="162" t="n">
        <x:f>IF(AB95&lt;($E$16-$D$16)/($F$16-$D$16),$D$16+SQRT(AB95*($F$16-$D$16)*($E$16-$D$16)),$F$16-SQRT((1-AB95)*($F$16-$D$16)*($F$16-$E$16)))</x:f>
        <x:v>0.03675446051735542</x:v>
      </x:c>
      <x:c r="I95" s="164" t="n">
        <x:f>'Historical Inputs'!$N$9*(1+D95)^5</x:f>
        <x:v>688288.7126069283</x:v>
      </x:c>
      <x:c r="J95" s="164" t="n">
        <x:f>I95*(1+H95)*('Terminal Value'!$E$10+E95)*(1-'Assumptions'!$E$15)*(1-H95/'Terminal Value'!$E$12)</x:f>
        <x:v>180623.38868263425</x:v>
      </x:c>
      <x:c r="K95" s="145" t="n">
        <x:f>((SUM((('Historical Inputs'!$N$9*(1+(D95))^1)*(('Assumptions'!E37+(E95))*(1-'Assumptions'!E42-(0))+'Assumptions'!E47-'Assumptions'!E52*(F95)+'Assumptions'!E57-'Assumptions'!E62*(1)-'Assumptions'!E67-(0))+('Working Capital'!$E$6))*'DCF'!E12/(1+(G95))^'DCF'!E13,(('Historical Inputs'!$N$9*(1+(D95))^2)*(('Assumptions'!F37+(E95))*(1-'Assumptions'!F42-(0))+'Assumptions'!F47-'Assumptions'!F52*(F95)+'Assumptions'!F57-'Assumptions'!F62*(1)-'Assumptions'!F67-(0))+(('Historical Inputs'!$N$9*(1+(D95))^1)*('Assumptions'!E67+(0))))*'DCF'!F12/(1+(G95))^'DCF'!F13,(('Historical Inputs'!$N$9*(1+(D95))^3)*(('Assumptions'!G37+(E95))*(1-'Assumptions'!G42-(0))+'Assumptions'!G47-'Assumptions'!G52*(F95)+'Assumptions'!G57-'Assumptions'!G62*(1)-'Assumptions'!G67-(0))+(('Historical Inputs'!$N$9*(1+(D95))^2)*('Assumptions'!F67+(0))))*'DCF'!G12/(1+(G95))^'DCF'!G13,(('Historical Inputs'!$N$9*(1+(D95))^4)*(('Assumptions'!H37+(E95))*(1-'Assumptions'!H42-(0))+'Assumptions'!H47-'Assumptions'!H52*(F95)+'Assumptions'!H57-'Assumptions'!H62*(1)-'Assumptions'!H67-(0))+(('Historical Inputs'!$N$9*(1+(D95))^3)*('Assumptions'!G67+(0))))*'DCF'!H12/(1+(G95))^'DCF'!H13,(('Historical Inputs'!$N$9*(1+(D95))^5)*(('Assumptions'!I37+(E95))*(1-'Assumptions'!I42-(0))+'Assumptions'!I47-'Assumptions'!I52*(F95)+'Assumptions'!I57-'Assumptions'!I62*(1)-'Assumptions'!I67-(0))+(('Historical Inputs'!$N$9*(1+(D95))^4)*('Assumptions'!H67+(0))))*'DCF'!I12/(1+(G95))^'DCF'!I13)+('Historical Inputs'!$N$9*(1+(D95))^5)*(1+(H95))*('Terminal Value'!$E$10+(E95))*(1-'Assumptions'!$E$15-(0))*(1-(H95)/('Terminal Value'!$E$12))/((G95)-(H95))/(1+(G95))^'DCF'!$E$19)+'Equity Bridge'!$E$17)/'Equity Bridge'!$E$20</x:f>
        <x:v>324.1718396370282</x:v>
      </x:c>
      <x:c r="L95" s="136"/>
      <x:c r="M95" s="136"/>
      <x:c r="N95" s="136"/>
      <x:c r="O95" s="136"/>
      <x:c r="P95" s="136"/>
      <x:c r="Q95" s="136"/>
      <x:c r="R95" s="136"/>
      <x:c r="S95" s="136"/>
      <x:c r="T95" s="136"/>
      <x:c r="U95" s="136"/>
      <x:c r="V95" s="136"/>
      <x:c r="W95" s="136"/>
      <x:c r="X95" s="240" t="n">
        <x:v>0.7384472750664205</x:v>
      </x:c>
      <x:c r="Y95" s="240" t="n">
        <x:v>0.2833206751187419</x:v>
      </x:c>
      <x:c r="Z95" s="240" t="n">
        <x:v>0.6318625714261721</x:v>
      </x:c>
      <x:c r="AA95" s="255" t="n">
        <x:v>0.31548637993193274</x:v>
      </x:c>
      <x:c r="AB95" s="255" t="n">
        <x:v>0.9473323673329757</x:v>
      </x:c>
    </x:row>
    <x:row r="96" ht="24" customHeight="1">
      <x:c r="A96" s="136"/>
      <x:c r="B96" s="136"/>
      <x:c r="C96" s="136" t="n">
        <x:f>65</x:f>
        <x:v>65</x:v>
      </x:c>
      <x:c r="D96" s="162" t="n">
        <x:f>IF(X96&lt;($E$12-$D$12)/($F$12-$D$12),$D$12+SQRT(X96*($F$12-$D$12)*($E$12-$D$12)),$F$12-SQRT((1-X96)*($F$12-$D$12)*($F$12-$E$12)))</x:f>
        <x:v>0.1620438206196301</x:v>
      </x:c>
      <x:c r="E96" s="162" t="n">
        <x:f>IF(Y96&lt;($E$13-$D$13)/($F$13-$D$13),$D$13+SQRT(Y96*($F$13-$D$13)*($E$13-$D$13)),$F$13-SQRT((1-Y96)*($F$13-$D$13)*($F$13-$E$13)))</x:f>
        <x:v>0.011410560998795713</x:v>
      </x:c>
      <x:c r="F96" s="222" t="n">
        <x:f>IF(Z96&lt;($E$14-$D$14)/($F$14-$D$14),$D$14+SQRT(Z96*($F$14-$D$14)*($E$14-$D$14)),$F$14-SQRT((1-Z96)*($F$14-$D$14)*($F$14-$E$14)))</x:f>
        <x:v>1.1016794315371914</x:v>
      </x:c>
      <x:c r="G96" s="162" t="n">
        <x:f>IF(AA96&lt;($E$15-$D$15)/($F$15-$D$15),$D$15+SQRT(AA96*($F$15-$D$15)*($E$15-$D$15)),$F$15-SQRT((1-AA96)*($F$15-$D$15)*($F$15-$E$15)))</x:f>
        <x:v>0.1035305399565444</x:v>
      </x:c>
      <x:c r="H96" s="162" t="n">
        <x:f>IF(AB96&lt;($E$16-$D$16)/($F$16-$D$16),$D$16+SQRT(AB96*($F$16-$D$16)*($E$16-$D$16)),$F$16-SQRT((1-AB96)*($F$16-$D$16)*($F$16-$E$16)))</x:f>
        <x:v>0.03071521138022036</x:v>
      </x:c>
      <x:c r="I96" s="164" t="n">
        <x:f>'Historical Inputs'!$N$9*(1+D96)^5</x:f>
        <x:v>703137.0035851053</x:v>
      </x:c>
      <x:c r="J96" s="164" t="n">
        <x:f>I96*(1+H96)*('Terminal Value'!$E$10+E96)*(1-'Assumptions'!$E$15)*(1-H96/'Terminal Value'!$E$12)</x:f>
        <x:v>201897.99318413856</x:v>
      </x:c>
      <x:c r="K96" s="145" t="n">
        <x:f>((SUM((('Historical Inputs'!$N$9*(1+(D96))^1)*(('Assumptions'!E37+(E96))*(1-'Assumptions'!E42-(0))+'Assumptions'!E47-'Assumptions'!E52*(F96)+'Assumptions'!E57-'Assumptions'!E62*(1)-'Assumptions'!E67-(0))+('Working Capital'!$E$6))*'DCF'!E12/(1+(G96))^'DCF'!E13,(('Historical Inputs'!$N$9*(1+(D96))^2)*(('Assumptions'!F37+(E96))*(1-'Assumptions'!F42-(0))+'Assumptions'!F47-'Assumptions'!F52*(F96)+'Assumptions'!F57-'Assumptions'!F62*(1)-'Assumptions'!F67-(0))+(('Historical Inputs'!$N$9*(1+(D96))^1)*('Assumptions'!E67+(0))))*'DCF'!F12/(1+(G96))^'DCF'!F13,(('Historical Inputs'!$N$9*(1+(D96))^3)*(('Assumptions'!G37+(E96))*(1-'Assumptions'!G42-(0))+'Assumptions'!G47-'Assumptions'!G52*(F96)+'Assumptions'!G57-'Assumptions'!G62*(1)-'Assumptions'!G67-(0))+(('Historical Inputs'!$N$9*(1+(D96))^2)*('Assumptions'!F67+(0))))*'DCF'!G12/(1+(G96))^'DCF'!G13,(('Historical Inputs'!$N$9*(1+(D96))^4)*(('Assumptions'!H37+(E96))*(1-'Assumptions'!H42-(0))+'Assumptions'!H47-'Assumptions'!H52*(F96)+'Assumptions'!H57-'Assumptions'!H62*(1)-'Assumptions'!H67-(0))+(('Historical Inputs'!$N$9*(1+(D96))^3)*('Assumptions'!G67+(0))))*'DCF'!H12/(1+(G96))^'DCF'!H13,(('Historical Inputs'!$N$9*(1+(D96))^5)*(('Assumptions'!I37+(E96))*(1-'Assumptions'!I42-(0))+'Assumptions'!I47-'Assumptions'!I52*(F96)+'Assumptions'!I57-'Assumptions'!I62*(1)-'Assumptions'!I67-(0))+(('Historical Inputs'!$N$9*(1+(D96))^4)*('Assumptions'!H67+(0))))*'DCF'!I12/(1+(G96))^'DCF'!I13)+('Historical Inputs'!$N$9*(1+(D96))^5)*(1+(H96))*('Terminal Value'!$E$10+(E96))*(1-'Assumptions'!$E$15-(0))*(1-(H96)/('Terminal Value'!$E$12))/((G96)-(H96))/(1+(G96))^'DCF'!$E$19)+'Equity Bridge'!$E$17)/'Equity Bridge'!$E$20</x:f>
        <x:v>287.67024122666487</x:v>
      </x:c>
      <x:c r="L96" s="136"/>
      <x:c r="M96" s="136"/>
      <x:c r="N96" s="136"/>
      <x:c r="O96" s="136"/>
      <x:c r="P96" s="136"/>
      <x:c r="Q96" s="136"/>
      <x:c r="R96" s="136"/>
      <x:c r="S96" s="136"/>
      <x:c r="T96" s="136"/>
      <x:c r="U96" s="136"/>
      <x:c r="V96" s="136"/>
      <x:c r="W96" s="136"/>
      <x:c r="X96" s="240" t="n">
        <x:v>0.8051472140894176</x:v>
      </x:c>
      <x:c r="Y96" s="240" t="n">
        <x:v>0.7021710395144667</x:v>
      </x:c>
      <x:c r="Z96" s="240" t="n">
        <x:v>0.8619009402450023</x:v>
      </x:c>
      <x:c r="AA96" s="255" t="n">
        <x:v>0.794780400360291</x:v>
      </x:c>
      <x:c r="AB96" s="255" t="n">
        <x:v>0.5689635014300525</x:v>
      </x:c>
    </x:row>
    <x:row r="97" ht="24" customHeight="1">
      <x:c r="A97" s="136"/>
      <x:c r="B97" s="136"/>
      <x:c r="C97" s="136" t="n">
        <x:f>66</x:f>
        <x:v>66</x:v>
      </x:c>
      <x:c r="D97" s="162" t="n">
        <x:f>IF(X97&lt;($E$12-$D$12)/($F$12-$D$12),$D$12+SQRT(X97*($F$12-$D$12)*($E$12-$D$12)),$F$12-SQRT((1-X97)*($F$12-$D$12)*($F$12-$E$12)))</x:f>
        <x:v>0.11249322299070395</x:v>
      </x:c>
      <x:c r="E97" s="162" t="n">
        <x:f>IF(Y97&lt;($E$13-$D$13)/($F$13-$D$13),$D$13+SQRT(Y97*($F$13-$D$13)*($E$13-$D$13)),$F$13-SQRT((1-Y97)*($F$13-$D$13)*($F$13-$E$13)))</x:f>
        <x:v>-0.03403861192272903</x:v>
      </x:c>
      <x:c r="F97" s="222" t="n">
        <x:f>IF(Z97&lt;($E$14-$D$14)/($F$14-$D$14),$D$14+SQRT(Z97*($F$14-$D$14)*($E$14-$D$14)),$F$14-SQRT((1-Z97)*($F$14-$D$14)*($F$14-$E$14)))</x:f>
        <x:v>0.9858451378056156</x:v>
      </x:c>
      <x:c r="G97" s="162" t="n">
        <x:f>IF(AA97&lt;($E$15-$D$15)/($F$15-$D$15),$D$15+SQRT(AA97*($F$15-$D$15)*($E$15-$D$15)),$F$15-SQRT((1-AA97)*($F$15-$D$15)*($F$15-$E$15)))</x:f>
        <x:v>0.0988058390561573</x:v>
      </x:c>
      <x:c r="H97" s="162" t="n">
        <x:f>IF(AB97&lt;($E$16-$D$16)/($F$16-$D$16),$D$16+SQRT(AB97*($F$16-$D$16)*($E$16-$D$16)),$F$16-SQRT((1-AB97)*($F$16-$D$16)*($F$16-$E$16)))</x:f>
        <x:v>0.02789287717777794</x:v>
      </x:c>
      <x:c r="I97" s="164" t="n">
        <x:f>'Historical Inputs'!$N$9*(1+D97)^5</x:f>
        <x:v>565476.1549001014</x:v>
      </x:c>
      <x:c r="J97" s="164" t="n">
        <x:f>I97*(1+H97)*('Terminal Value'!$E$10+E97)*(1-'Assumptions'!$E$15)*(1-H97/'Terminal Value'!$E$12)</x:f>
        <x:v>146438.83149075595</x:v>
      </x:c>
      <x:c r="K97" s="145" t="n">
        <x:f>((SUM((('Historical Inputs'!$N$9*(1+(D97))^1)*(('Assumptions'!E37+(E97))*(1-'Assumptions'!E42-(0))+'Assumptions'!E47-'Assumptions'!E52*(F97)+'Assumptions'!E57-'Assumptions'!E62*(1)-'Assumptions'!E67-(0))+('Working Capital'!$E$6))*'DCF'!E12/(1+(G97))^'DCF'!E13,(('Historical Inputs'!$N$9*(1+(D97))^2)*(('Assumptions'!F37+(E97))*(1-'Assumptions'!F42-(0))+'Assumptions'!F47-'Assumptions'!F52*(F97)+'Assumptions'!F57-'Assumptions'!F62*(1)-'Assumptions'!F67-(0))+(('Historical Inputs'!$N$9*(1+(D97))^1)*('Assumptions'!E67+(0))))*'DCF'!F12/(1+(G97))^'DCF'!F13,(('Historical Inputs'!$N$9*(1+(D97))^3)*(('Assumptions'!G37+(E97))*(1-'Assumptions'!G42-(0))+'Assumptions'!G47-'Assumptions'!G52*(F97)+'Assumptions'!G57-'Assumptions'!G62*(1)-'Assumptions'!G67-(0))+(('Historical Inputs'!$N$9*(1+(D97))^2)*('Assumptions'!F67+(0))))*'DCF'!G12/(1+(G97))^'DCF'!G13,(('Historical Inputs'!$N$9*(1+(D97))^4)*(('Assumptions'!H37+(E97))*(1-'Assumptions'!H42-(0))+'Assumptions'!H47-'Assumptions'!H52*(F97)+'Assumptions'!H57-'Assumptions'!H62*(1)-'Assumptions'!H67-(0))+(('Historical Inputs'!$N$9*(1+(D97))^3)*('Assumptions'!G67+(0))))*'DCF'!H12/(1+(G97))^'DCF'!H13,(('Historical Inputs'!$N$9*(1+(D97))^5)*(('Assumptions'!I37+(E97))*(1-'Assumptions'!I42-(0))+'Assumptions'!I47-'Assumptions'!I52*(F97)+'Assumptions'!I57-'Assumptions'!I62*(1)-'Assumptions'!I67-(0))+(('Historical Inputs'!$N$9*(1+(D97))^4)*('Assumptions'!H67+(0))))*'DCF'!I12/(1+(G97))^'DCF'!I13)+('Historical Inputs'!$N$9*(1+(D97))^5)*(1+(H97))*('Terminal Value'!$E$10+(E97))*(1-'Assumptions'!$E$15-(0))*(1-(H97)/('Terminal Value'!$E$12))/((G97)-(H97))/(1+(G97))^'DCF'!$E$19)+'Equity Bridge'!$E$17)/'Equity Bridge'!$E$20</x:f>
        <x:v>222.37122849056388</x:v>
      </x:c>
      <x:c r="L97" s="136"/>
      <x:c r="M97" s="136"/>
      <x:c r="N97" s="136"/>
      <x:c r="O97" s="136"/>
      <x:c r="P97" s="136"/>
      <x:c r="Q97" s="136"/>
      <x:c r="R97" s="136"/>
      <x:c r="S97" s="136"/>
      <x:c r="T97" s="136"/>
      <x:c r="U97" s="136"/>
      <x:c r="V97" s="136"/>
      <x:c r="W97" s="136"/>
      <x:c r="X97" s="240" t="n">
        <x:v>0.07400628704935008</x:v>
      </x:c>
      <x:c r="Y97" s="240" t="n">
        <x:v>0.050953181870649566</x:v>
      </x:c>
      <x:c r="Z97" s="240" t="n">
        <x:v>0.35150288505574645</x:v>
      </x:c>
      <x:c r="AA97" s="255" t="n">
        <x:v>0.5433805398791683</x:v>
      </x:c>
      <x:c r="AB97" s="255" t="n">
        <x:v>0.3114875507174394</x:v>
      </x:c>
    </x:row>
    <x:row r="98" ht="24" customHeight="1">
      <x:c r="A98" s="136"/>
      <x:c r="B98" s="136"/>
      <x:c r="C98" s="136" t="n">
        <x:f>67</x:f>
        <x:v>67</x:v>
      </x:c>
      <x:c r="D98" s="162" t="n">
        <x:f>IF(X98&lt;($E$12-$D$12)/($F$12-$D$12),$D$12+SQRT(X98*($F$12-$D$12)*($E$12-$D$12)),$F$12-SQRT((1-X98)*($F$12-$D$12)*($F$12-$E$12)))</x:f>
        <x:v>0.1589850427325298</x:v>
      </x:c>
      <x:c r="E98" s="162" t="n">
        <x:f>IF(Y98&lt;($E$13-$D$13)/($F$13-$D$13),$D$13+SQRT(Y98*($F$13-$D$13)*($E$13-$D$13)),$F$13-SQRT((1-Y98)*($F$13-$D$13)*($F$13-$E$13)))</x:f>
        <x:v>0.037066150108730454</x:v>
      </x:c>
      <x:c r="F98" s="222" t="n">
        <x:f>IF(Z98&lt;($E$14-$D$14)/($F$14-$D$14),$D$14+SQRT(Z98*($F$14-$D$14)*($E$14-$D$14)),$F$14-SQRT((1-Z98)*($F$14-$D$14)*($F$14-$E$14)))</x:f>
        <x:v>0.9543170014016449</x:v>
      </x:c>
      <x:c r="G98" s="162" t="n">
        <x:f>IF(AA98&lt;($E$15-$D$15)/($F$15-$D$15),$D$15+SQRT(AA98*($F$15-$D$15)*($E$15-$D$15)),$F$15-SQRT((1-AA98)*($F$15-$D$15)*($F$15-$E$15)))</x:f>
        <x:v>0.08533386911040404</x:v>
      </x:c>
      <x:c r="H98" s="162" t="n">
        <x:f>IF(AB98&lt;($E$16-$D$16)/($F$16-$D$16),$D$16+SQRT(AB98*($F$16-$D$16)*($E$16-$D$16)),$F$16-SQRT((1-AB98)*($F$16-$D$16)*($F$16-$E$16)))</x:f>
        <x:v>0.029936507779039057</x:v>
      </x:c>
      <x:c r="I98" s="164" t="n">
        <x:f>'Historical Inputs'!$N$9*(1+D98)^5</x:f>
        <x:v>693931.4679651277</x:v>
      </x:c>
      <x:c r="J98" s="164" t="n">
        <x:f>I98*(1+H98)*('Terminal Value'!$E$10+E98)*(1-'Assumptions'!$E$15)*(1-H98/'Terminal Value'!$E$12)</x:f>
        <x:v>212493.3247068473</x:v>
      </x:c>
      <x:c r="K98" s="145" t="n">
        <x:f>((SUM((('Historical Inputs'!$N$9*(1+(D98))^1)*(('Assumptions'!E37+(E98))*(1-'Assumptions'!E42-(0))+'Assumptions'!E47-'Assumptions'!E52*(F98)+'Assumptions'!E57-'Assumptions'!E62*(1)-'Assumptions'!E67-(0))+('Working Capital'!$E$6))*'DCF'!E12/(1+(G98))^'DCF'!E13,(('Historical Inputs'!$N$9*(1+(D98))^2)*(('Assumptions'!F37+(E98))*(1-'Assumptions'!F42-(0))+'Assumptions'!F47-'Assumptions'!F52*(F98)+'Assumptions'!F57-'Assumptions'!F62*(1)-'Assumptions'!F67-(0))+(('Historical Inputs'!$N$9*(1+(D98))^1)*('Assumptions'!E67+(0))))*'DCF'!F12/(1+(G98))^'DCF'!F13,(('Historical Inputs'!$N$9*(1+(D98))^3)*(('Assumptions'!G37+(E98))*(1-'Assumptions'!G42-(0))+'Assumptions'!G47-'Assumptions'!G52*(F98)+'Assumptions'!G57-'Assumptions'!G62*(1)-'Assumptions'!G67-(0))+(('Historical Inputs'!$N$9*(1+(D98))^2)*('Assumptions'!F67+(0))))*'DCF'!G12/(1+(G98))^'DCF'!G13,(('Historical Inputs'!$N$9*(1+(D98))^4)*(('Assumptions'!H37+(E98))*(1-'Assumptions'!H42-(0))+'Assumptions'!H47-'Assumptions'!H52*(F98)+'Assumptions'!H57-'Assumptions'!H62*(1)-'Assumptions'!H67-(0))+(('Historical Inputs'!$N$9*(1+(D98))^3)*('Assumptions'!G67+(0))))*'DCF'!H12/(1+(G98))^'DCF'!H13,(('Historical Inputs'!$N$9*(1+(D98))^5)*(('Assumptions'!I37+(E98))*(1-'Assumptions'!I42-(0))+'Assumptions'!I47-'Assumptions'!I52*(F98)+'Assumptions'!I57-'Assumptions'!I62*(1)-'Assumptions'!I67-(0))+(('Historical Inputs'!$N$9*(1+(D98))^4)*('Assumptions'!H67+(0))))*'DCF'!I12/(1+(G98))^'DCF'!I13)+('Historical Inputs'!$N$9*(1+(D98))^5)*(1+(H98))*('Terminal Value'!$E$10+(E98))*(1-'Assumptions'!$E$15-(0))*(1-(H98)/('Terminal Value'!$E$12))/((G98)-(H98))/(1+(G98))^'DCF'!$E$19)+'Equity Bridge'!$E$17)/'Equity Bridge'!$E$20</x:f>
        <x:v>421.53949733618407</x:v>
      </x:c>
      <x:c r="L98" s="136"/>
      <x:c r="M98" s="136"/>
      <x:c r="N98" s="136"/>
      <x:c r="O98" s="136"/>
      <x:c r="P98" s="136"/>
      <x:c r="Q98" s="136"/>
      <x:c r="R98" s="136"/>
      <x:c r="S98" s="136"/>
      <x:c r="T98" s="136"/>
      <x:c r="U98" s="136"/>
      <x:c r="V98" s="136"/>
      <x:c r="W98" s="136"/>
      <x:c r="X98" s="240" t="n">
        <x:v>0.7650862898025619</x:v>
      </x:c>
      <x:c r="Y98" s="240" t="n">
        <x:v>0.9665431053980214</x:v>
      </x:c>
      <x:c r="Z98" s="240" t="n">
        <x:v>0.20727689107487224</x:v>
      </x:c>
      <x:c r="AA98" s="255" t="n">
        <x:v>0.010692092128022468</x:v>
      </x:c>
      <x:c r="AB98" s="255" t="n">
        <x:v>0.4936709342145186</x:v>
      </x:c>
    </x:row>
    <x:row r="99" ht="24" customHeight="1">
      <x:c r="A99" s="136"/>
      <x:c r="B99" s="136"/>
      <x:c r="C99" s="136" t="n">
        <x:f>68</x:f>
        <x:v>68</x:v>
      </x:c>
      <x:c r="D99" s="162" t="n">
        <x:f>IF(X99&lt;($E$12-$D$12)/($F$12-$D$12),$D$12+SQRT(X99*($F$12-$D$12)*($E$12-$D$12)),$F$12-SQRT((1-X99)*($F$12-$D$12)*($F$12-$E$12)))</x:f>
        <x:v>0.12191606530799784</x:v>
      </x:c>
      <x:c r="E99" s="162" t="n">
        <x:f>IF(Y99&lt;($E$13-$D$13)/($F$13-$D$13),$D$13+SQRT(Y99*($F$13-$D$13)*($E$13-$D$13)),$F$13-SQRT((1-Y99)*($F$13-$D$13)*($F$13-$E$13)))</x:f>
        <x:v>-0.002463164596723473</x:v>
      </x:c>
      <x:c r="F99" s="222" t="n">
        <x:f>IF(Z99&lt;($E$14-$D$14)/($F$14-$D$14),$D$14+SQRT(Z99*($F$14-$D$14)*($E$14-$D$14)),$F$14-SQRT((1-Z99)*($F$14-$D$14)*($F$14-$E$14)))</x:f>
        <x:v>0.8977510016736991</x:v>
      </x:c>
      <x:c r="G99" s="162" t="n">
        <x:f>IF(AA99&lt;($E$15-$D$15)/($F$15-$D$15),$D$15+SQRT(AA99*($F$15-$D$15)*($E$15-$D$15)),$F$15-SQRT((1-AA99)*($F$15-$D$15)*($F$15-$E$15)))</x:f>
        <x:v>0.09586719982562314</x:v>
      </x:c>
      <x:c r="H99" s="162" t="n">
        <x:f>IF(AB99&lt;($E$16-$D$16)/($F$16-$D$16),$D$16+SQRT(AB99*($F$16-$D$16)*($E$16-$D$16)),$F$16-SQRT((1-AB99)*($F$16-$D$16)*($F$16-$E$16)))</x:f>
        <x:v>0.037424342663200494</x:v>
      </x:c>
      <x:c r="I99" s="164" t="n">
        <x:f>'Historical Inputs'!$N$9*(1+D99)^5</x:f>
        <x:v>589833.2633867613</x:v>
      </x:c>
      <x:c r="J99" s="164" t="n">
        <x:f>I99*(1+H99)*('Terminal Value'!$E$10+E99)*(1-'Assumptions'!$E$15)*(1-H99/'Terminal Value'!$E$12)</x:f>
        <x:v>158189.83796885423</x:v>
      </x:c>
      <x:c r="K99" s="145" t="n">
        <x:f>((SUM((('Historical Inputs'!$N$9*(1+(D99))^1)*(('Assumptions'!E37+(E99))*(1-'Assumptions'!E42-(0))+'Assumptions'!E47-'Assumptions'!E52*(F99)+'Assumptions'!E57-'Assumptions'!E62*(1)-'Assumptions'!E67-(0))+('Working Capital'!$E$6))*'DCF'!E12/(1+(G99))^'DCF'!E13,(('Historical Inputs'!$N$9*(1+(D99))^2)*(('Assumptions'!F37+(E99))*(1-'Assumptions'!F42-(0))+'Assumptions'!F47-'Assumptions'!F52*(F99)+'Assumptions'!F57-'Assumptions'!F62*(1)-'Assumptions'!F67-(0))+(('Historical Inputs'!$N$9*(1+(D99))^1)*('Assumptions'!E67+(0))))*'DCF'!F12/(1+(G99))^'DCF'!F13,(('Historical Inputs'!$N$9*(1+(D99))^3)*(('Assumptions'!G37+(E99))*(1-'Assumptions'!G42-(0))+'Assumptions'!G47-'Assumptions'!G52*(F99)+'Assumptions'!G57-'Assumptions'!G62*(1)-'Assumptions'!G67-(0))+(('Historical Inputs'!$N$9*(1+(D99))^2)*('Assumptions'!F67+(0))))*'DCF'!G12/(1+(G99))^'DCF'!G13,(('Historical Inputs'!$N$9*(1+(D99))^4)*(('Assumptions'!H37+(E99))*(1-'Assumptions'!H42-(0))+'Assumptions'!H47-'Assumptions'!H52*(F99)+'Assumptions'!H57-'Assumptions'!H62*(1)-'Assumptions'!H67-(0))+(('Historical Inputs'!$N$9*(1+(D99))^3)*('Assumptions'!G67+(0))))*'DCF'!H12/(1+(G99))^'DCF'!H13,(('Historical Inputs'!$N$9*(1+(D99))^5)*(('Assumptions'!I37+(E99))*(1-'Assumptions'!I42-(0))+'Assumptions'!I47-'Assumptions'!I52*(F99)+'Assumptions'!I57-'Assumptions'!I62*(1)-'Assumptions'!I67-(0))+(('Historical Inputs'!$N$9*(1+(D99))^4)*('Assumptions'!H67+(0))))*'DCF'!I12/(1+(G99))^'DCF'!I13)+('Historical Inputs'!$N$9*(1+(D99))^5)*(1+(H99))*('Terminal Value'!$E$10+(E99))*(1-'Assumptions'!$E$15-(0))*(1-(H99)/('Terminal Value'!$E$12))/((G99)-(H99))/(1+(G99))^'DCF'!$E$19)+'Equity Bridge'!$E$17)/'Equity Bridge'!$E$20</x:f>
        <x:v>293.74398014034307</x:v>
      </x:c>
      <x:c r="L99" s="136"/>
      <x:c r="M99" s="136"/>
      <x:c r="N99" s="136"/>
      <x:c r="O99" s="136"/>
      <x:c r="P99" s="136"/>
      <x:c r="Q99" s="136"/>
      <x:c r="R99" s="136"/>
      <x:c r="S99" s="136"/>
      <x:c r="T99" s="136"/>
      <x:c r="U99" s="136"/>
      <x:c r="V99" s="136"/>
      <x:c r="W99" s="136"/>
      <x:c r="X99" s="240" t="n">
        <x:v>0.16426815465995093</x:v>
      </x:c>
      <x:c r="Y99" s="240" t="n">
        <x:v>0.4519501440316409</x:v>
      </x:c>
      <x:c r="Z99" s="240" t="n">
        <x:v>0.043431584016030866</x:v>
      </x:c>
      <x:c r="AA99" s="255" t="n">
        <x:v>0.3599382565696577</x:v>
      </x:c>
      <x:c r="AB99" s="255" t="n">
        <x:v>0.9668299464169544</x:v>
      </x:c>
    </x:row>
    <x:row r="100" ht="24" customHeight="1">
      <x:c r="A100" s="136"/>
      <x:c r="B100" s="136"/>
      <x:c r="C100" s="136" t="n">
        <x:f>69</x:f>
        <x:v>69</x:v>
      </x:c>
      <x:c r="D100" s="162" t="n">
        <x:f>IF(X100&lt;($E$12-$D$12)/($F$12-$D$12),$D$12+SQRT(X100*($F$12-$D$12)*($E$12-$D$12)),$F$12-SQRT((1-X100)*($F$12-$D$12)*($F$12-$E$12)))</x:f>
        <x:v>0.12911170211851591</x:v>
      </x:c>
      <x:c r="E100" s="162" t="n">
        <x:f>IF(Y100&lt;($E$13-$D$13)/($F$13-$D$13),$D$13+SQRT(Y100*($F$13-$D$13)*($E$13-$D$13)),$F$13-SQRT((1-Y100)*($F$13-$D$13)*($F$13-$E$13)))</x:f>
        <x:v>0.029215102034636994</x:v>
      </x:c>
      <x:c r="F100" s="222" t="n">
        <x:f>IF(Z100&lt;($E$14-$D$14)/($F$14-$D$14),$D$14+SQRT(Z100*($F$14-$D$14)*($E$14-$D$14)),$F$14-SQRT((1-Z100)*($F$14-$D$14)*($F$14-$E$14)))</x:f>
        <x:v>1.0645586828450628</x:v>
      </x:c>
      <x:c r="G100" s="162" t="n">
        <x:f>IF(AA100&lt;($E$15-$D$15)/($F$15-$D$15),$D$15+SQRT(AA100*($F$15-$D$15)*($E$15-$D$15)),$F$15-SQRT((1-AA100)*($F$15-$D$15)*($F$15-$E$15)))</x:f>
        <x:v>0.0951713211888875</x:v>
      </x:c>
      <x:c r="H100" s="162" t="n">
        <x:f>IF(AB100&lt;($E$16-$D$16)/($F$16-$D$16),$D$16+SQRT(AB100*($F$16-$D$16)*($E$16-$D$16)),$F$16-SQRT((1-AB100)*($F$16-$D$16)*($F$16-$E$16)))</x:f>
        <x:v>0.020853770814433348</x:v>
      </x:c>
      <x:c r="I100" s="164" t="n">
        <x:f>'Historical Inputs'!$N$9*(1+D100)^5</x:f>
        <x:v>608992.5337897392</x:v>
      </x:c>
      <x:c r="J100" s="164" t="n">
        <x:f>I100*(1+H100)*('Terminal Value'!$E$10+E100)*(1-'Assumptions'!$E$15)*(1-H100/'Terminal Value'!$E$12)</x:f>
        <x:v>191213.32893146802</x:v>
      </x:c>
      <x:c r="K100" s="145" t="n">
        <x:f>((SUM((('Historical Inputs'!$N$9*(1+(D100))^1)*(('Assumptions'!E37+(E100))*(1-'Assumptions'!E42-(0))+'Assumptions'!E47-'Assumptions'!E52*(F100)+'Assumptions'!E57-'Assumptions'!E62*(1)-'Assumptions'!E67-(0))+('Working Capital'!$E$6))*'DCF'!E12/(1+(G100))^'DCF'!E13,(('Historical Inputs'!$N$9*(1+(D100))^2)*(('Assumptions'!F37+(E100))*(1-'Assumptions'!F42-(0))+'Assumptions'!F47-'Assumptions'!F52*(F100)+'Assumptions'!F57-'Assumptions'!F62*(1)-'Assumptions'!F67-(0))+(('Historical Inputs'!$N$9*(1+(D100))^1)*('Assumptions'!E67+(0))))*'DCF'!F12/(1+(G100))^'DCF'!F13,(('Historical Inputs'!$N$9*(1+(D100))^3)*(('Assumptions'!G37+(E100))*(1-'Assumptions'!G42-(0))+'Assumptions'!G47-'Assumptions'!G52*(F100)+'Assumptions'!G57-'Assumptions'!G62*(1)-'Assumptions'!G67-(0))+(('Historical Inputs'!$N$9*(1+(D100))^2)*('Assumptions'!F67+(0))))*'DCF'!G12/(1+(G100))^'DCF'!G13,(('Historical Inputs'!$N$9*(1+(D100))^4)*(('Assumptions'!H37+(E100))*(1-'Assumptions'!H42-(0))+'Assumptions'!H47-'Assumptions'!H52*(F100)+'Assumptions'!H57-'Assumptions'!H62*(1)-'Assumptions'!H67-(0))+(('Historical Inputs'!$N$9*(1+(D100))^3)*('Assumptions'!G67+(0))))*'DCF'!H12/(1+(G100))^'DCF'!H13,(('Historical Inputs'!$N$9*(1+(D100))^5)*(('Assumptions'!I37+(E100))*(1-'Assumptions'!I42-(0))+'Assumptions'!I47-'Assumptions'!I52*(F100)+'Assumptions'!I57-'Assumptions'!I62*(1)-'Assumptions'!I67-(0))+(('Historical Inputs'!$N$9*(1+(D100))^4)*('Assumptions'!H67+(0))))*'DCF'!I12/(1+(G100))^'DCF'!I13)+('Historical Inputs'!$N$9*(1+(D100))^5)*(1+(H100))*('Terminal Value'!$E$10+(E100))*(1-'Assumptions'!$E$15-(0))*(1-(H100)/('Terminal Value'!$E$12))/((G100)-(H100))/(1+(G100))^'DCF'!$E$19)+'Equity Bridge'!$E$17)/'Equity Bridge'!$E$20</x:f>
        <x:v>280.21360528211744</x:v>
      </x:c>
      <x:c r="L100" s="136"/>
      <x:c r="M100" s="136"/>
      <x:c r="N100" s="136"/>
      <x:c r="O100" s="136"/>
      <x:c r="P100" s="136"/>
      <x:c r="Q100" s="136"/>
      <x:c r="R100" s="136"/>
      <x:c r="S100" s="136"/>
      <x:c r="T100" s="136"/>
      <x:c r="U100" s="136"/>
      <x:c r="V100" s="136"/>
      <x:c r="W100" s="136"/>
      <x:c r="X100" s="240" t="n">
        <x:v>0.25711161977488284</x:v>
      </x:c>
      <x:c r="Y100" s="240" t="n">
        <x:v>0.9135976033138897</x:v>
      </x:c>
      <x:c r="Z100" s="240" t="n">
        <x:v>0.7379378515333672</x:v>
      </x:c>
      <x:c r="AA100" s="255" t="n">
        <x:v>0.3216528968192218</x:v>
      </x:c>
      <x:c r="AB100" s="255" t="n">
        <x:v>0.0036446230178909245</x:v>
      </x:c>
    </x:row>
    <x:row r="101" ht="24" customHeight="1">
      <x:c r="A101" s="136"/>
      <x:c r="B101" s="136"/>
      <x:c r="C101" s="136" t="n">
        <x:f>70</x:f>
        <x:v>70</x:v>
      </x:c>
      <x:c r="D101" s="162" t="n">
        <x:f>IF(X101&lt;($E$12-$D$12)/($F$12-$D$12),$D$12+SQRT(X101*($F$12-$D$12)*($E$12-$D$12)),$F$12-SQRT((1-X101)*($F$12-$D$12)*($F$12-$E$12)))</x:f>
        <x:v>0.14891316575333302</x:v>
      </x:c>
      <x:c r="E101" s="162" t="n">
        <x:f>IF(Y101&lt;($E$13-$D$13)/($F$13-$D$13),$D$13+SQRT(Y101*($F$13-$D$13)*($E$13-$D$13)),$F$13-SQRT((1-Y101)*($F$13-$D$13)*($F$13-$E$13)))</x:f>
        <x:v>-0.02582408573796009</x:v>
      </x:c>
      <x:c r="F101" s="222" t="n">
        <x:f>IF(Z101&lt;($E$14-$D$14)/($F$14-$D$14),$D$14+SQRT(Z101*($F$14-$D$14)*($E$14-$D$14)),$F$14-SQRT((1-Z101)*($F$14-$D$14)*($F$14-$E$14)))</x:f>
        <x:v>1.1631129765634407</x:v>
      </x:c>
      <x:c r="G101" s="162" t="n">
        <x:f>IF(AA101&lt;($E$15-$D$15)/($F$15-$D$15),$D$15+SQRT(AA101*($F$15-$D$15)*($E$15-$D$15)),$F$15-SQRT((1-AA101)*($F$15-$D$15)*($F$15-$E$15)))</x:f>
        <x:v>0.10650407921806823</x:v>
      </x:c>
      <x:c r="H101" s="162" t="n">
        <x:f>IF(AB101&lt;($E$16-$D$16)/($F$16-$D$16),$D$16+SQRT(AB101*($F$16-$D$16)*($E$16-$D$16)),$F$16-SQRT((1-AB101)*($F$16-$D$16)*($F$16-$E$16)))</x:f>
        <x:v>0.031723213400861365</x:v>
      </x:c>
      <x:c r="I101" s="164" t="n">
        <x:f>'Historical Inputs'!$N$9*(1+D101)^5</x:f>
        <x:v>664298.7830927867</x:v>
      </x:c>
      <x:c r="J101" s="164" t="n">
        <x:f>I101*(1+H101)*('Terminal Value'!$E$10+E101)*(1-'Assumptions'!$E$15)*(1-H101/'Terminal Value'!$E$12)</x:f>
        <x:v>172618.24187195068</x:v>
      </x:c>
      <x:c r="K101" s="145" t="n">
        <x:f>((SUM((('Historical Inputs'!$N$9*(1+(D101))^1)*(('Assumptions'!E37+(E101))*(1-'Assumptions'!E42-(0))+'Assumptions'!E47-'Assumptions'!E52*(F101)+'Assumptions'!E57-'Assumptions'!E62*(1)-'Assumptions'!E67-(0))+('Working Capital'!$E$6))*'DCF'!E12/(1+(G101))^'DCF'!E13,(('Historical Inputs'!$N$9*(1+(D101))^2)*(('Assumptions'!F37+(E101))*(1-'Assumptions'!F42-(0))+'Assumptions'!F47-'Assumptions'!F52*(F101)+'Assumptions'!F57-'Assumptions'!F62*(1)-'Assumptions'!F67-(0))+(('Historical Inputs'!$N$9*(1+(D101))^1)*('Assumptions'!E67+(0))))*'DCF'!F12/(1+(G101))^'DCF'!F13,(('Historical Inputs'!$N$9*(1+(D101))^3)*(('Assumptions'!G37+(E101))*(1-'Assumptions'!G42-(0))+'Assumptions'!G47-'Assumptions'!G52*(F101)+'Assumptions'!G57-'Assumptions'!G62*(1)-'Assumptions'!G67-(0))+(('Historical Inputs'!$N$9*(1+(D101))^2)*('Assumptions'!F67+(0))))*'DCF'!G12/(1+(G101))^'DCF'!G13,(('Historical Inputs'!$N$9*(1+(D101))^4)*(('Assumptions'!H37+(E101))*(1-'Assumptions'!H42-(0))+'Assumptions'!H47-'Assumptions'!H52*(F101)+'Assumptions'!H57-'Assumptions'!H62*(1)-'Assumptions'!H67-(0))+(('Historical Inputs'!$N$9*(1+(D101))^3)*('Assumptions'!G67+(0))))*'DCF'!H12/(1+(G101))^'DCF'!H13,(('Historical Inputs'!$N$9*(1+(D101))^5)*(('Assumptions'!I37+(E101))*(1-'Assumptions'!I42-(0))+'Assumptions'!I47-'Assumptions'!I52*(F101)+'Assumptions'!I57-'Assumptions'!I62*(1)-'Assumptions'!I67-(0))+(('Historical Inputs'!$N$9*(1+(D101))^4)*('Assumptions'!H67+(0))))*'DCF'!I12/(1+(G101))^'DCF'!I13)+('Historical Inputs'!$N$9*(1+(D101))^5)*(1+(H101))*('Terminal Value'!$E$10+(E101))*(1-'Assumptions'!$E$15-(0))*(1-(H101)/('Terminal Value'!$E$12))/((G101)-(H101))/(1+(G101))^'DCF'!$E$19)+'Equity Bridge'!$E$17)/'Equity Bridge'!$E$20</x:f>
        <x:v>231.9119686073183</x:v>
      </x:c>
      <x:c r="L101" s="136"/>
      <x:c r="M101" s="136"/>
      <x:c r="N101" s="136"/>
      <x:c r="O101" s="136"/>
      <x:c r="P101" s="136"/>
      <x:c r="Q101" s="136"/>
      <x:c r="R101" s="136"/>
      <x:c r="S101" s="136"/>
      <x:c r="T101" s="136"/>
      <x:c r="U101" s="136"/>
      <x:c r="V101" s="136"/>
      <x:c r="W101" s="136"/>
      <x:c r="X101" s="240" t="n">
        <x:v>0.6067244857203018</x:v>
      </x:c>
      <x:c r="Y101" s="240" t="n">
        <x:v>0.11689496608110095</x:v>
      </x:c>
      <x:c r="Z101" s="240" t="n">
        <x:v>0.9805621071712961</x:v>
      </x:c>
      <x:c r="AA101" s="255" t="n">
        <x:v>0.9021325645945732</x:v>
      </x:c>
      <x:c r="AB101" s="255" t="n">
        <x:v>0.6574740179615958</x:v>
      </x:c>
    </x:row>
    <x:row r="102" ht="24" customHeight="1">
      <x:c r="A102" s="136"/>
      <x:c r="B102" s="136"/>
      <x:c r="C102" s="136" t="n">
        <x:f>71</x:f>
        <x:v>71</x:v>
      </x:c>
      <x:c r="D102" s="162" t="n">
        <x:f>IF(X102&lt;($E$12-$D$12)/($F$12-$D$12),$D$12+SQRT(X102*($F$12-$D$12)*($E$12-$D$12)),$F$12-SQRT((1-X102)*($F$12-$D$12)*($F$12-$E$12)))</x:f>
        <x:v>0.12623839291444772</x:v>
      </x:c>
      <x:c r="E102" s="162" t="n">
        <x:f>IF(Y102&lt;($E$13-$D$13)/($F$13-$D$13),$D$13+SQRT(Y102*($F$13-$D$13)*($E$13-$D$13)),$F$13-SQRT((1-Y102)*($F$13-$D$13)*($F$13-$E$13)))</x:f>
        <x:v>0.03914369049728065</x:v>
      </x:c>
      <x:c r="F102" s="222" t="n">
        <x:f>IF(Z102&lt;($E$14-$D$14)/($F$14-$D$14),$D$14+SQRT(Z102*($F$14-$D$14)*($E$14-$D$14)),$F$14-SQRT((1-Z102)*($F$14-$D$14)*($F$14-$E$14)))</x:f>
        <x:v>0.9642021346508572</x:v>
      </x:c>
      <x:c r="G102" s="162" t="n">
        <x:f>IF(AA102&lt;($E$15-$D$15)/($F$15-$D$15),$D$15+SQRT(AA102*($F$15-$D$15)*($E$15-$D$15)),$F$15-SQRT((1-AA102)*($F$15-$D$15)*($F$15-$E$15)))</x:f>
        <x:v>0.1041578784038494</x:v>
      </x:c>
      <x:c r="H102" s="162" t="n">
        <x:f>IF(AB102&lt;($E$16-$D$16)/($F$16-$D$16),$D$16+SQRT(AB102*($F$16-$D$16)*($E$16-$D$16)),$F$16-SQRT((1-AB102)*($F$16-$D$16)*($F$16-$E$16)))</x:f>
        <x:v>0.029907999505502353</x:v>
      </x:c>
      <x:c r="I102" s="164" t="n">
        <x:f>'Historical Inputs'!$N$9*(1+D102)^5</x:f>
        <x:v>601283.1957852264</x:v>
      </x:c>
      <x:c r="J102" s="164" t="n">
        <x:f>I102*(1+H102)*('Terminal Value'!$E$10+E102)*(1-'Assumptions'!$E$15)*(1-H102/'Terminal Value'!$E$12)</x:f>
        <x:v>185023.98299574465</x:v>
      </x:c>
      <x:c r="K102" s="145" t="n">
        <x:f>((SUM((('Historical Inputs'!$N$9*(1+(D102))^1)*(('Assumptions'!E37+(E102))*(1-'Assumptions'!E42-(0))+'Assumptions'!E47-'Assumptions'!E52*(F102)+'Assumptions'!E57-'Assumptions'!E62*(1)-'Assumptions'!E67-(0))+('Working Capital'!$E$6))*'DCF'!E12/(1+(G102))^'DCF'!E13,(('Historical Inputs'!$N$9*(1+(D102))^2)*(('Assumptions'!F37+(E102))*(1-'Assumptions'!F42-(0))+'Assumptions'!F47-'Assumptions'!F52*(F102)+'Assumptions'!F57-'Assumptions'!F62*(1)-'Assumptions'!F67-(0))+(('Historical Inputs'!$N$9*(1+(D102))^1)*('Assumptions'!E67+(0))))*'DCF'!F12/(1+(G102))^'DCF'!F13,(('Historical Inputs'!$N$9*(1+(D102))^3)*(('Assumptions'!G37+(E102))*(1-'Assumptions'!G42-(0))+'Assumptions'!G47-'Assumptions'!G52*(F102)+'Assumptions'!G57-'Assumptions'!G62*(1)-'Assumptions'!G67-(0))+(('Historical Inputs'!$N$9*(1+(D102))^2)*('Assumptions'!F67+(0))))*'DCF'!G12/(1+(G102))^'DCF'!G13,(('Historical Inputs'!$N$9*(1+(D102))^4)*(('Assumptions'!H37+(E102))*(1-'Assumptions'!H42-(0))+'Assumptions'!H47-'Assumptions'!H52*(F102)+'Assumptions'!H57-'Assumptions'!H62*(1)-'Assumptions'!H67-(0))+(('Historical Inputs'!$N$9*(1+(D102))^3)*('Assumptions'!G67+(0))))*'DCF'!H12/(1+(G102))^'DCF'!H13,(('Historical Inputs'!$N$9*(1+(D102))^5)*(('Assumptions'!I37+(E102))*(1-'Assumptions'!I42-(0))+'Assumptions'!I47-'Assumptions'!I52*(F102)+'Assumptions'!I57-'Assumptions'!I62*(1)-'Assumptions'!I67-(0))+(('Historical Inputs'!$N$9*(1+(D102))^4)*('Assumptions'!H67+(0))))*'DCF'!I12/(1+(G102))^'DCF'!I13)+('Historical Inputs'!$N$9*(1+(D102))^5)*(1+(H102))*('Terminal Value'!$E$10+(E102))*(1-'Assumptions'!$E$15-(0))*(1-(H102)/('Terminal Value'!$E$12))/((G102)-(H102))/(1+(G102))^'DCF'!$E$19)+'Equity Bridge'!$E$17)/'Equity Bridge'!$E$20</x:f>
        <x:v>271.0556239635312</x:v>
      </x:c>
      <x:c r="L102" s="136"/>
      <x:c r="M102" s="136"/>
      <x:c r="N102" s="136"/>
      <x:c r="O102" s="136"/>
      <x:c r="P102" s="136"/>
      <x:c r="Q102" s="136"/>
      <x:c r="R102" s="136"/>
      <x:c r="S102" s="136"/>
      <x:c r="T102" s="136"/>
      <x:c r="U102" s="136"/>
      <x:c r="V102" s="136"/>
      <x:c r="W102" s="136"/>
      <x:c r="X102" s="240" t="n">
        <x:v>0.21755416777402214</x:v>
      </x:c>
      <x:c r="Y102" s="240" t="n">
        <x:v>0.9764281087962331</x:v>
      </x:c>
      <x:c r="Z102" s="240" t="n">
        <x:v>0.24842147731071496</x:v>
      </x:c>
      <x:c r="AA102" s="255" t="n">
        <x:v>0.8206996832484079</x:v>
      </x:c>
      <x:c r="AB102" s="255" t="n">
        <x:v>0.4908422710051743</x:v>
      </x:c>
    </x:row>
    <x:row r="103" ht="24" customHeight="1">
      <x:c r="A103" s="136"/>
      <x:c r="B103" s="136"/>
      <x:c r="C103" s="136" t="n">
        <x:f>72</x:f>
        <x:v>72</x:v>
      </x:c>
      <x:c r="D103" s="162" t="n">
        <x:f>IF(X103&lt;($E$12-$D$12)/($F$12-$D$12),$D$12+SQRT(X103*($F$12-$D$12)*($E$12-$D$12)),$F$12-SQRT((1-X103)*($F$12-$D$12)*($F$12-$E$12)))</x:f>
        <x:v>0.16753826339295305</x:v>
      </x:c>
      <x:c r="E103" s="162" t="n">
        <x:f>IF(Y103&lt;($E$13-$D$13)/($F$13-$D$13),$D$13+SQRT(Y103*($F$13-$D$13)*($E$13-$D$13)),$F$13-SQRT((1-Y103)*($F$13-$D$13)*($F$13-$E$13)))</x:f>
        <x:v>0.03134301770955286</x:v>
      </x:c>
      <x:c r="F103" s="222" t="n">
        <x:f>IF(Z103&lt;($E$14-$D$14)/($F$14-$D$14),$D$14+SQRT(Z103*($F$14-$D$14)*($E$14-$D$14)),$F$14-SQRT((1-Z103)*($F$14-$D$14)*($F$14-$E$14)))</x:f>
        <x:v>1.0165476781879108</x:v>
      </x:c>
      <x:c r="G103" s="162" t="n">
        <x:f>IF(AA103&lt;($E$15-$D$15)/($F$15-$D$15),$D$15+SQRT(AA103*($F$15-$D$15)*($E$15-$D$15)),$F$15-SQRT((1-AA103)*($F$15-$D$15)*($F$15-$E$15)))</x:f>
        <x:v>0.09210174253073967</x:v>
      </x:c>
      <x:c r="H103" s="162" t="n">
        <x:f>IF(AB103&lt;($E$16-$D$16)/($F$16-$D$16),$D$16+SQRT(AB103*($F$16-$D$16)*($E$16-$D$16)),$F$16-SQRT((1-AB103)*($F$16-$D$16)*($F$16-$E$16)))</x:f>
        <x:v>0.0267807477817801</x:v>
      </x:c>
      <x:c r="I103" s="164" t="n">
        <x:f>'Historical Inputs'!$N$9*(1+D103)^5</x:f>
        <x:v>719918.0100361336</x:v>
      </x:c>
      <x:c r="J103" s="164" t="n">
        <x:f>I103*(1+H103)*('Terminal Value'!$E$10+E103)*(1-'Assumptions'!$E$15)*(1-H103/'Terminal Value'!$E$12)</x:f>
        <x:v>220922.36232877927</x:v>
      </x:c>
      <x:c r="K103" s="145" t="n">
        <x:f>((SUM((('Historical Inputs'!$N$9*(1+(D103))^1)*(('Assumptions'!E37+(E103))*(1-'Assumptions'!E42-(0))+'Assumptions'!E47-'Assumptions'!E52*(F103)+'Assumptions'!E57-'Assumptions'!E62*(1)-'Assumptions'!E67-(0))+('Working Capital'!$E$6))*'DCF'!E12/(1+(G103))^'DCF'!E13,(('Historical Inputs'!$N$9*(1+(D103))^2)*(('Assumptions'!F37+(E103))*(1-'Assumptions'!F42-(0))+'Assumptions'!F47-'Assumptions'!F52*(F103)+'Assumptions'!F57-'Assumptions'!F62*(1)-'Assumptions'!F67-(0))+(('Historical Inputs'!$N$9*(1+(D103))^1)*('Assumptions'!E67+(0))))*'DCF'!F12/(1+(G103))^'DCF'!F13,(('Historical Inputs'!$N$9*(1+(D103))^3)*(('Assumptions'!G37+(E103))*(1-'Assumptions'!G42-(0))+'Assumptions'!G47-'Assumptions'!G52*(F103)+'Assumptions'!G57-'Assumptions'!G62*(1)-'Assumptions'!G67-(0))+(('Historical Inputs'!$N$9*(1+(D103))^2)*('Assumptions'!F67+(0))))*'DCF'!G12/(1+(G103))^'DCF'!G13,(('Historical Inputs'!$N$9*(1+(D103))^4)*(('Assumptions'!H37+(E103))*(1-'Assumptions'!H42-(0))+'Assumptions'!H47-'Assumptions'!H52*(F103)+'Assumptions'!H57-'Assumptions'!H62*(1)-'Assumptions'!H67-(0))+(('Historical Inputs'!$N$9*(1+(D103))^3)*('Assumptions'!G67+(0))))*'DCF'!H12/(1+(G103))^'DCF'!H13,(('Historical Inputs'!$N$9*(1+(D103))^5)*(('Assumptions'!I37+(E103))*(1-'Assumptions'!I42-(0))+'Assumptions'!I47-'Assumptions'!I52*(F103)+'Assumptions'!I57-'Assumptions'!I62*(1)-'Assumptions'!I67-(0))+(('Historical Inputs'!$N$9*(1+(D103))^4)*('Assumptions'!H67+(0))))*'DCF'!I12/(1+(G103))^'DCF'!I13)+('Historical Inputs'!$N$9*(1+(D103))^5)*(1+(H103))*('Terminal Value'!$E$10+(E103))*(1-'Assumptions'!$E$15-(0))*(1-(H103)/('Terminal Value'!$E$12))/((G103)-(H103))/(1+(G103))^'DCF'!$E$19)+'Equity Bridge'!$E$17)/'Equity Bridge'!$E$20</x:f>
        <x:v>366.3551519108195</x:v>
      </x:c>
      <x:c r="L103" s="136"/>
      <x:c r="M103" s="136"/>
      <x:c r="N103" s="136"/>
      <x:c r="O103" s="136"/>
      <x:c r="P103" s="136"/>
      <x:c r="Q103" s="136"/>
      <x:c r="R103" s="136"/>
      <x:c r="S103" s="136"/>
      <x:c r="T103" s="136"/>
      <x:c r="U103" s="136"/>
      <x:c r="V103" s="136"/>
      <x:c r="W103" s="136"/>
      <x:c r="X103" s="240" t="n">
        <x:v>0.8677090929319251</x:v>
      </x:c>
      <x:c r="Y103" s="240" t="n">
        <x:v>0.9303834023627884</x:v>
      </x:c>
      <x:c r="Z103" s="240" t="n">
        <x:v>0.5192177945964811</x:v>
      </x:c>
      <x:c r="AA103" s="255" t="n">
        <x:v>0.17845824520322373</x:v>
      </x:c>
      <x:c r="AB103" s="255" t="n">
        <x:v>0.22989270240057869</x:v>
      </x:c>
    </x:row>
    <x:row r="104" ht="24" customHeight="1">
      <x:c r="A104" s="136"/>
      <x:c r="B104" s="136"/>
      <x:c r="C104" s="136" t="n">
        <x:f>73</x:f>
        <x:v>73</x:v>
      </x:c>
      <x:c r="D104" s="162" t="n">
        <x:f>IF(X104&lt;($E$12-$D$12)/($F$12-$D$12),$D$12+SQRT(X104*($F$12-$D$12)*($E$12-$D$12)),$F$12-SQRT((1-X104)*($F$12-$D$12)*($F$12-$E$12)))</x:f>
        <x:v>0.10691232242073465</x:v>
      </x:c>
      <x:c r="E104" s="162" t="n">
        <x:f>IF(Y104&lt;($E$13-$D$13)/($F$13-$D$13),$D$13+SQRT(Y104*($F$13-$D$13)*($E$13-$D$13)),$F$13-SQRT((1-Y104)*($F$13-$D$13)*($F$13-$E$13)))</x:f>
        <x:v>-0.01778590367045957</x:v>
      </x:c>
      <x:c r="F104" s="222" t="n">
        <x:f>IF(Z104&lt;($E$14-$D$14)/($F$14-$D$14),$D$14+SQRT(Z104*($F$14-$D$14)*($E$14-$D$14)),$F$14-SQRT((1-Z104)*($F$14-$D$14)*($F$14-$E$14)))</x:f>
        <x:v>1.1091382616922987</x:v>
      </x:c>
      <x:c r="G104" s="162" t="n">
        <x:f>IF(AA104&lt;($E$15-$D$15)/($F$15-$D$15),$D$15+SQRT(AA104*($F$15-$D$15)*($E$15-$D$15)),$F$15-SQRT((1-AA104)*($F$15-$D$15)*($F$15-$E$15)))</x:f>
        <x:v>0.10185455099060403</x:v>
      </x:c>
      <x:c r="H104" s="162" t="n">
        <x:f>IF(AB104&lt;($E$16-$D$16)/($F$16-$D$16),$D$16+SQRT(AB104*($F$16-$D$16)*($E$16-$D$16)),$F$16-SQRT((1-AB104)*($F$16-$D$16)*($F$16-$E$16)))</x:f>
        <x:v>0.025181439656959147</x:v>
      </x:c>
      <x:c r="I104" s="164" t="n">
        <x:f>'Historical Inputs'!$N$9*(1+D104)^5</x:f>
        <x:v>551433.9957046362</x:v>
      </x:c>
      <x:c r="J104" s="164" t="n">
        <x:f>I104*(1+H104)*('Terminal Value'!$E$10+E104)*(1-'Assumptions'!$E$15)*(1-H104/'Terminal Value'!$E$12)</x:f>
        <x:v>151094.44664306456</x:v>
      </x:c>
      <x:c r="K104" s="145" t="n">
        <x:f>((SUM((('Historical Inputs'!$N$9*(1+(D104))^1)*(('Assumptions'!E37+(E104))*(1-'Assumptions'!E42-(0))+'Assumptions'!E47-'Assumptions'!E52*(F104)+'Assumptions'!E57-'Assumptions'!E62*(1)-'Assumptions'!E67-(0))+('Working Capital'!$E$6))*'DCF'!E12/(1+(G104))^'DCF'!E13,(('Historical Inputs'!$N$9*(1+(D104))^2)*(('Assumptions'!F37+(E104))*(1-'Assumptions'!F42-(0))+'Assumptions'!F47-'Assumptions'!F52*(F104)+'Assumptions'!F57-'Assumptions'!F62*(1)-'Assumptions'!F67-(0))+(('Historical Inputs'!$N$9*(1+(D104))^1)*('Assumptions'!E67+(0))))*'DCF'!F12/(1+(G104))^'DCF'!F13,(('Historical Inputs'!$N$9*(1+(D104))^3)*(('Assumptions'!G37+(E104))*(1-'Assumptions'!G42-(0))+'Assumptions'!G47-'Assumptions'!G52*(F104)+'Assumptions'!G57-'Assumptions'!G62*(1)-'Assumptions'!G67-(0))+(('Historical Inputs'!$N$9*(1+(D104))^2)*('Assumptions'!F67+(0))))*'DCF'!G12/(1+(G104))^'DCF'!G13,(('Historical Inputs'!$N$9*(1+(D104))^4)*(('Assumptions'!H37+(E104))*(1-'Assumptions'!H42-(0))+'Assumptions'!H47-'Assumptions'!H52*(F104)+'Assumptions'!H57-'Assumptions'!H62*(1)-'Assumptions'!H67-(0))+(('Historical Inputs'!$N$9*(1+(D104))^3)*('Assumptions'!G67+(0))))*'DCF'!H12/(1+(G104))^'DCF'!H13,(('Historical Inputs'!$N$9*(1+(D104))^5)*(('Assumptions'!I37+(E104))*(1-'Assumptions'!I42-(0))+'Assumptions'!I47-'Assumptions'!I52*(F104)+'Assumptions'!I57-'Assumptions'!I62*(1)-'Assumptions'!I67-(0))+(('Historical Inputs'!$N$9*(1+(D104))^4)*('Assumptions'!H67+(0))))*'DCF'!I12/(1+(G104))^'DCF'!I13)+('Historical Inputs'!$N$9*(1+(D104))^5)*(1+(H104))*('Terminal Value'!$E$10+(E104))*(1-'Assumptions'!$E$15-(0))*(1-(H104)/('Terminal Value'!$E$12))/((G104)-(H104))/(1+(G104))^'DCF'!$E$19)+'Equity Bridge'!$E$17)/'Equity Bridge'!$E$20</x:f>
        <x:v>206.79085913678594</x:v>
      </x:c>
      <x:c r="L104" s="136"/>
      <x:c r="M104" s="136"/>
      <x:c r="N104" s="136"/>
      <x:c r="O104" s="136"/>
      <x:c r="P104" s="136"/>
      <x:c r="Q104" s="136"/>
      <x:c r="R104" s="136"/>
      <x:c r="S104" s="136"/>
      <x:c r="T104" s="136"/>
      <x:c r="U104" s="136"/>
      <x:c r="V104" s="136"/>
      <x:c r="W104" s="136"/>
      <x:c r="X104" s="240" t="n">
        <x:v>0.03729344686619873</x:v>
      </x:c>
      <x:c r="Y104" s="240" t="n">
        <x:v>0.20754960046578208</x:v>
      </x:c>
      <x:c r="Z104" s="240" t="n">
        <x:v>0.8820592073100398</x:v>
      </x:c>
      <x:c r="AA104" s="255" t="n">
        <x:v>0.7169562339774522</x:v>
      </x:c>
      <x:c r="AB104" s="255" t="n">
        <x:v>0.1342365845935446</x:v>
      </x:c>
    </x:row>
    <x:row r="105" ht="24" customHeight="1">
      <x:c r="A105" s="136"/>
      <x:c r="B105" s="136"/>
      <x:c r="C105" s="136" t="n">
        <x:f>74</x:f>
        <x:v>74</x:v>
      </x:c>
      <x:c r="D105" s="162" t="n">
        <x:f>IF(X105&lt;($E$12-$D$12)/($F$12-$D$12),$D$12+SQRT(X105*($F$12-$D$12)*($E$12-$D$12)),$F$12-SQRT((1-X105)*($F$12-$D$12)*($F$12-$E$12)))</x:f>
        <x:v>0.15174310082293183</x:v>
      </x:c>
      <x:c r="E105" s="162" t="n">
        <x:f>IF(Y105&lt;($E$13-$D$13)/($F$13-$D$13),$D$13+SQRT(Y105*($F$13-$D$13)*($E$13-$D$13)),$F$13-SQRT((1-Y105)*($F$13-$D$13)*($F$13-$E$13)))</x:f>
        <x:v>-0.02080013219832688</x:v>
      </x:c>
      <x:c r="F105" s="222" t="n">
        <x:f>IF(Z105&lt;($E$14-$D$14)/($F$14-$D$14),$D$14+SQRT(Z105*($F$14-$D$14)*($E$14-$D$14)),$F$14-SQRT((1-Z105)*($F$14-$D$14)*($F$14-$E$14)))</x:f>
        <x:v>1.07301349155931</x:v>
      </x:c>
      <x:c r="G105" s="162" t="n">
        <x:f>IF(AA105&lt;($E$15-$D$15)/($F$15-$D$15),$D$15+SQRT(AA105*($F$15-$D$15)*($E$15-$D$15)),$F$15-SQRT((1-AA105)*($F$15-$D$15)*($F$15-$E$15)))</x:f>
        <x:v>0.10018017222846916</x:v>
      </x:c>
      <x:c r="H105" s="162" t="n">
        <x:f>IF(AB105&lt;($E$16-$D$16)/($F$16-$D$16),$D$16+SQRT(AB105*($F$16-$D$16)*($E$16-$D$16)),$F$16-SQRT((1-AB105)*($F$16-$D$16)*($F$16-$E$16)))</x:f>
        <x:v>0.02632658871543903</x:v>
      </x:c>
      <x:c r="I105" s="164" t="n">
        <x:f>'Historical Inputs'!$N$9*(1+D105)^5</x:f>
        <x:v>672520.4936032896</x:v>
      </x:c>
      <x:c r="J105" s="164" t="n">
        <x:f>I105*(1+H105)*('Terminal Value'!$E$10+E105)*(1-'Assumptions'!$E$15)*(1-H105/'Terminal Value'!$E$12)</x:f>
        <x:v>181824.58566334998</x:v>
      </x:c>
      <x:c r="K105" s="145" t="n">
        <x:f>((SUM((('Historical Inputs'!$N$9*(1+(D105))^1)*(('Assumptions'!E37+(E105))*(1-'Assumptions'!E42-(0))+'Assumptions'!E47-'Assumptions'!E52*(F105)+'Assumptions'!E57-'Assumptions'!E62*(1)-'Assumptions'!E67-(0))+('Working Capital'!$E$6))*'DCF'!E12/(1+(G105))^'DCF'!E13,(('Historical Inputs'!$N$9*(1+(D105))^2)*(('Assumptions'!F37+(E105))*(1-'Assumptions'!F42-(0))+'Assumptions'!F47-'Assumptions'!F52*(F105)+'Assumptions'!F57-'Assumptions'!F62*(1)-'Assumptions'!F67-(0))+(('Historical Inputs'!$N$9*(1+(D105))^1)*('Assumptions'!E67+(0))))*'DCF'!F12/(1+(G105))^'DCF'!F13,(('Historical Inputs'!$N$9*(1+(D105))^3)*(('Assumptions'!G37+(E105))*(1-'Assumptions'!G42-(0))+'Assumptions'!G47-'Assumptions'!G52*(F105)+'Assumptions'!G57-'Assumptions'!G62*(1)-'Assumptions'!G67-(0))+(('Historical Inputs'!$N$9*(1+(D105))^2)*('Assumptions'!F67+(0))))*'DCF'!G12/(1+(G105))^'DCF'!G13,(('Historical Inputs'!$N$9*(1+(D105))^4)*(('Assumptions'!H37+(E105))*(1-'Assumptions'!H42-(0))+'Assumptions'!H47-'Assumptions'!H52*(F105)+'Assumptions'!H57-'Assumptions'!H62*(1)-'Assumptions'!H67-(0))+(('Historical Inputs'!$N$9*(1+(D105))^3)*('Assumptions'!G67+(0))))*'DCF'!H12/(1+(G105))^'DCF'!H13,(('Historical Inputs'!$N$9*(1+(D105))^5)*(('Assumptions'!I37+(E105))*(1-'Assumptions'!I42-(0))+'Assumptions'!I47-'Assumptions'!I52*(F105)+'Assumptions'!I57-'Assumptions'!I62*(1)-'Assumptions'!I67-(0))+(('Historical Inputs'!$N$9*(1+(D105))^4)*('Assumptions'!H67+(0))))*'DCF'!I12/(1+(G105))^'DCF'!I13)+('Historical Inputs'!$N$9*(1+(D105))^5)*(1+(H105))*('Terminal Value'!$E$10+(E105))*(1-'Assumptions'!$E$15-(0))*(1-(H105)/('Terminal Value'!$E$12))/((G105)-(H105))/(1+(G105))^'DCF'!$E$19)+'Equity Bridge'!$E$17)/'Equity Bridge'!$E$20</x:f>
        <x:v>258.31011189809055</x:v>
      </x:c>
      <x:c r="L105" s="136"/>
      <x:c r="M105" s="136"/>
      <x:c r="N105" s="136"/>
      <x:c r="O105" s="136"/>
      <x:c r="P105" s="136"/>
      <x:c r="Q105" s="136"/>
      <x:c r="R105" s="136"/>
      <x:c r="S105" s="136"/>
      <x:c r="T105" s="136"/>
      <x:c r="U105" s="136"/>
      <x:c r="V105" s="136"/>
      <x:c r="W105" s="136"/>
      <x:c r="X105" s="240" t="n">
        <x:v>0.6553188725892505</x:v>
      </x:c>
      <x:c r="Y105" s="240" t="n">
        <x:v>0.1705264559270373</x:v>
      </x:c>
      <x:c r="Z105" s="240" t="n">
        <x:v>0.7696346667720365</x:v>
      </x:c>
      <x:c r="AA105" s="255" t="n">
        <x:v>0.6267406491104102</x:v>
      </x:c>
      <x:c r="AB105" s="255" t="n">
        <x:v>0.20012862387160235</x:v>
      </x:c>
    </x:row>
    <x:row r="106" ht="24" customHeight="1">
      <x:c r="A106" s="136"/>
      <x:c r="B106" s="136"/>
      <x:c r="C106" s="136" t="n">
        <x:f>75</x:f>
        <x:v>75</x:v>
      </x:c>
      <x:c r="D106" s="162" t="n">
        <x:f>IF(X106&lt;($E$12-$D$12)/($F$12-$D$12),$D$12+SQRT(X106*($F$12-$D$12)*($E$12-$D$12)),$F$12-SQRT((1-X106)*($F$12-$D$12)*($F$12-$E$12)))</x:f>
        <x:v>0.13227532585609109</x:v>
      </x:c>
      <x:c r="E106" s="162" t="n">
        <x:f>IF(Y106&lt;($E$13-$D$13)/($F$13-$D$13),$D$13+SQRT(Y106*($F$13-$D$13)*($E$13-$D$13)),$F$13-SQRT((1-Y106)*($F$13-$D$13)*($F$13-$E$13)))</x:f>
        <x:v>0.017907122643192497</x:v>
      </x:c>
      <x:c r="F106" s="222" t="n">
        <x:f>IF(Z106&lt;($E$14-$D$14)/($F$14-$D$14),$D$14+SQRT(Z106*($F$14-$D$14)*($E$14-$D$14)),$F$14-SQRT((1-Z106)*($F$14-$D$14)*($F$14-$E$14)))</x:f>
        <x:v>0.989072811503908</x:v>
      </x:c>
      <x:c r="G106" s="162" t="n">
        <x:f>IF(AA106&lt;($E$15-$D$15)/($F$15-$D$15),$D$15+SQRT(AA106*($F$15-$D$15)*($E$15-$D$15)),$F$15-SQRT((1-AA106)*($F$15-$D$15)*($F$15-$E$15)))</x:f>
        <x:v>0.09264887374893961</x:v>
      </x:c>
      <x:c r="H106" s="162" t="n">
        <x:f>IF(AB106&lt;($E$16-$D$16)/($F$16-$D$16),$D$16+SQRT(AB106*($F$16-$D$16)*($E$16-$D$16)),$F$16-SQRT((1-AB106)*($F$16-$D$16)*($F$16-$E$16)))</x:f>
        <x:v>0.025729489705130695</x:v>
      </x:c>
      <x:c r="I106" s="164" t="n">
        <x:f>'Historical Inputs'!$N$9*(1+D106)^5</x:f>
        <x:v>617572.0650202427</x:v>
      </x:c>
      <x:c r="J106" s="164" t="n">
        <x:f>I106*(1+H106)*('Terminal Value'!$E$10+E106)*(1-'Assumptions'!$E$15)*(1-H106/'Terminal Value'!$E$12)</x:f>
        <x:v>184537.29576463957</x:v>
      </x:c>
      <x:c r="K106" s="145" t="n">
        <x:f>((SUM((('Historical Inputs'!$N$9*(1+(D106))^1)*(('Assumptions'!E37+(E106))*(1-'Assumptions'!E42-(0))+'Assumptions'!E47-'Assumptions'!E52*(F106)+'Assumptions'!E57-'Assumptions'!E62*(1)-'Assumptions'!E67-(0))+('Working Capital'!$E$6))*'DCF'!E12/(1+(G106))^'DCF'!E13,(('Historical Inputs'!$N$9*(1+(D106))^2)*(('Assumptions'!F37+(E106))*(1-'Assumptions'!F42-(0))+'Assumptions'!F47-'Assumptions'!F52*(F106)+'Assumptions'!F57-'Assumptions'!F62*(1)-'Assumptions'!F67-(0))+(('Historical Inputs'!$N$9*(1+(D106))^1)*('Assumptions'!E67+(0))))*'DCF'!F12/(1+(G106))^'DCF'!F13,(('Historical Inputs'!$N$9*(1+(D106))^3)*(('Assumptions'!G37+(E106))*(1-'Assumptions'!G42-(0))+'Assumptions'!G47-'Assumptions'!G52*(F106)+'Assumptions'!G57-'Assumptions'!G62*(1)-'Assumptions'!G67-(0))+(('Historical Inputs'!$N$9*(1+(D106))^2)*('Assumptions'!F67+(0))))*'DCF'!G12/(1+(G106))^'DCF'!G13,(('Historical Inputs'!$N$9*(1+(D106))^4)*(('Assumptions'!H37+(E106))*(1-'Assumptions'!H42-(0))+'Assumptions'!H47-'Assumptions'!H52*(F106)+'Assumptions'!H57-'Assumptions'!H62*(1)-'Assumptions'!H67-(0))+(('Historical Inputs'!$N$9*(1+(D106))^3)*('Assumptions'!G67+(0))))*'DCF'!H12/(1+(G106))^'DCF'!H13,(('Historical Inputs'!$N$9*(1+(D106))^5)*(('Assumptions'!I37+(E106))*(1-'Assumptions'!I42-(0))+'Assumptions'!I47-'Assumptions'!I52*(F106)+'Assumptions'!I57-'Assumptions'!I62*(1)-'Assumptions'!I67-(0))+(('Historical Inputs'!$N$9*(1+(D106))^4)*('Assumptions'!H67+(0))))*'DCF'!I12/(1+(G106))^'DCF'!I13)+('Historical Inputs'!$N$9*(1+(D106))^5)*(1+(H106))*('Terminal Value'!$E$10+(E106))*(1-'Assumptions'!$E$15-(0))*(1-(H106)/('Terminal Value'!$E$12))/((G106)-(H106))/(1+(G106))^'DCF'!$E$19)+'Equity Bridge'!$E$17)/'Equity Bridge'!$E$20</x:f>
        <x:v>302.3639314319676</x:v>
      </x:c>
      <x:c r="L106" s="136"/>
      <x:c r="M106" s="136"/>
      <x:c r="N106" s="136"/>
      <x:c r="O106" s="136"/>
      <x:c r="P106" s="136"/>
      <x:c r="Q106" s="136"/>
      <x:c r="R106" s="136"/>
      <x:c r="S106" s="136"/>
      <x:c r="T106" s="136"/>
      <x:c r="U106" s="136"/>
      <x:c r="V106" s="136"/>
      <x:c r="W106" s="136"/>
      <x:c r="X106" s="240" t="n">
        <x:v>0.30448560987602924</x:v>
      </x:c>
      <x:c r="Y106" s="240" t="n">
        <x:v>0.7940094445921825</x:v>
      </x:c>
      <x:c r="Z106" s="240" t="n">
        <x:v>0.3684047028495534</x:v>
      </x:c>
      <x:c r="AA106" s="255" t="n">
        <x:v>0.20091479339145968</x:v>
      </x:c>
      <x:c r="AB106" s="255" t="n">
        <x:v>0.16413526140599322</x:v>
      </x:c>
    </x:row>
    <x:row r="107" ht="24" customHeight="1">
      <x:c r="A107" s="136"/>
      <x:c r="B107" s="136"/>
      <x:c r="C107" s="136" t="n">
        <x:f>76</x:f>
        <x:v>76</x:v>
      </x:c>
      <x:c r="D107" s="162" t="n">
        <x:f>IF(X107&lt;($E$12-$D$12)/($F$12-$D$12),$D$12+SQRT(X107*($F$12-$D$12)*($E$12-$D$12)),$F$12-SQRT((1-X107)*($F$12-$D$12)*($F$12-$E$12)))</x:f>
        <x:v>0.17208117575015414</x:v>
      </x:c>
      <x:c r="E107" s="162" t="n">
        <x:f>IF(Y107&lt;($E$13-$D$13)/($F$13-$D$13),$D$13+SQRT(Y107*($F$13-$D$13)*($E$13-$D$13)),$F$13-SQRT((1-Y107)*($F$13-$D$13)*($F$13-$E$13)))</x:f>
        <x:v>0.01452531726818275</x:v>
      </x:c>
      <x:c r="F107" s="222" t="n">
        <x:f>IF(Z107&lt;($E$14-$D$14)/($F$14-$D$14),$D$14+SQRT(Z107*($F$14-$D$14)*($E$14-$D$14)),$F$14-SQRT((1-Z107)*($F$14-$D$14)*($F$14-$E$14)))</x:f>
        <x:v>1.0189915203801343</x:v>
      </x:c>
      <x:c r="G107" s="162" t="n">
        <x:f>IF(AA107&lt;($E$15-$D$15)/($F$15-$D$15),$D$15+SQRT(AA107*($F$15-$D$15)*($E$15-$D$15)),$F$15-SQRT((1-AA107)*($F$15-$D$15)*($F$15-$E$15)))</x:f>
        <x:v>0.10499687088622663</x:v>
      </x:c>
      <x:c r="H107" s="162" t="n">
        <x:f>IF(AB107&lt;($E$16-$D$16)/($F$16-$D$16),$D$16+SQRT(AB107*($F$16-$D$16)*($E$16-$D$16)),$F$16-SQRT((1-AB107)*($F$16-$D$16)*($F$16-$E$16)))</x:f>
        <x:v>0.0328607454294369</x:v>
      </x:c>
      <x:c r="I107" s="164" t="n">
        <x:f>'Historical Inputs'!$N$9*(1+D107)^5</x:f>
        <x:v>734033.5002531015</x:v>
      </x:c>
      <x:c r="J107" s="164" t="n">
        <x:f>I107*(1+H107)*('Terminal Value'!$E$10+E107)*(1-'Assumptions'!$E$15)*(1-H107/'Terminal Value'!$E$12)</x:f>
        <x:v>210110.2142690441</x:v>
      </x:c>
      <x:c r="K107" s="145" t="n">
        <x:f>((SUM((('Historical Inputs'!$N$9*(1+(D107))^1)*(('Assumptions'!E37+(E107))*(1-'Assumptions'!E42-(0))+'Assumptions'!E47-'Assumptions'!E52*(F107)+'Assumptions'!E57-'Assumptions'!E62*(1)-'Assumptions'!E67-(0))+('Working Capital'!$E$6))*'DCF'!E12/(1+(G107))^'DCF'!E13,(('Historical Inputs'!$N$9*(1+(D107))^2)*(('Assumptions'!F37+(E107))*(1-'Assumptions'!F42-(0))+'Assumptions'!F47-'Assumptions'!F52*(F107)+'Assumptions'!F57-'Assumptions'!F62*(1)-'Assumptions'!F67-(0))+(('Historical Inputs'!$N$9*(1+(D107))^1)*('Assumptions'!E67+(0))))*'DCF'!F12/(1+(G107))^'DCF'!F13,(('Historical Inputs'!$N$9*(1+(D107))^3)*(('Assumptions'!G37+(E107))*(1-'Assumptions'!G42-(0))+'Assumptions'!G47-'Assumptions'!G52*(F107)+'Assumptions'!G57-'Assumptions'!G62*(1)-'Assumptions'!G67-(0))+(('Historical Inputs'!$N$9*(1+(D107))^2)*('Assumptions'!F67+(0))))*'DCF'!G12/(1+(G107))^'DCF'!G13,(('Historical Inputs'!$N$9*(1+(D107))^4)*(('Assumptions'!H37+(E107))*(1-'Assumptions'!H42-(0))+'Assumptions'!H47-'Assumptions'!H52*(F107)+'Assumptions'!H57-'Assumptions'!H62*(1)-'Assumptions'!H67-(0))+(('Historical Inputs'!$N$9*(1+(D107))^3)*('Assumptions'!G67+(0))))*'DCF'!H12/(1+(G107))^'DCF'!H13,(('Historical Inputs'!$N$9*(1+(D107))^5)*(('Assumptions'!I37+(E107))*(1-'Assumptions'!I42-(0))+'Assumptions'!I47-'Assumptions'!I52*(F107)+'Assumptions'!I57-'Assumptions'!I62*(1)-'Assumptions'!I67-(0))+(('Historical Inputs'!$N$9*(1+(D107))^4)*('Assumptions'!H67+(0))))*'DCF'!I12/(1+(G107))^'DCF'!I13)+('Historical Inputs'!$N$9*(1+(D107))^5)*(1+(H107))*('Terminal Value'!$E$10+(E107))*(1-'Assumptions'!$E$15-(0))*(1-(H107)/('Terminal Value'!$E$12))/((G107)-(H107))/(1+(G107))^'DCF'!$E$19)+'Equity Bridge'!$E$17)/'Equity Bridge'!$E$20</x:f>
        <x:v>305.73950899077005</x:v>
      </x:c>
      <x:c r="L107" s="136"/>
      <x:c r="M107" s="136"/>
      <x:c r="N107" s="136"/>
      <x:c r="O107" s="136"/>
      <x:c r="P107" s="136"/>
      <x:c r="Q107" s="136"/>
      <x:c r="R107" s="136"/>
      <x:c r="S107" s="136"/>
      <x:c r="T107" s="136"/>
      <x:c r="U107" s="136"/>
      <x:c r="V107" s="136"/>
      <x:c r="W107" s="136"/>
      <x:c r="X107" s="240" t="n">
        <x:v>0.9103167085939308</x:v>
      </x:c>
      <x:c r="Y107" s="240" t="n">
        <x:v>0.7483093770153814</x:v>
      </x:c>
      <x:c r="Z107" s="240" t="n">
        <x:v>0.5319418615100664</x:v>
      </x:c>
      <x:c r="AA107" s="255" t="n">
        <x:v>0.852629852735611</x:v>
      </x:c>
      <x:c r="AB107" s="255" t="n">
        <x:v>0.7451552208834695</x:v>
      </x:c>
    </x:row>
    <x:row r="108" ht="24" customHeight="1">
      <x:c r="A108" s="136"/>
      <x:c r="B108" s="136"/>
      <x:c r="C108" s="136" t="n">
        <x:f>77</x:f>
        <x:v>77</x:v>
      </x:c>
      <x:c r="D108" s="162" t="n">
        <x:f>IF(X108&lt;($E$12-$D$12)/($F$12-$D$12),$D$12+SQRT(X108*($F$12-$D$12)*($E$12-$D$12)),$F$12-SQRT((1-X108)*($F$12-$D$12)*($F$12-$E$12)))</x:f>
        <x:v>0.1342691681723318</x:v>
      </x:c>
      <x:c r="E108" s="162" t="n">
        <x:f>IF(Y108&lt;($E$13-$D$13)/($F$13-$D$13),$D$13+SQRT(Y108*($F$13-$D$13)*($E$13-$D$13)),$F$13-SQRT((1-Y108)*($F$13-$D$13)*($F$13-$E$13)))</x:f>
        <x:v>0.006108651363106676</x:v>
      </x:c>
      <x:c r="F108" s="222" t="n">
        <x:f>IF(Z108&lt;($E$14-$D$14)/($F$14-$D$14),$D$14+SQRT(Z108*($F$14-$D$14)*($E$14-$D$14)),$F$14-SQRT((1-Z108)*($F$14-$D$14)*($F$14-$E$14)))</x:f>
        <x:v>1.0642958357223726</x:v>
      </x:c>
      <x:c r="G108" s="162" t="n">
        <x:f>IF(AA108&lt;($E$15-$D$15)/($F$15-$D$15),$D$15+SQRT(AA108*($F$15-$D$15)*($E$15-$D$15)),$F$15-SQRT((1-AA108)*($F$15-$D$15)*($F$15-$E$15)))</x:f>
        <x:v>0.0857304966953064</x:v>
      </x:c>
      <x:c r="H108" s="162" t="n">
        <x:f>IF(AB108&lt;($E$16-$D$16)/($F$16-$D$16),$D$16+SQRT(AB108*($F$16-$D$16)*($E$16-$D$16)),$F$16-SQRT((1-AB108)*($F$16-$D$16)*($F$16-$E$16)))</x:f>
        <x:v>0.033899389495198745</x:v>
      </x:c>
      <x:c r="I108" s="164" t="n">
        <x:f>'Historical Inputs'!$N$9*(1+D108)^5</x:f>
        <x:v>623028.7128422717</x:v>
      </x:c>
      <x:c r="J108" s="164" t="n">
        <x:f>I108*(1+H108)*('Terminal Value'!$E$10+E108)*(1-'Assumptions'!$E$15)*(1-H108/'Terminal Value'!$E$12)</x:f>
        <x:v>173804.01401549086</x:v>
      </x:c>
      <x:c r="K108" s="145" t="n">
        <x:f>((SUM((('Historical Inputs'!$N$9*(1+(D108))^1)*(('Assumptions'!E37+(E108))*(1-'Assumptions'!E42-(0))+'Assumptions'!E47-'Assumptions'!E52*(F108)+'Assumptions'!E57-'Assumptions'!E62*(1)-'Assumptions'!E67-(0))+('Working Capital'!$E$6))*'DCF'!E12/(1+(G108))^'DCF'!E13,(('Historical Inputs'!$N$9*(1+(D108))^2)*(('Assumptions'!F37+(E108))*(1-'Assumptions'!F42-(0))+'Assumptions'!F47-'Assumptions'!F52*(F108)+'Assumptions'!F57-'Assumptions'!F62*(1)-'Assumptions'!F67-(0))+(('Historical Inputs'!$N$9*(1+(D108))^1)*('Assumptions'!E67+(0))))*'DCF'!F12/(1+(G108))^'DCF'!F13,(('Historical Inputs'!$N$9*(1+(D108))^3)*(('Assumptions'!G37+(E108))*(1-'Assumptions'!G42-(0))+'Assumptions'!G47-'Assumptions'!G52*(F108)+'Assumptions'!G57-'Assumptions'!G62*(1)-'Assumptions'!G67-(0))+(('Historical Inputs'!$N$9*(1+(D108))^2)*('Assumptions'!F67+(0))))*'DCF'!G12/(1+(G108))^'DCF'!G13,(('Historical Inputs'!$N$9*(1+(D108))^4)*(('Assumptions'!H37+(E108))*(1-'Assumptions'!H42-(0))+'Assumptions'!H47-'Assumptions'!H52*(F108)+'Assumptions'!H57-'Assumptions'!H62*(1)-'Assumptions'!H67-(0))+(('Historical Inputs'!$N$9*(1+(D108))^3)*('Assumptions'!G67+(0))))*'DCF'!H12/(1+(G108))^'DCF'!H13,(('Historical Inputs'!$N$9*(1+(D108))^5)*(('Assumptions'!I37+(E108))*(1-'Assumptions'!I42-(0))+'Assumptions'!I47-'Assumptions'!I52*(F108)+'Assumptions'!I57-'Assumptions'!I62*(1)-'Assumptions'!I67-(0))+(('Historical Inputs'!$N$9*(1+(D108))^4)*('Assumptions'!H67+(0))))*'DCF'!I12/(1+(G108))^'DCF'!I13)+('Historical Inputs'!$N$9*(1+(D108))^5)*(1+(H108))*('Terminal Value'!$E$10+(E108))*(1-'Assumptions'!$E$15-(0))*(1-(H108)/('Terminal Value'!$E$12))/((G108)-(H108))/(1+(G108))^'DCF'!$E$19)+'Equity Bridge'!$E$17)/'Equity Bridge'!$E$20</x:f>
        <x:v>358.22988089275265</x:v>
      </x:c>
      <x:c r="L108" s="136"/>
      <x:c r="M108" s="136"/>
      <x:c r="N108" s="136"/>
      <x:c r="O108" s="136"/>
      <x:c r="P108" s="136"/>
      <x:c r="Q108" s="136"/>
      <x:c r="R108" s="136"/>
      <x:c r="S108" s="136"/>
      <x:c r="T108" s="136"/>
      <x:c r="U108" s="136"/>
      <x:c r="V108" s="136"/>
      <x:c r="W108" s="136"/>
      <x:c r="X108" s="240" t="n">
        <x:v>0.3363992295856463</x:v>
      </x:c>
      <x:c r="Y108" s="240" t="n">
        <x:v>0.6147099029669365</x:v>
      </x:c>
      <x:c r="Z108" s="240" t="n">
        <x:v>0.7369197113958673</x:v>
      </x:c>
      <x:c r="AA108" s="255" t="n">
        <x:v>0.014908355489783753</x:v>
      </x:c>
      <x:c r="AB108" s="255" t="n">
        <x:v>0.8139127573435427</x:v>
      </x:c>
    </x:row>
    <x:row r="109" ht="24" customHeight="1">
      <x:c r="A109" s="136"/>
      <x:c r="B109" s="136"/>
      <x:c r="C109" s="136" t="n">
        <x:f>78</x:f>
        <x:v>78</x:v>
      </x:c>
      <x:c r="D109" s="162" t="n">
        <x:f>IF(X109&lt;($E$12-$D$12)/($F$12-$D$12),$D$12+SQRT(X109*($F$12-$D$12)*($E$12-$D$12)),$F$12-SQRT((1-X109)*($F$12-$D$12)*($F$12-$E$12)))</x:f>
        <x:v>0.17093015693950855</x:v>
      </x:c>
      <x:c r="E109" s="162" t="n">
        <x:f>IF(Y109&lt;($E$13-$D$13)/($F$13-$D$13),$D$13+SQRT(Y109*($F$13-$D$13)*($E$13-$D$13)),$F$13-SQRT((1-Y109)*($F$13-$D$13)*($F$13-$E$13)))</x:f>
        <x:v>0.01473103048430821</x:v>
      </x:c>
      <x:c r="F109" s="222" t="n">
        <x:f>IF(Z109&lt;($E$14-$D$14)/($F$14-$D$14),$D$14+SQRT(Z109*($F$14-$D$14)*($E$14-$D$14)),$F$14-SQRT((1-Z109)*($F$14-$D$14)*($F$14-$E$14)))</x:f>
        <x:v>1.0727690416653668</x:v>
      </x:c>
      <x:c r="G109" s="162" t="n">
        <x:f>IF(AA109&lt;($E$15-$D$15)/($F$15-$D$15),$D$15+SQRT(AA109*($F$15-$D$15)*($E$15-$D$15)),$F$15-SQRT((1-AA109)*($F$15-$D$15)*($F$15-$E$15)))</x:f>
        <x:v>0.09891186236059295</x:v>
      </x:c>
      <x:c r="H109" s="162" t="n">
        <x:f>IF(AB109&lt;($E$16-$D$16)/($F$16-$D$16),$D$16+SQRT(AB109*($F$16-$D$16)*($E$16-$D$16)),$F$16-SQRT((1-AB109)*($F$16-$D$16)*($F$16-$E$16)))</x:f>
        <x:v>0.03535778422885811</x:v>
      </x:c>
      <x:c r="I109" s="164" t="n">
        <x:f>'Historical Inputs'!$N$9*(1+D109)^5</x:f>
        <x:v>730436.3578143012</x:v>
      </x:c>
      <x:c r="J109" s="164" t="n">
        <x:f>I109*(1+H109)*('Terminal Value'!$E$10+E109)*(1-'Assumptions'!$E$15)*(1-H109/'Terminal Value'!$E$12)</x:f>
        <x:v>206557.3055138938</x:v>
      </x:c>
      <x:c r="K109" s="145" t="n">
        <x:f>((SUM((('Historical Inputs'!$N$9*(1+(D109))^1)*(('Assumptions'!E37+(E109))*(1-'Assumptions'!E42-(0))+'Assumptions'!E47-'Assumptions'!E52*(F109)+'Assumptions'!E57-'Assumptions'!E62*(1)-'Assumptions'!E67-(0))+('Working Capital'!$E$6))*'DCF'!E12/(1+(G109))^'DCF'!E13,(('Historical Inputs'!$N$9*(1+(D109))^2)*(('Assumptions'!F37+(E109))*(1-'Assumptions'!F42-(0))+'Assumptions'!F47-'Assumptions'!F52*(F109)+'Assumptions'!F57-'Assumptions'!F62*(1)-'Assumptions'!F67-(0))+(('Historical Inputs'!$N$9*(1+(D109))^1)*('Assumptions'!E67+(0))))*'DCF'!F12/(1+(G109))^'DCF'!F13,(('Historical Inputs'!$N$9*(1+(D109))^3)*(('Assumptions'!G37+(E109))*(1-'Assumptions'!G42-(0))+'Assumptions'!G47-'Assumptions'!G52*(F109)+'Assumptions'!G57-'Assumptions'!G62*(1)-'Assumptions'!G67-(0))+(('Historical Inputs'!$N$9*(1+(D109))^2)*('Assumptions'!F67+(0))))*'DCF'!G12/(1+(G109))^'DCF'!G13,(('Historical Inputs'!$N$9*(1+(D109))^4)*(('Assumptions'!H37+(E109))*(1-'Assumptions'!H42-(0))+'Assumptions'!H47-'Assumptions'!H52*(F109)+'Assumptions'!H57-'Assumptions'!H62*(1)-'Assumptions'!H67-(0))+(('Historical Inputs'!$N$9*(1+(D109))^3)*('Assumptions'!G67+(0))))*'DCF'!H12/(1+(G109))^'DCF'!H13,(('Historical Inputs'!$N$9*(1+(D109))^5)*(('Assumptions'!I37+(E109))*(1-'Assumptions'!I42-(0))+'Assumptions'!I47-'Assumptions'!I52*(F109)+'Assumptions'!I57-'Assumptions'!I62*(1)-'Assumptions'!I67-(0))+(('Historical Inputs'!$N$9*(1+(D109))^4)*('Assumptions'!H67+(0))))*'DCF'!I12/(1+(G109))^'DCF'!I13)+('Historical Inputs'!$N$9*(1+(D109))^5)*(1+(H109))*('Terminal Value'!$E$10+(E109))*(1-'Assumptions'!$E$15-(0))*(1-(H109)/('Terminal Value'!$E$12))/((G109)-(H109))/(1+(G109))^'DCF'!$E$19)+'Equity Bridge'!$E$17)/'Equity Bridge'!$E$20</x:f>
        <x:v>338.34304952427715</x:v>
      </x:c>
      <x:c r="L109" s="136"/>
      <x:c r="M109" s="136"/>
      <x:c r="N109" s="136"/>
      <x:c r="O109" s="136"/>
      <x:c r="P109" s="136"/>
      <x:c r="Q109" s="136"/>
      <x:c r="R109" s="136"/>
      <x:c r="S109" s="136"/>
      <x:c r="T109" s="136"/>
      <x:c r="U109" s="136"/>
      <x:c r="V109" s="136"/>
      <x:c r="W109" s="136"/>
      <x:c r="X109" s="240" t="n">
        <x:v>0.9003022208675587</x:v>
      </x:c>
      <x:c r="Y109" s="240" t="n">
        <x:v>0.7512199578602407</x:v>
      </x:c>
      <x:c r="Z109" s="240" t="n">
        <x:v>0.7687469034464408</x:v>
      </x:c>
      <x:c r="AA109" s="255" t="n">
        <x:v>0.550110201179132</x:v>
      </x:c>
      <x:c r="AB109" s="255" t="n">
        <x:v>0.8922491636708074</x:v>
      </x:c>
    </x:row>
    <x:row r="110" ht="24" customHeight="1">
      <x:c r="A110" s="136"/>
      <x:c r="B110" s="136"/>
      <x:c r="C110" s="136" t="n">
        <x:f>79</x:f>
        <x:v>79</x:v>
      </x:c>
      <x:c r="D110" s="162" t="n">
        <x:f>IF(X110&lt;($E$12-$D$12)/($F$12-$D$12),$D$12+SQRT(X110*($F$12-$D$12)*($E$12-$D$12)),$F$12-SQRT((1-X110)*($F$12-$D$12)*($F$12-$E$12)))</x:f>
        <x:v>0.12764742992624295</x:v>
      </x:c>
      <x:c r="E110" s="162" t="n">
        <x:f>IF(Y110&lt;($E$13-$D$13)/($F$13-$D$13),$D$13+SQRT(Y110*($F$13-$D$13)*($E$13-$D$13)),$F$13-SQRT((1-Y110)*($F$13-$D$13)*($F$13-$E$13)))</x:f>
        <x:v>-0.005690448442810532</x:v>
      </x:c>
      <x:c r="F110" s="222" t="n">
        <x:f>IF(Z110&lt;($E$14-$D$14)/($F$14-$D$14),$D$14+SQRT(Z110*($F$14-$D$14)*($E$14-$D$14)),$F$14-SQRT((1-Z110)*($F$14-$D$14)*($F$14-$E$14)))</x:f>
        <x:v>0.8803244888453651</x:v>
      </x:c>
      <x:c r="G110" s="162" t="n">
        <x:f>IF(AA110&lt;($E$15-$D$15)/($F$15-$D$15),$D$15+SQRT(AA110*($F$15-$D$15)*($E$15-$D$15)),$F$15-SQRT((1-AA110)*($F$15-$D$15)*($F$15-$E$15)))</x:f>
        <x:v>0.09343177943321701</x:v>
      </x:c>
      <x:c r="H110" s="162" t="n">
        <x:f>IF(AB110&lt;($E$16-$D$16)/($F$16-$D$16),$D$16+SQRT(AB110*($F$16-$D$16)*($E$16-$D$16)),$F$16-SQRT((1-AB110)*($F$16-$D$16)*($F$16-$E$16)))</x:f>
        <x:v>0.027411533543158898</x:v>
      </x:c>
      <x:c r="I110" s="164" t="n">
        <x:f>'Historical Inputs'!$N$9*(1+D110)^5</x:f>
        <x:v>605053.9466161808</x:v>
      </x:c>
      <x:c r="J110" s="164" t="n">
        <x:f>I110*(1+H110)*('Terminal Value'!$E$10+E110)*(1-'Assumptions'!$E$15)*(1-H110/'Terminal Value'!$E$12)</x:f>
        <x:v>169218.40347207282</x:v>
      </x:c>
      <x:c r="K110" s="145" t="n">
        <x:f>((SUM((('Historical Inputs'!$N$9*(1+(D110))^1)*(('Assumptions'!E37+(E110))*(1-'Assumptions'!E42-(0))+'Assumptions'!E47-'Assumptions'!E52*(F110)+'Assumptions'!E57-'Assumptions'!E62*(1)-'Assumptions'!E67-(0))+('Working Capital'!$E$6))*'DCF'!E12/(1+(G110))^'DCF'!E13,(('Historical Inputs'!$N$9*(1+(D110))^2)*(('Assumptions'!F37+(E110))*(1-'Assumptions'!F42-(0))+'Assumptions'!F47-'Assumptions'!F52*(F110)+'Assumptions'!F57-'Assumptions'!F62*(1)-'Assumptions'!F67-(0))+(('Historical Inputs'!$N$9*(1+(D110))^1)*('Assumptions'!E67+(0))))*'DCF'!F12/(1+(G110))^'DCF'!F13,(('Historical Inputs'!$N$9*(1+(D110))^3)*(('Assumptions'!G37+(E110))*(1-'Assumptions'!G42-(0))+'Assumptions'!G47-'Assumptions'!G52*(F110)+'Assumptions'!G57-'Assumptions'!G62*(1)-'Assumptions'!G67-(0))+(('Historical Inputs'!$N$9*(1+(D110))^2)*('Assumptions'!F67+(0))))*'DCF'!G12/(1+(G110))^'DCF'!G13,(('Historical Inputs'!$N$9*(1+(D110))^4)*(('Assumptions'!H37+(E110))*(1-'Assumptions'!H42-(0))+'Assumptions'!H47-'Assumptions'!H52*(F110)+'Assumptions'!H57-'Assumptions'!H62*(1)-'Assumptions'!H67-(0))+(('Historical Inputs'!$N$9*(1+(D110))^3)*('Assumptions'!G67+(0))))*'DCF'!H12/(1+(G110))^'DCF'!H13,(('Historical Inputs'!$N$9*(1+(D110))^5)*(('Assumptions'!I37+(E110))*(1-'Assumptions'!I42-(0))+'Assumptions'!I47-'Assumptions'!I52*(F110)+'Assumptions'!I57-'Assumptions'!I62*(1)-'Assumptions'!I67-(0))+(('Historical Inputs'!$N$9*(1+(D110))^4)*('Assumptions'!H67+(0))))*'DCF'!I12/(1+(G110))^'DCF'!I13)+('Historical Inputs'!$N$9*(1+(D110))^5)*(1+(H110))*('Terminal Value'!$E$10+(E110))*(1-'Assumptions'!$E$15-(0))*(1-(H110)/('Terminal Value'!$E$12))/((G110)-(H110))/(1+(G110))^'DCF'!$E$19)+'Equity Bridge'!$E$17)/'Equity Bridge'!$E$20</x:f>
        <x:v>285.4614374797358</x:v>
      </x:c>
      <x:c r="L110" s="136"/>
      <x:c r="M110" s="136"/>
      <x:c r="N110" s="136"/>
      <x:c r="O110" s="136"/>
      <x:c r="P110" s="136"/>
      <x:c r="Q110" s="136"/>
      <x:c r="R110" s="136"/>
      <x:c r="S110" s="136"/>
      <x:c r="T110" s="136"/>
      <x:c r="U110" s="136"/>
      <x:c r="V110" s="136"/>
      <x:c r="W110" s="136"/>
      <x:c r="X110" s="240" t="n">
        <x:v>0.2365400338594621</x:v>
      </x:c>
      <x:c r="Y110" s="240" t="n">
        <x:v>0.3926672718398463</x:v>
      </x:c>
      <x:c r="Z110" s="240" t="n">
        <x:v>0.017515707118717527</x:v>
      </x:c>
      <x:c r="AA110" s="255" t="n">
        <x:v>0.23536249492174555</x:v>
      </x:c>
      <x:c r="AB110" s="255" t="n">
        <x:v>0.27465414730684756</x:v>
      </x:c>
    </x:row>
    <x:row r="111" ht="24" customHeight="1">
      <x:c r="A111" s="136"/>
      <x:c r="B111" s="136"/>
      <x:c r="C111" s="136" t="n">
        <x:f>80</x:f>
        <x:v>80</x:v>
      </x:c>
      <x:c r="D111" s="162" t="n">
        <x:f>IF(X111&lt;($E$12-$D$12)/($F$12-$D$12),$D$12+SQRT(X111*($F$12-$D$12)*($E$12-$D$12)),$F$12-SQRT((1-X111)*($F$12-$D$12)*($F$12-$E$12)))</x:f>
        <x:v>0.13414360675175668</x:v>
      </x:c>
      <x:c r="E111" s="162" t="n">
        <x:f>IF(Y111&lt;($E$13-$D$13)/($F$13-$D$13),$D$13+SQRT(Y111*($F$13-$D$13)*($E$13-$D$13)),$F$13-SQRT((1-Y111)*($F$13-$D$13)*($F$13-$E$13)))</x:f>
        <x:v>0.02171711393017885</x:v>
      </x:c>
      <x:c r="F111" s="222" t="n">
        <x:f>IF(Z111&lt;($E$14-$D$14)/($F$14-$D$14),$D$14+SQRT(Z111*($F$14-$D$14)*($E$14-$D$14)),$F$14-SQRT((1-Z111)*($F$14-$D$14)*($F$14-$E$14)))</x:f>
        <x:v>1.03640623267093</x:v>
      </x:c>
      <x:c r="G111" s="162" t="n">
        <x:f>IF(AA111&lt;($E$15-$D$15)/($F$15-$D$15),$D$15+SQRT(AA111*($F$15-$D$15)*($E$15-$D$15)),$F$15-SQRT((1-AA111)*($F$15-$D$15)*($F$15-$E$15)))</x:f>
        <x:v>0.10598131056426054</x:v>
      </x:c>
      <x:c r="H111" s="162" t="n">
        <x:f>IF(AB111&lt;($E$16-$D$16)/($F$16-$D$16),$D$16+SQRT(AB111*($F$16-$D$16)*($E$16-$D$16)),$F$16-SQRT((1-AB111)*($F$16-$D$16)*($F$16-$E$16)))</x:f>
        <x:v>0.02379099736193749</x:v>
      </x:c>
      <x:c r="I111" s="164" t="n">
        <x:f>'Historical Inputs'!$N$9*(1+D111)^5</x:f>
        <x:v>622683.9487646864</x:v>
      </x:c>
      <x:c r="J111" s="164" t="n">
        <x:f>I111*(1+H111)*('Terminal Value'!$E$10+E111)*(1-'Assumptions'!$E$15)*(1-H111/'Terminal Value'!$E$12)</x:f>
        <x:v>189490.8688964507</x:v>
      </x:c>
      <x:c r="K111" s="145" t="n">
        <x:f>((SUM((('Historical Inputs'!$N$9*(1+(D111))^1)*(('Assumptions'!E37+(E111))*(1-'Assumptions'!E42-(0))+'Assumptions'!E47-'Assumptions'!E52*(F111)+'Assumptions'!E57-'Assumptions'!E62*(1)-'Assumptions'!E67-(0))+('Working Capital'!$E$6))*'DCF'!E12/(1+(G111))^'DCF'!E13,(('Historical Inputs'!$N$9*(1+(D111))^2)*(('Assumptions'!F37+(E111))*(1-'Assumptions'!F42-(0))+'Assumptions'!F47-'Assumptions'!F52*(F111)+'Assumptions'!F57-'Assumptions'!F62*(1)-'Assumptions'!F67-(0))+(('Historical Inputs'!$N$9*(1+(D111))^1)*('Assumptions'!E67+(0))))*'DCF'!F12/(1+(G111))^'DCF'!F13,(('Historical Inputs'!$N$9*(1+(D111))^3)*(('Assumptions'!G37+(E111))*(1-'Assumptions'!G42-(0))+'Assumptions'!G47-'Assumptions'!G52*(F111)+'Assumptions'!G57-'Assumptions'!G62*(1)-'Assumptions'!G67-(0))+(('Historical Inputs'!$N$9*(1+(D111))^2)*('Assumptions'!F67+(0))))*'DCF'!G12/(1+(G111))^'DCF'!G13,(('Historical Inputs'!$N$9*(1+(D111))^4)*(('Assumptions'!H37+(E111))*(1-'Assumptions'!H42-(0))+'Assumptions'!H47-'Assumptions'!H52*(F111)+'Assumptions'!H57-'Assumptions'!H62*(1)-'Assumptions'!H67-(0))+(('Historical Inputs'!$N$9*(1+(D111))^3)*('Assumptions'!G67+(0))))*'DCF'!H12/(1+(G111))^'DCF'!H13,(('Historical Inputs'!$N$9*(1+(D111))^5)*(('Assumptions'!I37+(E111))*(1-'Assumptions'!I42-(0))+'Assumptions'!I47-'Assumptions'!I52*(F111)+'Assumptions'!I57-'Assumptions'!I62*(1)-'Assumptions'!I67-(0))+(('Historical Inputs'!$N$9*(1+(D111))^4)*('Assumptions'!H67+(0))))*'DCF'!I12/(1+(G111))^'DCF'!I13)+('Historical Inputs'!$N$9*(1+(D111))^5)*(1+(H111))*('Terminal Value'!$E$10+(E111))*(1-'Assumptions'!$E$15-(0))*(1-(H111)/('Terminal Value'!$E$12))/((G111)-(H111))/(1+(G111))^'DCF'!$E$19)+'Equity Bridge'!$E$17)/'Equity Bridge'!$E$20</x:f>
        <x:v>247.30421907892278</x:v>
      </x:c>
      <x:c r="L111" s="136"/>
      <x:c r="M111" s="136"/>
      <x:c r="N111" s="136"/>
      <x:c r="O111" s="136"/>
      <x:c r="P111" s="136"/>
      <x:c r="Q111" s="136"/>
      <x:c r="R111" s="136"/>
      <x:c r="S111" s="136"/>
      <x:c r="T111" s="136"/>
      <x:c r="U111" s="136"/>
      <x:c r="V111" s="136"/>
      <x:c r="W111" s="136"/>
      <x:c r="X111" s="240" t="n">
        <x:v>0.3343425653772846</x:v>
      </x:c>
      <x:c r="Y111" s="240" t="n">
        <x:v>0.8400156711123034</x:v>
      </x:c>
      <x:c r="Z111" s="240" t="n">
        <x:v>0.6176725613011729</x:v>
      </x:c>
      <x:c r="AA111" s="255" t="n">
        <x:v>0.8861063958815972</x:v>
      </x:c>
      <x:c r="AB111" s="255" t="n">
        <x:v>0.07185830499108514</x:v>
      </x:c>
    </x:row>
    <x:row r="112" ht="24" customHeight="1">
      <x:c r="A112" s="136"/>
      <x:c r="B112" s="136"/>
      <x:c r="C112" s="136" t="n">
        <x:f>81</x:f>
        <x:v>81</x:v>
      </x:c>
      <x:c r="D112" s="162" t="n">
        <x:f>IF(X112&lt;($E$12-$D$12)/($F$12-$D$12),$D$12+SQRT(X112*($F$12-$D$12)*($E$12-$D$12)),$F$12-SQRT((1-X112)*($F$12-$D$12)*($F$12-$E$12)))</x:f>
        <x:v>0.12976786290576137</x:v>
      </x:c>
      <x:c r="E112" s="162" t="n">
        <x:f>IF(Y112&lt;($E$13-$D$13)/($F$13-$D$13),$D$13+SQRT(Y112*($F$13-$D$13)*($E$13-$D$13)),$F$13-SQRT((1-Y112)*($F$13-$D$13)*($F$13-$E$13)))</x:f>
        <x:v>0.03222989653284537</x:v>
      </x:c>
      <x:c r="F112" s="222" t="n">
        <x:f>IF(Z112&lt;($E$14-$D$14)/($F$14-$D$14),$D$14+SQRT(Z112*($F$14-$D$14)*($E$14-$D$14)),$F$14-SQRT((1-Z112)*($F$14-$D$14)*($F$14-$E$14)))</x:f>
        <x:v>0.9555257605623374</x:v>
      </x:c>
      <x:c r="G112" s="162" t="n">
        <x:f>IF(AA112&lt;($E$15-$D$15)/($F$15-$D$15),$D$15+SQRT(AA112*($F$15-$D$15)*($E$15-$D$15)),$F$15-SQRT((1-AA112)*($F$15-$D$15)*($F$15-$E$15)))</x:f>
        <x:v>0.09656555810486829</x:v>
      </x:c>
      <x:c r="H112" s="162" t="n">
        <x:f>IF(AB112&lt;($E$16-$D$16)/($F$16-$D$16),$D$16+SQRT(AB112*($F$16-$D$16)*($E$16-$D$16)),$F$16-SQRT((1-AB112)*($F$16-$D$16)*($F$16-$E$16)))</x:f>
        <x:v>0.024697244384087033</x:v>
      </x:c>
      <x:c r="I112" s="164" t="n">
        <x:f>'Historical Inputs'!$N$9*(1+D112)^5</x:f>
        <x:v>610764.1110629609</x:v>
      </x:c>
      <x:c r="J112" s="164" t="n">
        <x:f>I112*(1+H112)*('Terminal Value'!$E$10+E112)*(1-'Assumptions'!$E$15)*(1-H112/'Terminal Value'!$E$12)</x:f>
        <x:v>189684.83675091225</x:v>
      </x:c>
      <x:c r="K112" s="145" t="n">
        <x:f>((SUM((('Historical Inputs'!$N$9*(1+(D112))^1)*(('Assumptions'!E37+(E112))*(1-'Assumptions'!E42-(0))+'Assumptions'!E47-'Assumptions'!E52*(F112)+'Assumptions'!E57-'Assumptions'!E62*(1)-'Assumptions'!E67-(0))+('Working Capital'!$E$6))*'DCF'!E12/(1+(G112))^'DCF'!E13,(('Historical Inputs'!$N$9*(1+(D112))^2)*(('Assumptions'!F37+(E112))*(1-'Assumptions'!F42-(0))+'Assumptions'!F47-'Assumptions'!F52*(F112)+'Assumptions'!F57-'Assumptions'!F62*(1)-'Assumptions'!F67-(0))+(('Historical Inputs'!$N$9*(1+(D112))^1)*('Assumptions'!E67+(0))))*'DCF'!F12/(1+(G112))^'DCF'!F13,(('Historical Inputs'!$N$9*(1+(D112))^3)*(('Assumptions'!G37+(E112))*(1-'Assumptions'!G42-(0))+'Assumptions'!G47-'Assumptions'!G52*(F112)+'Assumptions'!G57-'Assumptions'!G62*(1)-'Assumptions'!G67-(0))+(('Historical Inputs'!$N$9*(1+(D112))^2)*('Assumptions'!F67+(0))))*'DCF'!G12/(1+(G112))^'DCF'!G13,(('Historical Inputs'!$N$9*(1+(D112))^4)*(('Assumptions'!H37+(E112))*(1-'Assumptions'!H42-(0))+'Assumptions'!H47-'Assumptions'!H52*(F112)+'Assumptions'!H57-'Assumptions'!H62*(1)-'Assumptions'!H67-(0))+(('Historical Inputs'!$N$9*(1+(D112))^3)*('Assumptions'!G67+(0))))*'DCF'!H12/(1+(G112))^'DCF'!H13,(('Historical Inputs'!$N$9*(1+(D112))^5)*(('Assumptions'!I37+(E112))*(1-'Assumptions'!I42-(0))+'Assumptions'!I47-'Assumptions'!I52*(F112)+'Assumptions'!I57-'Assumptions'!I62*(1)-'Assumptions'!I67-(0))+(('Historical Inputs'!$N$9*(1+(D112))^4)*('Assumptions'!H67+(0))))*'DCF'!I12/(1+(G112))^'DCF'!I13)+('Historical Inputs'!$N$9*(1+(D112))^5)*(1+(H112))*('Terminal Value'!$E$10+(E112))*(1-'Assumptions'!$E$15-(0))*(1-(H112)/('Terminal Value'!$E$12))/((G112)-(H112))/(1+(G112))^'DCF'!$E$19)+'Equity Bridge'!$E$17)/'Equity Bridge'!$E$20</x:f>
        <x:v>291.8588533760563</x:v>
      </x:c>
      <x:c r="L112" s="136"/>
      <x:c r="M112" s="136"/>
      <x:c r="N112" s="136"/>
      <x:c r="O112" s="136"/>
      <x:c r="P112" s="136"/>
      <x:c r="Q112" s="136"/>
      <x:c r="R112" s="136"/>
      <x:c r="S112" s="136"/>
      <x:c r="T112" s="136"/>
      <x:c r="U112" s="136"/>
      <x:c r="V112" s="136"/>
      <x:c r="W112" s="136"/>
      <x:c r="X112" s="240" t="n">
        <x:v>0.2666083032694804</x:v>
      </x:c>
      <x:c r="Y112" s="240" t="n">
        <x:v>0.9368446845533238</x:v>
      </x:c>
      <x:c r="Z112" s="240" t="n">
        <x:v>0.2121083074716148</x:v>
      </x:c>
      <x:c r="AA112" s="255" t="n">
        <x:v>0.4005237659717944</x:v>
      </x:c>
      <x:c r="AB112" s="255" t="n">
        <x:v>0.1103205240191859</x:v>
      </x:c>
    </x:row>
    <x:row r="113" ht="24" customHeight="1">
      <x:c r="A113" s="136"/>
      <x:c r="B113" s="136"/>
      <x:c r="C113" s="136" t="n">
        <x:f>82</x:f>
        <x:v>82</x:v>
      </x:c>
      <x:c r="D113" s="162" t="n">
        <x:f>IF(X113&lt;($E$12-$D$12)/($F$12-$D$12),$D$12+SQRT(X113*($F$12-$D$12)*($E$12-$D$12)),$F$12-SQRT((1-X113)*($F$12-$D$12)*($F$12-$E$12)))</x:f>
        <x:v>0.17212030824056665</x:v>
      </x:c>
      <x:c r="E113" s="162" t="n">
        <x:f>IF(Y113&lt;($E$13-$D$13)/($F$13-$D$13),$D$13+SQRT(Y113*($F$13-$D$13)*($E$13-$D$13)),$F$13-SQRT((1-Y113)*($F$13-$D$13)*($F$13-$E$13)))</x:f>
        <x:v>-0.013908256433453253</x:v>
      </x:c>
      <x:c r="F113" s="222" t="n">
        <x:f>IF(Z113&lt;($E$14-$D$14)/($F$14-$D$14),$D$14+SQRT(Z113*($F$14-$D$14)*($E$14-$D$14)),$F$14-SQRT((1-Z113)*($F$14-$D$14)*($F$14-$E$14)))</x:f>
        <x:v>1.0089740046006446</x:v>
      </x:c>
      <x:c r="G113" s="162" t="n">
        <x:f>IF(AA113&lt;($E$15-$D$15)/($F$15-$D$15),$D$15+SQRT(AA113*($F$15-$D$15)*($E$15-$D$15)),$F$15-SQRT((1-AA113)*($F$15-$D$15)*($F$15-$E$15)))</x:f>
        <x:v>0.09898937234504027</x:v>
      </x:c>
      <x:c r="H113" s="162" t="n">
        <x:f>IF(AB113&lt;($E$16-$D$16)/($F$16-$D$16),$D$16+SQRT(AB113*($F$16-$D$16)*($E$16-$D$16)),$F$16-SQRT((1-AB113)*($F$16-$D$16)*($F$16-$E$16)))</x:f>
        <x:v>0.033578037390661376</x:v>
      </x:c>
      <x:c r="I113" s="164" t="n">
        <x:f>'Historical Inputs'!$N$9*(1+D113)^5</x:f>
        <x:v>734156.0449950264</x:v>
      </x:c>
      <x:c r="J113" s="164" t="n">
        <x:f>I113*(1+H113)*('Terminal Value'!$E$10+E113)*(1-'Assumptions'!$E$15)*(1-H113/'Terminal Value'!$E$12)</x:f>
        <x:v>195026.12716928535</x:v>
      </x:c>
      <x:c r="K113" s="145" t="n">
        <x:f>((SUM((('Historical Inputs'!$N$9*(1+(D113))^1)*(('Assumptions'!E37+(E113))*(1-'Assumptions'!E42-(0))+'Assumptions'!E47-'Assumptions'!E52*(F113)+'Assumptions'!E57-'Assumptions'!E62*(1)-'Assumptions'!E67-(0))+('Working Capital'!$E$6))*'DCF'!E12/(1+(G113))^'DCF'!E13,(('Historical Inputs'!$N$9*(1+(D113))^2)*(('Assumptions'!F37+(E113))*(1-'Assumptions'!F42-(0))+'Assumptions'!F47-'Assumptions'!F52*(F113)+'Assumptions'!F57-'Assumptions'!F62*(1)-'Assumptions'!F67-(0))+(('Historical Inputs'!$N$9*(1+(D113))^1)*('Assumptions'!E67+(0))))*'DCF'!F12/(1+(G113))^'DCF'!F13,(('Historical Inputs'!$N$9*(1+(D113))^3)*(('Assumptions'!G37+(E113))*(1-'Assumptions'!G42-(0))+'Assumptions'!G47-'Assumptions'!G52*(F113)+'Assumptions'!G57-'Assumptions'!G62*(1)-'Assumptions'!G67-(0))+(('Historical Inputs'!$N$9*(1+(D113))^2)*('Assumptions'!F67+(0))))*'DCF'!G12/(1+(G113))^'DCF'!G13,(('Historical Inputs'!$N$9*(1+(D113))^4)*(('Assumptions'!H37+(E113))*(1-'Assumptions'!H42-(0))+'Assumptions'!H47-'Assumptions'!H52*(F113)+'Assumptions'!H57-'Assumptions'!H62*(1)-'Assumptions'!H67-(0))+(('Historical Inputs'!$N$9*(1+(D113))^3)*('Assumptions'!G67+(0))))*'DCF'!H12/(1+(G113))^'DCF'!H13,(('Historical Inputs'!$N$9*(1+(D113))^5)*(('Assumptions'!I37+(E113))*(1-'Assumptions'!I42-(0))+'Assumptions'!I47-'Assumptions'!I52*(F113)+'Assumptions'!I57-'Assumptions'!I62*(1)-'Assumptions'!I67-(0))+(('Historical Inputs'!$N$9*(1+(D113))^4)*('Assumptions'!H67+(0))))*'DCF'!I12/(1+(G113))^'DCF'!I13)+('Historical Inputs'!$N$9*(1+(D113))^5)*(1+(H113))*('Terminal Value'!$E$10+(E113))*(1-'Assumptions'!$E$15-(0))*(1-(H113)/('Terminal Value'!$E$12))/((G113)-(H113))/(1+(G113))^'DCF'!$E$19)+'Equity Bridge'!$E$17)/'Equity Bridge'!$E$20</x:f>
        <x:v>313.3898791807921</x:v>
      </x:c>
      <x:c r="L113" s="136"/>
      <x:c r="M113" s="136"/>
      <x:c r="N113" s="136"/>
      <x:c r="O113" s="136"/>
      <x:c r="P113" s="136"/>
      <x:c r="Q113" s="136"/>
      <x:c r="R113" s="136"/>
      <x:c r="S113" s="136"/>
      <x:c r="T113" s="136"/>
      <x:c r="U113" s="136"/>
      <x:c r="V113" s="136"/>
      <x:c r="W113" s="136"/>
      <x:c r="X113" s="240" t="n">
        <x:v>0.9106478677609865</x:v>
      </x:c>
      <x:c r="Y113" s="240" t="n">
        <x:v>0.26052279073467366</x:v>
      </x:c>
      <x:c r="Z113" s="240" t="n">
        <x:v>0.47870098688122076</x:v>
      </x:c>
      <x:c r="AA113" s="255" t="n">
        <x:v>0.554998412077096</x:v>
      </x:c>
      <x:c r="AB113" s="255" t="n">
        <x:v>0.7937919812212834</x:v>
      </x:c>
    </x:row>
    <x:row r="114" ht="24" customHeight="1">
      <x:c r="A114" s="136"/>
      <x:c r="B114" s="136"/>
      <x:c r="C114" s="136" t="n">
        <x:f>83</x:f>
        <x:v>83</x:v>
      </x:c>
      <x:c r="D114" s="162" t="n">
        <x:f>IF(X114&lt;($E$12-$D$12)/($F$12-$D$12),$D$12+SQRT(X114*($F$12-$D$12)*($E$12-$D$12)),$F$12-SQRT((1-X114)*($F$12-$D$12)*($F$12-$E$12)))</x:f>
        <x:v>0.12793391126600218</x:v>
      </x:c>
      <x:c r="E114" s="162" t="n">
        <x:f>IF(Y114&lt;($E$13-$D$13)/($F$13-$D$13),$D$13+SQRT(Y114*($F$13-$D$13)*($E$13-$D$13)),$F$13-SQRT((1-Y114)*($F$13-$D$13)*($F$13-$E$13)))</x:f>
        <x:v>0.023732235213343545</x:v>
      </x:c>
      <x:c r="F114" s="222" t="n">
        <x:f>IF(Z114&lt;($E$14-$D$14)/($F$14-$D$14),$D$14+SQRT(Z114*($F$14-$D$14)*($E$14-$D$14)),$F$14-SQRT((1-Z114)*($F$14-$D$14)*($F$14-$E$14)))</x:f>
        <x:v>0.9574227835201381</x:v>
      </x:c>
      <x:c r="G114" s="162" t="n">
        <x:f>IF(AA114&lt;($E$15-$D$15)/($F$15-$D$15),$D$15+SQRT(AA114*($F$15-$D$15)*($E$15-$D$15)),$F$15-SQRT((1-AA114)*($F$15-$D$15)*($F$15-$E$15)))</x:f>
        <x:v>0.1019231669264098</x:v>
      </x:c>
      <x:c r="H114" s="162" t="n">
        <x:f>IF(AB114&lt;($E$16-$D$16)/($F$16-$D$16),$D$16+SQRT(AB114*($F$16-$D$16)*($E$16-$D$16)),$F$16-SQRT((1-AB114)*($F$16-$D$16)*($F$16-$E$16)))</x:f>
        <x:v>0.032511433833526504</x:v>
      </x:c>
      <x:c r="I114" s="164" t="n">
        <x:f>'Historical Inputs'!$N$9*(1+D114)^5</x:f>
        <x:v>605822.9137426079</x:v>
      </x:c>
      <x:c r="J114" s="164" t="n">
        <x:f>I114*(1+H114)*('Terminal Value'!$E$10+E114)*(1-'Assumptions'!$E$15)*(1-H114/'Terminal Value'!$E$12)</x:f>
        <x:v>177573.11985822633</x:v>
      </x:c>
      <x:c r="K114" s="145" t="n">
        <x:f>((SUM((('Historical Inputs'!$N$9*(1+(D114))^1)*(('Assumptions'!E37+(E114))*(1-'Assumptions'!E42-(0))+'Assumptions'!E47-'Assumptions'!E52*(F114)+'Assumptions'!E57-'Assumptions'!E62*(1)-'Assumptions'!E67-(0))+('Working Capital'!$E$6))*'DCF'!E12/(1+(G114))^'DCF'!E13,(('Historical Inputs'!$N$9*(1+(D114))^2)*(('Assumptions'!F37+(E114))*(1-'Assumptions'!F42-(0))+'Assumptions'!F47-'Assumptions'!F52*(F114)+'Assumptions'!F57-'Assumptions'!F62*(1)-'Assumptions'!F67-(0))+(('Historical Inputs'!$N$9*(1+(D114))^1)*('Assumptions'!E67+(0))))*'DCF'!F12/(1+(G114))^'DCF'!F13,(('Historical Inputs'!$N$9*(1+(D114))^3)*(('Assumptions'!G37+(E114))*(1-'Assumptions'!G42-(0))+'Assumptions'!G47-'Assumptions'!G52*(F114)+'Assumptions'!G57-'Assumptions'!G62*(1)-'Assumptions'!G67-(0))+(('Historical Inputs'!$N$9*(1+(D114))^2)*('Assumptions'!F67+(0))))*'DCF'!G12/(1+(G114))^'DCF'!G13,(('Historical Inputs'!$N$9*(1+(D114))^4)*(('Assumptions'!H37+(E114))*(1-'Assumptions'!H42-(0))+'Assumptions'!H47-'Assumptions'!H52*(F114)+'Assumptions'!H57-'Assumptions'!H62*(1)-'Assumptions'!H67-(0))+(('Historical Inputs'!$N$9*(1+(D114))^3)*('Assumptions'!G67+(0))))*'DCF'!H12/(1+(G114))^'DCF'!H13,(('Historical Inputs'!$N$9*(1+(D114))^5)*(('Assumptions'!I37+(E114))*(1-'Assumptions'!I42-(0))+'Assumptions'!I47-'Assumptions'!I52*(F114)+'Assumptions'!I57-'Assumptions'!I62*(1)-'Assumptions'!I67-(0))+(('Historical Inputs'!$N$9*(1+(D114))^4)*('Assumptions'!H67+(0))))*'DCF'!I12/(1+(G114))^'DCF'!I13)+('Historical Inputs'!$N$9*(1+(D114))^5)*(1+(H114))*('Terminal Value'!$E$10+(E114))*(1-'Assumptions'!$E$15-(0))*(1-(H114)/('Terminal Value'!$E$12))/((G114)-(H114))/(1+(G114))^'DCF'!$E$19)+'Equity Bridge'!$E$17)/'Equity Bridge'!$E$20</x:f>
        <x:v>276.78590626574214</x:v>
      </x:c>
      <x:c r="L114" s="136"/>
      <x:c r="M114" s="136"/>
      <x:c r="N114" s="136"/>
      <x:c r="O114" s="136"/>
      <x:c r="P114" s="136"/>
      <x:c r="Q114" s="136"/>
      <x:c r="R114" s="136"/>
      <x:c r="S114" s="136"/>
      <x:c r="T114" s="136"/>
      <x:c r="U114" s="136"/>
      <x:c r="V114" s="136"/>
      <x:c r="W114" s="136"/>
      <x:c r="X114" s="240" t="n">
        <x:v>0.24049733224603131</x:v>
      </x:c>
      <x:c r="Y114" s="240" t="n">
        <x:v>0.8620009066225782</x:v>
      </x:c>
      <x:c r="Z114" s="240" t="n">
        <x:v>0.21980294131837042</x:v>
      </x:c>
      <x:c r="AA114" s="255" t="n">
        <x:v>0.7203874913583149</x:v>
      </x:c>
      <x:c r="AB114" s="255" t="n">
        <x:v>0.7196068838517424</x:v>
      </x:c>
    </x:row>
    <x:row r="115" ht="24" customHeight="1">
      <x:c r="A115" s="136"/>
      <x:c r="B115" s="136"/>
      <x:c r="C115" s="136" t="n">
        <x:f>84</x:f>
        <x:v>84</x:v>
      </x:c>
      <x:c r="D115" s="162" t="n">
        <x:f>IF(X115&lt;($E$12-$D$12)/($F$12-$D$12),$D$12+SQRT(X115*($F$12-$D$12)*($E$12-$D$12)),$F$12-SQRT((1-X115)*($F$12-$D$12)*($F$12-$E$12)))</x:f>
        <x:v>0.1506357331011769</x:v>
      </x:c>
      <x:c r="E115" s="162" t="n">
        <x:f>IF(Y115&lt;($E$13-$D$13)/($F$13-$D$13),$D$13+SQRT(Y115*($F$13-$D$13)*($E$13-$D$13)),$F$13-SQRT((1-Y115)*($F$13-$D$13)*($F$13-$E$13)))</x:f>
        <x:v>0.026621500309024736</x:v>
      </x:c>
      <x:c r="F115" s="222" t="n">
        <x:f>IF(Z115&lt;($E$14-$D$14)/($F$14-$D$14),$D$14+SQRT(Z115*($F$14-$D$14)*($E$14-$D$14)),$F$14-SQRT((1-Z115)*($F$14-$D$14)*($F$14-$E$14)))</x:f>
        <x:v>1.0831147642898535</x:v>
      </x:c>
      <x:c r="G115" s="162" t="n">
        <x:f>IF(AA115&lt;($E$15-$D$15)/($F$15-$D$15),$D$15+SQRT(AA115*($F$15-$D$15)*($E$15-$D$15)),$F$15-SQRT((1-AA115)*($F$15-$D$15)*($F$15-$E$15)))</x:f>
        <x:v>0.09825232298356498</x:v>
      </x:c>
      <x:c r="H115" s="162" t="n">
        <x:f>IF(AB115&lt;($E$16-$D$16)/($F$16-$D$16),$D$16+SQRT(AB115*($F$16-$D$16)*($E$16-$D$16)),$F$16-SQRT((1-AB115)*($F$16-$D$16)*($F$16-$E$16)))</x:f>
        <x:v>0.028883071740003912</x:v>
      </x:c>
      <x:c r="I115" s="164" t="n">
        <x:f>'Historical Inputs'!$N$9*(1+D115)^5</x:f>
        <x:v>669293.6594481654</x:v>
      </x:c>
      <x:c r="J115" s="164" t="n">
        <x:f>I115*(1+H115)*('Terminal Value'!$E$10+E115)*(1-'Assumptions'!$E$15)*(1-H115/'Terminal Value'!$E$12)</x:f>
        <x:v>201084.42708318136</x:v>
      </x:c>
      <x:c r="K115" s="145" t="n">
        <x:f>((SUM((('Historical Inputs'!$N$9*(1+(D115))^1)*(('Assumptions'!E37+(E115))*(1-'Assumptions'!E42-(0))+'Assumptions'!E47-'Assumptions'!E52*(F115)+'Assumptions'!E57-'Assumptions'!E62*(1)-'Assumptions'!E67-(0))+('Working Capital'!$E$6))*'DCF'!E12/(1+(G115))^'DCF'!E13,(('Historical Inputs'!$N$9*(1+(D115))^2)*(('Assumptions'!F37+(E115))*(1-'Assumptions'!F42-(0))+'Assumptions'!F47-'Assumptions'!F52*(F115)+'Assumptions'!F57-'Assumptions'!F62*(1)-'Assumptions'!F67-(0))+(('Historical Inputs'!$N$9*(1+(D115))^1)*('Assumptions'!E67+(0))))*'DCF'!F12/(1+(G115))^'DCF'!F13,(('Historical Inputs'!$N$9*(1+(D115))^3)*(('Assumptions'!G37+(E115))*(1-'Assumptions'!G42-(0))+'Assumptions'!G47-'Assumptions'!G52*(F115)+'Assumptions'!G57-'Assumptions'!G62*(1)-'Assumptions'!G67-(0))+(('Historical Inputs'!$N$9*(1+(D115))^2)*('Assumptions'!F67+(0))))*'DCF'!G12/(1+(G115))^'DCF'!G13,(('Historical Inputs'!$N$9*(1+(D115))^4)*(('Assumptions'!H37+(E115))*(1-'Assumptions'!H42-(0))+'Assumptions'!H47-'Assumptions'!H52*(F115)+'Assumptions'!H57-'Assumptions'!H62*(1)-'Assumptions'!H67-(0))+(('Historical Inputs'!$N$9*(1+(D115))^3)*('Assumptions'!G67+(0))))*'DCF'!H12/(1+(G115))^'DCF'!H13,(('Historical Inputs'!$N$9*(1+(D115))^5)*(('Assumptions'!I37+(E115))*(1-'Assumptions'!I42-(0))+'Assumptions'!I47-'Assumptions'!I52*(F115)+'Assumptions'!I57-'Assumptions'!I62*(1)-'Assumptions'!I67-(0))+(('Historical Inputs'!$N$9*(1+(D115))^4)*('Assumptions'!H67+(0))))*'DCF'!I12/(1+(G115))^'DCF'!I13)+('Historical Inputs'!$N$9*(1+(D115))^5)*(1+(H115))*('Terminal Value'!$E$10+(E115))*(1-'Assumptions'!$E$15-(0))*(1-(H115)/('Terminal Value'!$E$12))/((G115)-(H115))/(1+(G115))^'DCF'!$E$19)+'Equity Bridge'!$E$17)/'Equity Bridge'!$E$20</x:f>
        <x:v>307.06925182222255</x:v>
      </x:c>
      <x:c r="L115" s="136"/>
      <x:c r="M115" s="136"/>
      <x:c r="N115" s="136"/>
      <x:c r="O115" s="136"/>
      <x:c r="P115" s="136"/>
      <x:c r="Q115" s="136"/>
      <x:c r="R115" s="136"/>
      <x:c r="S115" s="136"/>
      <x:c r="T115" s="136"/>
      <x:c r="U115" s="136"/>
      <x:c r="V115" s="136"/>
      <x:c r="W115" s="136"/>
      <x:c r="X115" s="240" t="n">
        <x:v>0.6366851494860752</x:v>
      </x:c>
      <x:c r="Y115" s="240" t="n">
        <x:v>0.8906891504398139</x:v>
      </x:c>
      <x:c r="Z115" s="240" t="n">
        <x:v>0.8048263096140503</x:v>
      </x:c>
      <x:c r="AA115" s="255" t="n">
        <x:v>0.5074357269930821</x:v>
      </x:c>
      <x:c r="AB115" s="255" t="n">
        <x:v>0.3945448176902808</x:v>
      </x:c>
    </x:row>
    <x:row r="116" ht="24" customHeight="1">
      <x:c r="A116" s="136"/>
      <x:c r="B116" s="136"/>
      <x:c r="C116" s="136" t="n">
        <x:f>85</x:f>
        <x:v>85</x:v>
      </x:c>
      <x:c r="D116" s="162" t="n">
        <x:f>IF(X116&lt;($E$12-$D$12)/($F$12-$D$12),$D$12+SQRT(X116*($F$12-$D$12)*($E$12-$D$12)),$F$12-SQRT((1-X116)*($F$12-$D$12)*($F$12-$E$12)))</x:f>
        <x:v>0.1273292372741483</x:v>
      </x:c>
      <x:c r="E116" s="162" t="n">
        <x:f>IF(Y116&lt;($E$13-$D$13)/($F$13-$D$13),$D$13+SQRT(Y116*($F$13-$D$13)*($E$13-$D$13)),$F$13-SQRT((1-Y116)*($F$13-$D$13)*($F$13-$E$13)))</x:f>
        <x:v>-0.010171405770900026</x:v>
      </x:c>
      <x:c r="F116" s="222" t="n">
        <x:f>IF(Z116&lt;($E$14-$D$14)/($F$14-$D$14),$D$14+SQRT(Z116*($F$14-$D$14)*($E$14-$D$14)),$F$14-SQRT((1-Z116)*($F$14-$D$14)*($F$14-$E$14)))</x:f>
        <x:v>1.0930175232703843</x:v>
      </x:c>
      <x:c r="G116" s="162" t="n">
        <x:f>IF(AA116&lt;($E$15-$D$15)/($F$15-$D$15),$D$15+SQRT(AA116*($F$15-$D$15)*($E$15-$D$15)),$F$15-SQRT((1-AA116)*($F$15-$D$15)*($F$15-$E$15)))</x:f>
        <x:v>0.10346552784447186</x:v>
      </x:c>
      <x:c r="H116" s="162" t="n">
        <x:f>IF(AB116&lt;($E$16-$D$16)/($F$16-$D$16),$D$16+SQRT(AB116*($F$16-$D$16)*($E$16-$D$16)),$F$16-SQRT((1-AB116)*($F$16-$D$16)*($F$16-$E$16)))</x:f>
        <x:v>0.033100699638467124</x:v>
      </x:c>
      <x:c r="I116" s="164" t="n">
        <x:f>'Historical Inputs'!$N$9*(1+D116)^5</x:f>
        <x:v>604200.7761342067</x:v>
      </x:c>
      <x:c r="J116" s="164" t="n">
        <x:f>I116*(1+H116)*('Terminal Value'!$E$10+E116)*(1-'Assumptions'!$E$15)*(1-H116/'Terminal Value'!$E$12)</x:f>
        <x:v>162447.16395436737</x:v>
      </x:c>
      <x:c r="K116" s="145" t="n">
        <x:f>((SUM((('Historical Inputs'!$N$9*(1+(D116))^1)*(('Assumptions'!E37+(E116))*(1-'Assumptions'!E42-(0))+'Assumptions'!E47-'Assumptions'!E52*(F116)+'Assumptions'!E57-'Assumptions'!E62*(1)-'Assumptions'!E67-(0))+('Working Capital'!$E$6))*'DCF'!E12/(1+(G116))^'DCF'!E13,(('Historical Inputs'!$N$9*(1+(D116))^2)*(('Assumptions'!F37+(E116))*(1-'Assumptions'!F42-(0))+'Assumptions'!F47-'Assumptions'!F52*(F116)+'Assumptions'!F57-'Assumptions'!F62*(1)-'Assumptions'!F67-(0))+(('Historical Inputs'!$N$9*(1+(D116))^1)*('Assumptions'!E67+(0))))*'DCF'!F12/(1+(G116))^'DCF'!F13,(('Historical Inputs'!$N$9*(1+(D116))^3)*(('Assumptions'!G37+(E116))*(1-'Assumptions'!G42-(0))+'Assumptions'!G47-'Assumptions'!G52*(F116)+'Assumptions'!G57-'Assumptions'!G62*(1)-'Assumptions'!G67-(0))+(('Historical Inputs'!$N$9*(1+(D116))^2)*('Assumptions'!F67+(0))))*'DCF'!G12/(1+(G116))^'DCF'!G13,(('Historical Inputs'!$N$9*(1+(D116))^4)*(('Assumptions'!H37+(E116))*(1-'Assumptions'!H42-(0))+'Assumptions'!H47-'Assumptions'!H52*(F116)+'Assumptions'!H57-'Assumptions'!H62*(1)-'Assumptions'!H67-(0))+(('Historical Inputs'!$N$9*(1+(D116))^3)*('Assumptions'!G67+(0))))*'DCF'!H12/(1+(G116))^'DCF'!H13,(('Historical Inputs'!$N$9*(1+(D116))^5)*(('Assumptions'!I37+(E116))*(1-'Assumptions'!I42-(0))+'Assumptions'!I47-'Assumptions'!I52*(F116)+'Assumptions'!I57-'Assumptions'!I62*(1)-'Assumptions'!I67-(0))+(('Historical Inputs'!$N$9*(1+(D116))^4)*('Assumptions'!H67+(0))))*'DCF'!I12/(1+(G116))^'DCF'!I13)+('Historical Inputs'!$N$9*(1+(D116))^5)*(1+(H116))*('Terminal Value'!$E$10+(E116))*(1-'Assumptions'!$E$15-(0))*(1-(H116)/('Terminal Value'!$E$12))/((G116)-(H116))/(1+(G116))^'DCF'!$E$19)+'Equity Bridge'!$E$17)/'Equity Bridge'!$E$20</x:f>
        <x:v>239.20963677599323</x:v>
      </x:c>
      <x:c r="L116" s="136"/>
      <x:c r="M116" s="136"/>
      <x:c r="N116" s="136"/>
      <x:c r="O116" s="136"/>
      <x:c r="P116" s="136"/>
      <x:c r="Q116" s="136"/>
      <x:c r="R116" s="136"/>
      <x:c r="S116" s="136"/>
      <x:c r="T116" s="136"/>
      <x:c r="U116" s="136"/>
      <x:c r="V116" s="136"/>
      <x:c r="W116" s="136"/>
      <x:c r="X116" s="240" t="n">
        <x:v>0.23218317310822512</x:v>
      </x:c>
      <x:c r="Y116" s="240" t="n">
        <x:v>0.3172633836532591</x:v>
      </x:c>
      <x:c r="Z116" s="240" t="n">
        <x:v>0.8364964238971035</x:v>
      </x:c>
      <x:c r="AA116" s="255" t="n">
        <x:v>0.7919943177422932</x:v>
      </x:c>
      <x:c r="AB116" s="255" t="n">
        <x:v>0.7619982726067616</x:v>
      </x:c>
    </x:row>
    <x:row r="117" ht="24" customHeight="1">
      <x:c r="A117" s="136"/>
      <x:c r="B117" s="136"/>
      <x:c r="C117" s="136" t="n">
        <x:f>86</x:f>
        <x:v>86</x:v>
      </x:c>
      <x:c r="D117" s="162" t="n">
        <x:f>IF(X117&lt;($E$12-$D$12)/($F$12-$D$12),$D$12+SQRT(X117*($F$12-$D$12)*($E$12-$D$12)),$F$12-SQRT((1-X117)*($F$12-$D$12)*($F$12-$E$12)))</x:f>
        <x:v>0.1542839456149238</x:v>
      </x:c>
      <x:c r="E117" s="162" t="n">
        <x:f>IF(Y117&lt;($E$13-$D$13)/($F$13-$D$13),$D$13+SQRT(Y117*($F$13-$D$13)*($E$13-$D$13)),$F$13-SQRT((1-Y117)*($F$13-$D$13)*($F$13-$E$13)))</x:f>
        <x:v>-0.036564404264467575</x:v>
      </x:c>
      <x:c r="F117" s="222" t="n">
        <x:f>IF(Z117&lt;($E$14-$D$14)/($F$14-$D$14),$D$14+SQRT(Z117*($F$14-$D$14)*($E$14-$D$14)),$F$14-SQRT((1-Z117)*($F$14-$D$14)*($F$14-$E$14)))</x:f>
        <x:v>1.1011923571906859</x:v>
      </x:c>
      <x:c r="G117" s="162" t="n">
        <x:f>IF(AA117&lt;($E$15-$D$15)/($F$15-$D$15),$D$15+SQRT(AA117*($F$15-$D$15)*($E$15-$D$15)),$F$15-SQRT((1-AA117)*($F$15-$D$15)*($F$15-$E$15)))</x:f>
        <x:v>0.0987212704167215</x:v>
      </x:c>
      <x:c r="H117" s="162" t="n">
        <x:f>IF(AB117&lt;($E$16-$D$16)/($F$16-$D$16),$D$16+SQRT(AB117*($F$16-$D$16)*($E$16-$D$16)),$F$16-SQRT((1-AB117)*($F$16-$D$16)*($F$16-$E$16)))</x:f>
        <x:v>0.03775126143348991</x:v>
      </x:c>
      <x:c r="I117" s="164" t="n">
        <x:f>'Historical Inputs'!$N$9*(1+D117)^5</x:f>
        <x:v>679971.4878081837</x:v>
      </x:c>
      <x:c r="J117" s="164" t="n">
        <x:f>I117*(1+H117)*('Terminal Value'!$E$10+E117)*(1-'Assumptions'!$E$15)*(1-H117/'Terminal Value'!$E$12)</x:f>
        <x:v>166438.1016239706</x:v>
      </x:c>
      <x:c r="K117" s="145" t="n">
        <x:f>((SUM((('Historical Inputs'!$N$9*(1+(D117))^1)*(('Assumptions'!E37+(E117))*(1-'Assumptions'!E42-(0))+'Assumptions'!E47-'Assumptions'!E52*(F117)+'Assumptions'!E57-'Assumptions'!E62*(1)-'Assumptions'!E67-(0))+('Working Capital'!$E$6))*'DCF'!E12/(1+(G117))^'DCF'!E13,(('Historical Inputs'!$N$9*(1+(D117))^2)*(('Assumptions'!F37+(E117))*(1-'Assumptions'!F42-(0))+'Assumptions'!F47-'Assumptions'!F52*(F117)+'Assumptions'!F57-'Assumptions'!F62*(1)-'Assumptions'!F67-(0))+(('Historical Inputs'!$N$9*(1+(D117))^1)*('Assumptions'!E67+(0))))*'DCF'!F12/(1+(G117))^'DCF'!F13,(('Historical Inputs'!$N$9*(1+(D117))^3)*(('Assumptions'!G37+(E117))*(1-'Assumptions'!G42-(0))+'Assumptions'!G47-'Assumptions'!G52*(F117)+'Assumptions'!G57-'Assumptions'!G62*(1)-'Assumptions'!G67-(0))+(('Historical Inputs'!$N$9*(1+(D117))^2)*('Assumptions'!F67+(0))))*'DCF'!G12/(1+(G117))^'DCF'!G13,(('Historical Inputs'!$N$9*(1+(D117))^4)*(('Assumptions'!H37+(E117))*(1-'Assumptions'!H42-(0))+'Assumptions'!H47-'Assumptions'!H52*(F117)+'Assumptions'!H57-'Assumptions'!H62*(1)-'Assumptions'!H67-(0))+(('Historical Inputs'!$N$9*(1+(D117))^3)*('Assumptions'!G67+(0))))*'DCF'!H12/(1+(G117))^'DCF'!H13,(('Historical Inputs'!$N$9*(1+(D117))^5)*(('Assumptions'!I37+(E117))*(1-'Assumptions'!I42-(0))+'Assumptions'!I47-'Assumptions'!I52*(F117)+'Assumptions'!I57-'Assumptions'!I62*(1)-'Assumptions'!I67-(0))+(('Historical Inputs'!$N$9*(1+(D117))^4)*('Assumptions'!H67+(0))))*'DCF'!I12/(1+(G117))^'DCF'!I13)+('Historical Inputs'!$N$9*(1+(D117))^5)*(1+(H117))*('Terminal Value'!$E$10+(E117))*(1-'Assumptions'!$E$15-(0))*(1-(H117)/('Terminal Value'!$E$12))/((G117)-(H117))/(1+(G117))^'DCF'!$E$19)+'Equity Bridge'!$E$17)/'Equity Bridge'!$E$20</x:f>
        <x:v>278.0969437346654</x:v>
      </x:c>
      <x:c r="L117" s="136"/>
      <x:c r="M117" s="136"/>
      <x:c r="N117" s="136"/>
      <x:c r="O117" s="136"/>
      <x:c r="P117" s="136"/>
      <x:c r="Q117" s="136"/>
      <x:c r="R117" s="136"/>
      <x:c r="S117" s="136"/>
      <x:c r="T117" s="136"/>
      <x:c r="U117" s="136"/>
      <x:c r="V117" s="136"/>
      <x:c r="W117" s="136"/>
      <x:c r="X117" s="240" t="n">
        <x:v>0.6962198661282349</x:v>
      </x:c>
      <x:c r="Y117" s="240" t="n">
        <x:v>0.03610304655373142</x:v>
      </x:c>
      <x:c r="Z117" s="240" t="n">
        <x:v>0.8605292817495284</x:v>
      </x:c>
      <x:c r="AA117" s="255" t="n">
        <x:v>0.5379768614511591</x:v>
      </x:c>
      <x:c r="AB117" s="255" t="n">
        <x:v>0.9747158742974508</x:v>
      </x:c>
    </x:row>
    <x:row r="118" ht="24" customHeight="1">
      <x:c r="A118" s="136"/>
      <x:c r="B118" s="136"/>
      <x:c r="C118" s="136" t="n">
        <x:f>87</x:f>
        <x:v>87</x:v>
      </x:c>
      <x:c r="D118" s="162" t="n">
        <x:f>IF(X118&lt;($E$12-$D$12)/($F$12-$D$12),$D$12+SQRT(X118*($F$12-$D$12)*($E$12-$D$12)),$F$12-SQRT((1-X118)*($F$12-$D$12)*($F$12-$E$12)))</x:f>
        <x:v>0.13002269839247999</x:v>
      </x:c>
      <x:c r="E118" s="162" t="n">
        <x:f>IF(Y118&lt;($E$13-$D$13)/($F$13-$D$13),$D$13+SQRT(Y118*($F$13-$D$13)*($E$13-$D$13)),$F$13-SQRT((1-Y118)*($F$13-$D$13)*($F$13-$E$13)))</x:f>
        <x:v>0.02986831889101269</x:v>
      </x:c>
      <x:c r="F118" s="222" t="n">
        <x:f>IF(Z118&lt;($E$14-$D$14)/($F$14-$D$14),$D$14+SQRT(Z118*($F$14-$D$14)*($E$14-$D$14)),$F$14-SQRT((1-Z118)*($F$14-$D$14)*($F$14-$E$14)))</x:f>
        <x:v>1.035487679988351</x:v>
      </x:c>
      <x:c r="G118" s="162" t="n">
        <x:f>IF(AA118&lt;($E$15-$D$15)/($F$15-$D$15),$D$15+SQRT(AA118*($F$15-$D$15)*($E$15-$D$15)),$F$15-SQRT((1-AA118)*($F$15-$D$15)*($F$15-$E$15)))</x:f>
        <x:v>0.10709823084472371</x:v>
      </x:c>
      <x:c r="H118" s="162" t="n">
        <x:f>IF(AB118&lt;($E$16-$D$16)/($F$16-$D$16),$D$16+SQRT(AB118*($F$16-$D$16)*($E$16-$D$16)),$F$16-SQRT((1-AB118)*($F$16-$D$16)*($F$16-$E$16)))</x:f>
        <x:v>0.034345077032334984</x:v>
      </x:c>
      <x:c r="I118" s="164" t="n">
        <x:f>'Historical Inputs'!$N$9*(1+D118)^5</x:f>
        <x:v>611453.2552940211</x:v>
      </x:c>
      <x:c r="J118" s="164" t="n">
        <x:f>I118*(1+H118)*('Terminal Value'!$E$10+E118)*(1-'Assumptions'!$E$15)*(1-H118/'Terminal Value'!$E$12)</x:f>
        <x:v>180147.6040459421</x:v>
      </x:c>
      <x:c r="K118" s="145" t="n">
        <x:f>((SUM((('Historical Inputs'!$N$9*(1+(D118))^1)*(('Assumptions'!E37+(E118))*(1-'Assumptions'!E42-(0))+'Assumptions'!E47-'Assumptions'!E52*(F118)+'Assumptions'!E57-'Assumptions'!E62*(1)-'Assumptions'!E67-(0))+('Working Capital'!$E$6))*'DCF'!E12/(1+(G118))^'DCF'!E13,(('Historical Inputs'!$N$9*(1+(D118))^2)*(('Assumptions'!F37+(E118))*(1-'Assumptions'!F42-(0))+'Assumptions'!F47-'Assumptions'!F52*(F118)+'Assumptions'!F57-'Assumptions'!F62*(1)-'Assumptions'!F67-(0))+(('Historical Inputs'!$N$9*(1+(D118))^1)*('Assumptions'!E67+(0))))*'DCF'!F12/(1+(G118))^'DCF'!F13,(('Historical Inputs'!$N$9*(1+(D118))^3)*(('Assumptions'!G37+(E118))*(1-'Assumptions'!G42-(0))+'Assumptions'!G47-'Assumptions'!G52*(F118)+'Assumptions'!G57-'Assumptions'!G62*(1)-'Assumptions'!G67-(0))+(('Historical Inputs'!$N$9*(1+(D118))^2)*('Assumptions'!F67+(0))))*'DCF'!G12/(1+(G118))^'DCF'!G13,(('Historical Inputs'!$N$9*(1+(D118))^4)*(('Assumptions'!H37+(E118))*(1-'Assumptions'!H42-(0))+'Assumptions'!H47-'Assumptions'!H52*(F118)+'Assumptions'!H57-'Assumptions'!H62*(1)-'Assumptions'!H67-(0))+(('Historical Inputs'!$N$9*(1+(D118))^3)*('Assumptions'!G67+(0))))*'DCF'!H12/(1+(G118))^'DCF'!H13,(('Historical Inputs'!$N$9*(1+(D118))^5)*(('Assumptions'!I37+(E118))*(1-'Assumptions'!I42-(0))+'Assumptions'!I47-'Assumptions'!I52*(F118)+'Assumptions'!I57-'Assumptions'!I62*(1)-'Assumptions'!I67-(0))+(('Historical Inputs'!$N$9*(1+(D118))^4)*('Assumptions'!H67+(0))))*'DCF'!I12/(1+(G118))^'DCF'!I13)+('Historical Inputs'!$N$9*(1+(D118))^5)*(1+(H118))*('Terminal Value'!$E$10+(E118))*(1-'Assumptions'!$E$15-(0))*(1-(H118)/('Terminal Value'!$E$12))/((G118)-(H118))/(1+(G118))^'DCF'!$E$19)+'Equity Bridge'!$E$17)/'Equity Bridge'!$E$20</x:f>
        <x:v>261.31031298006553</x:v>
      </x:c>
      <x:c r="L118" s="136"/>
      <x:c r="M118" s="136"/>
      <x:c r="N118" s="136"/>
      <x:c r="O118" s="136"/>
      <x:c r="P118" s="136"/>
      <x:c r="Q118" s="136"/>
      <x:c r="R118" s="136"/>
      <x:c r="S118" s="136"/>
      <x:c r="T118" s="136"/>
      <x:c r="U118" s="136"/>
      <x:c r="V118" s="136"/>
      <x:c r="W118" s="136"/>
      <x:c r="X118" s="240" t="n">
        <x:v>0.27034299467735945</x:v>
      </x:c>
      <x:c r="Y118" s="240" t="n">
        <x:v>0.9189430831452087</x:v>
      </x:c>
      <x:c r="Z118" s="240" t="n">
        <x:v>0.613367093776926</x:v>
      </x:c>
      <x:c r="AA118" s="255" t="n">
        <x:v>0.9188723622126931</x:v>
      </x:c>
      <x:c r="AB118" s="255" t="n">
        <x:v>0.8401092311488735</x:v>
      </x:c>
    </x:row>
    <x:row r="119" ht="24" customHeight="1">
      <x:c r="A119" s="136"/>
      <x:c r="B119" s="136"/>
      <x:c r="C119" s="136" t="n">
        <x:f>88</x:f>
        <x:v>88</x:v>
      </x:c>
      <x:c r="D119" s="162" t="n">
        <x:f>IF(X119&lt;($E$12-$D$12)/($F$12-$D$12),$D$12+SQRT(X119*($F$12-$D$12)*($E$12-$D$12)),$F$12-SQRT((1-X119)*($F$12-$D$12)*($F$12-$E$12)))</x:f>
        <x:v>0.14543945016840193</x:v>
      </x:c>
      <x:c r="E119" s="162" t="n">
        <x:f>IF(Y119&lt;($E$13-$D$13)/($F$13-$D$13),$D$13+SQRT(Y119*($F$13-$D$13)*($E$13-$D$13)),$F$13-SQRT((1-Y119)*($F$13-$D$13)*($F$13-$E$13)))</x:f>
        <x:v>-0.03004474215819214</x:v>
      </x:c>
      <x:c r="F119" s="222" t="n">
        <x:f>IF(Z119&lt;($E$14-$D$14)/($F$14-$D$14),$D$14+SQRT(Z119*($F$14-$D$14)*($E$14-$D$14)),$F$14-SQRT((1-Z119)*($F$14-$D$14)*($F$14-$E$14)))</x:f>
        <x:v>1.138108373794702</x:v>
      </x:c>
      <x:c r="G119" s="162" t="n">
        <x:f>IF(AA119&lt;($E$15-$D$15)/($F$15-$D$15),$D$15+SQRT(AA119*($F$15-$D$15)*($E$15-$D$15)),$F$15-SQRT((1-AA119)*($F$15-$D$15)*($F$15-$E$15)))</x:f>
        <x:v>0.10942178700453178</x:v>
      </x:c>
      <x:c r="H119" s="162" t="n">
        <x:f>IF(AB119&lt;($E$16-$D$16)/($F$16-$D$16),$D$16+SQRT(AB119*($F$16-$D$16)*($E$16-$D$16)),$F$16-SQRT((1-AB119)*($F$16-$D$16)*($F$16-$E$16)))</x:f>
        <x:v>0.0325133566074149</x:v>
      </x:c>
      <x:c r="I119" s="164" t="n">
        <x:f>'Historical Inputs'!$N$9*(1+D119)^5</x:f>
        <x:v>654316.8568822959</x:v>
      </x:c>
      <x:c r="J119" s="164" t="n">
        <x:f>I119*(1+H119)*('Terminal Value'!$E$10+E119)*(1-'Assumptions'!$E$15)*(1-H119/'Terminal Value'!$E$12)</x:f>
        <x:v>167445.37699734705</x:v>
      </x:c>
      <x:c r="K119" s="145" t="n">
        <x:f>((SUM((('Historical Inputs'!$N$9*(1+(D119))^1)*(('Assumptions'!E37+(E119))*(1-'Assumptions'!E42-(0))+'Assumptions'!E47-'Assumptions'!E52*(F119)+'Assumptions'!E57-'Assumptions'!E62*(1)-'Assumptions'!E67-(0))+('Working Capital'!$E$6))*'DCF'!E12/(1+(G119))^'DCF'!E13,(('Historical Inputs'!$N$9*(1+(D119))^2)*(('Assumptions'!F37+(E119))*(1-'Assumptions'!F42-(0))+'Assumptions'!F47-'Assumptions'!F52*(F119)+'Assumptions'!F57-'Assumptions'!F62*(1)-'Assumptions'!F67-(0))+(('Historical Inputs'!$N$9*(1+(D119))^1)*('Assumptions'!E67+(0))))*'DCF'!F12/(1+(G119))^'DCF'!F13,(('Historical Inputs'!$N$9*(1+(D119))^3)*(('Assumptions'!G37+(E119))*(1-'Assumptions'!G42-(0))+'Assumptions'!G47-'Assumptions'!G52*(F119)+'Assumptions'!G57-'Assumptions'!G62*(1)-'Assumptions'!G67-(0))+(('Historical Inputs'!$N$9*(1+(D119))^2)*('Assumptions'!F67+(0))))*'DCF'!G12/(1+(G119))^'DCF'!G13,(('Historical Inputs'!$N$9*(1+(D119))^4)*(('Assumptions'!H37+(E119))*(1-'Assumptions'!H42-(0))+'Assumptions'!H47-'Assumptions'!H52*(F119)+'Assumptions'!H57-'Assumptions'!H62*(1)-'Assumptions'!H67-(0))+(('Historical Inputs'!$N$9*(1+(D119))^3)*('Assumptions'!G67+(0))))*'DCF'!H12/(1+(G119))^'DCF'!H13,(('Historical Inputs'!$N$9*(1+(D119))^5)*(('Assumptions'!I37+(E119))*(1-'Assumptions'!I42-(0))+'Assumptions'!I47-'Assumptions'!I52*(F119)+'Assumptions'!I57-'Assumptions'!I62*(1)-'Assumptions'!I67-(0))+(('Historical Inputs'!$N$9*(1+(D119))^4)*('Assumptions'!H67+(0))))*'DCF'!I12/(1+(G119))^'DCF'!I13)+('Historical Inputs'!$N$9*(1+(D119))^5)*(1+(H119))*('Terminal Value'!$E$10+(E119))*(1-'Assumptions'!$E$15-(0))*(1-(H119)/('Terminal Value'!$E$12))/((G119)-(H119))/(1+(G119))^'DCF'!$E$19)+'Equity Bridge'!$E$17)/'Equity Bridge'!$E$20</x:f>
        <x:v>218.6879478981916</x:v>
      </x:c>
      <x:c r="L119" s="136"/>
      <x:c r="M119" s="136"/>
      <x:c r="N119" s="136"/>
      <x:c r="O119" s="136"/>
      <x:c r="P119" s="136"/>
      <x:c r="Q119" s="136"/>
      <x:c r="R119" s="136"/>
      <x:c r="S119" s="136"/>
      <x:c r="T119" s="136"/>
      <x:c r="U119" s="136"/>
      <x:c r="V119" s="136"/>
      <x:c r="W119" s="136"/>
      <x:c r="X119" s="240" t="n">
        <x:v>0.5426959681529973</x:v>
      </x:c>
      <x:c r="Y119" s="240" t="n">
        <x:v>0.07964246310660683</x:v>
      </x:c>
      <x:c r="Z119" s="240" t="n">
        <x:v>0.9452775229380523</x:v>
      </x:c>
      <x:c r="AA119" s="255" t="n">
        <x:v>0.9692714350634869</x:v>
      </x:c>
      <x:c r="AB119" s="255" t="n">
        <x:v>0.7197508535613099</x:v>
      </x:c>
    </x:row>
    <x:row r="120" ht="24" customHeight="1">
      <x:c r="A120" s="136"/>
      <x:c r="B120" s="136"/>
      <x:c r="C120" s="136" t="n">
        <x:f>89</x:f>
        <x:v>89</x:v>
      </x:c>
      <x:c r="D120" s="162" t="n">
        <x:f>IF(X120&lt;($E$12-$D$12)/($F$12-$D$12),$D$12+SQRT(X120*($F$12-$D$12)*($E$12-$D$12)),$F$12-SQRT((1-X120)*($F$12-$D$12)*($F$12-$E$12)))</x:f>
        <x:v>0.16733118224399493</x:v>
      </x:c>
      <x:c r="E120" s="162" t="n">
        <x:f>IF(Y120&lt;($E$13-$D$13)/($F$13-$D$13),$D$13+SQRT(Y120*($F$13-$D$13)*($E$13-$D$13)),$F$13-SQRT((1-Y120)*($F$13-$D$13)*($F$13-$E$13)))</x:f>
        <x:v>-0.007352911182051225</x:v>
      </x:c>
      <x:c r="F120" s="222" t="n">
        <x:f>IF(Z120&lt;($E$14-$D$14)/($F$14-$D$14),$D$14+SQRT(Z120*($F$14-$D$14)*($E$14-$D$14)),$F$14-SQRT((1-Z120)*($F$14-$D$14)*($F$14-$E$14)))</x:f>
        <x:v>1.0275861817962857</x:v>
      </x:c>
      <x:c r="G120" s="162" t="n">
        <x:f>IF(AA120&lt;($E$15-$D$15)/($F$15-$D$15),$D$15+SQRT(AA120*($F$15-$D$15)*($E$15-$D$15)),$F$15-SQRT((1-AA120)*($F$15-$D$15)*($F$15-$E$15)))</x:f>
        <x:v>0.09748172618495221</x:v>
      </x:c>
      <x:c r="H120" s="162" t="n">
        <x:f>IF(AB120&lt;($E$16-$D$16)/($F$16-$D$16),$D$16+SQRT(AB120*($F$16-$D$16)*($E$16-$D$16)),$F$16-SQRT((1-AB120)*($F$16-$D$16)*($F$16-$E$16)))</x:f>
        <x:v>0.028494306024055255</x:v>
      </x:c>
      <x:c r="I120" s="164" t="n">
        <x:f>'Historical Inputs'!$N$9*(1+D120)^5</x:f>
        <x:v>719279.7929477602</x:v>
      </x:c>
      <x:c r="J120" s="164" t="n">
        <x:f>I120*(1+H120)*('Terminal Value'!$E$10+E120)*(1-'Assumptions'!$E$15)*(1-H120/'Terminal Value'!$E$12)</x:f>
        <x:v>199269.4250095586</x:v>
      </x:c>
      <x:c r="K120" s="145" t="n">
        <x:f>((SUM((('Historical Inputs'!$N$9*(1+(D120))^1)*(('Assumptions'!E37+(E120))*(1-'Assumptions'!E42-(0))+'Assumptions'!E47-'Assumptions'!E52*(F120)+'Assumptions'!E57-'Assumptions'!E62*(1)-'Assumptions'!E67-(0))+('Working Capital'!$E$6))*'DCF'!E12/(1+(G120))^'DCF'!E13,(('Historical Inputs'!$N$9*(1+(D120))^2)*(('Assumptions'!F37+(E120))*(1-'Assumptions'!F42-(0))+'Assumptions'!F47-'Assumptions'!F52*(F120)+'Assumptions'!F57-'Assumptions'!F62*(1)-'Assumptions'!F67-(0))+(('Historical Inputs'!$N$9*(1+(D120))^1)*('Assumptions'!E67+(0))))*'DCF'!F12/(1+(G120))^'DCF'!F13,(('Historical Inputs'!$N$9*(1+(D120))^3)*(('Assumptions'!G37+(E120))*(1-'Assumptions'!G42-(0))+'Assumptions'!G47-'Assumptions'!G52*(F120)+'Assumptions'!G57-'Assumptions'!G62*(1)-'Assumptions'!G67-(0))+(('Historical Inputs'!$N$9*(1+(D120))^2)*('Assumptions'!F67+(0))))*'DCF'!G12/(1+(G120))^'DCF'!G13,(('Historical Inputs'!$N$9*(1+(D120))^4)*(('Assumptions'!H37+(E120))*(1-'Assumptions'!H42-(0))+'Assumptions'!H47-'Assumptions'!H52*(F120)+'Assumptions'!H57-'Assumptions'!H62*(1)-'Assumptions'!H67-(0))+(('Historical Inputs'!$N$9*(1+(D120))^3)*('Assumptions'!G67+(0))))*'DCF'!H12/(1+(G120))^'DCF'!H13,(('Historical Inputs'!$N$9*(1+(D120))^5)*(('Assumptions'!I37+(E120))*(1-'Assumptions'!I42-(0))+'Assumptions'!I47-'Assumptions'!I52*(F120)+'Assumptions'!I57-'Assumptions'!I62*(1)-'Assumptions'!I67-(0))+(('Historical Inputs'!$N$9*(1+(D120))^4)*('Assumptions'!H67+(0))))*'DCF'!I12/(1+(G120))^'DCF'!I13)+('Historical Inputs'!$N$9*(1+(D120))^5)*(1+(H120))*('Terminal Value'!$E$10+(E120))*(1-'Assumptions'!$E$15-(0))*(1-(H120)/('Terminal Value'!$E$12))/((G120)-(H120))/(1+(G120))^'DCF'!$E$19)+'Equity Bridge'!$E$17)/'Equity Bridge'!$E$20</x:f>
        <x:v>306.5546018021275</x:v>
      </x:c>
      <x:c r="L120" s="136"/>
      <x:c r="M120" s="136"/>
      <x:c r="N120" s="136"/>
      <x:c r="O120" s="136"/>
      <x:c r="P120" s="136"/>
      <x:c r="Q120" s="136"/>
      <x:c r="R120" s="136"/>
      <x:c r="S120" s="136"/>
      <x:c r="T120" s="136"/>
      <x:c r="U120" s="136"/>
      <x:c r="V120" s="136"/>
      <x:c r="W120" s="136"/>
      <x:c r="X120" s="240" t="n">
        <x:v>0.8655701683930329</x:v>
      </x:c>
      <x:c r="Y120" s="240" t="n">
        <x:v>0.3637548369292023</x:v>
      </x:c>
      <x:c r="Z120" s="240" t="n">
        <x:v>0.5753353613202367</x:v>
      </x:c>
      <x:c r="AA120" s="255" t="n">
        <x:v>0.4570544834643461</x:v>
      </x:c>
      <x:c r="AB120" s="255" t="n">
        <x:v>0.36076617415150725</x:v>
      </x:c>
    </x:row>
    <x:row r="121" ht="24" customHeight="1">
      <x:c r="C121" s="256" t="n">
        <x:f>90</x:f>
        <x:v>90</x:v>
      </x:c>
      <x:c r="D121" s="258" t="n">
        <x:f>IF(X121&lt;($E$12-$D$12)/($F$12-$D$12),$D$12+SQRT(X121*($F$12-$D$12)*($E$12-$D$12)),$F$12-SQRT((1-X121)*($F$12-$D$12)*($F$12-$E$12)))</x:f>
        <x:v>0.15449882385527514</x:v>
      </x:c>
      <x:c r="E121" s="258" t="n">
        <x:f>IF(Y121&lt;($E$13-$D$13)/($F$13-$D$13),$D$13+SQRT(Y121*($F$13-$D$13)*($E$13-$D$13)),$F$13-SQRT((1-Y121)*($F$13-$D$13)*($F$13-$E$13)))</x:f>
        <x:v>-0.005701709373664127</x:v>
      </x:c>
      <x:c r="F121" s="260" t="n">
        <x:f>IF(Z121&lt;($E$14-$D$14)/($F$14-$D$14),$D$14+SQRT(Z121*($F$14-$D$14)*($E$14-$D$14)),$F$14-SQRT((1-Z121)*($F$14-$D$14)*($F$14-$E$14)))</x:f>
        <x:v>0.9729544287918089</x:v>
      </x:c>
      <x:c r="G121" s="258" t="n">
        <x:f>IF(AA121&lt;($E$15-$D$15)/($F$15-$D$15),$D$15+SQRT(AA121*($F$15-$D$15)*($E$15-$D$15)),$F$15-SQRT((1-AA121)*($F$15-$D$15)*($F$15-$E$15)))</x:f>
        <x:v>0.10086705048858904</x:v>
      </x:c>
      <x:c r="H121" s="258" t="n">
        <x:f>IF(AB121&lt;($E$16-$D$16)/($F$16-$D$16),$D$16+SQRT(AB121*($F$16-$D$16)*($E$16-$D$16)),$F$16-SQRT((1-AB121)*($F$16-$D$16)*($F$16-$E$16)))</x:f>
        <x:v>0.02330619534250595</x:v>
      </x:c>
      <x:c r="I121" s="262" t="n">
        <x:f>'Historical Inputs'!$N$9*(1+D121)^5</x:f>
        <x:v>680604.63135455</x:v>
      </x:c>
      <x:c r="J121" s="262" t="n">
        <x:f>I121*(1+H121)*('Terminal Value'!$E$10+E121)*(1-'Assumptions'!$E$15)*(1-H121/'Terminal Value'!$E$12)</x:f>
        <x:v>194091.58715439466</x:v>
      </x:c>
      <x:c r="K121" s="264" t="n">
        <x:f>((SUM((('Historical Inputs'!$N$9*(1+(D121))^1)*(('Assumptions'!E37+(E121))*(1-'Assumptions'!E42-(0))+'Assumptions'!E47-'Assumptions'!E52*(F121)+'Assumptions'!E57-'Assumptions'!E62*(1)-'Assumptions'!E67-(0))+('Working Capital'!$E$6))*'DCF'!E12/(1+(G121))^'DCF'!E13,(('Historical Inputs'!$N$9*(1+(D121))^2)*(('Assumptions'!F37+(E121))*(1-'Assumptions'!F42-(0))+'Assumptions'!F47-'Assumptions'!F52*(F121)+'Assumptions'!F57-'Assumptions'!F62*(1)-'Assumptions'!F67-(0))+(('Historical Inputs'!$N$9*(1+(D121))^1)*('Assumptions'!E67+(0))))*'DCF'!F12/(1+(G121))^'DCF'!F13,(('Historical Inputs'!$N$9*(1+(D121))^3)*(('Assumptions'!G37+(E121))*(1-'Assumptions'!G42-(0))+'Assumptions'!G47-'Assumptions'!G52*(F121)+'Assumptions'!G57-'Assumptions'!G62*(1)-'Assumptions'!G67-(0))+(('Historical Inputs'!$N$9*(1+(D121))^2)*('Assumptions'!F67+(0))))*'DCF'!G12/(1+(G121))^'DCF'!G13,(('Historical Inputs'!$N$9*(1+(D121))^4)*(('Assumptions'!H37+(E121))*(1-'Assumptions'!H42-(0))+'Assumptions'!H47-'Assumptions'!H52*(F121)+'Assumptions'!H57-'Assumptions'!H62*(1)-'Assumptions'!H67-(0))+(('Historical Inputs'!$N$9*(1+(D121))^3)*('Assumptions'!G67+(0))))*'DCF'!H12/(1+(G121))^'DCF'!H13,(('Historical Inputs'!$N$9*(1+(D121))^5)*(('Assumptions'!I37+(E121))*(1-'Assumptions'!I42-(0))+'Assumptions'!I47-'Assumptions'!I52*(F121)+'Assumptions'!I57-'Assumptions'!I62*(1)-'Assumptions'!I67-(0))+(('Historical Inputs'!$N$9*(1+(D121))^4)*('Assumptions'!H67+(0))))*'DCF'!I12/(1+(G121))^'DCF'!I13)+('Historical Inputs'!$N$9*(1+(D121))^5)*(1+(H121))*('Terminal Value'!$E$10+(E121))*(1-'Assumptions'!$E$15-(0))*(1-(H121)/('Terminal Value'!$E$12))/((G121)-(H121))/(1+(G121))^'DCF'!$E$19)+'Equity Bridge'!$E$17)/'Equity Bridge'!$E$20</x:f>
        <x:v>271.1743644607305</x:v>
      </x:c>
      <x:c r="X121" s="255" t="n">
        <x:v>0.6995604180115305</x:v>
      </x:c>
      <x:c r="Y121" s="255" t="n">
        <x:v>0.3924677104830634</x:v>
      </x:c>
      <x:c r="Z121" s="255" t="n">
        <x:v>0.28795793446704787</x:v>
      </x:c>
      <x:c r="AA121" s="255" t="n">
        <x:v>0.6652569901638662</x:v>
      </x:c>
      <x:c r="AB121" s="255" t="n">
        <x:v>0.05465463821404026</x:v>
      </x:c>
    </x:row>
    <x:row r="122" ht="24" customHeight="1">
      <x:c r="C122" s="256" t="n">
        <x:f>91</x:f>
        <x:v>91</x:v>
      </x:c>
      <x:c r="D122" s="258" t="n">
        <x:f>IF(X122&lt;($E$12-$D$12)/($F$12-$D$12),$D$12+SQRT(X122*($F$12-$D$12)*($E$12-$D$12)),$F$12-SQRT((1-X122)*($F$12-$D$12)*($F$12-$E$12)))</x:f>
        <x:v>0.11579743249157184</x:v>
      </x:c>
      <x:c r="E122" s="258" t="n">
        <x:f>IF(Y122&lt;($E$13-$D$13)/($F$13-$D$13),$D$13+SQRT(Y122*($F$13-$D$13)*($E$13-$D$13)),$F$13-SQRT((1-Y122)*($F$13-$D$13)*($F$13-$E$13)))</x:f>
        <x:v>0.001448328267563262</x:v>
      </x:c>
      <x:c r="F122" s="260" t="n">
        <x:f>IF(Z122&lt;($E$14-$D$14)/($F$14-$D$14),$D$14+SQRT(Z122*($F$14-$D$14)*($E$14-$D$14)),$F$14-SQRT((1-Z122)*($F$14-$D$14)*($F$14-$E$14)))</x:f>
        <x:v>1.0815236101011936</x:v>
      </x:c>
      <x:c r="G122" s="258" t="n">
        <x:f>IF(AA122&lt;($E$15-$D$15)/($F$15-$D$15),$D$15+SQRT(AA122*($F$15-$D$15)*($E$15-$D$15)),$F$15-SQRT((1-AA122)*($F$15-$D$15)*($F$15-$E$15)))</x:f>
        <x:v>0.1038216503353628</x:v>
      </x:c>
      <x:c r="H122" s="258" t="n">
        <x:f>IF(AB122&lt;($E$16-$D$16)/($F$16-$D$16),$D$16+SQRT(AB122*($F$16-$D$16)*($E$16-$D$16)),$F$16-SQRT((1-AB122)*($F$16-$D$16)*($F$16-$E$16)))</x:f>
        <x:v>0.031783606086435455</x:v>
      </x:c>
      <x:c r="I122" s="262" t="n">
        <x:f>'Historical Inputs'!$N$9*(1+D122)^5</x:f>
        <x:v>573923.7733352757</x:v>
      </x:c>
      <x:c r="J122" s="262" t="n">
        <x:f>I122*(1+H122)*('Terminal Value'!$E$10+E122)*(1-'Assumptions'!$E$15)*(1-H122/'Terminal Value'!$E$12)</x:f>
        <x:v>159956.0980826629</x:v>
      </x:c>
      <x:c r="K122" s="264" t="n">
        <x:f>((SUM((('Historical Inputs'!$N$9*(1+(D122))^1)*(('Assumptions'!E37+(E122))*(1-'Assumptions'!E42-(0))+'Assumptions'!E47-'Assumptions'!E52*(F122)+'Assumptions'!E57-'Assumptions'!E62*(1)-'Assumptions'!E67-(0))+('Working Capital'!$E$6))*'DCF'!E12/(1+(G122))^'DCF'!E13,(('Historical Inputs'!$N$9*(1+(D122))^2)*(('Assumptions'!F37+(E122))*(1-'Assumptions'!F42-(0))+'Assumptions'!F47-'Assumptions'!F52*(F122)+'Assumptions'!F57-'Assumptions'!F62*(1)-'Assumptions'!F67-(0))+(('Historical Inputs'!$N$9*(1+(D122))^1)*('Assumptions'!E67+(0))))*'DCF'!F12/(1+(G122))^'DCF'!F13,(('Historical Inputs'!$N$9*(1+(D122))^3)*(('Assumptions'!G37+(E122))*(1-'Assumptions'!G42-(0))+'Assumptions'!G47-'Assumptions'!G52*(F122)+'Assumptions'!G57-'Assumptions'!G62*(1)-'Assumptions'!G67-(0))+(('Historical Inputs'!$N$9*(1+(D122))^2)*('Assumptions'!F67+(0))))*'DCF'!G12/(1+(G122))^'DCF'!G13,(('Historical Inputs'!$N$9*(1+(D122))^4)*(('Assumptions'!H37+(E122))*(1-'Assumptions'!H42-(0))+'Assumptions'!H47-'Assumptions'!H52*(F122)+'Assumptions'!H57-'Assumptions'!H62*(1)-'Assumptions'!H67-(0))+(('Historical Inputs'!$N$9*(1+(D122))^3)*('Assumptions'!G67+(0))))*'DCF'!H12/(1+(G122))^'DCF'!H13,(('Historical Inputs'!$N$9*(1+(D122))^5)*(('Assumptions'!I37+(E122))*(1-'Assumptions'!I42-(0))+'Assumptions'!I47-'Assumptions'!I52*(F122)+'Assumptions'!I57-'Assumptions'!I62*(1)-'Assumptions'!I67-(0))+(('Historical Inputs'!$N$9*(1+(D122))^4)*('Assumptions'!H67+(0))))*'DCF'!I12/(1+(G122))^'DCF'!I13)+('Historical Inputs'!$N$9*(1+(D122))^5)*(1+(H122))*('Terminal Value'!$E$10+(E122))*(1-'Assumptions'!$E$15-(0))*(1-(H122)/('Terminal Value'!$E$12))/((G122)-(H122))/(1+(G122))^'DCF'!$E$19)+'Equity Bridge'!$E$17)/'Equity Bridge'!$E$20</x:f>
        <x:v>232.62518295683495</x:v>
      </x:c>
      <x:c r="X122" s="255" t="n">
        <x:v>0.10161402259400776</x:v>
      </x:c>
      <x:c r="Y122" s="255" t="n">
        <x:v>0.5285470343971407</x:v>
      </x:c>
      <x:c r="Z122" s="255" t="n">
        <x:v>0.799476357664943</x:v>
      </x:c>
      <x:c r="AA122" s="255" t="n">
        <x:v>0.8070255045007939</x:v>
      </x:c>
      <x:c r="AB122" s="255" t="n">
        <x:v>0.6624543552856975</x:v>
      </x:c>
    </x:row>
    <x:row r="123" ht="24" customHeight="1">
      <x:c r="C123" s="256" t="n">
        <x:f>92</x:f>
        <x:v>92</x:v>
      </x:c>
      <x:c r="D123" s="258" t="n">
        <x:f>IF(X123&lt;($E$12-$D$12)/($F$12-$D$12),$D$12+SQRT(X123*($F$12-$D$12)*($E$12-$D$12)),$F$12-SQRT((1-X123)*($F$12-$D$12)*($F$12-$E$12)))</x:f>
        <x:v>0.14442217923065498</x:v>
      </x:c>
      <x:c r="E123" s="258" t="n">
        <x:f>IF(Y123&lt;($E$13-$D$13)/($F$13-$D$13),$D$13+SQRT(Y123*($F$13-$D$13)*($E$13-$D$13)),$F$13-SQRT((1-Y123)*($F$13-$D$13)*($F$13-$E$13)))</x:f>
        <x:v>-0.001240228623972675</x:v>
      </x:c>
      <x:c r="F123" s="260" t="n">
        <x:f>IF(Z123&lt;($E$14-$D$14)/($F$14-$D$14),$D$14+SQRT(Z123*($F$14-$D$14)*($E$14-$D$14)),$F$14-SQRT((1-Z123)*($F$14-$D$14)*($F$14-$E$14)))</x:f>
        <x:v>0.8708959731359234</x:v>
      </x:c>
      <x:c r="G123" s="258" t="n">
        <x:f>IF(AA123&lt;($E$15-$D$15)/($F$15-$D$15),$D$15+SQRT(AA123*($F$15-$D$15)*($E$15-$D$15)),$F$15-SQRT((1-AA123)*($F$15-$D$15)*($F$15-$E$15)))</x:f>
        <x:v>0.09976875455112993</x:v>
      </x:c>
      <x:c r="H123" s="258" t="n">
        <x:f>IF(AB123&lt;($E$16-$D$16)/($F$16-$D$16),$D$16+SQRT(AB123*($F$16-$D$16)*($E$16-$D$16)),$F$16-SQRT((1-AB123)*($F$16-$D$16)*($F$16-$E$16)))</x:f>
        <x:v>0.02842579316004567</x:v>
      </x:c>
      <x:c r="I123" s="262" t="n">
        <x:f>'Historical Inputs'!$N$9*(1+D123)^5</x:f>
        <x:v>651416.5014990331</x:v>
      </x:c>
      <x:c r="J123" s="262" t="n">
        <x:f>I123*(1+H123)*('Terminal Value'!$E$10+E123)*(1-'Assumptions'!$E$15)*(1-H123/'Terminal Value'!$E$12)</x:f>
        <x:v>183339.07913027232</x:v>
      </x:c>
      <x:c r="K123" s="264" t="n">
        <x:f>((SUM((('Historical Inputs'!$N$9*(1+(D123))^1)*(('Assumptions'!E37+(E123))*(1-'Assumptions'!E42-(0))+'Assumptions'!E47-'Assumptions'!E52*(F123)+'Assumptions'!E57-'Assumptions'!E62*(1)-'Assumptions'!E67-(0))+('Working Capital'!$E$6))*'DCF'!E12/(1+(G123))^'DCF'!E13,(('Historical Inputs'!$N$9*(1+(D123))^2)*(('Assumptions'!F37+(E123))*(1-'Assumptions'!F42-(0))+'Assumptions'!F47-'Assumptions'!F52*(F123)+'Assumptions'!F57-'Assumptions'!F62*(1)-'Assumptions'!F67-(0))+(('Historical Inputs'!$N$9*(1+(D123))^1)*('Assumptions'!E67+(0))))*'DCF'!F12/(1+(G123))^'DCF'!F13,(('Historical Inputs'!$N$9*(1+(D123))^3)*(('Assumptions'!G37+(E123))*(1-'Assumptions'!G42-(0))+'Assumptions'!G47-'Assumptions'!G52*(F123)+'Assumptions'!G57-'Assumptions'!G62*(1)-'Assumptions'!G67-(0))+(('Historical Inputs'!$N$9*(1+(D123))^2)*('Assumptions'!F67+(0))))*'DCF'!G12/(1+(G123))^'DCF'!G13,(('Historical Inputs'!$N$9*(1+(D123))^4)*(('Assumptions'!H37+(E123))*(1-'Assumptions'!H42-(0))+'Assumptions'!H47-'Assumptions'!H52*(F123)+'Assumptions'!H57-'Assumptions'!H62*(1)-'Assumptions'!H67-(0))+(('Historical Inputs'!$N$9*(1+(D123))^3)*('Assumptions'!G67+(0))))*'DCF'!H12/(1+(G123))^'DCF'!H13,(('Historical Inputs'!$N$9*(1+(D123))^5)*(('Assumptions'!I37+(E123))*(1-'Assumptions'!I42-(0))+'Assumptions'!I47-'Assumptions'!I52*(F123)+'Assumptions'!I57-'Assumptions'!I62*(1)-'Assumptions'!I67-(0))+(('Historical Inputs'!$N$9*(1+(D123))^4)*('Assumptions'!H67+(0))))*'DCF'!I12/(1+(G123))^'DCF'!I13)+('Historical Inputs'!$N$9*(1+(D123))^5)*(1+(H123))*('Terminal Value'!$E$10+(E123))*(1-'Assumptions'!$E$15-(0))*(1-(H123)/('Terminal Value'!$E$12))/((G123)-(H123))/(1+(G123))^'DCF'!$E$19)+'Equity Bridge'!$E$17)/'Equity Bridge'!$E$20</x:f>
        <x:v>283.69637641081647</x:v>
      </x:c>
      <x:c r="X123" s="255" t="n">
        <x:v>0.5230316297364545</x:v>
      </x:c>
      <x:c r="Y123" s="255" t="n">
        <x:v>0.4755030609284908</x:v>
      </x:c>
      <x:c r="Z123" s="255" t="n">
        <x:v>0.008316984634233027</x:v>
      </x:c>
      <x:c r="AA123" s="255" t="n">
        <x:v>0.6026664872173013</x:v>
      </x:c>
      <x:c r="AB123" s="255" t="n">
        <x:v>0.35496995187936187</x:v>
      </x:c>
    </x:row>
    <x:row r="124" ht="24" customHeight="1">
      <x:c r="C124" s="256" t="n">
        <x:f>93</x:f>
        <x:v>93</x:v>
      </x:c>
      <x:c r="D124" s="258" t="n">
        <x:f>IF(X124&lt;($E$12-$D$12)/($F$12-$D$12),$D$12+SQRT(X124*($F$12-$D$12)*($E$12-$D$12)),$F$12-SQRT((1-X124)*($F$12-$D$12)*($F$12-$E$12)))</x:f>
        <x:v>0.1729034099803411</x:v>
      </x:c>
      <x:c r="E124" s="258" t="n">
        <x:f>IF(Y124&lt;($E$13-$D$13)/($F$13-$D$13),$D$13+SQRT(Y124*($F$13-$D$13)*($E$13-$D$13)),$F$13-SQRT((1-Y124)*($F$13-$D$13)*($F$13-$E$13)))</x:f>
        <x:v>0.0035571650717415165</x:v>
      </x:c>
      <x:c r="F124" s="260" t="n">
        <x:f>IF(Z124&lt;($E$14-$D$14)/($F$14-$D$14),$D$14+SQRT(Z124*($F$14-$D$14)*($E$14-$D$14)),$F$14-SQRT((1-Z124)*($F$14-$D$14)*($F$14-$E$14)))</x:f>
        <x:v>1.032483626308735</x:v>
      </x:c>
      <x:c r="G124" s="258" t="n">
        <x:f>IF(AA124&lt;($E$15-$D$15)/($F$15-$D$15),$D$15+SQRT(AA124*($F$15-$D$15)*($E$15-$D$15)),$F$15-SQRT((1-AA124)*($F$15-$D$15)*($F$15-$E$15)))</x:f>
        <x:v>0.09817810055869253</x:v>
      </x:c>
      <x:c r="H124" s="258" t="n">
        <x:f>IF(AB124&lt;($E$16-$D$16)/($F$16-$D$16),$D$16+SQRT(AB124*($F$16-$D$16)*($E$16-$D$16)),$F$16-SQRT((1-AB124)*($F$16-$D$16)*($F$16-$E$16)))</x:f>
        <x:v>0.028614994590865125</x:v>
      </x:c>
      <x:c r="I124" s="262" t="n">
        <x:f>'Historical Inputs'!$N$9*(1+D124)^5</x:f>
        <x:v>736611.7980439415</x:v>
      </x:c>
      <x:c r="J124" s="262" t="n">
        <x:f>I124*(1+H124)*('Terminal Value'!$E$10+E124)*(1-'Assumptions'!$E$15)*(1-H124/'Terminal Value'!$E$12)</x:f>
        <x:v>209618.3981188315</x:v>
      </x:c>
      <x:c r="K124" s="264" t="n">
        <x:f>((SUM((('Historical Inputs'!$N$9*(1+(D124))^1)*(('Assumptions'!E37+(E124))*(1-'Assumptions'!E42-(0))+'Assumptions'!E47-'Assumptions'!E52*(F124)+'Assumptions'!E57-'Assumptions'!E62*(1)-'Assumptions'!E67-(0))+('Working Capital'!$E$6))*'DCF'!E12/(1+(G124))^'DCF'!E13,(('Historical Inputs'!$N$9*(1+(D124))^2)*(('Assumptions'!F37+(E124))*(1-'Assumptions'!F42-(0))+'Assumptions'!F47-'Assumptions'!F52*(F124)+'Assumptions'!F57-'Assumptions'!F62*(1)-'Assumptions'!F67-(0))+(('Historical Inputs'!$N$9*(1+(D124))^1)*('Assumptions'!E67+(0))))*'DCF'!F12/(1+(G124))^'DCF'!F13,(('Historical Inputs'!$N$9*(1+(D124))^3)*(('Assumptions'!G37+(E124))*(1-'Assumptions'!G42-(0))+'Assumptions'!G47-'Assumptions'!G52*(F124)+'Assumptions'!G57-'Assumptions'!G62*(1)-'Assumptions'!G67-(0))+(('Historical Inputs'!$N$9*(1+(D124))^2)*('Assumptions'!F67+(0))))*'DCF'!G12/(1+(G124))^'DCF'!G13,(('Historical Inputs'!$N$9*(1+(D124))^4)*(('Assumptions'!H37+(E124))*(1-'Assumptions'!H42-(0))+'Assumptions'!H47-'Assumptions'!H52*(F124)+'Assumptions'!H57-'Assumptions'!H62*(1)-'Assumptions'!H67-(0))+(('Historical Inputs'!$N$9*(1+(D124))^3)*('Assumptions'!G67+(0))))*'DCF'!H12/(1+(G124))^'DCF'!H13,(('Historical Inputs'!$N$9*(1+(D124))^5)*(('Assumptions'!I37+(E124))*(1-'Assumptions'!I42-(0))+'Assumptions'!I47-'Assumptions'!I52*(F124)+'Assumptions'!I57-'Assumptions'!I62*(1)-'Assumptions'!I67-(0))+(('Historical Inputs'!$N$9*(1+(D124))^4)*('Assumptions'!H67+(0))))*'DCF'!I12/(1+(G124))^'DCF'!I13)+('Historical Inputs'!$N$9*(1+(D124))^5)*(1+(H124))*('Terminal Value'!$E$10+(E124))*(1-'Assumptions'!$E$15-(0))*(1-(H124)/('Terminal Value'!$E$12))/((G124)-(H124))/(1+(G124))^'DCF'!$E$19)+'Equity Bridge'!$E$17)/'Equity Bridge'!$E$20</x:f>
        <x:v>319.57467487482427</x:v>
      </x:c>
      <x:c r="X124" s="255" t="n">
        <x:v>0.9171460969667836</x:v>
      </x:c>
      <x:c r="Y124" s="255" t="n">
        <x:v>0.5686126167653067</x:v>
      </x:c>
      <x:c r="Z124" s="255" t="n">
        <x:v>0.5991180649332631</x:v>
      </x:c>
      <x:c r="AA124" s="255" t="n">
        <x:v>0.5025122541809477</x:v>
      </x:c>
      <x:c r="AB124" s="255" t="n">
        <x:v>0.37109065900317706</x:v>
      </x:c>
    </x:row>
    <x:row r="125" ht="24" customHeight="1">
      <x:c r="C125" s="256" t="n">
        <x:f>94</x:f>
        <x:v>94</x:v>
      </x:c>
      <x:c r="D125" s="258" t="n">
        <x:f>IF(X125&lt;($E$12-$D$12)/($F$12-$D$12),$D$12+SQRT(X125*($F$12-$D$12)*($E$12-$D$12)),$F$12-SQRT((1-X125)*($F$12-$D$12)*($F$12-$E$12)))</x:f>
        <x:v>0.18536894083408928</x:v>
      </x:c>
      <x:c r="E125" s="258" t="n">
        <x:f>IF(Y125&lt;($E$13-$D$13)/($F$13-$D$13),$D$13+SQRT(Y125*($F$13-$D$13)*($E$13-$D$13)),$F$13-SQRT((1-Y125)*($F$13-$D$13)*($F$13-$E$13)))</x:f>
        <x:v>-0.013304581361322981</x:v>
      </x:c>
      <x:c r="F125" s="260" t="n">
        <x:f>IF(Z125&lt;($E$14-$D$14)/($F$14-$D$14),$D$14+SQRT(Z125*($F$14-$D$14)*($E$14-$D$14)),$F$14-SQRT((1-Z125)*($F$14-$D$14)*($F$14-$E$14)))</x:f>
        <x:v>1.0532273999156707</x:v>
      </x:c>
      <x:c r="G125" s="258" t="n">
        <x:f>IF(AA125&lt;($E$15-$D$15)/($F$15-$D$15),$D$15+SQRT(AA125*($F$15-$D$15)*($E$15-$D$15)),$F$15-SQRT((1-AA125)*($F$15-$D$15)*($F$15-$E$15)))</x:f>
        <x:v>0.10325166512707831</x:v>
      </x:c>
      <x:c r="H125" s="258" t="n">
        <x:f>IF(AB125&lt;($E$16-$D$16)/($F$16-$D$16),$D$16+SQRT(AB125*($F$16-$D$16)*($E$16-$D$16)),$F$16-SQRT((1-AB125)*($F$16-$D$16)*($F$16-$E$16)))</x:f>
        <x:v>0.03198272007152071</x:v>
      </x:c>
      <x:c r="I125" s="262" t="n">
        <x:f>'Historical Inputs'!$N$9*(1+D125)^5</x:f>
        <x:v>776595.990633543</x:v>
      </x:c>
      <x:c r="J125" s="262" t="n">
        <x:f>I125*(1+H125)*('Terminal Value'!$E$10+E125)*(1-'Assumptions'!$E$15)*(1-H125/'Terminal Value'!$E$12)</x:f>
        <x:v>208281.42344811794</x:v>
      </x:c>
      <x:c r="K125" s="264" t="n">
        <x:f>((SUM((('Historical Inputs'!$N$9*(1+(D125))^1)*(('Assumptions'!E37+(E125))*(1-'Assumptions'!E42-(0))+'Assumptions'!E47-'Assumptions'!E52*(F125)+'Assumptions'!E57-'Assumptions'!E62*(1)-'Assumptions'!E67-(0))+('Working Capital'!$E$6))*'DCF'!E12/(1+(G125))^'DCF'!E13,(('Historical Inputs'!$N$9*(1+(D125))^2)*(('Assumptions'!F37+(E125))*(1-'Assumptions'!F42-(0))+'Assumptions'!F47-'Assumptions'!F52*(F125)+'Assumptions'!F57-'Assumptions'!F62*(1)-'Assumptions'!F67-(0))+(('Historical Inputs'!$N$9*(1+(D125))^1)*('Assumptions'!E67+(0))))*'DCF'!F12/(1+(G125))^'DCF'!F13,(('Historical Inputs'!$N$9*(1+(D125))^3)*(('Assumptions'!G37+(E125))*(1-'Assumptions'!G42-(0))+'Assumptions'!G47-'Assumptions'!G52*(F125)+'Assumptions'!G57-'Assumptions'!G62*(1)-'Assumptions'!G67-(0))+(('Historical Inputs'!$N$9*(1+(D125))^2)*('Assumptions'!F67+(0))))*'DCF'!G12/(1+(G125))^'DCF'!G13,(('Historical Inputs'!$N$9*(1+(D125))^4)*(('Assumptions'!H37+(E125))*(1-'Assumptions'!H42-(0))+'Assumptions'!H47-'Assumptions'!H52*(F125)+'Assumptions'!H57-'Assumptions'!H62*(1)-'Assumptions'!H67-(0))+(('Historical Inputs'!$N$9*(1+(D125))^3)*('Assumptions'!G67+(0))))*'DCF'!H12/(1+(G125))^'DCF'!H13,(('Historical Inputs'!$N$9*(1+(D125))^5)*(('Assumptions'!I37+(E125))*(1-'Assumptions'!I42-(0))+'Assumptions'!I47-'Assumptions'!I52*(F125)+'Assumptions'!I57-'Assumptions'!I62*(1)-'Assumptions'!I67-(0))+(('Historical Inputs'!$N$9*(1+(D125))^4)*('Assumptions'!H67+(0))))*'DCF'!I12/(1+(G125))^'DCF'!I13)+('Historical Inputs'!$N$9*(1+(D125))^5)*(1+(H125))*('Terminal Value'!$E$10+(E125))*(1-'Assumptions'!$E$15-(0))*(1-(H125)/('Terminal Value'!$E$12))/((G125)-(H125))/(1+(G125))^'DCF'!$E$19)+'Equity Bridge'!$E$17)/'Equity Bridge'!$E$20</x:f>
        <x:v>302.5622953465211</x:v>
      </x:c>
      <x:c r="X125" s="255" t="n">
        <x:v>0.9875556356528303</x:v>
      </x:c>
      <x:c r="Y125" s="255" t="n">
        <x:v>0.26931074981355296</x:v>
      </x:c>
      <x:c r="Z125" s="255" t="n">
        <x:v>0.6922543409212223</x:v>
      </x:c>
      <x:c r="AA125" s="255" t="n">
        <x:v>0.7826967332398165</x:v>
      </x:c>
      <x:c r="AB125" s="255" t="n">
        <x:v>0.6786161127420156</x:v>
      </x:c>
    </x:row>
    <x:row r="126" ht="24" customHeight="1">
      <x:c r="C126" s="256" t="n">
        <x:f>95</x:f>
        <x:v>95</x:v>
      </x:c>
      <x:c r="D126" s="258" t="n">
        <x:f>IF(X126&lt;($E$12-$D$12)/($F$12-$D$12),$D$12+SQRT(X126*($F$12-$D$12)*($E$12-$D$12)),$F$12-SQRT((1-X126)*($F$12-$D$12)*($F$12-$E$12)))</x:f>
        <x:v>0.14877636017661372</x:v>
      </x:c>
      <x:c r="E126" s="258" t="n">
        <x:f>IF(Y126&lt;($E$13-$D$13)/($F$13-$D$13),$D$13+SQRT(Y126*($F$13-$D$13)*($E$13-$D$13)),$F$13-SQRT((1-Y126)*($F$13-$D$13)*($F$13-$E$13)))</x:f>
        <x:v>0.030263994352582393</x:v>
      </x:c>
      <x:c r="F126" s="260" t="n">
        <x:f>IF(Z126&lt;($E$14-$D$14)/($F$14-$D$14),$D$14+SQRT(Z126*($F$14-$D$14)*($E$14-$D$14)),$F$14-SQRT((1-Z126)*($F$14-$D$14)*($F$14-$E$14)))</x:f>
        <x:v>0.9107205517554396</x:v>
      </x:c>
      <x:c r="G126" s="258" t="n">
        <x:f>IF(AA126&lt;($E$15-$D$15)/($F$15-$D$15),$D$15+SQRT(AA126*($F$15-$D$15)*($E$15-$D$15)),$F$15-SQRT((1-AA126)*($F$15-$D$15)*($F$15-$E$15)))</x:f>
        <x:v>0.1013675473833593</x:v>
      </x:c>
      <x:c r="H126" s="258" t="n">
        <x:f>IF(AB126&lt;($E$16-$D$16)/($F$16-$D$16),$D$16+SQRT(AB126*($F$16-$D$16)*($E$16-$D$16)),$F$16-SQRT((1-AB126)*($F$16-$D$16)*($F$16-$E$16)))</x:f>
        <x:v>0.030670657585522898</x:v>
      </x:c>
      <x:c r="I126" s="262" t="n">
        <x:f>'Historical Inputs'!$N$9*(1+D126)^5</x:f>
        <x:v>663903.3740201072</x:v>
      </x:c>
      <x:c r="J126" s="262" t="n">
        <x:f>I126*(1+H126)*('Terminal Value'!$E$10+E126)*(1-'Assumptions'!$E$15)*(1-H126/'Terminal Value'!$E$12)</x:f>
        <x:v>199412.32899504754</x:v>
      </x:c>
      <x:c r="K126" s="264" t="n">
        <x:f>((SUM((('Historical Inputs'!$N$9*(1+(D126))^1)*(('Assumptions'!E37+(E126))*(1-'Assumptions'!E42-(0))+'Assumptions'!E47-'Assumptions'!E52*(F126)+'Assumptions'!E57-'Assumptions'!E62*(1)-'Assumptions'!E67-(0))+('Working Capital'!$E$6))*'DCF'!E12/(1+(G126))^'DCF'!E13,(('Historical Inputs'!$N$9*(1+(D126))^2)*(('Assumptions'!F37+(E126))*(1-'Assumptions'!F42-(0))+'Assumptions'!F47-'Assumptions'!F52*(F126)+'Assumptions'!F57-'Assumptions'!F62*(1)-'Assumptions'!F67-(0))+(('Historical Inputs'!$N$9*(1+(D126))^1)*('Assumptions'!E67+(0))))*'DCF'!F12/(1+(G126))^'DCF'!F13,(('Historical Inputs'!$N$9*(1+(D126))^3)*(('Assumptions'!G37+(E126))*(1-'Assumptions'!G42-(0))+'Assumptions'!G47-'Assumptions'!G52*(F126)+'Assumptions'!G57-'Assumptions'!G62*(1)-'Assumptions'!G67-(0))+(('Historical Inputs'!$N$9*(1+(D126))^2)*('Assumptions'!F67+(0))))*'DCF'!G12/(1+(G126))^'DCF'!G13,(('Historical Inputs'!$N$9*(1+(D126))^4)*(('Assumptions'!H37+(E126))*(1-'Assumptions'!H42-(0))+'Assumptions'!H47-'Assumptions'!H52*(F126)+'Assumptions'!H57-'Assumptions'!H62*(1)-'Assumptions'!H67-(0))+(('Historical Inputs'!$N$9*(1+(D126))^3)*('Assumptions'!G67+(0))))*'DCF'!H12/(1+(G126))^'DCF'!H13,(('Historical Inputs'!$N$9*(1+(D126))^5)*(('Assumptions'!I37+(E126))*(1-'Assumptions'!I42-(0))+'Assumptions'!I47-'Assumptions'!I52*(F126)+'Assumptions'!I57-'Assumptions'!I62*(1)-'Assumptions'!I67-(0))+(('Historical Inputs'!$N$9*(1+(D126))^4)*('Assumptions'!H67+(0))))*'DCF'!I12/(1+(G126))^'DCF'!I13)+('Historical Inputs'!$N$9*(1+(D126))^5)*(1+(H126))*('Terminal Value'!$E$10+(E126))*(1-'Assumptions'!$E$15-(0))*(1-(H126)/('Terminal Value'!$E$12))/((G126)-(H126))/(1+(G126))^'DCF'!$E$19)+'Equity Bridge'!$E$17)/'Equity Bridge'!$E$20</x:f>
        <x:v>308.09842550667867</x:v>
      </x:c>
      <x:c r="X126" s="255" t="n">
        <x:v>0.6042941478455427</x:v>
      </x:c>
      <x:c r="Y126" s="255" t="n">
        <x:v>0.92209801621702</x:v>
      </x:c>
      <x:c r="Z126" s="255" t="n">
        <x:v>0.07022829343781001</x:v>
      </x:c>
      <x:c r="AA126" s="255" t="n">
        <x:v>0.692001476289679</x:v>
      </x:c>
      <x:c r="AB126" s="255" t="n">
        <x:v>0.5648168505671928</x:v>
      </x:c>
    </x:row>
    <x:row r="127" ht="24" customHeight="1">
      <x:c r="C127" s="256" t="n">
        <x:f>96</x:f>
        <x:v>96</x:v>
      </x:c>
      <x:c r="D127" s="258" t="n">
        <x:f>IF(X127&lt;($E$12-$D$12)/($F$12-$D$12),$D$12+SQRT(X127*($F$12-$D$12)*($E$12-$D$12)),$F$12-SQRT((1-X127)*($F$12-$D$12)*($F$12-$E$12)))</x:f>
        <x:v>0.134294903825247</x:v>
      </x:c>
      <x:c r="E127" s="258" t="n">
        <x:f>IF(Y127&lt;($E$13-$D$13)/($F$13-$D$13),$D$13+SQRT(Y127*($F$13-$D$13)*($E$13-$D$13)),$F$13-SQRT((1-Y127)*($F$13-$D$13)*($F$13-$E$13)))</x:f>
        <x:v>0.014490617882338484</x:v>
      </x:c>
      <x:c r="F127" s="260" t="n">
        <x:f>IF(Z127&lt;($E$14-$D$14)/($F$14-$D$14),$D$14+SQRT(Z127*($F$14-$D$14)*($E$14-$D$14)),$F$14-SQRT((1-Z127)*($F$14-$D$14)*($F$14-$E$14)))</x:f>
        <x:v>1.0893589702123998</x:v>
      </x:c>
      <x:c r="G127" s="258" t="n">
        <x:f>IF(AA127&lt;($E$15-$D$15)/($F$15-$D$15),$D$15+SQRT(AA127*($F$15-$D$15)*($E$15-$D$15)),$F$15-SQRT((1-AA127)*($F$15-$D$15)*($F$15-$E$15)))</x:f>
        <x:v>0.09733168794360073</x:v>
      </x:c>
      <x:c r="H127" s="258" t="n">
        <x:f>IF(AB127&lt;($E$16-$D$16)/($F$16-$D$16),$D$16+SQRT(AB127*($F$16-$D$16)*($E$16-$D$16)),$F$16-SQRT((1-AB127)*($F$16-$D$16)*($F$16-$E$16)))</x:f>
        <x:v>0.02899051952569637</x:v>
      </x:c>
      <x:c r="I127" s="262" t="n">
        <x:f>'Historical Inputs'!$N$9*(1+D127)^5</x:f>
        <x:v>623099.3961455639</x:v>
      </x:c>
      <x:c r="J127" s="262" t="n">
        <x:f>I127*(1+H127)*('Terminal Value'!$E$10+E127)*(1-'Assumptions'!$E$15)*(1-H127/'Terminal Value'!$E$12)</x:f>
        <x:v>181787.3201178669</x:v>
      </x:c>
      <x:c r="K127" s="264" t="n">
        <x:f>((SUM((('Historical Inputs'!$N$9*(1+(D127))^1)*(('Assumptions'!E37+(E127))*(1-'Assumptions'!E42-(0))+'Assumptions'!E47-'Assumptions'!E52*(F127)+'Assumptions'!E57-'Assumptions'!E62*(1)-'Assumptions'!E67-(0))+('Working Capital'!$E$6))*'DCF'!E12/(1+(G127))^'DCF'!E13,(('Historical Inputs'!$N$9*(1+(D127))^2)*(('Assumptions'!F37+(E127))*(1-'Assumptions'!F42-(0))+'Assumptions'!F47-'Assumptions'!F52*(F127)+'Assumptions'!F57-'Assumptions'!F62*(1)-'Assumptions'!F67-(0))+(('Historical Inputs'!$N$9*(1+(D127))^1)*('Assumptions'!E67+(0))))*'DCF'!F12/(1+(G127))^'DCF'!F13,(('Historical Inputs'!$N$9*(1+(D127))^3)*(('Assumptions'!G37+(E127))*(1-'Assumptions'!G42-(0))+'Assumptions'!G47-'Assumptions'!G52*(F127)+'Assumptions'!G57-'Assumptions'!G62*(1)-'Assumptions'!G67-(0))+(('Historical Inputs'!$N$9*(1+(D127))^2)*('Assumptions'!F67+(0))))*'DCF'!G12/(1+(G127))^'DCF'!G13,(('Historical Inputs'!$N$9*(1+(D127))^4)*(('Assumptions'!H37+(E127))*(1-'Assumptions'!H42-(0))+'Assumptions'!H47-'Assumptions'!H52*(F127)+'Assumptions'!H57-'Assumptions'!H62*(1)-'Assumptions'!H67-(0))+(('Historical Inputs'!$N$9*(1+(D127))^3)*('Assumptions'!G67+(0))))*'DCF'!H12/(1+(G127))^'DCF'!H13,(('Historical Inputs'!$N$9*(1+(D127))^5)*(('Assumptions'!I37+(E127))*(1-'Assumptions'!I42-(0))+'Assumptions'!I47-'Assumptions'!I52*(F127)+'Assumptions'!I57-'Assumptions'!I62*(1)-'Assumptions'!I67-(0))+(('Historical Inputs'!$N$9*(1+(D127))^4)*('Assumptions'!H67+(0))))*'DCF'!I12/(1+(G127))^'DCF'!I13)+('Historical Inputs'!$N$9*(1+(D127))^5)*(1+(H127))*('Terminal Value'!$E$10+(E127))*(1-'Assumptions'!$E$15-(0))*(1-(H127)/('Terminal Value'!$E$12))/((G127)-(H127))/(1+(G127))^'DCF'!$E$19)+'Equity Bridge'!$E$17)/'Equity Bridge'!$E$20</x:f>
        <x:v>281.7850435564799</x:v>
      </x:c>
      <x:c r="X127" s="255" t="n">
        <x:v>0.33682155179588247</x:v>
      </x:c>
      <x:c r="Y127" s="255" t="n">
        <x:v>0.74781675632438</x:v>
      </x:c>
      <x:c r="Z127" s="255" t="n">
        <x:v>0.8251223218219907</x:v>
      </x:c>
      <x:c r="AA127" s="255" t="n">
        <x:v>0.44754116688645795</x:v>
      </x:c>
      <x:c r="AB127" s="255" t="n">
        <x:v>0.40414720670963855</x:v>
      </x:c>
    </x:row>
    <x:row r="128" ht="24" customHeight="1">
      <x:c r="C128" s="256" t="n">
        <x:f>97</x:f>
        <x:v>97</x:v>
      </x:c>
      <x:c r="D128" s="258" t="n">
        <x:f>IF(X128&lt;($E$12-$D$12)/($F$12-$D$12),$D$12+SQRT(X128*($F$12-$D$12)*($E$12-$D$12)),$F$12-SQRT((1-X128)*($F$12-$D$12)*($F$12-$E$12)))</x:f>
        <x:v>0.1501494778347235</x:v>
      </x:c>
      <x:c r="E128" s="258" t="n">
        <x:f>IF(Y128&lt;($E$13-$D$13)/($F$13-$D$13),$D$13+SQRT(Y128*($F$13-$D$13)*($E$13-$D$13)),$F$13-SQRT((1-Y128)*($F$13-$D$13)*($F$13-$E$13)))</x:f>
        <x:v>0.006897382517740976</x:v>
      </x:c>
      <x:c r="F128" s="260" t="n">
        <x:f>IF(Z128&lt;($E$14-$D$14)/($F$14-$D$14),$D$14+SQRT(Z128*($F$14-$D$14)*($E$14-$D$14)),$F$14-SQRT((1-Z128)*($F$14-$D$14)*($F$14-$E$14)))</x:f>
        <x:v>1.064849401137545</x:v>
      </x:c>
      <x:c r="G128" s="258" t="n">
        <x:f>IF(AA128&lt;($E$15-$D$15)/($F$15-$D$15),$D$15+SQRT(AA128*($F$15-$D$15)*($E$15-$D$15)),$F$15-SQRT((1-AA128)*($F$15-$D$15)*($F$15-$E$15)))</x:f>
        <x:v>0.08674121583788036</x:v>
      </x:c>
      <x:c r="H128" s="258" t="n">
        <x:f>IF(AB128&lt;($E$16-$D$16)/($F$16-$D$16),$D$16+SQRT(AB128*($F$16-$D$16)*($E$16-$D$16)),$F$16-SQRT((1-AB128)*($F$16-$D$16)*($F$16-$E$16)))</x:f>
        <x:v>0.024058821102142487</x:v>
      </x:c>
      <x:c r="I128" s="262" t="n">
        <x:f>'Historical Inputs'!$N$9*(1+D128)^5</x:f>
        <x:v>667880.646592704</x:v>
      </x:c>
      <x:c r="J128" s="262" t="n">
        <x:f>I128*(1+H128)*('Terminal Value'!$E$10+E128)*(1-'Assumptions'!$E$15)*(1-H128/'Terminal Value'!$E$12)</x:f>
        <x:v>195855.66913988965</x:v>
      </x:c>
      <x:c r="K128" s="264" t="n">
        <x:f>((SUM((('Historical Inputs'!$N$9*(1+(D128))^1)*(('Assumptions'!E37+(E128))*(1-'Assumptions'!E42-(0))+'Assumptions'!E47-'Assumptions'!E52*(F128)+'Assumptions'!E57-'Assumptions'!E62*(1)-'Assumptions'!E67-(0))+('Working Capital'!$E$6))*'DCF'!E12/(1+(G128))^'DCF'!E13,(('Historical Inputs'!$N$9*(1+(D128))^2)*(('Assumptions'!F37+(E128))*(1-'Assumptions'!F42-(0))+'Assumptions'!F47-'Assumptions'!F52*(F128)+'Assumptions'!F57-'Assumptions'!F62*(1)-'Assumptions'!F67-(0))+(('Historical Inputs'!$N$9*(1+(D128))^1)*('Assumptions'!E67+(0))))*'DCF'!F12/(1+(G128))^'DCF'!F13,(('Historical Inputs'!$N$9*(1+(D128))^3)*(('Assumptions'!G37+(E128))*(1-'Assumptions'!G42-(0))+'Assumptions'!G47-'Assumptions'!G52*(F128)+'Assumptions'!G57-'Assumptions'!G62*(1)-'Assumptions'!G67-(0))+(('Historical Inputs'!$N$9*(1+(D128))^2)*('Assumptions'!F67+(0))))*'DCF'!G12/(1+(G128))^'DCF'!G13,(('Historical Inputs'!$N$9*(1+(D128))^4)*(('Assumptions'!H37+(E128))*(1-'Assumptions'!H42-(0))+'Assumptions'!H47-'Assumptions'!H52*(F128)+'Assumptions'!H57-'Assumptions'!H62*(1)-'Assumptions'!H67-(0))+(('Historical Inputs'!$N$9*(1+(D128))^3)*('Assumptions'!G67+(0))))*'DCF'!H12/(1+(G128))^'DCF'!H13,(('Historical Inputs'!$N$9*(1+(D128))^5)*(('Assumptions'!I37+(E128))*(1-'Assumptions'!I42-(0))+'Assumptions'!I47-'Assumptions'!I52*(F128)+'Assumptions'!I57-'Assumptions'!I62*(1)-'Assumptions'!I67-(0))+(('Historical Inputs'!$N$9*(1+(D128))^4)*('Assumptions'!H67+(0))))*'DCF'!I12/(1+(G128))^'DCF'!I13)+('Historical Inputs'!$N$9*(1+(D128))^5)*(1+(H128))*('Terminal Value'!$E$10+(E128))*(1-'Assumptions'!$E$15-(0))*(1-(H128)/('Terminal Value'!$E$12))/((G128)-(H128))/(1+(G128))^'DCF'!$E$19)+'Equity Bridge'!$E$17)/'Equity Bridge'!$E$20</x:f>
        <x:v>338.95692408814494</x:v>
      </x:c>
      <x:c r="X128" s="255" t="n">
        <x:v>0.6283479302070428</x:v>
      </x:c>
      <x:c r="Y128" s="255" t="n">
        <x:v>0.6284328732356118</x:v>
      </x:c>
      <x:c r="Z128" s="255" t="n">
        <x:v>0.7390616518159963</x:v>
      </x:c>
      <x:c r="AA128" s="255" t="n">
        <x:v>0.028813546342201568</x:v>
      </x:c>
      <x:c r="AB128" s="255" t="n">
        <x:v>0.08237014369598583</x:v>
      </x:c>
    </x:row>
    <x:row r="129" ht="24" customHeight="1">
      <x:c r="C129" s="256" t="n">
        <x:f>98</x:f>
        <x:v>98</x:v>
      </x:c>
      <x:c r="D129" s="258" t="n">
        <x:f>IF(X129&lt;($E$12-$D$12)/($F$12-$D$12),$D$12+SQRT(X129*($F$12-$D$12)*($E$12-$D$12)),$F$12-SQRT((1-X129)*($F$12-$D$12)*($F$12-$E$12)))</x:f>
        <x:v>0.13080752561728975</x:v>
      </x:c>
      <x:c r="E129" s="258" t="n">
        <x:f>IF(Y129&lt;($E$13-$D$13)/($F$13-$D$13),$D$13+SQRT(Y129*($F$13-$D$13)*($E$13-$D$13)),$F$13-SQRT((1-Y129)*($F$13-$D$13)*($F$13-$E$13)))</x:f>
        <x:v>-0.004503744839445448</x:v>
      </x:c>
      <x:c r="F129" s="260" t="n">
        <x:f>IF(Z129&lt;($E$14-$D$14)/($F$14-$D$14),$D$14+SQRT(Z129*($F$14-$D$14)*($E$14-$D$14)),$F$14-SQRT((1-Z129)*($F$14-$D$14)*($F$14-$E$14)))</x:f>
        <x:v>0.9229676383995712</x:v>
      </x:c>
      <x:c r="G129" s="258" t="n">
        <x:f>IF(AA129&lt;($E$15-$D$15)/($F$15-$D$15),$D$15+SQRT(AA129*($F$15-$D$15)*($E$15-$D$15)),$F$15-SQRT((1-AA129)*($F$15-$D$15)*($F$15-$E$15)))</x:f>
        <x:v>0.10106998566601165</x:v>
      </x:c>
      <x:c r="H129" s="258" t="n">
        <x:f>IF(AB129&lt;($E$16-$D$16)/($F$16-$D$16),$D$16+SQRT(AB129*($F$16-$D$16)*($E$16-$D$16)),$F$16-SQRT((1-AB129)*($F$16-$D$16)*($F$16-$E$16)))</x:f>
        <x:v>0.036795222667710605</x:v>
      </x:c>
      <x:c r="I129" s="262" t="n">
        <x:f>'Historical Inputs'!$N$9*(1+D129)^5</x:f>
        <x:v>613579.5497844708</x:v>
      </x:c>
      <x:c r="J129" s="262" t="n">
        <x:f>I129*(1+H129)*('Terminal Value'!$E$10+E129)*(1-'Assumptions'!$E$15)*(1-H129/'Terminal Value'!$E$12)</x:f>
        <x:v>164247.6248617216</x:v>
      </x:c>
      <x:c r="K129" s="264" t="n">
        <x:f>((SUM((('Historical Inputs'!$N$9*(1+(D129))^1)*(('Assumptions'!E37+(E129))*(1-'Assumptions'!E42-(0))+'Assumptions'!E47-'Assumptions'!E52*(F129)+'Assumptions'!E57-'Assumptions'!E62*(1)-'Assumptions'!E67-(0))+('Working Capital'!$E$6))*'DCF'!E12/(1+(G129))^'DCF'!E13,(('Historical Inputs'!$N$9*(1+(D129))^2)*(('Assumptions'!F37+(E129))*(1-'Assumptions'!F42-(0))+'Assumptions'!F47-'Assumptions'!F52*(F129)+'Assumptions'!F57-'Assumptions'!F62*(1)-'Assumptions'!F67-(0))+(('Historical Inputs'!$N$9*(1+(D129))^1)*('Assumptions'!E67+(0))))*'DCF'!F12/(1+(G129))^'DCF'!F13,(('Historical Inputs'!$N$9*(1+(D129))^3)*(('Assumptions'!G37+(E129))*(1-'Assumptions'!G42-(0))+'Assumptions'!G47-'Assumptions'!G52*(F129)+'Assumptions'!G57-'Assumptions'!G62*(1)-'Assumptions'!G67-(0))+(('Historical Inputs'!$N$9*(1+(D129))^2)*('Assumptions'!F67+(0))))*'DCF'!G12/(1+(G129))^'DCF'!G13,(('Historical Inputs'!$N$9*(1+(D129))^4)*(('Assumptions'!H37+(E129))*(1-'Assumptions'!H42-(0))+'Assumptions'!H47-'Assumptions'!H52*(F129)+'Assumptions'!H57-'Assumptions'!H62*(1)-'Assumptions'!H67-(0))+(('Historical Inputs'!$N$9*(1+(D129))^3)*('Assumptions'!G67+(0))))*'DCF'!H12/(1+(G129))^'DCF'!H13,(('Historical Inputs'!$N$9*(1+(D129))^5)*(('Assumptions'!I37+(E129))*(1-'Assumptions'!I42-(0))+'Assumptions'!I47-'Assumptions'!I52*(F129)+'Assumptions'!I57-'Assumptions'!I62*(1)-'Assumptions'!I67-(0))+(('Historical Inputs'!$N$9*(1+(D129))^4)*('Assumptions'!H67+(0))))*'DCF'!I12/(1+(G129))^'DCF'!I13)+('Historical Inputs'!$N$9*(1+(D129))^5)*(1+(H129))*('Terminal Value'!$E$10+(E129))*(1-'Assumptions'!$E$15-(0))*(1-(H129)/('Terminal Value'!$E$12))/((G129)-(H129))/(1+(G129))^'DCF'!$E$19)+'Equity Bridge'!$E$17)/'Equity Bridge'!$E$20</x:f>
        <x:v>274.56140271383657</x:v>
      </x:c>
      <x:c r="X129" s="255" t="n">
        <x:v>0.28200806699507175</x:v>
      </x:c>
      <x:c r="Y129" s="255" t="n">
        <x:v>0.41398184672685734</x:v>
      </x:c>
      <x:c r="Z129" s="255" t="n">
        <x:v>0.10141478578305851</x:v>
      </x:c>
      <x:c r="AA129" s="255" t="n">
        <x:v>0.6762351980999503</x:v>
      </x:c>
      <x:c r="AB129" s="255" t="n">
        <x:v>0.9486470112522204</x:v>
      </x:c>
    </x:row>
    <x:row r="130" ht="24" customHeight="1">
      <x:c r="C130" s="256" t="n">
        <x:f>99</x:f>
        <x:v>99</x:v>
      </x:c>
      <x:c r="D130" s="258" t="n">
        <x:f>IF(X130&lt;($E$12-$D$12)/($F$12-$D$12),$D$12+SQRT(X130*($F$12-$D$12)*($E$12-$D$12)),$F$12-SQRT((1-X130)*($F$12-$D$12)*($F$12-$E$12)))</x:f>
        <x:v>0.15288037838187696</x:v>
      </x:c>
      <x:c r="E130" s="258" t="n">
        <x:f>IF(Y130&lt;($E$13-$D$13)/($F$13-$D$13),$D$13+SQRT(Y130*($F$13-$D$13)*($E$13-$D$13)),$F$13-SQRT((1-Y130)*($F$13-$D$13)*($F$13-$E$13)))</x:f>
        <x:v>0.029867994440348544</x:v>
      </x:c>
      <x:c r="F130" s="260" t="n">
        <x:f>IF(Z130&lt;($E$14-$D$14)/($F$14-$D$14),$D$14+SQRT(Z130*($F$14-$D$14)*($E$14-$D$14)),$F$14-SQRT((1-Z130)*($F$14-$D$14)*($F$14-$E$14)))</x:f>
        <x:v>1.005613494239527</x:v>
      </x:c>
      <x:c r="G130" s="258" t="n">
        <x:f>IF(AA130&lt;($E$15-$D$15)/($F$15-$D$15),$D$15+SQRT(AA130*($F$15-$D$15)*($E$15-$D$15)),$F$15-SQRT((1-AA130)*($F$15-$D$15)*($F$15-$E$15)))</x:f>
        <x:v>0.0920767034184514</x:v>
      </x:c>
      <x:c r="H130" s="258" t="n">
        <x:f>IF(AB130&lt;($E$16-$D$16)/($F$16-$D$16),$D$16+SQRT(AB130*($F$16-$D$16)*($E$16-$D$16)),$F$16-SQRT((1-AB130)*($F$16-$D$16)*($F$16-$E$16)))</x:f>
        <x:v>0.02233504690349561</x:v>
      </x:c>
      <x:c r="I130" s="262" t="n">
        <x:f>'Historical Inputs'!$N$9*(1+D130)^5</x:f>
        <x:v>675847.4266213862</x:v>
      </x:c>
      <x:c r="J130" s="262" t="n">
        <x:f>I130*(1+H130)*('Terminal Value'!$E$10+E130)*(1-'Assumptions'!$E$15)*(1-H130/'Terminal Value'!$E$12)</x:f>
        <x:v>211075.96418810633</x:v>
      </x:c>
      <x:c r="K130" s="264" t="n">
        <x:f>((SUM((('Historical Inputs'!$N$9*(1+(D130))^1)*(('Assumptions'!E37+(E130))*(1-'Assumptions'!E42-(0))+'Assumptions'!E47-'Assumptions'!E52*(F130)+'Assumptions'!E57-'Assumptions'!E62*(1)-'Assumptions'!E67-(0))+('Working Capital'!$E$6))*'DCF'!E12/(1+(G130))^'DCF'!E13,(('Historical Inputs'!$N$9*(1+(D130))^2)*(('Assumptions'!F37+(E130))*(1-'Assumptions'!F42-(0))+'Assumptions'!F47-'Assumptions'!F52*(F130)+'Assumptions'!F57-'Assumptions'!F62*(1)-'Assumptions'!F67-(0))+(('Historical Inputs'!$N$9*(1+(D130))^1)*('Assumptions'!E67+(0))))*'DCF'!F12/(1+(G130))^'DCF'!F13,(('Historical Inputs'!$N$9*(1+(D130))^3)*(('Assumptions'!G37+(E130))*(1-'Assumptions'!G42-(0))+'Assumptions'!G47-'Assumptions'!G52*(F130)+'Assumptions'!G57-'Assumptions'!G62*(1)-'Assumptions'!G67-(0))+(('Historical Inputs'!$N$9*(1+(D130))^2)*('Assumptions'!F67+(0))))*'DCF'!G12/(1+(G130))^'DCF'!G13,(('Historical Inputs'!$N$9*(1+(D130))^4)*(('Assumptions'!H37+(E130))*(1-'Assumptions'!H42-(0))+'Assumptions'!H47-'Assumptions'!H52*(F130)+'Assumptions'!H57-'Assumptions'!H62*(1)-'Assumptions'!H67-(0))+(('Historical Inputs'!$N$9*(1+(D130))^3)*('Assumptions'!G67+(0))))*'DCF'!H12/(1+(G130))^'DCF'!H13,(('Historical Inputs'!$N$9*(1+(D130))^5)*(('Assumptions'!I37+(E130))*(1-'Assumptions'!I42-(0))+'Assumptions'!I47-'Assumptions'!I52*(F130)+'Assumptions'!I57-'Assumptions'!I62*(1)-'Assumptions'!I67-(0))+(('Historical Inputs'!$N$9*(1+(D130))^4)*('Assumptions'!H67+(0))))*'DCF'!I12/(1+(G130))^'DCF'!I13)+('Historical Inputs'!$N$9*(1+(D130))^5)*(1+(H130))*('Terminal Value'!$E$10+(E130))*(1-'Assumptions'!$E$15-(0))*(1-(H130)/('Terminal Value'!$E$12))/((G130)-(H130))/(1+(G130))^'DCF'!$E$19)+'Equity Bridge'!$E$17)/'Equity Bridge'!$E$20</x:f>
        <x:v>332.30675642347984</x:v>
      </x:c>
      <x:c r="X130" s="255" t="n">
        <x:v>0.6739453328363048</x:v>
      </x:c>
      <x:c r="Y130" s="255" t="n">
        <x:v>0.9189404704292325</x:v>
      </x:c>
      <x:c r="Z130" s="255" t="n">
        <x:v>0.460198376831908</x:v>
      </x:c>
      <x:c r="AA130" s="255" t="n">
        <x:v>0.17746237252662656</x:v>
      </x:c>
      <x:c r="AB130" s="255" t="n">
        <x:v>0.027262220207622256</x:v>
      </x:c>
    </x:row>
    <x:row r="131" ht="24" customHeight="1">
      <x:c r="C131" s="256" t="n">
        <x:f>100</x:f>
        <x:v>100</x:v>
      </x:c>
      <x:c r="D131" s="258" t="n">
        <x:f>IF(X131&lt;($E$12-$D$12)/($F$12-$D$12),$D$12+SQRT(X131*($F$12-$D$12)*($E$12-$D$12)),$F$12-SQRT((1-X131)*($F$12-$D$12)*($F$12-$E$12)))</x:f>
        <x:v>0.15547075440127905</x:v>
      </x:c>
      <x:c r="E131" s="258" t="n">
        <x:f>IF(Y131&lt;($E$13-$D$13)/($F$13-$D$13),$D$13+SQRT(Y131*($F$13-$D$13)*($E$13-$D$13)),$F$13-SQRT((1-Y131)*($F$13-$D$13)*($F$13-$E$13)))</x:f>
        <x:v>-0.006690252591418783</x:v>
      </x:c>
      <x:c r="F131" s="260" t="n">
        <x:f>IF(Z131&lt;($E$14-$D$14)/($F$14-$D$14),$D$14+SQRT(Z131*($F$14-$D$14)*($E$14-$D$14)),$F$14-SQRT((1-Z131)*($F$14-$D$14)*($F$14-$E$14)))</x:f>
        <x:v>0.9929959867479615</x:v>
      </x:c>
      <x:c r="G131" s="258" t="n">
        <x:f>IF(AA131&lt;($E$15-$D$15)/($F$15-$D$15),$D$15+SQRT(AA131*($F$15-$D$15)*($E$15-$D$15)),$F$15-SQRT((1-AA131)*($F$15-$D$15)*($F$15-$E$15)))</x:f>
        <x:v>0.10431933349158062</x:v>
      </x:c>
      <x:c r="H131" s="258" t="n">
        <x:f>IF(AB131&lt;($E$16-$D$16)/($F$16-$D$16),$D$16+SQRT(AB131*($F$16-$D$16)*($E$16-$D$16)),$F$16-SQRT((1-AB131)*($F$16-$D$16)*($F$16-$E$16)))</x:f>
        <x:v>0.03366535321255506</x:v>
      </x:c>
      <x:c r="I131" s="262" t="n">
        <x:f>'Historical Inputs'!$N$9*(1+D131)^5</x:f>
        <x:v>683474.3404508451</x:v>
      </x:c>
      <x:c r="J131" s="262" t="n">
        <x:f>I131*(1+H131)*('Terminal Value'!$E$10+E131)*(1-'Assumptions'!$E$15)*(1-H131/'Terminal Value'!$E$12)</x:f>
        <x:v>184875.599606701</x:v>
      </x:c>
      <x:c r="K131" s="264" t="n">
        <x:f>((SUM((('Historical Inputs'!$N$9*(1+(D131))^1)*(('Assumptions'!E37+(E131))*(1-'Assumptions'!E42-(0))+'Assumptions'!E47-'Assumptions'!E52*(F131)+'Assumptions'!E57-'Assumptions'!E62*(1)-'Assumptions'!E67-(0))+('Working Capital'!$E$6))*'DCF'!E12/(1+(G131))^'DCF'!E13,(('Historical Inputs'!$N$9*(1+(D131))^2)*(('Assumptions'!F37+(E131))*(1-'Assumptions'!F42-(0))+'Assumptions'!F47-'Assumptions'!F52*(F131)+'Assumptions'!F57-'Assumptions'!F62*(1)-'Assumptions'!F67-(0))+(('Historical Inputs'!$N$9*(1+(D131))^1)*('Assumptions'!E67+(0))))*'DCF'!F12/(1+(G131))^'DCF'!F13,(('Historical Inputs'!$N$9*(1+(D131))^3)*(('Assumptions'!G37+(E131))*(1-'Assumptions'!G42-(0))+'Assumptions'!G47-'Assumptions'!G52*(F131)+'Assumptions'!G57-'Assumptions'!G62*(1)-'Assumptions'!G67-(0))+(('Historical Inputs'!$N$9*(1+(D131))^2)*('Assumptions'!F67+(0))))*'DCF'!G12/(1+(G131))^'DCF'!G13,(('Historical Inputs'!$N$9*(1+(D131))^4)*(('Assumptions'!H37+(E131))*(1-'Assumptions'!H42-(0))+'Assumptions'!H47-'Assumptions'!H52*(F131)+'Assumptions'!H57-'Assumptions'!H62*(1)-'Assumptions'!H67-(0))+(('Historical Inputs'!$N$9*(1+(D131))^3)*('Assumptions'!G67+(0))))*'DCF'!H12/(1+(G131))^'DCF'!H13,(('Historical Inputs'!$N$9*(1+(D131))^5)*(('Assumptions'!I37+(E131))*(1-'Assumptions'!I42-(0))+'Assumptions'!I47-'Assumptions'!I52*(F131)+'Assumptions'!I57-'Assumptions'!I62*(1)-'Assumptions'!I67-(0))+(('Historical Inputs'!$N$9*(1+(D131))^4)*('Assumptions'!H67+(0))))*'DCF'!I12/(1+(G131))^'DCF'!I13)+('Historical Inputs'!$N$9*(1+(D131))^5)*(1+(H131))*('Terminal Value'!$E$10+(E131))*(1-'Assumptions'!$E$15-(0))*(1-(H131)/('Terminal Value'!$E$12))/((G131)-(H131))/(1+(G131))^'DCF'!$E$19)+'Equity Bridge'!$E$17)/'Equity Bridge'!$E$20</x:f>
        <x:v>275.78255215580924</x:v>
      </x:c>
      <x:c r="X131" s="255" t="n">
        <x:v>0.7144395988206272</x:v>
      </x:c>
      <x:c r="Y131" s="255" t="n">
        <x:v>0.37514684411902155</x:v>
      </x:c>
      <x:c r="Z131" s="255" t="n">
        <x:v>0.38948289954329895</x:v>
      </x:c>
      <x:c r="AA131" s="255" t="n">
        <x:v>0.8270873942775498</x:v>
      </x:c>
      <x:c r="AB131" s="255" t="n">
        <x:v>0.7993612503915675</x:v>
      </x:c>
    </x:row>
    <x:row r="132" ht="24" customHeight="1">
      <x:c r="C132" s="256" t="n">
        <x:f>101</x:f>
        <x:v>101</x:v>
      </x:c>
      <x:c r="D132" s="258" t="n">
        <x:f>IF(X132&lt;($E$12-$D$12)/($F$12-$D$12),$D$12+SQRT(X132*($F$12-$D$12)*($E$12-$D$12)),$F$12-SQRT((1-X132)*($F$12-$D$12)*($F$12-$E$12)))</x:f>
        <x:v>0.13110966316424322</x:v>
      </x:c>
      <x:c r="E132" s="258" t="n">
        <x:f>IF(Y132&lt;($E$13-$D$13)/($F$13-$D$13),$D$13+SQRT(Y132*($F$13-$D$13)*($E$13-$D$13)),$F$13-SQRT((1-Y132)*($F$13-$D$13)*($F$13-$E$13)))</x:f>
        <x:v>0.0029396361175691027</x:v>
      </x:c>
      <x:c r="F132" s="260" t="n">
        <x:f>IF(Z132&lt;($E$14-$D$14)/($F$14-$D$14),$D$14+SQRT(Z132*($F$14-$D$14)*($E$14-$D$14)),$F$14-SQRT((1-Z132)*($F$14-$D$14)*($F$14-$E$14)))</x:f>
        <x:v>1.0051471928385207</x:v>
      </x:c>
      <x:c r="G132" s="258" t="n">
        <x:f>IF(AA132&lt;($E$15-$D$15)/($F$15-$D$15),$D$15+SQRT(AA132*($F$15-$D$15)*($E$15-$D$15)),$F$15-SQRT((1-AA132)*($F$15-$D$15)*($F$15-$E$15)))</x:f>
        <x:v>0.09977743173514428</x:v>
      </x:c>
      <x:c r="H132" s="258" t="n">
        <x:f>IF(AB132&lt;($E$16-$D$16)/($F$16-$D$16),$D$16+SQRT(AB132*($F$16-$D$16)*($E$16-$D$16)),$F$16-SQRT((1-AB132)*($F$16-$D$16)*($F$16-$E$16)))</x:f>
        <x:v>0.0336627940263312</x:v>
      </x:c>
      <x:c r="I132" s="262" t="n">
        <x:f>'Historical Inputs'!$N$9*(1+D132)^5</x:f>
        <x:v>614399.6916194337</x:v>
      </x:c>
      <x:c r="J132" s="262" t="n">
        <x:f>I132*(1+H132)*('Terminal Value'!$E$10+E132)*(1-'Assumptions'!$E$15)*(1-H132/'Terminal Value'!$E$12)</x:f>
        <x:v>170262.59838916233</x:v>
      </x:c>
      <x:c r="K132" s="264" t="n">
        <x:f>((SUM((('Historical Inputs'!$N$9*(1+(D132))^1)*(('Assumptions'!E37+(E132))*(1-'Assumptions'!E42-(0))+'Assumptions'!E47-'Assumptions'!E52*(F132)+'Assumptions'!E57-'Assumptions'!E62*(1)-'Assumptions'!E67-(0))+('Working Capital'!$E$6))*'DCF'!E12/(1+(G132))^'DCF'!E13,(('Historical Inputs'!$N$9*(1+(D132))^2)*(('Assumptions'!F37+(E132))*(1-'Assumptions'!F42-(0))+'Assumptions'!F47-'Assumptions'!F52*(F132)+'Assumptions'!F57-'Assumptions'!F62*(1)-'Assumptions'!F67-(0))+(('Historical Inputs'!$N$9*(1+(D132))^1)*('Assumptions'!E67+(0))))*'DCF'!F12/(1+(G132))^'DCF'!F13,(('Historical Inputs'!$N$9*(1+(D132))^3)*(('Assumptions'!G37+(E132))*(1-'Assumptions'!G42-(0))+'Assumptions'!G47-'Assumptions'!G52*(F132)+'Assumptions'!G57-'Assumptions'!G62*(1)-'Assumptions'!G67-(0))+(('Historical Inputs'!$N$9*(1+(D132))^2)*('Assumptions'!F67+(0))))*'DCF'!G12/(1+(G132))^'DCF'!G13,(('Historical Inputs'!$N$9*(1+(D132))^4)*(('Assumptions'!H37+(E132))*(1-'Assumptions'!H42-(0))+'Assumptions'!H47-'Assumptions'!H52*(F132)+'Assumptions'!H57-'Assumptions'!H62*(1)-'Assumptions'!H67-(0))+(('Historical Inputs'!$N$9*(1+(D132))^3)*('Assumptions'!G67+(0))))*'DCF'!H12/(1+(G132))^'DCF'!H13,(('Historical Inputs'!$N$9*(1+(D132))^5)*(('Assumptions'!I37+(E132))*(1-'Assumptions'!I42-(0))+'Assumptions'!I47-'Assumptions'!I52*(F132)+'Assumptions'!I57-'Assumptions'!I62*(1)-'Assumptions'!I67-(0))+(('Historical Inputs'!$N$9*(1+(D132))^4)*('Assumptions'!H67+(0))))*'DCF'!I12/(1+(G132))^'DCF'!I13)+('Historical Inputs'!$N$9*(1+(D132))^5)*(1+(H132))*('Terminal Value'!$E$10+(E132))*(1-'Assumptions'!$E$15-(0))*(1-(H132)/('Terminal Value'!$E$12))/((G132)-(H132))/(1+(G132))^'DCF'!$E$19)+'Equity Bridge'!$E$17)/'Equity Bridge'!$E$20</x:f>
        <x:v>274.14369159050426</x:v>
      </x:c>
      <x:c r="X132" s="255" t="n">
        <x:v>0.286564491255467</x:v>
      </x:c>
      <x:c r="Y132" s="255" t="n">
        <x:v>0.5570644302506387</x:v>
      </x:c>
      <x:c r="Z132" s="255" t="n">
        <x:v>0.4576054791613058</x:v>
      </x:c>
      <x:c r="AA132" s="255" t="n">
        <x:v>0.6031819997279938</x:v>
      </x:c>
      <x:c r="AB132" s="255" t="n">
        <x:v>0.7991991022364822</x:v>
      </x:c>
    </x:row>
    <x:row r="133" ht="24" customHeight="1">
      <x:c r="C133" s="256" t="n">
        <x:f>102</x:f>
        <x:v>102</x:v>
      </x:c>
      <x:c r="D133" s="258" t="n">
        <x:f>IF(X133&lt;($E$12-$D$12)/($F$12-$D$12),$D$12+SQRT(X133*($F$12-$D$12)*($E$12-$D$12)),$F$12-SQRT((1-X133)*($F$12-$D$12)*($F$12-$E$12)))</x:f>
        <x:v>0.11900169569213126</x:v>
      </x:c>
      <x:c r="E133" s="258" t="n">
        <x:f>IF(Y133&lt;($E$13-$D$13)/($F$13-$D$13),$D$13+SQRT(Y133*($F$13-$D$13)*($E$13-$D$13)),$F$13-SQRT((1-Y133)*($F$13-$D$13)*($F$13-$E$13)))</x:f>
        <x:v>-0.007740791217724467</x:v>
      </x:c>
      <x:c r="F133" s="260" t="n">
        <x:f>IF(Z133&lt;($E$14-$D$14)/($F$14-$D$14),$D$14+SQRT(Z133*($F$14-$D$14)*($E$14-$D$14)),$F$14-SQRT((1-Z133)*($F$14-$D$14)*($F$14-$E$14)))</x:f>
        <x:v>0.9221802007474994</x:v>
      </x:c>
      <x:c r="G133" s="258" t="n">
        <x:f>IF(AA133&lt;($E$15-$D$15)/($F$15-$D$15),$D$15+SQRT(AA133*($F$15-$D$15)*($E$15-$D$15)),$F$15-SQRT((1-AA133)*($F$15-$D$15)*($F$15-$E$15)))</x:f>
        <x:v>0.08784358584863769</x:v>
      </x:c>
      <x:c r="H133" s="258" t="n">
        <x:f>IF(AB133&lt;($E$16-$D$16)/($F$16-$D$16),$D$16+SQRT(AB133*($F$16-$D$16)*($E$16-$D$16)),$F$16-SQRT((1-AB133)*($F$16-$D$16)*($F$16-$E$16)))</x:f>
        <x:v>0.03451629589002584</x:v>
      </x:c>
      <x:c r="I133" s="262" t="n">
        <x:f>'Historical Inputs'!$N$9*(1+D133)^5</x:f>
        <x:v>582211.995590143</x:v>
      </x:c>
      <x:c r="J133" s="262" t="n">
        <x:f>I133*(1+H133)*('Terminal Value'!$E$10+E133)*(1-'Assumptions'!$E$15)*(1-H133/'Terminal Value'!$E$12)</x:f>
        <x:v>156389.23599762414</x:v>
      </x:c>
      <x:c r="K133" s="264" t="n">
        <x:f>((SUM((('Historical Inputs'!$N$9*(1+(D133))^1)*(('Assumptions'!E37+(E133))*(1-'Assumptions'!E42-(0))+'Assumptions'!E47-'Assumptions'!E52*(F133)+'Assumptions'!E57-'Assumptions'!E62*(1)-'Assumptions'!E67-(0))+('Working Capital'!$E$6))*'DCF'!E12/(1+(G133))^'DCF'!E13,(('Historical Inputs'!$N$9*(1+(D133))^2)*(('Assumptions'!F37+(E133))*(1-'Assumptions'!F42-(0))+'Assumptions'!F47-'Assumptions'!F52*(F133)+'Assumptions'!F57-'Assumptions'!F62*(1)-'Assumptions'!F67-(0))+(('Historical Inputs'!$N$9*(1+(D133))^1)*('Assumptions'!E67+(0))))*'DCF'!F12/(1+(G133))^'DCF'!F13,(('Historical Inputs'!$N$9*(1+(D133))^3)*(('Assumptions'!G37+(E133))*(1-'Assumptions'!G42-(0))+'Assumptions'!G47-'Assumptions'!G52*(F133)+'Assumptions'!G57-'Assumptions'!G62*(1)-'Assumptions'!G67-(0))+(('Historical Inputs'!$N$9*(1+(D133))^2)*('Assumptions'!F67+(0))))*'DCF'!G12/(1+(G133))^'DCF'!G13,(('Historical Inputs'!$N$9*(1+(D133))^4)*(('Assumptions'!H37+(E133))*(1-'Assumptions'!H42-(0))+'Assumptions'!H47-'Assumptions'!H52*(F133)+'Assumptions'!H57-'Assumptions'!H62*(1)-'Assumptions'!H67-(0))+(('Historical Inputs'!$N$9*(1+(D133))^3)*('Assumptions'!G67+(0))))*'DCF'!H12/(1+(G133))^'DCF'!H13,(('Historical Inputs'!$N$9*(1+(D133))^5)*(('Assumptions'!I37+(E133))*(1-'Assumptions'!I42-(0))+'Assumptions'!I47-'Assumptions'!I52*(F133)+'Assumptions'!I57-'Assumptions'!I62*(1)-'Assumptions'!I67-(0))+(('Historical Inputs'!$N$9*(1+(D133))^4)*('Assumptions'!H67+(0))))*'DCF'!I12/(1+(G133))^'DCF'!I13)+('Historical Inputs'!$N$9*(1+(D133))^5)*(1+(H133))*('Terminal Value'!$E$10+(E133))*(1-'Assumptions'!$E$15-(0))*(1-(H133)/('Terminal Value'!$E$12))/((G133)-(H133))/(1+(G133))^'DCF'!$E$19)+'Equity Bridge'!$E$17)/'Equity Bridge'!$E$20</x:f>
        <x:v>320.57802004684464</x:v>
      </x:c>
      <x:c r="X133" s="255" t="n">
        <x:v>0.13255764649410162</x:v>
      </x:c>
      <x:c r="Y133" s="255" t="n">
        <x:v>0.3571681453807908</x:v>
      </x:c>
      <x:c r="Z133" s="255" t="n">
        <x:v>0.09923774057046308</x:v>
      </x:c>
      <x:c r="AA133" s="255" t="n">
        <x:v>0.04915610219508837</x:v>
      </x:c>
      <x:c r="AB133" s="255" t="n">
        <x:v>0.8496449461712625</x:v>
      </x:c>
    </x:row>
    <x:row r="134" ht="24" customHeight="1">
      <x:c r="C134" s="256" t="n">
        <x:f>103</x:f>
        <x:v>103</x:v>
      </x:c>
      <x:c r="D134" s="258" t="n">
        <x:f>IF(X134&lt;($E$12-$D$12)/($F$12-$D$12),$D$12+SQRT(X134*($F$12-$D$12)*($E$12-$D$12)),$F$12-SQRT((1-X134)*($F$12-$D$12)*($F$12-$E$12)))</x:f>
        <x:v>0.15256723827029398</x:v>
      </x:c>
      <x:c r="E134" s="258" t="n">
        <x:f>IF(Y134&lt;($E$13-$D$13)/($F$13-$D$13),$D$13+SQRT(Y134*($F$13-$D$13)*($E$13-$D$13)),$F$13-SQRT((1-Y134)*($F$13-$D$13)*($F$13-$E$13)))</x:f>
        <x:v>-0.006539291624870186</x:v>
      </x:c>
      <x:c r="F134" s="260" t="n">
        <x:f>IF(Z134&lt;($E$14-$D$14)/($F$14-$D$14),$D$14+SQRT(Z134*($F$14-$D$14)*($E$14-$D$14)),$F$14-SQRT((1-Z134)*($F$14-$D$14)*($F$14-$E$14)))</x:f>
        <x:v>1.0950294735265134</x:v>
      </x:c>
      <x:c r="G134" s="258" t="n">
        <x:f>IF(AA134&lt;($E$15-$D$15)/($F$15-$D$15),$D$15+SQRT(AA134*($F$15-$D$15)*($E$15-$D$15)),$F$15-SQRT((1-AA134)*($F$15-$D$15)*($F$15-$E$15)))</x:f>
        <x:v>0.10461416636305766</x:v>
      </x:c>
      <x:c r="H134" s="258" t="n">
        <x:f>IF(AB134&lt;($E$16-$D$16)/($F$16-$D$16),$D$16+SQRT(AB134*($F$16-$D$16)*($E$16-$D$16)),$F$16-SQRT((1-AB134)*($F$16-$D$16)*($F$16-$E$16)))</x:f>
        <x:v>0.02851606717282947</x:v>
      </x:c>
      <x:c r="I134" s="262" t="n">
        <x:f>'Historical Inputs'!$N$9*(1+D134)^5</x:f>
        <x:v>674930.0721102849</x:v>
      </x:c>
      <x:c r="J134" s="262" t="n">
        <x:f>I134*(1+H134)*('Terminal Value'!$E$10+E134)*(1-'Assumptions'!$E$15)*(1-H134/'Terminal Value'!$E$12)</x:f>
        <x:v>187350.4132539232</x:v>
      </x:c>
      <x:c r="K134" s="264" t="n">
        <x:f>((SUM((('Historical Inputs'!$N$9*(1+(D134))^1)*(('Assumptions'!E37+(E134))*(1-'Assumptions'!E42-(0))+'Assumptions'!E47-'Assumptions'!E52*(F134)+'Assumptions'!E57-'Assumptions'!E62*(1)-'Assumptions'!E67-(0))+('Working Capital'!$E$6))*'DCF'!E12/(1+(G134))^'DCF'!E13,(('Historical Inputs'!$N$9*(1+(D134))^2)*(('Assumptions'!F37+(E134))*(1-'Assumptions'!F42-(0))+'Assumptions'!F47-'Assumptions'!F52*(F134)+'Assumptions'!F57-'Assumptions'!F62*(1)-'Assumptions'!F67-(0))+(('Historical Inputs'!$N$9*(1+(D134))^1)*('Assumptions'!E67+(0))))*'DCF'!F12/(1+(G134))^'DCF'!F13,(('Historical Inputs'!$N$9*(1+(D134))^3)*(('Assumptions'!G37+(E134))*(1-'Assumptions'!G42-(0))+'Assumptions'!G47-'Assumptions'!G52*(F134)+'Assumptions'!G57-'Assumptions'!G62*(1)-'Assumptions'!G67-(0))+(('Historical Inputs'!$N$9*(1+(D134))^2)*('Assumptions'!F67+(0))))*'DCF'!G12/(1+(G134))^'DCF'!G13,(('Historical Inputs'!$N$9*(1+(D134))^4)*(('Assumptions'!H37+(E134))*(1-'Assumptions'!H42-(0))+'Assumptions'!H47-'Assumptions'!H52*(F134)+'Assumptions'!H57-'Assumptions'!H62*(1)-'Assumptions'!H67-(0))+(('Historical Inputs'!$N$9*(1+(D134))^3)*('Assumptions'!G67+(0))))*'DCF'!H12/(1+(G134))^'DCF'!H13,(('Historical Inputs'!$N$9*(1+(D134))^5)*(('Assumptions'!I37+(E134))*(1-'Assumptions'!I42-(0))+'Assumptions'!I47-'Assumptions'!I52*(F134)+'Assumptions'!I57-'Assumptions'!I62*(1)-'Assumptions'!I67-(0))+(('Historical Inputs'!$N$9*(1+(D134))^4)*('Assumptions'!H67+(0))))*'DCF'!I12/(1+(G134))^'DCF'!I13)+('Historical Inputs'!$N$9*(1+(D134))^5)*(1+(H134))*('Terminal Value'!$E$10+(E134))*(1-'Assumptions'!$E$15-(0))*(1-(H134)/('Terminal Value'!$E$12))/((G134)-(H134))/(1+(G134))^'DCF'!$E$19)+'Equity Bridge'!$E$17)/'Equity Bridge'!$E$20</x:f>
        <x:v>255.44729315312154</x:v>
      </x:c>
      <x:c r="X134" s="255" t="n">
        <x:v>0.6688683028370255</x:v>
      </x:c>
      <x:c r="Y134" s="255" t="n">
        <x:v>0.3777666344936158</x:v>
      </x:c>
      <x:c r="Z134" s="255" t="n">
        <x:v>0.8425884081697008</x:v>
      </x:c>
      <x:c r="AA134" s="255" t="n">
        <x:v>0.8384530302913302</x:v>
      </x:c>
      <x:c r="AB134" s="255" t="n">
        <x:v>0.36261700046071865</x:v>
      </x:c>
    </x:row>
    <x:row r="135" ht="24" customHeight="1">
      <x:c r="C135" s="256" t="n">
        <x:f>104</x:f>
        <x:v>104</x:v>
      </x:c>
      <x:c r="D135" s="258" t="n">
        <x:f>IF(X135&lt;($E$12-$D$12)/($F$12-$D$12),$D$12+SQRT(X135*($F$12-$D$12)*($E$12-$D$12)),$F$12-SQRT((1-X135)*($F$12-$D$12)*($F$12-$E$12)))</x:f>
        <x:v>0.11440490947675322</x:v>
      </x:c>
      <x:c r="E135" s="258" t="n">
        <x:f>IF(Y135&lt;($E$13-$D$13)/($F$13-$D$13),$D$13+SQRT(Y135*($F$13-$D$13)*($E$13-$D$13)),$F$13-SQRT((1-Y135)*($F$13-$D$13)*($F$13-$E$13)))</x:f>
        <x:v>-0.013424347015225505</x:v>
      </x:c>
      <x:c r="F135" s="260" t="n">
        <x:f>IF(Z135&lt;($E$14-$D$14)/($F$14-$D$14),$D$14+SQRT(Z135*($F$14-$D$14)*($E$14-$D$14)),$F$14-SQRT((1-Z135)*($F$14-$D$14)*($F$14-$E$14)))</x:f>
        <x:v>0.9751175752524959</x:v>
      </x:c>
      <x:c r="G135" s="258" t="n">
        <x:f>IF(AA135&lt;($E$15-$D$15)/($F$15-$D$15),$D$15+SQRT(AA135*($F$15-$D$15)*($E$15-$D$15)),$F$15-SQRT((1-AA135)*($F$15-$D$15)*($F$15-$E$15)))</x:f>
        <x:v>0.0951961965229137</x:v>
      </x:c>
      <x:c r="H135" s="258" t="n">
        <x:f>IF(AB135&lt;($E$16-$D$16)/($F$16-$D$16),$D$16+SQRT(AB135*($F$16-$D$16)*($E$16-$D$16)),$F$16-SQRT((1-AB135)*($F$16-$D$16)*($F$16-$E$16)))</x:f>
        <x:v>0.023628858285911783</x:v>
      </x:c>
      <x:c r="I135" s="262" t="n">
        <x:f>'Historical Inputs'!$N$9*(1+D135)^5</x:f>
        <x:v>570351.3967176584</x:v>
      </x:c>
      <x:c r="J135" s="262" t="n">
        <x:f>I135*(1+H135)*('Terminal Value'!$E$10+E135)*(1-'Assumptions'!$E$15)*(1-H135/'Terminal Value'!$E$12)</x:f>
        <x:v>159223.45601294795</x:v>
      </x:c>
      <x:c r="K135" s="264" t="n">
        <x:f>((SUM((('Historical Inputs'!$N$9*(1+(D135))^1)*(('Assumptions'!E37+(E135))*(1-'Assumptions'!E42-(0))+'Assumptions'!E47-'Assumptions'!E52*(F135)+'Assumptions'!E57-'Assumptions'!E62*(1)-'Assumptions'!E67-(0))+('Working Capital'!$E$6))*'DCF'!E12/(1+(G135))^'DCF'!E13,(('Historical Inputs'!$N$9*(1+(D135))^2)*(('Assumptions'!F37+(E135))*(1-'Assumptions'!F42-(0))+'Assumptions'!F47-'Assumptions'!F52*(F135)+'Assumptions'!F57-'Assumptions'!F62*(1)-'Assumptions'!F67-(0))+(('Historical Inputs'!$N$9*(1+(D135))^1)*('Assumptions'!E67+(0))))*'DCF'!F12/(1+(G135))^'DCF'!F13,(('Historical Inputs'!$N$9*(1+(D135))^3)*(('Assumptions'!G37+(E135))*(1-'Assumptions'!G42-(0))+'Assumptions'!G47-'Assumptions'!G52*(F135)+'Assumptions'!G57-'Assumptions'!G62*(1)-'Assumptions'!G67-(0))+(('Historical Inputs'!$N$9*(1+(D135))^2)*('Assumptions'!F67+(0))))*'DCF'!G12/(1+(G135))^'DCF'!G13,(('Historical Inputs'!$N$9*(1+(D135))^4)*(('Assumptions'!H37+(E135))*(1-'Assumptions'!H42-(0))+'Assumptions'!H47-'Assumptions'!H52*(F135)+'Assumptions'!H57-'Assumptions'!H62*(1)-'Assumptions'!H67-(0))+(('Historical Inputs'!$N$9*(1+(D135))^3)*('Assumptions'!G67+(0))))*'DCF'!H12/(1+(G135))^'DCF'!H13,(('Historical Inputs'!$N$9*(1+(D135))^5)*(('Assumptions'!I37+(E135))*(1-'Assumptions'!I42-(0))+'Assumptions'!I47-'Assumptions'!I52*(F135)+'Assumptions'!I57-'Assumptions'!I62*(1)-'Assumptions'!I67-(0))+(('Historical Inputs'!$N$9*(1+(D135))^4)*('Assumptions'!H67+(0))))*'DCF'!I12/(1+(G135))^'DCF'!I13)+('Historical Inputs'!$N$9*(1+(D135))^5)*(1+(H135))*('Terminal Value'!$E$10+(E135))*(1-'Assumptions'!$E$15-(0))*(1-(H135)/('Terminal Value'!$E$12))/((G135)-(H135))/(1+(G135))^'DCF'!$E$19)+'Equity Bridge'!$E$17)/'Equity Bridge'!$E$20</x:f>
        <x:v>244.38581405727223</x:v>
      </x:c>
      <x:c r="X135" s="255" t="n">
        <x:v>0.08944663041729084</x:v>
      </x:c>
      <x:c r="Y135" s="255" t="n">
        <x:v>0.2675556782525287</x:v>
      </x:c>
      <x:c r="Z135" s="255" t="n">
        <x:v>0.29817919308693264</x:v>
      </x:c>
      <x:c r="AA135" s="255" t="n">
        <x:v>0.32298437832248295</x:v>
      </x:c>
      <x:c r="AB135" s="255" t="n">
        <x:v>0.06584306229615311</x:v>
      </x:c>
    </x:row>
    <x:row r="136" ht="24" customHeight="1">
      <x:c r="C136" s="256" t="n">
        <x:f>105</x:f>
        <x:v>105</x:v>
      </x:c>
      <x:c r="D136" s="258" t="n">
        <x:f>IF(X136&lt;($E$12-$D$12)/($F$12-$D$12),$D$12+SQRT(X136*($F$12-$D$12)*($E$12-$D$12)),$F$12-SQRT((1-X136)*($F$12-$D$12)*($F$12-$E$12)))</x:f>
        <x:v>0.16779668523533942</x:v>
      </x:c>
      <x:c r="E136" s="258" t="n">
        <x:f>IF(Y136&lt;($E$13-$D$13)/($F$13-$D$13),$D$13+SQRT(Y136*($F$13-$D$13)*($E$13-$D$13)),$F$13-SQRT((1-Y136)*($F$13-$D$13)*($F$13-$E$13)))</x:f>
        <x:v>-0.0149326624925267</x:v>
      </x:c>
      <x:c r="F136" s="260" t="n">
        <x:f>IF(Z136&lt;($E$14-$D$14)/($F$14-$D$14),$D$14+SQRT(Z136*($F$14-$D$14)*($E$14-$D$14)),$F$14-SQRT((1-Z136)*($F$14-$D$14)*($F$14-$E$14)))</x:f>
        <x:v>0.9626877265377859</x:v>
      </x:c>
      <x:c r="G136" s="258" t="n">
        <x:f>IF(AA136&lt;($E$15-$D$15)/($F$15-$D$15),$D$15+SQRT(AA136*($F$15-$D$15)*($E$15-$D$15)),$F$15-SQRT((1-AA136)*($F$15-$D$15)*($F$15-$E$15)))</x:f>
        <x:v>0.10345658086038208</x:v>
      </x:c>
      <x:c r="H136" s="258" t="n">
        <x:f>IF(AB136&lt;($E$16-$D$16)/($F$16-$D$16),$D$16+SQRT(AB136*($F$16-$D$16)*($E$16-$D$16)),$F$16-SQRT((1-AB136)*($F$16-$D$16)*($F$16-$E$16)))</x:f>
        <x:v>0.03358889039204932</x:v>
      </x:c>
      <x:c r="I136" s="262" t="n">
        <x:f>'Historical Inputs'!$N$9*(1+D136)^5</x:f>
        <x:v>720715.0927509152</x:v>
      </x:c>
      <x:c r="J136" s="262" t="n">
        <x:f>I136*(1+H136)*('Terminal Value'!$E$10+E136)*(1-'Assumptions'!$E$15)*(1-H136/'Terminal Value'!$E$12)</x:f>
        <x:v>190937.1515515545</x:v>
      </x:c>
      <x:c r="K136" s="264" t="n">
        <x:f>((SUM((('Historical Inputs'!$N$9*(1+(D136))^1)*(('Assumptions'!E37+(E136))*(1-'Assumptions'!E42-(0))+'Assumptions'!E47-'Assumptions'!E52*(F136)+'Assumptions'!E57-'Assumptions'!E62*(1)-'Assumptions'!E67-(0))+('Working Capital'!$E$6))*'DCF'!E12/(1+(G136))^'DCF'!E13,(('Historical Inputs'!$N$9*(1+(D136))^2)*(('Assumptions'!F37+(E136))*(1-'Assumptions'!F42-(0))+'Assumptions'!F47-'Assumptions'!F52*(F136)+'Assumptions'!F57-'Assumptions'!F62*(1)-'Assumptions'!F67-(0))+(('Historical Inputs'!$N$9*(1+(D136))^1)*('Assumptions'!E67+(0))))*'DCF'!F12/(1+(G136))^'DCF'!F13,(('Historical Inputs'!$N$9*(1+(D136))^3)*(('Assumptions'!G37+(E136))*(1-'Assumptions'!G42-(0))+'Assumptions'!G47-'Assumptions'!G52*(F136)+'Assumptions'!G57-'Assumptions'!G62*(1)-'Assumptions'!G67-(0))+(('Historical Inputs'!$N$9*(1+(D136))^2)*('Assumptions'!F67+(0))))*'DCF'!G12/(1+(G136))^'DCF'!G13,(('Historical Inputs'!$N$9*(1+(D136))^4)*(('Assumptions'!H37+(E136))*(1-'Assumptions'!H42-(0))+'Assumptions'!H47-'Assumptions'!H52*(F136)+'Assumptions'!H57-'Assumptions'!H62*(1)-'Assumptions'!H67-(0))+(('Historical Inputs'!$N$9*(1+(D136))^3)*('Assumptions'!G67+(0))))*'DCF'!H12/(1+(G136))^'DCF'!H13,(('Historical Inputs'!$N$9*(1+(D136))^5)*(('Assumptions'!I37+(E136))*(1-'Assumptions'!I42-(0))+'Assumptions'!I47-'Assumptions'!I52*(F136)+'Assumptions'!I57-'Assumptions'!I62*(1)-'Assumptions'!I67-(0))+(('Historical Inputs'!$N$9*(1+(D136))^4)*('Assumptions'!H67+(0))))*'DCF'!I12/(1+(G136))^'DCF'!I13)+('Historical Inputs'!$N$9*(1+(D136))^5)*(1+(H136))*('Terminal Value'!$E$10+(E136))*(1-'Assumptions'!$E$15-(0))*(1-(H136)/('Terminal Value'!$E$12))/((G136)-(H136))/(1+(G136))^'DCF'!$E$19)+'Equity Bridge'!$E$17)/'Equity Bridge'!$E$20</x:f>
        <x:v>288.99185873958714</x:v>
      </x:c>
      <x:c r="X136" s="255" t="n">
        <x:v>0.8703542521374696</x:v>
      </x:c>
      <x:c r="Y136" s="255" t="n">
        <x:v>0.24594363197260882</x:v>
      </x:c>
      <x:c r="Z136" s="255" t="n">
        <x:v>0.24187664213818716</x:v>
      </x:c>
      <x:c r="AA136" s="255" t="n">
        <x:v>0.7916094258456018</x:v>
      </x:c>
      <x:c r="AB136" s="255" t="n">
        <x:v>0.7944883679742122</x:v>
      </x:c>
    </x:row>
    <x:row r="137" ht="24" customHeight="1">
      <x:c r="C137" s="256" t="n">
        <x:f>106</x:f>
        <x:v>106</x:v>
      </x:c>
      <x:c r="D137" s="258" t="n">
        <x:f>IF(X137&lt;($E$12-$D$12)/($F$12-$D$12),$D$12+SQRT(X137*($F$12-$D$12)*($E$12-$D$12)),$F$12-SQRT((1-X137)*($F$12-$D$12)*($F$12-$E$12)))</x:f>
        <x:v>0.1663768933025871</x:v>
      </x:c>
      <x:c r="E137" s="258" t="n">
        <x:f>IF(Y137&lt;($E$13-$D$13)/($F$13-$D$13),$D$13+SQRT(Y137*($F$13-$D$13)*($E$13-$D$13)),$F$13-SQRT((1-Y137)*($F$13-$D$13)*($F$13-$E$13)))</x:f>
        <x:v>0.020031982243688462</x:v>
      </x:c>
      <x:c r="F137" s="260" t="n">
        <x:f>IF(Z137&lt;($E$14-$D$14)/($F$14-$D$14),$D$14+SQRT(Z137*($F$14-$D$14)*($E$14-$D$14)),$F$14-SQRT((1-Z137)*($F$14-$D$14)*($F$14-$E$14)))</x:f>
        <x:v>0.9577960054256113</x:v>
      </x:c>
      <x:c r="G137" s="258" t="n">
        <x:f>IF(AA137&lt;($E$15-$D$15)/($F$15-$D$15),$D$15+SQRT(AA137*($F$15-$D$15)*($E$15-$D$15)),$F$15-SQRT((1-AA137)*($F$15-$D$15)*($F$15-$E$15)))</x:f>
        <x:v>0.09964647346805335</x:v>
      </x:c>
      <x:c r="H137" s="258" t="n">
        <x:f>IF(AB137&lt;($E$16-$D$16)/($F$16-$D$16),$D$16+SQRT(AB137*($F$16-$D$16)*($E$16-$D$16)),$F$16-SQRT((1-AB137)*($F$16-$D$16)*($F$16-$E$16)))</x:f>
        <x:v>0.026553821918201027</x:v>
      </x:c>
      <x:c r="I137" s="262" t="n">
        <x:f>'Historical Inputs'!$N$9*(1+D137)^5</x:f>
        <x:v>716344.5530625094</x:v>
      </x:c>
      <x:c r="J137" s="262" t="n">
        <x:f>I137*(1+H137)*('Terminal Value'!$E$10+E137)*(1-'Assumptions'!$E$15)*(1-H137/'Terminal Value'!$E$12)</x:f>
        <x:v>214294.37574089304</x:v>
      </x:c>
      <x:c r="K137" s="264" t="n">
        <x:f>((SUM((('Historical Inputs'!$N$9*(1+(D137))^1)*(('Assumptions'!E37+(E137))*(1-'Assumptions'!E42-(0))+'Assumptions'!E47-'Assumptions'!E52*(F137)+'Assumptions'!E57-'Assumptions'!E62*(1)-'Assumptions'!E67-(0))+('Working Capital'!$E$6))*'DCF'!E12/(1+(G137))^'DCF'!E13,(('Historical Inputs'!$N$9*(1+(D137))^2)*(('Assumptions'!F37+(E137))*(1-'Assumptions'!F42-(0))+'Assumptions'!F47-'Assumptions'!F52*(F137)+'Assumptions'!F57-'Assumptions'!F62*(1)-'Assumptions'!F67-(0))+(('Historical Inputs'!$N$9*(1+(D137))^1)*('Assumptions'!E67+(0))))*'DCF'!F12/(1+(G137))^'DCF'!F13,(('Historical Inputs'!$N$9*(1+(D137))^3)*(('Assumptions'!G37+(E137))*(1-'Assumptions'!G42-(0))+'Assumptions'!G47-'Assumptions'!G52*(F137)+'Assumptions'!G57-'Assumptions'!G62*(1)-'Assumptions'!G67-(0))+(('Historical Inputs'!$N$9*(1+(D137))^2)*('Assumptions'!F67+(0))))*'DCF'!G12/(1+(G137))^'DCF'!G13,(('Historical Inputs'!$N$9*(1+(D137))^4)*(('Assumptions'!H37+(E137))*(1-'Assumptions'!H42-(0))+'Assumptions'!H47-'Assumptions'!H52*(F137)+'Assumptions'!H57-'Assumptions'!H62*(1)-'Assumptions'!H67-(0))+(('Historical Inputs'!$N$9*(1+(D137))^3)*('Assumptions'!G67+(0))))*'DCF'!H12/(1+(G137))^'DCF'!H13,(('Historical Inputs'!$N$9*(1+(D137))^5)*(('Assumptions'!I37+(E137))*(1-'Assumptions'!I42-(0))+'Assumptions'!I47-'Assumptions'!I52*(F137)+'Assumptions'!I57-'Assumptions'!I62*(1)-'Assumptions'!I67-(0))+(('Historical Inputs'!$N$9*(1+(D137))^4)*('Assumptions'!H67+(0))))*'DCF'!I12/(1+(G137))^'DCF'!I13)+('Historical Inputs'!$N$9*(1+(D137))^5)*(1+(H137))*('Terminal Value'!$E$10+(E137))*(1-'Assumptions'!$E$15-(0))*(1-(H137)/('Terminal Value'!$E$12))/((G137)-(H137))/(1+(G137))^'DCF'!$E$19)+'Equity Bridge'!$E$17)/'Equity Bridge'!$E$20</x:f>
        <x:v>318.1214534999879</x:v>
      </x:c>
      <x:c r="X137" s="255" t="n">
        <x:v>0.8554917381123439</x:v>
      </x:c>
      <x:c r="Y137" s="255" t="n">
        <x:v>0.8203835823514792</x:v>
      </x:c>
      <x:c r="Z137" s="255" t="n">
        <x:v>0.2213329292517794</x:v>
      </x:c>
      <x:c r="AA137" s="255" t="n">
        <x:v>0.5953661678194497</x:v>
      </x:c>
      <x:c r="AB137" s="255" t="n">
        <x:v>0.21476290867746095</x:v>
      </x:c>
    </x:row>
    <x:row r="138" ht="24" customHeight="1">
      <x:c r="C138" s="256" t="n">
        <x:f>107</x:f>
        <x:v>107</x:v>
      </x:c>
      <x:c r="D138" s="258" t="n">
        <x:f>IF(X138&lt;($E$12-$D$12)/($F$12-$D$12),$D$12+SQRT(X138*($F$12-$D$12)*($E$12-$D$12)),$F$12-SQRT((1-X138)*($F$12-$D$12)*($F$12-$E$12)))</x:f>
        <x:v>0.11271382290990412</x:v>
      </x:c>
      <x:c r="E138" s="258" t="n">
        <x:f>IF(Y138&lt;($E$13-$D$13)/($F$13-$D$13),$D$13+SQRT(Y138*($F$13-$D$13)*($E$13-$D$13)),$F$13-SQRT((1-Y138)*($F$13-$D$13)*($F$13-$E$13)))</x:f>
        <x:v>0.01493719993707477</x:v>
      </x:c>
      <x:c r="F138" s="260" t="n">
        <x:f>IF(Z138&lt;($E$14-$D$14)/($F$14-$D$14),$D$14+SQRT(Z138*($F$14-$D$14)*($E$14-$D$14)),$F$14-SQRT((1-Z138)*($F$14-$D$14)*($F$14-$E$14)))</x:f>
        <x:v>1.0726973680790066</x:v>
      </x:c>
      <x:c r="G138" s="258" t="n">
        <x:f>IF(AA138&lt;($E$15-$D$15)/($F$15-$D$15),$D$15+SQRT(AA138*($F$15-$D$15)*($E$15-$D$15)),$F$15-SQRT((1-AA138)*($F$15-$D$15)*($F$15-$E$15)))</x:f>
        <x:v>0.09033428341184165</x:v>
      </x:c>
      <x:c r="H138" s="258" t="n">
        <x:f>IF(AB138&lt;($E$16-$D$16)/($F$16-$D$16),$D$16+SQRT(AB138*($F$16-$D$16)*($E$16-$D$16)),$F$16-SQRT((1-AB138)*($F$16-$D$16)*($F$16-$E$16)))</x:f>
        <x:v>0.022599785873857657</x:v>
      </x:c>
      <x:c r="I138" s="262" t="n">
        <x:f>'Historical Inputs'!$N$9*(1+D138)^5</x:f>
        <x:v>566037.0278703881</x:v>
      </x:c>
      <x:c r="J138" s="262" t="n">
        <x:f>I138*(1+H138)*('Terminal Value'!$E$10+E138)*(1-'Assumptions'!$E$15)*(1-H138/'Terminal Value'!$E$12)</x:f>
        <x:v>170430.3917753369</x:v>
      </x:c>
      <x:c r="K138" s="264" t="n">
        <x:f>((SUM((('Historical Inputs'!$N$9*(1+(D138))^1)*(('Assumptions'!E37+(E138))*(1-'Assumptions'!E42-(0))+'Assumptions'!E47-'Assumptions'!E52*(F138)+'Assumptions'!E57-'Assumptions'!E62*(1)-'Assumptions'!E67-(0))+('Working Capital'!$E$6))*'DCF'!E12/(1+(G138))^'DCF'!E13,(('Historical Inputs'!$N$9*(1+(D138))^2)*(('Assumptions'!F37+(E138))*(1-'Assumptions'!F42-(0))+'Assumptions'!F47-'Assumptions'!F52*(F138)+'Assumptions'!F57-'Assumptions'!F62*(1)-'Assumptions'!F67-(0))+(('Historical Inputs'!$N$9*(1+(D138))^1)*('Assumptions'!E67+(0))))*'DCF'!F12/(1+(G138))^'DCF'!F13,(('Historical Inputs'!$N$9*(1+(D138))^3)*(('Assumptions'!G37+(E138))*(1-'Assumptions'!G42-(0))+'Assumptions'!G47-'Assumptions'!G52*(F138)+'Assumptions'!G57-'Assumptions'!G62*(1)-'Assumptions'!G67-(0))+(('Historical Inputs'!$N$9*(1+(D138))^2)*('Assumptions'!F67+(0))))*'DCF'!G12/(1+(G138))^'DCF'!G13,(('Historical Inputs'!$N$9*(1+(D138))^4)*(('Assumptions'!H37+(E138))*(1-'Assumptions'!H42-(0))+'Assumptions'!H47-'Assumptions'!H52*(F138)+'Assumptions'!H57-'Assumptions'!H62*(1)-'Assumptions'!H67-(0))+(('Historical Inputs'!$N$9*(1+(D138))^3)*('Assumptions'!G67+(0))))*'DCF'!H12/(1+(G138))^'DCF'!H13,(('Historical Inputs'!$N$9*(1+(D138))^5)*(('Assumptions'!I37+(E138))*(1-'Assumptions'!I42-(0))+'Assumptions'!I47-'Assumptions'!I52*(F138)+'Assumptions'!I57-'Assumptions'!I62*(1)-'Assumptions'!I67-(0))+(('Historical Inputs'!$N$9*(1+(D138))^4)*('Assumptions'!H67+(0))))*'DCF'!I12/(1+(G138))^'DCF'!I13)+('Historical Inputs'!$N$9*(1+(D138))^5)*(1+(H138))*('Terminal Value'!$E$10+(E138))*(1-'Assumptions'!$E$15-(0))*(1-(H138)/('Terminal Value'!$E$12))/((G138)-(H138))/(1+(G138))^'DCF'!$E$19)+'Equity Bridge'!$E$17)/'Equity Bridge'!$E$20</x:f>
        <x:v>274.4818760899618</x:v>
      </x:c>
      <x:c r="X138" s="255" t="n">
        <x:v>0.075713421683276</x:v>
      </x:c>
      <x:c r="Y138" s="255" t="n">
        <x:v>0.7541200103494661</x:v>
      </x:c>
      <x:c r="Z138" s="255" t="n">
        <x:v>0.7684862843712582</x:v>
      </x:c>
      <x:c r="AA138" s="255" t="n">
        <x:v>0.1150053341725914</x:v>
      </x:c>
      <x:c r="AB138" s="255" t="n">
        <x:v>0.0337944329495492</x:v>
      </x:c>
    </x:row>
    <x:row r="139" ht="24" customHeight="1">
      <x:c r="C139" s="256" t="n">
        <x:f>108</x:f>
        <x:v>108</x:v>
      </x:c>
      <x:c r="D139" s="258" t="n">
        <x:f>IF(X139&lt;($E$12-$D$12)/($F$12-$D$12),$D$12+SQRT(X139*($F$12-$D$12)*($E$12-$D$12)),$F$12-SQRT((1-X139)*($F$12-$D$12)*($F$12-$E$12)))</x:f>
        <x:v>0.15919324934532797</x:v>
      </x:c>
      <x:c r="E139" s="258" t="n">
        <x:f>IF(Y139&lt;($E$13-$D$13)/($F$13-$D$13),$D$13+SQRT(Y139*($F$13-$D$13)*($E$13-$D$13)),$F$13-SQRT((1-Y139)*($F$13-$D$13)*($F$13-$E$13)))</x:f>
        <x:v>0.03668510223037386</x:v>
      </x:c>
      <x:c r="F139" s="260" t="n">
        <x:f>IF(Z139&lt;($E$14-$D$14)/($F$14-$D$14),$D$14+SQRT(Z139*($F$14-$D$14)*($E$14-$D$14)),$F$14-SQRT((1-Z139)*($F$14-$D$14)*($F$14-$E$14)))</x:f>
        <x:v>0.980288132063378</x:v>
      </x:c>
      <x:c r="G139" s="258" t="n">
        <x:f>IF(AA139&lt;($E$15-$D$15)/($F$15-$D$15),$D$15+SQRT(AA139*($F$15-$D$15)*($E$15-$D$15)),$F$15-SQRT((1-AA139)*($F$15-$D$15)*($F$15-$E$15)))</x:f>
        <x:v>0.11119857353277508</x:v>
      </x:c>
      <x:c r="H139" s="258" t="n">
        <x:f>IF(AB139&lt;($E$16-$D$16)/($F$16-$D$16),$D$16+SQRT(AB139*($F$16-$D$16)*($E$16-$D$16)),$F$16-SQRT((1-AB139)*($F$16-$D$16)*($F$16-$E$16)))</x:f>
        <x:v>0.023020863981219577</x:v>
      </x:c>
      <x:c r="I139" s="262" t="n">
        <x:f>'Historical Inputs'!$N$9*(1+D139)^5</x:f>
        <x:v>694555.0007773035</x:v>
      </x:c>
      <x:c r="J139" s="262" t="n">
        <x:f>I139*(1+H139)*('Terminal Value'!$E$10+E139)*(1-'Assumptions'!$E$15)*(1-H139/'Terminal Value'!$E$12)</x:f>
        <x:v>219655.24173439934</x:v>
      </x:c>
      <x:c r="K139" s="264" t="n">
        <x:f>((SUM((('Historical Inputs'!$N$9*(1+(D139))^1)*(('Assumptions'!E37+(E139))*(1-'Assumptions'!E42-(0))+'Assumptions'!E47-'Assumptions'!E52*(F139)+'Assumptions'!E57-'Assumptions'!E62*(1)-'Assumptions'!E67-(0))+('Working Capital'!$E$6))*'DCF'!E12/(1+(G139))^'DCF'!E13,(('Historical Inputs'!$N$9*(1+(D139))^2)*(('Assumptions'!F37+(E139))*(1-'Assumptions'!F42-(0))+'Assumptions'!F47-'Assumptions'!F52*(F139)+'Assumptions'!F57-'Assumptions'!F62*(1)-'Assumptions'!F67-(0))+(('Historical Inputs'!$N$9*(1+(D139))^1)*('Assumptions'!E67+(0))))*'DCF'!F12/(1+(G139))^'DCF'!F13,(('Historical Inputs'!$N$9*(1+(D139))^3)*(('Assumptions'!G37+(E139))*(1-'Assumptions'!G42-(0))+'Assumptions'!G47-'Assumptions'!G52*(F139)+'Assumptions'!G57-'Assumptions'!G62*(1)-'Assumptions'!G67-(0))+(('Historical Inputs'!$N$9*(1+(D139))^2)*('Assumptions'!F67+(0))))*'DCF'!G12/(1+(G139))^'DCF'!G13,(('Historical Inputs'!$N$9*(1+(D139))^4)*(('Assumptions'!H37+(E139))*(1-'Assumptions'!H42-(0))+'Assumptions'!H47-'Assumptions'!H52*(F139)+'Assumptions'!H57-'Assumptions'!H62*(1)-'Assumptions'!H67-(0))+(('Historical Inputs'!$N$9*(1+(D139))^3)*('Assumptions'!G67+(0))))*'DCF'!H12/(1+(G139))^'DCF'!H13,(('Historical Inputs'!$N$9*(1+(D139))^5)*(('Assumptions'!I37+(E139))*(1-'Assumptions'!I42-(0))+'Assumptions'!I47-'Assumptions'!I52*(F139)+'Assumptions'!I57-'Assumptions'!I62*(1)-'Assumptions'!I67-(0))+(('Historical Inputs'!$N$9*(1+(D139))^4)*('Assumptions'!H67+(0))))*'DCF'!I12/(1+(G139))^'DCF'!I13)+('Historical Inputs'!$N$9*(1+(D139))^5)*(1+(H139))*('Terminal Value'!$E$10+(E139))*(1-'Assumptions'!$E$15-(0))*(1-(H139)/('Terminal Value'!$E$12))/((G139)-(H139))/(1+(G139))^'DCF'!$E$19)+'Equity Bridge'!$E$17)/'Equity Bridge'!$E$20</x:f>
        <x:v>268.69810019518104</x:v>
      </x:c>
      <x:c r="X139" s="255" t="n">
        <x:v>0.7679318808762203</x:v>
      </x:c>
      <x:c r="Y139" s="255" t="n">
        <x:v>0.964542699476881</x:v>
      </x:c>
      <x:c r="Z139" s="255" t="n">
        <x:v>0.32333328298217556</x:v>
      </x:c>
      <x:c r="AA139" s="255" t="n">
        <x:v>0.991620953851639</x:v>
      </x:c>
      <x:c r="AB139" s="255" t="n">
        <x:v>0.04562809596514905</x:v>
      </x:c>
    </x:row>
    <x:row r="140" ht="24" customHeight="1">
      <x:c r="C140" s="256" t="n">
        <x:f>109</x:f>
        <x:v>109</x:v>
      </x:c>
      <x:c r="D140" s="258" t="n">
        <x:f>IF(X140&lt;($E$12-$D$12)/($F$12-$D$12),$D$12+SQRT(X140*($F$12-$D$12)*($E$12-$D$12)),$F$12-SQRT((1-X140)*($F$12-$D$12)*($F$12-$E$12)))</x:f>
        <x:v>0.16490495554291934</x:v>
      </x:c>
      <x:c r="E140" s="258" t="n">
        <x:f>IF(Y140&lt;($E$13-$D$13)/($F$13-$D$13),$D$13+SQRT(Y140*($F$13-$D$13)*($E$13-$D$13)),$F$13-SQRT((1-Y140)*($F$13-$D$13)*($F$13-$E$13)))</x:f>
        <x:v>-0.004280041575996062</x:v>
      </x:c>
      <x:c r="F140" s="260" t="n">
        <x:f>IF(Z140&lt;($E$14-$D$14)/($F$14-$D$14),$D$14+SQRT(Z140*($F$14-$D$14)*($E$14-$D$14)),$F$14-SQRT((1-Z140)*($F$14-$D$14)*($F$14-$E$14)))</x:f>
        <x:v>1.1083995066953716</x:v>
      </x:c>
      <x:c r="G140" s="258" t="n">
        <x:f>IF(AA140&lt;($E$15-$D$15)/($F$15-$D$15),$D$15+SQRT(AA140*($F$15-$D$15)*($E$15-$D$15)),$F$15-SQRT((1-AA140)*($F$15-$D$15)*($F$15-$E$15)))</x:f>
        <x:v>0.112118496013468</x:v>
      </x:c>
      <x:c r="H140" s="258" t="n">
        <x:f>IF(AB140&lt;($E$16-$D$16)/($F$16-$D$16),$D$16+SQRT(AB140*($F$16-$D$16)*($E$16-$D$16)),$F$16-SQRT((1-AB140)*($F$16-$D$16)*($F$16-$E$16)))</x:f>
        <x:v>0.0318533309066332</x:v>
      </x:c>
      <x:c r="I140" s="262" t="n">
        <x:f>'Historical Inputs'!$N$9*(1+D140)^5</x:f>
        <x:v>711835.9046549295</x:v>
      </x:c>
      <x:c r="J140" s="262" t="n">
        <x:f>I140*(1+H140)*('Terminal Value'!$E$10+E140)*(1-'Assumptions'!$E$15)*(1-H140/'Terminal Value'!$E$12)</x:f>
        <x:v>195494.28905462605</x:v>
      </x:c>
      <x:c r="K140" s="264" t="n">
        <x:f>((SUM((('Historical Inputs'!$N$9*(1+(D140))^1)*(('Assumptions'!E37+(E140))*(1-'Assumptions'!E42-(0))+'Assumptions'!E47-'Assumptions'!E52*(F140)+'Assumptions'!E57-'Assumptions'!E62*(1)-'Assumptions'!E67-(0))+('Working Capital'!$E$6))*'DCF'!E12/(1+(G140))^'DCF'!E13,(('Historical Inputs'!$N$9*(1+(D140))^2)*(('Assumptions'!F37+(E140))*(1-'Assumptions'!F42-(0))+'Assumptions'!F47-'Assumptions'!F52*(F140)+'Assumptions'!F57-'Assumptions'!F62*(1)-'Assumptions'!F67-(0))+(('Historical Inputs'!$N$9*(1+(D140))^1)*('Assumptions'!E67+(0))))*'DCF'!F12/(1+(G140))^'DCF'!F13,(('Historical Inputs'!$N$9*(1+(D140))^3)*(('Assumptions'!G37+(E140))*(1-'Assumptions'!G42-(0))+'Assumptions'!G47-'Assumptions'!G52*(F140)+'Assumptions'!G57-'Assumptions'!G62*(1)-'Assumptions'!G67-(0))+(('Historical Inputs'!$N$9*(1+(D140))^2)*('Assumptions'!F67+(0))))*'DCF'!G12/(1+(G140))^'DCF'!G13,(('Historical Inputs'!$N$9*(1+(D140))^4)*(('Assumptions'!H37+(E140))*(1-'Assumptions'!H42-(0))+'Assumptions'!H47-'Assumptions'!H52*(F140)+'Assumptions'!H57-'Assumptions'!H62*(1)-'Assumptions'!H67-(0))+(('Historical Inputs'!$N$9*(1+(D140))^3)*('Assumptions'!G67+(0))))*'DCF'!H12/(1+(G140))^'DCF'!H13,(('Historical Inputs'!$N$9*(1+(D140))^5)*(('Assumptions'!I37+(E140))*(1-'Assumptions'!I42-(0))+'Assumptions'!I47-'Assumptions'!I52*(F140)+'Assumptions'!I57-'Assumptions'!I62*(1)-'Assumptions'!I67-(0))+(('Historical Inputs'!$N$9*(1+(D140))^4)*('Assumptions'!H67+(0))))*'DCF'!I12/(1+(G140))^'DCF'!I13)+('Historical Inputs'!$N$9*(1+(D140))^5)*(1+(H140))*('Terminal Value'!$E$10+(E140))*(1-'Assumptions'!$E$15-(0))*(1-(H140)/('Terminal Value'!$E$12))/((G140)-(H140))/(1+(G140))^'DCF'!$E$19)+'Equity Bridge'!$E$17)/'Equity Bridge'!$E$20</x:f>
        <x:v>247.3841739775095</x:v>
      </x:c>
      <x:c r="X140" s="255" t="n">
        <x:v>0.8392320674953095</x:v>
      </x:c>
      <x:c r="Y140" s="255" t="n">
        <x:v>0.4180629196585297</x:v>
      </x:c>
      <x:c r="Z140" s="255" t="n">
        <x:v>0.8801335660906963</x:v>
      </x:c>
      <x:c r="AA140" s="255" t="n">
        <x:v>0.9976795000102494</x:v>
      </x:c>
      <x:c r="AB140" s="255" t="n">
        <x:v>0.6681589134159107</x:v>
      </x:c>
    </x:row>
    <x:row r="141" ht="24" customHeight="1">
      <x:c r="C141" s="256" t="n">
        <x:f>110</x:f>
        <x:v>110</x:v>
      </x:c>
      <x:c r="D141" s="258" t="n">
        <x:f>IF(X141&lt;($E$12-$D$12)/($F$12-$D$12),$D$12+SQRT(X141*($F$12-$D$12)*($E$12-$D$12)),$F$12-SQRT((1-X141)*($F$12-$D$12)*($F$12-$E$12)))</x:f>
        <x:v>0.14977243887634029</x:v>
      </x:c>
      <x:c r="E141" s="258" t="n">
        <x:f>IF(Y141&lt;($E$13-$D$13)/($F$13-$D$13),$D$13+SQRT(Y141*($F$13-$D$13)*($E$13-$D$13)),$F$13-SQRT((1-Y141)*($F$13-$D$13)*($F$13-$E$13)))</x:f>
        <x:v>0.022415829493206384</x:v>
      </x:c>
      <x:c r="F141" s="260" t="n">
        <x:f>IF(Z141&lt;($E$14-$D$14)/($F$14-$D$14),$D$14+SQRT(Z141*($F$14-$D$14)*($E$14-$D$14)),$F$14-SQRT((1-Z141)*($F$14-$D$14)*($F$14-$E$14)))</x:f>
        <x:v>1.1784399383420887</x:v>
      </x:c>
      <x:c r="G141" s="258" t="n">
        <x:f>IF(AA141&lt;($E$15-$D$15)/($F$15-$D$15),$D$15+SQRT(AA141*($F$15-$D$15)*($E$15-$D$15)),$F$15-SQRT((1-AA141)*($F$15-$D$15)*($F$15-$E$15)))</x:f>
        <x:v>0.09992275268298696</x:v>
      </x:c>
      <x:c r="H141" s="258" t="n">
        <x:f>IF(AB141&lt;($E$16-$D$16)/($F$16-$D$16),$D$16+SQRT(AB141*($F$16-$D$16)*($E$16-$D$16)),$F$16-SQRT((1-AB141)*($F$16-$D$16)*($F$16-$E$16)))</x:f>
        <x:v>0.021361150749784397</x:v>
      </x:c>
      <x:c r="I141" s="262" t="n">
        <x:f>'Historical Inputs'!$N$9*(1+D141)^5</x:f>
        <x:v>666786.6497588198</x:v>
      </x:c>
      <x:c r="J141" s="262" t="n">
        <x:f>I141*(1+H141)*('Terminal Value'!$E$10+E141)*(1-'Assumptions'!$E$15)*(1-H141/'Terminal Value'!$E$12)</x:f>
        <x:v>205561.7559349911</x:v>
      </x:c>
      <x:c r="K141" s="264" t="n">
        <x:f>((SUM((('Historical Inputs'!$N$9*(1+(D141))^1)*(('Assumptions'!E37+(E141))*(1-'Assumptions'!E42-(0))+'Assumptions'!E47-'Assumptions'!E52*(F141)+'Assumptions'!E57-'Assumptions'!E62*(1)-'Assumptions'!E67-(0))+('Working Capital'!$E$6))*'DCF'!E12/(1+(G141))^'DCF'!E13,(('Historical Inputs'!$N$9*(1+(D141))^2)*(('Assumptions'!F37+(E141))*(1-'Assumptions'!F42-(0))+'Assumptions'!F47-'Assumptions'!F52*(F141)+'Assumptions'!F57-'Assumptions'!F62*(1)-'Assumptions'!F67-(0))+(('Historical Inputs'!$N$9*(1+(D141))^1)*('Assumptions'!E67+(0))))*'DCF'!F12/(1+(G141))^'DCF'!F13,(('Historical Inputs'!$N$9*(1+(D141))^3)*(('Assumptions'!G37+(E141))*(1-'Assumptions'!G42-(0))+'Assumptions'!G47-'Assumptions'!G52*(F141)+'Assumptions'!G57-'Assumptions'!G62*(1)-'Assumptions'!G67-(0))+(('Historical Inputs'!$N$9*(1+(D141))^2)*('Assumptions'!F67+(0))))*'DCF'!G12/(1+(G141))^'DCF'!G13,(('Historical Inputs'!$N$9*(1+(D141))^4)*(('Assumptions'!H37+(E141))*(1-'Assumptions'!H42-(0))+'Assumptions'!H47-'Assumptions'!H52*(F141)+'Assumptions'!H57-'Assumptions'!H62*(1)-'Assumptions'!H67-(0))+(('Historical Inputs'!$N$9*(1+(D141))^3)*('Assumptions'!G67+(0))))*'DCF'!H12/(1+(G141))^'DCF'!H13,(('Historical Inputs'!$N$9*(1+(D141))^5)*(('Assumptions'!I37+(E141))*(1-'Assumptions'!I42-(0))+'Assumptions'!I47-'Assumptions'!I52*(F141)+'Assumptions'!I57-'Assumptions'!I62*(1)-'Assumptions'!I67-(0))+(('Historical Inputs'!$N$9*(1+(D141))^4)*('Assumptions'!H67+(0))))*'DCF'!I12/(1+(G141))^'DCF'!I13)+('Historical Inputs'!$N$9*(1+(D141))^5)*(1+(H141))*('Terminal Value'!$E$10+(E141))*(1-'Assumptions'!$E$15-(0))*(1-(H141)/('Terminal Value'!$E$12))/((G141)-(H141))/(1+(G141))^'DCF'!$E$19)+'Equity Bridge'!$E$17)/'Equity Bridge'!$E$20</x:f>
        <x:v>273.70418818816296</x:v>
      </x:c>
      <x:c r="X141" s="255" t="n">
        <x:v>0.6218182091378347</x:v>
      </x:c>
      <x:c r="Y141" s="255" t="n">
        <x:v>0.8478227074904274</x:v>
      </x:c>
      <x:c r="Z141" s="255" t="n">
        <x:v>0.9933594820186724</x:v>
      </x:c>
      <x:c r="AA141" s="255" t="n">
        <x:v>0.6117658026730716</x:v>
      </x:c>
      <x:c r="AB141" s="255" t="n">
        <x:v>0.009263656818193189</x:v>
      </x:c>
    </x:row>
    <x:row r="142" ht="24" customHeight="1">
      <x:c r="C142" s="256" t="n">
        <x:f>111</x:f>
        <x:v>111</x:v>
      </x:c>
      <x:c r="D142" s="258" t="n">
        <x:f>IF(X142&lt;($E$12-$D$12)/($F$12-$D$12),$D$12+SQRT(X142*($F$12-$D$12)*($E$12-$D$12)),$F$12-SQRT((1-X142)*($F$12-$D$12)*($F$12-$E$12)))</x:f>
        <x:v>0.14526570100534908</x:v>
      </x:c>
      <x:c r="E142" s="258" t="n">
        <x:f>IF(Y142&lt;($E$13-$D$13)/($F$13-$D$13),$D$13+SQRT(Y142*($F$13-$D$13)*($E$13-$D$13)),$F$13-SQRT((1-Y142)*($F$13-$D$13)*($F$13-$E$13)))</x:f>
        <x:v>0.02935850274810176</x:v>
      </x:c>
      <x:c r="F142" s="260" t="n">
        <x:f>IF(Z142&lt;($E$14-$D$14)/($F$14-$D$14),$D$14+SQRT(Z142*($F$14-$D$14)*($E$14-$D$14)),$F$14-SQRT((1-Z142)*($F$14-$D$14)*($F$14-$E$14)))</x:f>
        <x:v>1.0058526669308858</x:v>
      </x:c>
      <x:c r="G142" s="258" t="n">
        <x:f>IF(AA142&lt;($E$15-$D$15)/($F$15-$D$15),$D$15+SQRT(AA142*($F$15-$D$15)*($E$15-$D$15)),$F$15-SQRT((1-AA142)*($F$15-$D$15)*($F$15-$E$15)))</x:f>
        <x:v>0.09554696846307062</x:v>
      </x:c>
      <x:c r="H142" s="258" t="n">
        <x:f>IF(AB142&lt;($E$16-$D$16)/($F$16-$D$16),$D$16+SQRT(AB142*($F$16-$D$16)*($E$16-$D$16)),$F$16-SQRT((1-AB142)*($F$16-$D$16)*($F$16-$E$16)))</x:f>
        <x:v>0.02892598776321839</x:v>
      </x:c>
      <x:c r="I142" s="262" t="n">
        <x:f>'Historical Inputs'!$N$9*(1+D142)^5</x:f>
        <x:v>653820.7480674173</x:v>
      </x:c>
      <x:c r="J142" s="262" t="n">
        <x:f>I142*(1+H142)*('Terminal Value'!$E$10+E142)*(1-'Assumptions'!$E$15)*(1-H142/'Terminal Value'!$E$12)</x:f>
        <x:v>197654.60397899256</x:v>
      </x:c>
      <x:c r="K142" s="264" t="n">
        <x:f>((SUM((('Historical Inputs'!$N$9*(1+(D142))^1)*(('Assumptions'!E37+(E142))*(1-'Assumptions'!E42-(0))+'Assumptions'!E47-'Assumptions'!E52*(F142)+'Assumptions'!E57-'Assumptions'!E62*(1)-'Assumptions'!E67-(0))+('Working Capital'!$E$6))*'DCF'!E12/(1+(G142))^'DCF'!E13,(('Historical Inputs'!$N$9*(1+(D142))^2)*(('Assumptions'!F37+(E142))*(1-'Assumptions'!F42-(0))+'Assumptions'!F47-'Assumptions'!F52*(F142)+'Assumptions'!F57-'Assumptions'!F62*(1)-'Assumptions'!F67-(0))+(('Historical Inputs'!$N$9*(1+(D142))^1)*('Assumptions'!E67+(0))))*'DCF'!F12/(1+(G142))^'DCF'!F13,(('Historical Inputs'!$N$9*(1+(D142))^3)*(('Assumptions'!G37+(E142))*(1-'Assumptions'!G42-(0))+'Assumptions'!G47-'Assumptions'!G52*(F142)+'Assumptions'!G57-'Assumptions'!G62*(1)-'Assumptions'!G67-(0))+(('Historical Inputs'!$N$9*(1+(D142))^2)*('Assumptions'!F67+(0))))*'DCF'!G12/(1+(G142))^'DCF'!G13,(('Historical Inputs'!$N$9*(1+(D142))^4)*(('Assumptions'!H37+(E142))*(1-'Assumptions'!H42-(0))+'Assumptions'!H47-'Assumptions'!H52*(F142)+'Assumptions'!H57-'Assumptions'!H62*(1)-'Assumptions'!H67-(0))+(('Historical Inputs'!$N$9*(1+(D142))^3)*('Assumptions'!G67+(0))))*'DCF'!H12/(1+(G142))^'DCF'!H13,(('Historical Inputs'!$N$9*(1+(D142))^5)*(('Assumptions'!I37+(E142))*(1-'Assumptions'!I42-(0))+'Assumptions'!I47-'Assumptions'!I52*(F142)+'Assumptions'!I57-'Assumptions'!I62*(1)-'Assumptions'!I67-(0))+(('Historical Inputs'!$N$9*(1+(D142))^4)*('Assumptions'!H67+(0))))*'DCF'!I12/(1+(G142))^'DCF'!I13)+('Historical Inputs'!$N$9*(1+(D142))^5)*(1+(H142))*('Terminal Value'!$E$10+(E142))*(1-'Assumptions'!$E$15-(0))*(1-(H142)/('Terminal Value'!$E$12))/((G142)-(H142))/(1+(G142))^'DCF'!$E$19)+'Equity Bridge'!$E$17)/'Equity Bridge'!$E$20</x:f>
        <x:v>320.89862688001983</x:v>
      </x:c>
      <x:c r="X142" s="255" t="n">
        <x:v>0.5393666251767699</x:v>
      </x:c>
      <x:c r="Y142" s="255" t="n">
        <x:v>0.9147857182399755</x:v>
      </x:c>
      <x:c r="Z142" s="255" t="n">
        <x:v>0.46152590088786305</x:v>
      </x:c>
      <x:c r="AA142" s="255" t="n">
        <x:v>0.3420526733683781</x:v>
      </x:c>
      <x:c r="AB142" s="255" t="n">
        <x:v>0.3983662877456222</x:v>
      </x:c>
    </x:row>
    <x:row r="143" ht="24" customHeight="1">
      <x:c r="C143" s="256" t="n">
        <x:f>112</x:f>
        <x:v>112</x:v>
      </x:c>
      <x:c r="D143" s="258" t="n">
        <x:f>IF(X143&lt;($E$12-$D$12)/($F$12-$D$12),$D$12+SQRT(X143*($F$12-$D$12)*($E$12-$D$12)),$F$12-SQRT((1-X143)*($F$12-$D$12)*($F$12-$E$12)))</x:f>
        <x:v>0.14402911528625026</x:v>
      </x:c>
      <x:c r="E143" s="258" t="n">
        <x:f>IF(Y143&lt;($E$13-$D$13)/($F$13-$D$13),$D$13+SQRT(Y143*($F$13-$D$13)*($E$13-$D$13)),$F$13-SQRT((1-Y143)*($F$13-$D$13)*($F$13-$E$13)))</x:f>
        <x:v>0.047295631497677446</x:v>
      </x:c>
      <x:c r="F143" s="260" t="n">
        <x:f>IF(Z143&lt;($E$14-$D$14)/($F$14-$D$14),$D$14+SQRT(Z143*($F$14-$D$14)*($E$14-$D$14)),$F$14-SQRT((1-Z143)*($F$14-$D$14)*($F$14-$E$14)))</x:f>
        <x:v>1.0887795954104527</x:v>
      </x:c>
      <x:c r="G143" s="258" t="n">
        <x:f>IF(AA143&lt;($E$15-$D$15)/($F$15-$D$15),$D$15+SQRT(AA143*($F$15-$D$15)*($E$15-$D$15)),$F$15-SQRT((1-AA143)*($F$15-$D$15)*($F$15-$E$15)))</x:f>
        <x:v>0.10711282702989336</x:v>
      </x:c>
      <x:c r="H143" s="258" t="n">
        <x:f>IF(AB143&lt;($E$16-$D$16)/($F$16-$D$16),$D$16+SQRT(AB143*($F$16-$D$16)*($E$16-$D$16)),$F$16-SQRT((1-AB143)*($F$16-$D$16)*($F$16-$E$16)))</x:f>
        <x:v>0.03160699857366506</x:v>
      </x:c>
      <x:c r="I143" s="262" t="n">
        <x:f>'Historical Inputs'!$N$9*(1+D143)^5</x:f>
        <x:v>650298.5901218656</x:v>
      </x:c>
      <x:c r="J143" s="262" t="n">
        <x:f>I143*(1+H143)*('Terminal Value'!$E$10+E143)*(1-'Assumptions'!$E$15)*(1-H143/'Terminal Value'!$E$12)</x:f>
        <x:v>202118.36576245254</x:v>
      </x:c>
      <x:c r="K143" s="264" t="n">
        <x:f>((SUM((('Historical Inputs'!$N$9*(1+(D143))^1)*(('Assumptions'!E37+(E143))*(1-'Assumptions'!E42-(0))+'Assumptions'!E47-'Assumptions'!E52*(F143)+'Assumptions'!E57-'Assumptions'!E62*(1)-'Assumptions'!E67-(0))+('Working Capital'!$E$6))*'DCF'!E12/(1+(G143))^'DCF'!E13,(('Historical Inputs'!$N$9*(1+(D143))^2)*(('Assumptions'!F37+(E143))*(1-'Assumptions'!F42-(0))+'Assumptions'!F47-'Assumptions'!F52*(F143)+'Assumptions'!F57-'Assumptions'!F62*(1)-'Assumptions'!F67-(0))+(('Historical Inputs'!$N$9*(1+(D143))^1)*('Assumptions'!E67+(0))))*'DCF'!F12/(1+(G143))^'DCF'!F13,(('Historical Inputs'!$N$9*(1+(D143))^3)*(('Assumptions'!G37+(E143))*(1-'Assumptions'!G42-(0))+'Assumptions'!G47-'Assumptions'!G52*(F143)+'Assumptions'!G57-'Assumptions'!G62*(1)-'Assumptions'!G67-(0))+(('Historical Inputs'!$N$9*(1+(D143))^2)*('Assumptions'!F67+(0))))*'DCF'!G12/(1+(G143))^'DCF'!G13,(('Historical Inputs'!$N$9*(1+(D143))^4)*(('Assumptions'!H37+(E143))*(1-'Assumptions'!H42-(0))+'Assumptions'!H47-'Assumptions'!H52*(F143)+'Assumptions'!H57-'Assumptions'!H62*(1)-'Assumptions'!H67-(0))+(('Historical Inputs'!$N$9*(1+(D143))^3)*('Assumptions'!G67+(0))))*'DCF'!H12/(1+(G143))^'DCF'!H13,(('Historical Inputs'!$N$9*(1+(D143))^5)*(('Assumptions'!I37+(E143))*(1-'Assumptions'!I42-(0))+'Assumptions'!I47-'Assumptions'!I52*(F143)+'Assumptions'!I57-'Assumptions'!I62*(1)-'Assumptions'!I67-(0))+(('Historical Inputs'!$N$9*(1+(D143))^4)*('Assumptions'!H67+(0))))*'DCF'!I12/(1+(G143))^'DCF'!I13)+('Historical Inputs'!$N$9*(1+(D143))^5)*(1+(H143))*('Terminal Value'!$E$10+(E143))*(1-'Assumptions'!$E$15-(0))*(1-(H143)/('Terminal Value'!$E$12))/((G143)-(H143))/(1+(G143))^'DCF'!$E$19)+'Equity Bridge'!$E$17)/'Equity Bridge'!$E$20</x:f>
        <x:v>280.6703116960832</x:v>
      </x:c>
      <x:c r="X143" s="255" t="n">
        <x:v>0.5153226435416032</x:v>
      </x:c>
      <x:c r="Y143" s="255" t="n">
        <x:v>0.9985372782007291</x:v>
      </x:c>
      <x:c r="Z143" s="255" t="n">
        <x:v>0.8232860228991059</x:v>
      </x:c>
      <x:c r="AA143" s="255" t="n">
        <x:v>0.9192638539783472</x:v>
      </x:c>
      <x:c r="AB143" s="255" t="n">
        <x:v>0.6477876352876983</x:v>
      </x:c>
    </x:row>
    <x:row r="144" ht="24" customHeight="1">
      <x:c r="C144" s="256" t="n">
        <x:f>113</x:f>
        <x:v>113</x:v>
      </x:c>
      <x:c r="D144" s="258" t="n">
        <x:f>IF(X144&lt;($E$12-$D$12)/($F$12-$D$12),$D$12+SQRT(X144*($F$12-$D$12)*($E$12-$D$12)),$F$12-SQRT((1-X144)*($F$12-$D$12)*($F$12-$E$12)))</x:f>
        <x:v>0.13070071148035514</x:v>
      </x:c>
      <x:c r="E144" s="258" t="n">
        <x:f>IF(Y144&lt;($E$13-$D$13)/($F$13-$D$13),$D$13+SQRT(Y144*($F$13-$D$13)*($E$13-$D$13)),$F$13-SQRT((1-Y144)*($F$13-$D$13)*($F$13-$E$13)))</x:f>
        <x:v>-0.011845648212987281</x:v>
      </x:c>
      <x:c r="F144" s="260" t="n">
        <x:f>IF(Z144&lt;($E$14-$D$14)/($F$14-$D$14),$D$14+SQRT(Z144*($F$14-$D$14)*($E$14-$D$14)),$F$14-SQRT((1-Z144)*($F$14-$D$14)*($F$14-$E$14)))</x:f>
        <x:v>1.1850769697996337</x:v>
      </x:c>
      <x:c r="G144" s="258" t="n">
        <x:f>IF(AA144&lt;($E$15-$D$15)/($F$15-$D$15),$D$15+SQRT(AA144*($F$15-$D$15)*($E$15-$D$15)),$F$15-SQRT((1-AA144)*($F$15-$D$15)*($F$15-$E$15)))</x:f>
        <x:v>0.08999906869546236</x:v>
      </x:c>
      <x:c r="H144" s="258" t="n">
        <x:f>IF(AB144&lt;($E$16-$D$16)/($F$16-$D$16),$D$16+SQRT(AB144*($F$16-$D$16)*($E$16-$D$16)),$F$16-SQRT((1-AB144)*($F$16-$D$16)*($F$16-$E$16)))</x:f>
        <x:v>0.03029597863079562</x:v>
      </x:c>
      <x:c r="I144" s="262" t="n">
        <x:f>'Historical Inputs'!$N$9*(1+D144)^5</x:f>
        <x:v>613289.816172256</x:v>
      </x:c>
      <x:c r="J144" s="262" t="n">
        <x:f>I144*(1+H144)*('Terminal Value'!$E$10+E144)*(1-'Assumptions'!$E$15)*(1-H144/'Terminal Value'!$E$12)</x:f>
        <x:v>166488.53910169794</x:v>
      </x:c>
      <x:c r="K144" s="264" t="n">
        <x:f>((SUM((('Historical Inputs'!$N$9*(1+(D144))^1)*(('Assumptions'!E37+(E144))*(1-'Assumptions'!E42-(0))+'Assumptions'!E47-'Assumptions'!E52*(F144)+'Assumptions'!E57-'Assumptions'!E62*(1)-'Assumptions'!E67-(0))+('Working Capital'!$E$6))*'DCF'!E12/(1+(G144))^'DCF'!E13,(('Historical Inputs'!$N$9*(1+(D144))^2)*(('Assumptions'!F37+(E144))*(1-'Assumptions'!F42-(0))+'Assumptions'!F47-'Assumptions'!F52*(F144)+'Assumptions'!F57-'Assumptions'!F62*(1)-'Assumptions'!F67-(0))+(('Historical Inputs'!$N$9*(1+(D144))^1)*('Assumptions'!E67+(0))))*'DCF'!F12/(1+(G144))^'DCF'!F13,(('Historical Inputs'!$N$9*(1+(D144))^3)*(('Assumptions'!G37+(E144))*(1-'Assumptions'!G42-(0))+'Assumptions'!G47-'Assumptions'!G52*(F144)+'Assumptions'!G57-'Assumptions'!G62*(1)-'Assumptions'!G67-(0))+(('Historical Inputs'!$N$9*(1+(D144))^2)*('Assumptions'!F67+(0))))*'DCF'!G12/(1+(G144))^'DCF'!G13,(('Historical Inputs'!$N$9*(1+(D144))^4)*(('Assumptions'!H37+(E144))*(1-'Assumptions'!H42-(0))+'Assumptions'!H47-'Assumptions'!H52*(F144)+'Assumptions'!H57-'Assumptions'!H62*(1)-'Assumptions'!H67-(0))+(('Historical Inputs'!$N$9*(1+(D144))^3)*('Assumptions'!G67+(0))))*'DCF'!H12/(1+(G144))^'DCF'!H13,(('Historical Inputs'!$N$9*(1+(D144))^5)*(('Assumptions'!I37+(E144))*(1-'Assumptions'!I42-(0))+'Assumptions'!I47-'Assumptions'!I52*(F144)+'Assumptions'!I57-'Assumptions'!I62*(1)-'Assumptions'!I67-(0))+(('Historical Inputs'!$N$9*(1+(D144))^4)*('Assumptions'!H67+(0))))*'DCF'!I12/(1+(G144))^'DCF'!I13)+('Historical Inputs'!$N$9*(1+(D144))^5)*(1+(H144))*('Terminal Value'!$E$10+(E144))*(1-'Assumptions'!$E$15-(0))*(1-(H144)/('Terminal Value'!$E$12))/((G144)-(H144))/(1+(G144))^'DCF'!$E$19)+'Equity Bridge'!$E$17)/'Equity Bridge'!$E$20</x:f>
        <x:v>289.79303421557466</x:v>
      </x:c>
      <x:c r="X144" s="255" t="n">
        <x:v>0.28040597898547304</x:v>
      </x:c>
      <x:c r="Y144" s="255" t="n">
        <x:v>0.29115091205742416</x:v>
      </x:c>
      <x:c r="Z144" s="255" t="n">
        <x:v>0.996818616709128</x:v>
      </x:c>
      <x:c r="AA144" s="255" t="n">
        <x:v>0.10453723893424727</x:v>
      </x:c>
      <x:c r="AB144" s="255" t="n">
        <x:v>0.5291598463301239</x:v>
      </x:c>
    </x:row>
    <x:row r="145" ht="24" customHeight="1">
      <x:c r="C145" s="256" t="n">
        <x:f>114</x:f>
        <x:v>114</x:v>
      </x:c>
      <x:c r="D145" s="258" t="n">
        <x:f>IF(X145&lt;($E$12-$D$12)/($F$12-$D$12),$D$12+SQRT(X145*($F$12-$D$12)*($E$12-$D$12)),$F$12-SQRT((1-X145)*($F$12-$D$12)*($F$12-$E$12)))</x:f>
        <x:v>0.14723655237202488</x:v>
      </x:c>
      <x:c r="E145" s="258" t="n">
        <x:f>IF(Y145&lt;($E$13-$D$13)/($F$13-$D$13),$D$13+SQRT(Y145*($F$13-$D$13)*($E$13-$D$13)),$F$13-SQRT((1-Y145)*($F$13-$D$13)*($F$13-$E$13)))</x:f>
        <x:v>-0.017875126986800688</x:v>
      </x:c>
      <x:c r="F145" s="260" t="n">
        <x:f>IF(Z145&lt;($E$14-$D$14)/($F$14-$D$14),$D$14+SQRT(Z145*($F$14-$D$14)*($E$14-$D$14)),$F$14-SQRT((1-Z145)*($F$14-$D$14)*($F$14-$E$14)))</x:f>
        <x:v>0.9239475118858287</x:v>
      </x:c>
      <x:c r="G145" s="258" t="n">
        <x:f>IF(AA145&lt;($E$15-$D$15)/($F$15-$D$15),$D$15+SQRT(AA145*($F$15-$D$15)*($E$15-$D$15)),$F$15-SQRT((1-AA145)*($F$15-$D$15)*($F$15-$E$15)))</x:f>
        <x:v>0.10221982157159253</x:v>
      </x:c>
      <x:c r="H145" s="258" t="n">
        <x:f>IF(AB145&lt;($E$16-$D$16)/($F$16-$D$16),$D$16+SQRT(AB145*($F$16-$D$16)*($E$16-$D$16)),$F$16-SQRT((1-AB145)*($F$16-$D$16)*($F$16-$E$16)))</x:f>
        <x:v>0.029667239481185194</x:v>
      </x:c>
      <x:c r="I145" s="262" t="n">
        <x:f>'Historical Inputs'!$N$9*(1+D145)^5</x:f>
        <x:v>659465.8403686815</x:v>
      </x:c>
      <x:c r="J145" s="262" t="n">
        <x:f>I145*(1+H145)*('Terminal Value'!$E$10+E145)*(1-'Assumptions'!$E$15)*(1-H145/'Terminal Value'!$E$12)</x:f>
        <x:v>176787.95955390148</x:v>
      </x:c>
      <x:c r="K145" s="264" t="n">
        <x:f>((SUM((('Historical Inputs'!$N$9*(1+(D145))^1)*(('Assumptions'!E37+(E145))*(1-'Assumptions'!E42-(0))+'Assumptions'!E47-'Assumptions'!E52*(F145)+'Assumptions'!E57-'Assumptions'!E62*(1)-'Assumptions'!E67-(0))+('Working Capital'!$E$6))*'DCF'!E12/(1+(G145))^'DCF'!E13,(('Historical Inputs'!$N$9*(1+(D145))^2)*(('Assumptions'!F37+(E145))*(1-'Assumptions'!F42-(0))+'Assumptions'!F47-'Assumptions'!F52*(F145)+'Assumptions'!F57-'Assumptions'!F62*(1)-'Assumptions'!F67-(0))+(('Historical Inputs'!$N$9*(1+(D145))^1)*('Assumptions'!E67+(0))))*'DCF'!F12/(1+(G145))^'DCF'!F13,(('Historical Inputs'!$N$9*(1+(D145))^3)*(('Assumptions'!G37+(E145))*(1-'Assumptions'!G42-(0))+'Assumptions'!G47-'Assumptions'!G52*(F145)+'Assumptions'!G57-'Assumptions'!G62*(1)-'Assumptions'!G67-(0))+(('Historical Inputs'!$N$9*(1+(D145))^2)*('Assumptions'!F67+(0))))*'DCF'!G12/(1+(G145))^'DCF'!G13,(('Historical Inputs'!$N$9*(1+(D145))^4)*(('Assumptions'!H37+(E145))*(1-'Assumptions'!H42-(0))+'Assumptions'!H47-'Assumptions'!H52*(F145)+'Assumptions'!H57-'Assumptions'!H62*(1)-'Assumptions'!H67-(0))+(('Historical Inputs'!$N$9*(1+(D145))^3)*('Assumptions'!G67+(0))))*'DCF'!H12/(1+(G145))^'DCF'!H13,(('Historical Inputs'!$N$9*(1+(D145))^5)*(('Assumptions'!I37+(E145))*(1-'Assumptions'!I42-(0))+'Assumptions'!I47-'Assumptions'!I52*(F145)+'Assumptions'!I57-'Assumptions'!I62*(1)-'Assumptions'!I67-(0))+(('Historical Inputs'!$N$9*(1+(D145))^4)*('Assumptions'!H67+(0))))*'DCF'!I12/(1+(G145))^'DCF'!I13)+('Historical Inputs'!$N$9*(1+(D145))^5)*(1+(H145))*('Terminal Value'!$E$10+(E145))*(1-'Assumptions'!$E$15-(0))*(1-(H145)/('Terminal Value'!$E$12))/((G145)-(H145))/(1+(G145))^'DCF'!$E$19)+'Equity Bridge'!$E$17)/'Equity Bridge'!$E$20</x:f>
        <x:v>263.47053016664495</x:v>
      </x:c>
      <x:c r="X145" s="255" t="n">
        <x:v>0.5764232782460927</x:v>
      </x:c>
      <x:c r="Y145" s="255" t="n">
        <x:v>0.2064014932228363</x:v>
      </x:c>
      <x:c r="Z145" s="255" t="n">
        <x:v>0.10415684788771018</x:v>
      </x:c>
      <x:c r="AA145" s="255" t="n">
        <x:v>0.7349814166834873</x:v>
      </x:c>
      <x:c r="AB145" s="255" t="n">
        <x:v>0.46727759593292884</x:v>
      </x:c>
    </x:row>
    <x:row r="146" ht="24" customHeight="1">
      <x:c r="C146" s="256" t="n">
        <x:f>115</x:f>
        <x:v>115</x:v>
      </x:c>
      <x:c r="D146" s="258" t="n">
        <x:f>IF(X146&lt;($E$12-$D$12)/($F$12-$D$12),$D$12+SQRT(X146*($F$12-$D$12)*($E$12-$D$12)),$F$12-SQRT((1-X146)*($F$12-$D$12)*($F$12-$E$12)))</x:f>
        <x:v>0.10588063774140069</x:v>
      </x:c>
      <x:c r="E146" s="258" t="n">
        <x:f>IF(Y146&lt;($E$13-$D$13)/($F$13-$D$13),$D$13+SQRT(Y146*($F$13-$D$13)*($E$13-$D$13)),$F$13-SQRT((1-Y146)*($F$13-$D$13)*($F$13-$E$13)))</x:f>
        <x:v>-0.029246402082682175</x:v>
      </x:c>
      <x:c r="F146" s="260" t="n">
        <x:f>IF(Z146&lt;($E$14-$D$14)/($F$14-$D$14),$D$14+SQRT(Z146*($F$14-$D$14)*($E$14-$D$14)),$F$14-SQRT((1-Z146)*($F$14-$D$14)*($F$14-$E$14)))</x:f>
        <x:v>0.956388027608822</x:v>
      </x:c>
      <x:c r="G146" s="258" t="n">
        <x:f>IF(AA146&lt;($E$15-$D$15)/($F$15-$D$15),$D$15+SQRT(AA146*($F$15-$D$15)*($E$15-$D$15)),$F$15-SQRT((1-AA146)*($F$15-$D$15)*($F$15-$E$15)))</x:f>
        <x:v>0.09671440236671221</x:v>
      </x:c>
      <x:c r="H146" s="258" t="n">
        <x:f>IF(AB146&lt;($E$16-$D$16)/($F$16-$D$16),$D$16+SQRT(AB146*($F$16-$D$16)*($E$16-$D$16)),$F$16-SQRT((1-AB146)*($F$16-$D$16)*($F$16-$E$16)))</x:f>
        <x:v>0.02213192381378867</x:v>
      </x:c>
      <x:c r="I146" s="262" t="n">
        <x:f>'Historical Inputs'!$N$9*(1+D146)^5</x:f>
        <x:v>548868.9935038731</x:v>
      </x:c>
      <x:c r="J146" s="262" t="n">
        <x:f>I146*(1+H146)*('Terminal Value'!$E$10+E146)*(1-'Assumptions'!$E$15)*(1-H146/'Terminal Value'!$E$12)</x:f>
        <x:v>147985.45205348154</x:v>
      </x:c>
      <x:c r="K146" s="264" t="n">
        <x:f>((SUM((('Historical Inputs'!$N$9*(1+(D146))^1)*(('Assumptions'!E37+(E146))*(1-'Assumptions'!E42-(0))+'Assumptions'!E47-'Assumptions'!E52*(F146)+'Assumptions'!E57-'Assumptions'!E62*(1)-'Assumptions'!E67-(0))+('Working Capital'!$E$6))*'DCF'!E12/(1+(G146))^'DCF'!E13,(('Historical Inputs'!$N$9*(1+(D146))^2)*(('Assumptions'!F37+(E146))*(1-'Assumptions'!F42-(0))+'Assumptions'!F47-'Assumptions'!F52*(F146)+'Assumptions'!F57-'Assumptions'!F62*(1)-'Assumptions'!F67-(0))+(('Historical Inputs'!$N$9*(1+(D146))^1)*('Assumptions'!E67+(0))))*'DCF'!F12/(1+(G146))^'DCF'!F13,(('Historical Inputs'!$N$9*(1+(D146))^3)*(('Assumptions'!G37+(E146))*(1-'Assumptions'!G42-(0))+'Assumptions'!G47-'Assumptions'!G52*(F146)+'Assumptions'!G57-'Assumptions'!G62*(1)-'Assumptions'!G67-(0))+(('Historical Inputs'!$N$9*(1+(D146))^2)*('Assumptions'!F67+(0))))*'DCF'!G12/(1+(G146))^'DCF'!G13,(('Historical Inputs'!$N$9*(1+(D146))^4)*(('Assumptions'!H37+(E146))*(1-'Assumptions'!H42-(0))+'Assumptions'!H47-'Assumptions'!H52*(F146)+'Assumptions'!H57-'Assumptions'!H62*(1)-'Assumptions'!H67-(0))+(('Historical Inputs'!$N$9*(1+(D146))^3)*('Assumptions'!G67+(0))))*'DCF'!H12/(1+(G146))^'DCF'!H13,(('Historical Inputs'!$N$9*(1+(D146))^5)*(('Assumptions'!I37+(E146))*(1-'Assumptions'!I42-(0))+'Assumptions'!I47-'Assumptions'!I52*(F146)+'Assumptions'!I57-'Assumptions'!I62*(1)-'Assumptions'!I67-(0))+(('Historical Inputs'!$N$9*(1+(D146))^4)*('Assumptions'!H67+(0))))*'DCF'!I12/(1+(G146))^'DCF'!I13)+('Historical Inputs'!$N$9*(1+(D146))^5)*(1+(H146))*('Terminal Value'!$E$10+(E146))*(1-'Assumptions'!$E$15-(0))*(1-(H146)/('Terminal Value'!$E$12))/((G146)-(H146))/(1+(G146))^'DCF'!$E$19)+'Equity Bridge'!$E$17)/'Equity Bridge'!$E$20</x:f>
        <x:v>218.82609400474846</x:v>
      </x:c>
      <x:c r="X146" s="255" t="n">
        <x:v>0.03187113575562184</x:v>
      </x:c>
      <x:c r="Y146" s="255" t="n">
        <x:v>0.08614236530273978</x:v>
      </x:c>
      <x:c r="Z146" s="255" t="n">
        <x:v>0.2155888079713426</x:v>
      </x:c>
      <x:c r="AA146" s="255" t="n">
        <x:v>0.4094541643106988</x:v>
      </x:c>
      <x:c r="AB146" s="255" t="n">
        <x:v>0.022725495738996182</x:v>
      </x:c>
    </x:row>
    <x:row r="147" ht="24" customHeight="1">
      <x:c r="C147" s="256" t="n">
        <x:f>116</x:f>
        <x:v>116</x:v>
      </x:c>
      <x:c r="D147" s="258" t="n">
        <x:f>IF(X147&lt;($E$12-$D$12)/($F$12-$D$12),$D$12+SQRT(X147*($F$12-$D$12)*($E$12-$D$12)),$F$12-SQRT((1-X147)*($F$12-$D$12)*($F$12-$E$12)))</x:f>
        <x:v>0.14631820896731243</x:v>
      </x:c>
      <x:c r="E147" s="258" t="n">
        <x:f>IF(Y147&lt;($E$13-$D$13)/($F$13-$D$13),$D$13+SQRT(Y147*($F$13-$D$13)*($E$13-$D$13)),$F$13-SQRT((1-Y147)*($F$13-$D$13)*($F$13-$E$13)))</x:f>
        <x:v>0.03280972734333351</x:v>
      </x:c>
      <x:c r="F147" s="260" t="n">
        <x:f>IF(Z147&lt;($E$14-$D$14)/($F$14-$D$14),$D$14+SQRT(Z147*($F$14-$D$14)*($E$14-$D$14)),$F$14-SQRT((1-Z147)*($F$14-$D$14)*($F$14-$E$14)))</x:f>
        <x:v>0.9969082633378497</x:v>
      </x:c>
      <x:c r="G147" s="258" t="n">
        <x:f>IF(AA147&lt;($E$15-$D$15)/($F$15-$D$15),$D$15+SQRT(AA147*($F$15-$D$15)*($E$15-$D$15)),$F$15-SQRT((1-AA147)*($F$15-$D$15)*($F$15-$E$15)))</x:f>
        <x:v>0.10455737785672709</x:v>
      </x:c>
      <x:c r="H147" s="258" t="n">
        <x:f>IF(AB147&lt;($E$16-$D$16)/($F$16-$D$16),$D$16+SQRT(AB147*($F$16-$D$16)*($E$16-$D$16)),$F$16-SQRT((1-AB147)*($F$16-$D$16)*($F$16-$E$16)))</x:f>
        <x:v>0.02165787537312589</x:v>
      </x:c>
      <x:c r="I147" s="262" t="n">
        <x:f>'Historical Inputs'!$N$9*(1+D147)^5</x:f>
        <x:v>656830.606558983</x:v>
      </x:c>
      <x:c r="J147" s="262" t="n">
        <x:f>I147*(1+H147)*('Terminal Value'!$E$10+E147)*(1-'Assumptions'!$E$15)*(1-H147/'Terminal Value'!$E$12)</x:f>
        <x:v>207190.48596845428</x:v>
      </x:c>
      <x:c r="K147" s="264" t="n">
        <x:f>((SUM((('Historical Inputs'!$N$9*(1+(D147))^1)*(('Assumptions'!E37+(E147))*(1-'Assumptions'!E42-(0))+'Assumptions'!E47-'Assumptions'!E52*(F147)+'Assumptions'!E57-'Assumptions'!E62*(1)-'Assumptions'!E67-(0))+('Working Capital'!$E$6))*'DCF'!E12/(1+(G147))^'DCF'!E13,(('Historical Inputs'!$N$9*(1+(D147))^2)*(('Assumptions'!F37+(E147))*(1-'Assumptions'!F42-(0))+'Assumptions'!F47-'Assumptions'!F52*(F147)+'Assumptions'!F57-'Assumptions'!F62*(1)-'Assumptions'!F67-(0))+(('Historical Inputs'!$N$9*(1+(D147))^1)*('Assumptions'!E67+(0))))*'DCF'!F12/(1+(G147))^'DCF'!F13,(('Historical Inputs'!$N$9*(1+(D147))^3)*(('Assumptions'!G37+(E147))*(1-'Assumptions'!G42-(0))+'Assumptions'!G47-'Assumptions'!G52*(F147)+'Assumptions'!G57-'Assumptions'!G62*(1)-'Assumptions'!G67-(0))+(('Historical Inputs'!$N$9*(1+(D147))^2)*('Assumptions'!F67+(0))))*'DCF'!G12/(1+(G147))^'DCF'!G13,(('Historical Inputs'!$N$9*(1+(D147))^4)*(('Assumptions'!H37+(E147))*(1-'Assumptions'!H42-(0))+'Assumptions'!H47-'Assumptions'!H52*(F147)+'Assumptions'!H57-'Assumptions'!H62*(1)-'Assumptions'!H67-(0))+(('Historical Inputs'!$N$9*(1+(D147))^3)*('Assumptions'!G67+(0))))*'DCF'!H12/(1+(G147))^'DCF'!H13,(('Historical Inputs'!$N$9*(1+(D147))^5)*(('Assumptions'!I37+(E147))*(1-'Assumptions'!I42-(0))+'Assumptions'!I47-'Assumptions'!I52*(F147)+'Assumptions'!I57-'Assumptions'!I62*(1)-'Assumptions'!I67-(0))+(('Historical Inputs'!$N$9*(1+(D147))^4)*('Assumptions'!H67+(0))))*'DCF'!I12/(1+(G147))^'DCF'!I13)+('Historical Inputs'!$N$9*(1+(D147))^5)*(1+(H147))*('Terminal Value'!$E$10+(E147))*(1-'Assumptions'!$E$15-(0))*(1-(H147)/('Terminal Value'!$E$12))/((G147)-(H147))/(1+(G147))^'DCF'!$E$19)+'Equity Bridge'!$E$17)/'Equity Bridge'!$E$20</x:f>
        <x:v>271.88633693289506</x:v>
      </x:c>
      <x:c r="X147" s="255" t="n">
        <x:v>0.5593495694823442</x:v>
      </x:c>
      <x:c r="Y147" s="255" t="n">
        <x:v>0.9408989051978929</x:v>
      </x:c>
      <x:c r="Z147" s="255" t="n">
        <x:v>0.41108643498939046</x:v>
      </x:c>
      <x:c r="AA147" s="255" t="n">
        <x:v>0.8362939067527688</x:v>
      </x:c>
      <x:c r="AB147" s="255" t="n">
        <x:v>0.013742753764086624</x:v>
      </x:c>
    </x:row>
    <x:row r="148" ht="24" customHeight="1">
      <x:c r="C148" s="256" t="n">
        <x:f>117</x:f>
        <x:v>117</x:v>
      </x:c>
      <x:c r="D148" s="258" t="n">
        <x:f>IF(X148&lt;($E$12-$D$12)/($F$12-$D$12),$D$12+SQRT(X148*($F$12-$D$12)*($E$12-$D$12)),$F$12-SQRT((1-X148)*($F$12-$D$12)*($F$12-$E$12)))</x:f>
        <x:v>0.11848547351432127</x:v>
      </x:c>
      <x:c r="E148" s="258" t="n">
        <x:f>IF(Y148&lt;($E$13-$D$13)/($F$13-$D$13),$D$13+SQRT(Y148*($F$13-$D$13)*($E$13-$D$13)),$F$13-SQRT((1-Y148)*($F$13-$D$13)*($F$13-$E$13)))</x:f>
        <x:v>-0.018937028336604343</x:v>
      </x:c>
      <x:c r="F148" s="260" t="n">
        <x:f>IF(Z148&lt;($E$14-$D$14)/($F$14-$D$14),$D$14+SQRT(Z148*($F$14-$D$14)*($E$14-$D$14)),$F$14-SQRT((1-Z148)*($F$14-$D$14)*($F$14-$E$14)))</x:f>
        <x:v>1.1110374035529476</x:v>
      </x:c>
      <x:c r="G148" s="258" t="n">
        <x:f>IF(AA148&lt;($E$15-$D$15)/($F$15-$D$15),$D$15+SQRT(AA148*($F$15-$D$15)*($E$15-$D$15)),$F$15-SQRT((1-AA148)*($F$15-$D$15)*($F$15-$E$15)))</x:f>
        <x:v>0.10420437177656713</x:v>
      </x:c>
      <x:c r="H148" s="258" t="n">
        <x:f>IF(AB148&lt;($E$16-$D$16)/($F$16-$D$16),$D$16+SQRT(AB148*($F$16-$D$16)*($E$16-$D$16)),$F$16-SQRT((1-AB148)*($F$16-$D$16)*($F$16-$E$16)))</x:f>
        <x:v>0.025185315631668728</x:v>
      </x:c>
      <x:c r="I148" s="262" t="n">
        <x:f>'Historical Inputs'!$N$9*(1+D148)^5</x:f>
        <x:v>580870.2926646404</x:v>
      </x:c>
      <x:c r="J148" s="262" t="n">
        <x:f>I148*(1+H148)*('Terminal Value'!$E$10+E148)*(1-'Assumptions'!$E$15)*(1-H148/'Terminal Value'!$E$12)</x:f>
        <x:v>158677.80877155883</x:v>
      </x:c>
      <x:c r="K148" s="264" t="n">
        <x:f>((SUM((('Historical Inputs'!$N$9*(1+(D148))^1)*(('Assumptions'!E37+(E148))*(1-'Assumptions'!E42-(0))+'Assumptions'!E47-'Assumptions'!E52*(F148)+'Assumptions'!E57-'Assumptions'!E62*(1)-'Assumptions'!E67-(0))+('Working Capital'!$E$6))*'DCF'!E12/(1+(G148))^'DCF'!E13,(('Historical Inputs'!$N$9*(1+(D148))^2)*(('Assumptions'!F37+(E148))*(1-'Assumptions'!F42-(0))+'Assumptions'!F47-'Assumptions'!F52*(F148)+'Assumptions'!F57-'Assumptions'!F62*(1)-'Assumptions'!F67-(0))+(('Historical Inputs'!$N$9*(1+(D148))^1)*('Assumptions'!E67+(0))))*'DCF'!F12/(1+(G148))^'DCF'!F13,(('Historical Inputs'!$N$9*(1+(D148))^3)*(('Assumptions'!G37+(E148))*(1-'Assumptions'!G42-(0))+'Assumptions'!G47-'Assumptions'!G52*(F148)+'Assumptions'!G57-'Assumptions'!G62*(1)-'Assumptions'!G67-(0))+(('Historical Inputs'!$N$9*(1+(D148))^2)*('Assumptions'!F67+(0))))*'DCF'!G12/(1+(G148))^'DCF'!G13,(('Historical Inputs'!$N$9*(1+(D148))^4)*(('Assumptions'!H37+(E148))*(1-'Assumptions'!H42-(0))+'Assumptions'!H47-'Assumptions'!H52*(F148)+'Assumptions'!H57-'Assumptions'!H62*(1)-'Assumptions'!H67-(0))+(('Historical Inputs'!$N$9*(1+(D148))^3)*('Assumptions'!G67+(0))))*'DCF'!H12/(1+(G148))^'DCF'!H13,(('Historical Inputs'!$N$9*(1+(D148))^5)*(('Assumptions'!I37+(E148))*(1-'Assumptions'!I42-(0))+'Assumptions'!I47-'Assumptions'!I52*(F148)+'Assumptions'!I57-'Assumptions'!I62*(1)-'Assumptions'!I67-(0))+(('Historical Inputs'!$N$9*(1+(D148))^4)*('Assumptions'!H67+(0))))*'DCF'!I12/(1+(G148))^'DCF'!I13)+('Historical Inputs'!$N$9*(1+(D148))^5)*(1+(H148))*('Terminal Value'!$E$10+(E148))*(1-'Assumptions'!$E$15-(0))*(1-(H148)/('Terminal Value'!$E$12))/((G148)-(H148))/(1+(G148))^'DCF'!$E$19)+'Equity Bridge'!$E$17)/'Equity Bridge'!$E$20</x:f>
        <x:v>209.2481523673669</x:v>
      </x:c>
      <x:c r="X148" s="255" t="n">
        <x:v>0.12729495491741316</x:v>
      </x:c>
      <x:c r="Y148" s="255" t="n">
        <x:v>0.19298164171218435</x:v>
      </x:c>
      <x:c r="Z148" s="255" t="n">
        <x:v>0.8869379490485555</x:v>
      </x:c>
      <x:c r="AA148" s="255" t="n">
        <x:v>0.8225509964923982</x:v>
      </x:c>
      <x:c r="AB148" s="255" t="n">
        <x:v>0.13443749100014035</x:v>
      </x:c>
    </x:row>
    <x:row r="149" ht="24" customHeight="1">
      <x:c r="C149" s="256" t="n">
        <x:f>118</x:f>
        <x:v>118</x:v>
      </x:c>
      <x:c r="D149" s="258" t="n">
        <x:f>IF(X149&lt;($E$12-$D$12)/($F$12-$D$12),$D$12+SQRT(X149*($F$12-$D$12)*($E$12-$D$12)),$F$12-SQRT((1-X149)*($F$12-$D$12)*($F$12-$E$12)))</x:f>
        <x:v>0.12230843000500098</x:v>
      </x:c>
      <x:c r="E149" s="258" t="n">
        <x:f>IF(Y149&lt;($E$13-$D$13)/($F$13-$D$13),$D$13+SQRT(Y149*($F$13-$D$13)*($E$13-$D$13)),$F$13-SQRT((1-Y149)*($F$13-$D$13)*($F$13-$E$13)))</x:f>
        <x:v>0.005102787195448565</x:v>
      </x:c>
      <x:c r="F149" s="260" t="n">
        <x:f>IF(Z149&lt;($E$14-$D$14)/($F$14-$D$14),$D$14+SQRT(Z149*($F$14-$D$14)*($E$14-$D$14)),$F$14-SQRT((1-Z149)*($F$14-$D$14)*($F$14-$E$14)))</x:f>
        <x:v>0.9867769451826427</x:v>
      </x:c>
      <x:c r="G149" s="258" t="n">
        <x:f>IF(AA149&lt;($E$15-$D$15)/($F$15-$D$15),$D$15+SQRT(AA149*($F$15-$D$15)*($E$15-$D$15)),$F$15-SQRT((1-AA149)*($F$15-$D$15)*($F$15-$E$15)))</x:f>
        <x:v>0.09224128422107297</x:v>
      </x:c>
      <x:c r="H149" s="258" t="n">
        <x:f>IF(AB149&lt;($E$16-$D$16)/($F$16-$D$16),$D$16+SQRT(AB149*($F$16-$D$16)*($E$16-$D$16)),$F$16-SQRT((1-AB149)*($F$16-$D$16)*($F$16-$E$16)))</x:f>
        <x:v>0.02880505985796307</x:v>
      </x:c>
      <x:c r="I149" s="262" t="n">
        <x:f>'Historical Inputs'!$N$9*(1+D149)^5</x:f>
        <x:v>590865.3890870068</x:v>
      </x:c>
      <x:c r="J149" s="262" t="n">
        <x:f>I149*(1+H149)*('Terminal Value'!$E$10+E149)*(1-'Assumptions'!$E$15)*(1-H149/'Terminal Value'!$E$12)</x:f>
        <x:v>168631.14535112135</x:v>
      </x:c>
      <x:c r="K149" s="264" t="n">
        <x:f>((SUM((('Historical Inputs'!$N$9*(1+(D149))^1)*(('Assumptions'!E37+(E149))*(1-'Assumptions'!E42-(0))+'Assumptions'!E47-'Assumptions'!E52*(F149)+'Assumptions'!E57-'Assumptions'!E62*(1)-'Assumptions'!E67-(0))+('Working Capital'!$E$6))*'DCF'!E12/(1+(G149))^'DCF'!E13,(('Historical Inputs'!$N$9*(1+(D149))^2)*(('Assumptions'!F37+(E149))*(1-'Assumptions'!F42-(0))+'Assumptions'!F47-'Assumptions'!F52*(F149)+'Assumptions'!F57-'Assumptions'!F62*(1)-'Assumptions'!F67-(0))+(('Historical Inputs'!$N$9*(1+(D149))^1)*('Assumptions'!E67+(0))))*'DCF'!F12/(1+(G149))^'DCF'!F13,(('Historical Inputs'!$N$9*(1+(D149))^3)*(('Assumptions'!G37+(E149))*(1-'Assumptions'!G42-(0))+'Assumptions'!G47-'Assumptions'!G52*(F149)+'Assumptions'!G57-'Assumptions'!G62*(1)-'Assumptions'!G67-(0))+(('Historical Inputs'!$N$9*(1+(D149))^2)*('Assumptions'!F67+(0))))*'DCF'!G12/(1+(G149))^'DCF'!G13,(('Historical Inputs'!$N$9*(1+(D149))^4)*(('Assumptions'!H37+(E149))*(1-'Assumptions'!H42-(0))+'Assumptions'!H47-'Assumptions'!H52*(F149)+'Assumptions'!H57-'Assumptions'!H62*(1)-'Assumptions'!H67-(0))+(('Historical Inputs'!$N$9*(1+(D149))^3)*('Assumptions'!G67+(0))))*'DCF'!H12/(1+(G149))^'DCF'!H13,(('Historical Inputs'!$N$9*(1+(D149))^5)*(('Assumptions'!I37+(E149))*(1-'Assumptions'!I42-(0))+'Assumptions'!I47-'Assumptions'!I52*(F149)+'Assumptions'!I57-'Assumptions'!I62*(1)-'Assumptions'!I67-(0))+(('Historical Inputs'!$N$9*(1+(D149))^4)*('Assumptions'!H67+(0))))*'DCF'!I12/(1+(G149))^'DCF'!I13)+('Historical Inputs'!$N$9*(1+(D149))^5)*(1+(H149))*('Terminal Value'!$E$10+(E149))*(1-'Assumptions'!$E$15-(0))*(1-(H149)/('Terminal Value'!$E$12))/((G149)-(H149))/(1+(G149))^'DCF'!$E$19)+'Equity Bridge'!$E$17)/'Equity Bridge'!$E$20</x:f>
        <x:v>289.8518605314168</x:v>
      </x:c>
      <x:c r="X149" s="255" t="n">
        <x:v>0.16879686343591838</x:v>
      </x:c>
      <x:c r="Y149" s="255" t="n">
        <x:v>0.5968480564765645</x:v>
      </x:c>
      <x:c r="Z149" s="255" t="n">
        <x:v>0.3563415758761074</x:v>
      </x:c>
      <x:c r="AA149" s="255" t="n">
        <x:v>0.18405922791987983</x:v>
      </x:c>
      <x:c r="AB149" s="255" t="n">
        <x:v>0.3876453955115632</x:v>
      </x:c>
    </x:row>
    <x:row r="150" ht="24" customHeight="1">
      <x:c r="C150" s="256" t="n">
        <x:f>119</x:f>
        <x:v>119</x:v>
      </x:c>
      <x:c r="D150" s="258" t="n">
        <x:f>IF(X150&lt;($E$12-$D$12)/($F$12-$D$12),$D$12+SQRT(X150*($F$12-$D$12)*($E$12-$D$12)),$F$12-SQRT((1-X150)*($F$12-$D$12)*($F$12-$E$12)))</x:f>
        <x:v>0.12615878347006199</x:v>
      </x:c>
      <x:c r="E150" s="258" t="n">
        <x:f>IF(Y150&lt;($E$13-$D$13)/($F$13-$D$13),$D$13+SQRT(Y150*($F$13-$D$13)*($E$13-$D$13)),$F$13-SQRT((1-Y150)*($F$13-$D$13)*($F$13-$E$13)))</x:f>
        <x:v>-0.0016440413006589688</x:v>
      </x:c>
      <x:c r="F150" s="260" t="n">
        <x:f>IF(Z150&lt;($E$14-$D$14)/($F$14-$D$14),$D$14+SQRT(Z150*($F$14-$D$14)*($E$14-$D$14)),$F$14-SQRT((1-Z150)*($F$14-$D$14)*($F$14-$E$14)))</x:f>
        <x:v>0.921061878243711</x:v>
      </x:c>
      <x:c r="G150" s="258" t="n">
        <x:f>IF(AA150&lt;($E$15-$D$15)/($F$15-$D$15),$D$15+SQRT(AA150*($F$15-$D$15)*($E$15-$D$15)),$F$15-SQRT((1-AA150)*($F$15-$D$15)*($F$15-$E$15)))</x:f>
        <x:v>0.09506976225694491</x:v>
      </x:c>
      <x:c r="H150" s="258" t="n">
        <x:f>IF(AB150&lt;($E$16-$D$16)/($F$16-$D$16),$D$16+SQRT(AB150*($F$16-$D$16)*($E$16-$D$16)),$F$16-SQRT((1-AB150)*($F$16-$D$16)*($F$16-$E$16)))</x:f>
        <x:v>0.030809576181635316</x:v>
      </x:c>
      <x:c r="I150" s="262" t="n">
        <x:f>'Historical Inputs'!$N$9*(1+D150)^5</x:f>
        <x:v>601070.7138864943</x:v>
      </x:c>
      <x:c r="J150" s="262" t="n">
        <x:f>I150*(1+H150)*('Terminal Value'!$E$10+E150)*(1-'Assumptions'!$E$15)*(1-H150/'Terminal Value'!$E$12)</x:f>
        <x:v>167036.39183662707</x:v>
      </x:c>
      <x:c r="K150" s="264" t="n">
        <x:f>((SUM((('Historical Inputs'!$N$9*(1+(D150))^1)*(('Assumptions'!E37+(E150))*(1-'Assumptions'!E42-(0))+'Assumptions'!E47-'Assumptions'!E52*(F150)+'Assumptions'!E57-'Assumptions'!E62*(1)-'Assumptions'!E67-(0))+('Working Capital'!$E$6))*'DCF'!E12/(1+(G150))^'DCF'!E13,(('Historical Inputs'!$N$9*(1+(D150))^2)*(('Assumptions'!F37+(E150))*(1-'Assumptions'!F42-(0))+'Assumptions'!F47-'Assumptions'!F52*(F150)+'Assumptions'!F57-'Assumptions'!F62*(1)-'Assumptions'!F67-(0))+(('Historical Inputs'!$N$9*(1+(D150))^1)*('Assumptions'!E67+(0))))*'DCF'!F12/(1+(G150))^'DCF'!F13,(('Historical Inputs'!$N$9*(1+(D150))^3)*(('Assumptions'!G37+(E150))*(1-'Assumptions'!G42-(0))+'Assumptions'!G47-'Assumptions'!G52*(F150)+'Assumptions'!G57-'Assumptions'!G62*(1)-'Assumptions'!G67-(0))+(('Historical Inputs'!$N$9*(1+(D150))^2)*('Assumptions'!F67+(0))))*'DCF'!G12/(1+(G150))^'DCF'!G13,(('Historical Inputs'!$N$9*(1+(D150))^4)*(('Assumptions'!H37+(E150))*(1-'Assumptions'!H42-(0))+'Assumptions'!H47-'Assumptions'!H52*(F150)+'Assumptions'!H57-'Assumptions'!H62*(1)-'Assumptions'!H67-(0))+(('Historical Inputs'!$N$9*(1+(D150))^3)*('Assumptions'!G67+(0))))*'DCF'!H12/(1+(G150))^'DCF'!H13,(('Historical Inputs'!$N$9*(1+(D150))^5)*(('Assumptions'!I37+(E150))*(1-'Assumptions'!I42-(0))+'Assumptions'!I47-'Assumptions'!I52*(F150)+'Assumptions'!I57-'Assumptions'!I62*(1)-'Assumptions'!I67-(0))+(('Historical Inputs'!$N$9*(1+(D150))^4)*('Assumptions'!H67+(0))))*'DCF'!I12/(1+(G150))^'DCF'!I13)+('Historical Inputs'!$N$9*(1+(D150))^5)*(1+(H150))*('Terminal Value'!$E$10+(E150))*(1-'Assumptions'!$E$15-(0))*(1-(H150)/('Terminal Value'!$E$12))/((G150)-(H150))/(1+(G150))^'DCF'!$E$19)+'Equity Bridge'!$E$17)/'Equity Bridge'!$E$20</x:f>
        <x:v>284.8138049706538</x:v>
      </x:c>
      <x:c r="X150" s="255" t="n">
        <x:v>0.21650518385577866</x:v>
      </x:c>
      <x:c r="Y150" s="255" t="n">
        <x:v>0.46765974834647517</x:v>
      </x:c>
      <x:c r="Z150" s="255" t="n">
        <x:v>0.09618648646712402</x:v>
      </x:c>
      <x:c r="AA150" s="255" t="n">
        <x:v>0.3162453700784619</x:v>
      </x:c>
      <x:c r="AB150" s="255" t="n">
        <x:v>0.5776805501941754</x:v>
      </x:c>
    </x:row>
    <x:row r="151" ht="24" customHeight="1">
      <x:c r="C151" s="256" t="n">
        <x:f>120</x:f>
        <x:v>120</x:v>
      </x:c>
      <x:c r="D151" s="258" t="n">
        <x:f>IF(X151&lt;($E$12-$D$12)/($F$12-$D$12),$D$12+SQRT(X151*($F$12-$D$12)*($E$12-$D$12)),$F$12-SQRT((1-X151)*($F$12-$D$12)*($F$12-$E$12)))</x:f>
        <x:v>0.10042693905076297</x:v>
      </x:c>
      <x:c r="E151" s="258" t="n">
        <x:f>IF(Y151&lt;($E$13-$D$13)/($F$13-$D$13),$D$13+SQRT(Y151*($F$13-$D$13)*($E$13-$D$13)),$F$13-SQRT((1-Y151)*($F$13-$D$13)*($F$13-$E$13)))</x:f>
        <x:v>-0.01246325420629893</x:v>
      </x:c>
      <x:c r="F151" s="260" t="n">
        <x:f>IF(Z151&lt;($E$14-$D$14)/($F$14-$D$14),$D$14+SQRT(Z151*($F$14-$D$14)*($E$14-$D$14)),$F$14-SQRT((1-Z151)*($F$14-$D$14)*($F$14-$E$14)))</x:f>
        <x:v>0.9509391175479774</x:v>
      </x:c>
      <x:c r="G151" s="258" t="n">
        <x:f>IF(AA151&lt;($E$15-$D$15)/($F$15-$D$15),$D$15+SQRT(AA151*($F$15-$D$15)*($E$15-$D$15)),$F$15-SQRT((1-AA151)*($F$15-$D$15)*($F$15-$E$15)))</x:f>
        <x:v>0.09801096014530586</x:v>
      </x:c>
      <x:c r="H151" s="258" t="n">
        <x:f>IF(AB151&lt;($E$16-$D$16)/($F$16-$D$16),$D$16+SQRT(AB151*($F$16-$D$16)*($E$16-$D$16)),$F$16-SQRT((1-AB151)*($F$16-$D$16)*($F$16-$E$16)))</x:f>
        <x:v>0.03467875057148587</x:v>
      </x:c>
      <x:c r="I151" s="262" t="n">
        <x:f>'Historical Inputs'!$N$9*(1+D151)^5</x:f>
        <x:v>535467.9653192327</x:v>
      </x:c>
      <x:c r="J151" s="262" t="n">
        <x:f>I151*(1+H151)*('Terminal Value'!$E$10+E151)*(1-'Assumptions'!$E$15)*(1-H151/'Terminal Value'!$E$12)</x:f>
        <x:v>141984.3842203457</x:v>
      </x:c>
      <x:c r="K151" s="264" t="n">
        <x:f>((SUM((('Historical Inputs'!$N$9*(1+(D151))^1)*(('Assumptions'!E37+(E151))*(1-'Assumptions'!E42-(0))+'Assumptions'!E47-'Assumptions'!E52*(F151)+'Assumptions'!E57-'Assumptions'!E62*(1)-'Assumptions'!E67-(0))+('Working Capital'!$E$6))*'DCF'!E12/(1+(G151))^'DCF'!E13,(('Historical Inputs'!$N$9*(1+(D151))^2)*(('Assumptions'!F37+(E151))*(1-'Assumptions'!F42-(0))+'Assumptions'!F47-'Assumptions'!F52*(F151)+'Assumptions'!F57-'Assumptions'!F62*(1)-'Assumptions'!F67-(0))+(('Historical Inputs'!$N$9*(1+(D151))^1)*('Assumptions'!E67+(0))))*'DCF'!F12/(1+(G151))^'DCF'!F13,(('Historical Inputs'!$N$9*(1+(D151))^3)*(('Assumptions'!G37+(E151))*(1-'Assumptions'!G42-(0))+'Assumptions'!G47-'Assumptions'!G52*(F151)+'Assumptions'!G57-'Assumptions'!G62*(1)-'Assumptions'!G67-(0))+(('Historical Inputs'!$N$9*(1+(D151))^2)*('Assumptions'!F67+(0))))*'DCF'!G12/(1+(G151))^'DCF'!G13,(('Historical Inputs'!$N$9*(1+(D151))^4)*(('Assumptions'!H37+(E151))*(1-'Assumptions'!H42-(0))+'Assumptions'!H47-'Assumptions'!H52*(F151)+'Assumptions'!H57-'Assumptions'!H62*(1)-'Assumptions'!H67-(0))+(('Historical Inputs'!$N$9*(1+(D151))^3)*('Assumptions'!G67+(0))))*'DCF'!H12/(1+(G151))^'DCF'!H13,(('Historical Inputs'!$N$9*(1+(D151))^5)*(('Assumptions'!I37+(E151))*(1-'Assumptions'!I42-(0))+'Assumptions'!I47-'Assumptions'!I52*(F151)+'Assumptions'!I57-'Assumptions'!I62*(1)-'Assumptions'!I67-(0))+(('Historical Inputs'!$N$9*(1+(D151))^4)*('Assumptions'!H67+(0))))*'DCF'!I12/(1+(G151))^'DCF'!I13)+('Historical Inputs'!$N$9*(1+(D151))^5)*(1+(H151))*('Terminal Value'!$E$10+(E151))*(1-'Assumptions'!$E$15-(0))*(1-(H151)/('Terminal Value'!$E$12))/((G151)-(H151))/(1+(G151))^'DCF'!$E$19)+'Equity Bridge'!$E$17)/'Equity Bridge'!$E$20</x:f>
        <x:v>242.48725111038635</x:v>
      </x:c>
      <x:c r="X151" s="255" t="n">
        <x:v>0.01028154260182601</x:v>
      </x:c>
      <x:c r="Y151" s="255" t="n">
        <x:v>0.2818014569561871</x:v>
      </x:c>
      <x:c r="Z151" s="255" t="n">
        <x:v>0.19407058002598876</x:v>
      </x:c>
      <x:c r="AA151" s="255" t="n">
        <x:v>0.49140993856751636</x:v>
      </x:c>
      <x:c r="AB151" s="255" t="n">
        <x:v>0.85842152259769</x:v>
      </x:c>
    </x:row>
    <x:row r="152" ht="24" customHeight="1">
      <x:c r="C152" s="256" t="n">
        <x:f>121</x:f>
        <x:v>121</x:v>
      </x:c>
      <x:c r="D152" s="258" t="n">
        <x:f>IF(X152&lt;($E$12-$D$12)/($F$12-$D$12),$D$12+SQRT(X152*($F$12-$D$12)*($E$12-$D$12)),$F$12-SQRT((1-X152)*($F$12-$D$12)*($F$12-$E$12)))</x:f>
        <x:v>0.10464281138112937</x:v>
      </x:c>
      <x:c r="E152" s="258" t="n">
        <x:f>IF(Y152&lt;($E$13-$D$13)/($F$13-$D$13),$D$13+SQRT(Y152*($F$13-$D$13)*($E$13-$D$13)),$F$13-SQRT((1-Y152)*($F$13-$D$13)*($F$13-$E$13)))</x:f>
        <x:v>-0.01955017469093018</x:v>
      </x:c>
      <x:c r="F152" s="260" t="n">
        <x:f>IF(Z152&lt;($E$14-$D$14)/($F$14-$D$14),$D$14+SQRT(Z152*($F$14-$D$14)*($E$14-$D$14)),$F$14-SQRT((1-Z152)*($F$14-$D$14)*($F$14-$E$14)))</x:f>
        <x:v>1.1016279245917564</x:v>
      </x:c>
      <x:c r="G152" s="258" t="n">
        <x:f>IF(AA152&lt;($E$15-$D$15)/($F$15-$D$15),$D$15+SQRT(AA152*($F$15-$D$15)*($E$15-$D$15)),$F$15-SQRT((1-AA152)*($F$15-$D$15)*($F$15-$E$15)))</x:f>
        <x:v>0.08971840360205946</x:v>
      </x:c>
      <x:c r="H152" s="258" t="n">
        <x:f>IF(AB152&lt;($E$16-$D$16)/($F$16-$D$16),$D$16+SQRT(AB152*($F$16-$D$16)*($E$16-$D$16)),$F$16-SQRT((1-AB152)*($F$16-$D$16)*($F$16-$E$16)))</x:f>
        <x:v>0.03013265568362413</x:v>
      </x:c>
      <x:c r="I152" s="262" t="n">
        <x:f>'Historical Inputs'!$N$9*(1+D152)^5</x:f>
        <x:v>545804.0819100167</x:v>
      </x:c>
      <x:c r="J152" s="262" t="n">
        <x:f>I152*(1+H152)*('Terminal Value'!$E$10+E152)*(1-'Assumptions'!$E$15)*(1-H152/'Terminal Value'!$E$12)</x:f>
        <x:v>145344.0345769179</x:v>
      </x:c>
      <x:c r="K152" s="264" t="n">
        <x:f>((SUM((('Historical Inputs'!$N$9*(1+(D152))^1)*(('Assumptions'!E37+(E152))*(1-'Assumptions'!E42-(0))+'Assumptions'!E47-'Assumptions'!E52*(F152)+'Assumptions'!E57-'Assumptions'!E62*(1)-'Assumptions'!E67-(0))+('Working Capital'!$E$6))*'DCF'!E12/(1+(G152))^'DCF'!E13,(('Historical Inputs'!$N$9*(1+(D152))^2)*(('Assumptions'!F37+(E152))*(1-'Assumptions'!F42-(0))+'Assumptions'!F47-'Assumptions'!F52*(F152)+'Assumptions'!F57-'Assumptions'!F62*(1)-'Assumptions'!F67-(0))+(('Historical Inputs'!$N$9*(1+(D152))^1)*('Assumptions'!E67+(0))))*'DCF'!F12/(1+(G152))^'DCF'!F13,(('Historical Inputs'!$N$9*(1+(D152))^3)*(('Assumptions'!G37+(E152))*(1-'Assumptions'!G42-(0))+'Assumptions'!G47-'Assumptions'!G52*(F152)+'Assumptions'!G57-'Assumptions'!G62*(1)-'Assumptions'!G67-(0))+(('Historical Inputs'!$N$9*(1+(D152))^2)*('Assumptions'!F67+(0))))*'DCF'!G12/(1+(G152))^'DCF'!G13,(('Historical Inputs'!$N$9*(1+(D152))^4)*(('Assumptions'!H37+(E152))*(1-'Assumptions'!H42-(0))+'Assumptions'!H47-'Assumptions'!H52*(F152)+'Assumptions'!H57-'Assumptions'!H62*(1)-'Assumptions'!H67-(0))+(('Historical Inputs'!$N$9*(1+(D152))^3)*('Assumptions'!G67+(0))))*'DCF'!H12/(1+(G152))^'DCF'!H13,(('Historical Inputs'!$N$9*(1+(D152))^5)*(('Assumptions'!I37+(E152))*(1-'Assumptions'!I42-(0))+'Assumptions'!I47-'Assumptions'!I52*(F152)+'Assumptions'!I57-'Assumptions'!I62*(1)-'Assumptions'!I67-(0))+(('Historical Inputs'!$N$9*(1+(D152))^4)*('Assumptions'!H67+(0))))*'DCF'!I12/(1+(G152))^'DCF'!I13)+('Historical Inputs'!$N$9*(1+(D152))^5)*(1+(H152))*('Terminal Value'!$E$10+(E152))*(1-'Assumptions'!$E$15-(0))*(1-(H152)/('Terminal Value'!$E$12))/((G152)-(H152))/(1+(G152))^'DCF'!$E$19)+'Equity Bridge'!$E$17)/'Equity Bridge'!$E$20</x:f>
        <x:v>258.8132952608796</x:v>
      </x:c>
      <x:c r="X152" s="255" t="n">
        <x:v>0.0259272407584773</x:v>
      </x:c>
      <x:c r="Y152" s="255" t="n">
        <x:v>0.1854383722705738</x:v>
      </x:c>
      <x:c r="Z152" s="255" t="n">
        <x:v>0.8617562111410689</x:v>
      </x:c>
      <x:c r="AA152" s="255" t="n">
        <x:v>0.09615674532695406</x:v>
      </x:c>
      <x:c r="AB152" s="255" t="n">
        <x:v>0.5131775807104241</x:v>
      </x:c>
    </x:row>
    <x:row r="153" ht="24" customHeight="1">
      <x:c r="C153" s="256" t="n">
        <x:f>122</x:f>
        <x:v>122</x:v>
      </x:c>
      <x:c r="D153" s="258" t="n">
        <x:f>IF(X153&lt;($E$12-$D$12)/($F$12-$D$12),$D$12+SQRT(X153*($F$12-$D$12)*($E$12-$D$12)),$F$12-SQRT((1-X153)*($F$12-$D$12)*($F$12-$E$12)))</x:f>
        <x:v>0.12406425436188133</x:v>
      </x:c>
      <x:c r="E153" s="258" t="n">
        <x:f>IF(Y153&lt;($E$13-$D$13)/($F$13-$D$13),$D$13+SQRT(Y153*($F$13-$D$13)*($E$13-$D$13)),$F$13-SQRT((1-Y153)*($F$13-$D$13)*($F$13-$E$13)))</x:f>
        <x:v>-0.016943049318467407</x:v>
      </x:c>
      <x:c r="F153" s="260" t="n">
        <x:f>IF(Z153&lt;($E$14-$D$14)/($F$14-$D$14),$D$14+SQRT(Z153*($F$14-$D$14)*($E$14-$D$14)),$F$14-SQRT((1-Z153)*($F$14-$D$14)*($F$14-$E$14)))</x:f>
        <x:v>1.041896886931926</x:v>
      </x:c>
      <x:c r="G153" s="258" t="n">
        <x:f>IF(AA153&lt;($E$15-$D$15)/($F$15-$D$15),$D$15+SQRT(AA153*($F$15-$D$15)*($E$15-$D$15)),$F$15-SQRT((1-AA153)*($F$15-$D$15)*($F$15-$E$15)))</x:f>
        <x:v>0.0944034970231623</x:v>
      </x:c>
      <x:c r="H153" s="258" t="n">
        <x:f>IF(AB153&lt;($E$16-$D$16)/($F$16-$D$16),$D$16+SQRT(AB153*($F$16-$D$16)*($E$16-$D$16)),$F$16-SQRT((1-AB153)*($F$16-$D$16)*($F$16-$E$16)))</x:f>
        <x:v>0.031018785834183122</x:v>
      </x:c>
      <x:c r="I153" s="262" t="n">
        <x:f>'Historical Inputs'!$N$9*(1+D153)^5</x:f>
        <x:v>595501.8466130487</x:v>
      </x:c>
      <x:c r="J153" s="262" t="n">
        <x:f>I153*(1+H153)*('Terminal Value'!$E$10+E153)*(1-'Assumptions'!$E$15)*(1-H153/'Terminal Value'!$E$12)</x:f>
        <x:v>158968.63889778877</x:v>
      </x:c>
      <x:c r="K153" s="264" t="n">
        <x:f>((SUM((('Historical Inputs'!$N$9*(1+(D153))^1)*(('Assumptions'!E37+(E153))*(1-'Assumptions'!E42-(0))+'Assumptions'!E47-'Assumptions'!E52*(F153)+'Assumptions'!E57-'Assumptions'!E62*(1)-'Assumptions'!E67-(0))+('Working Capital'!$E$6))*'DCF'!E12/(1+(G153))^'DCF'!E13,(('Historical Inputs'!$N$9*(1+(D153))^2)*(('Assumptions'!F37+(E153))*(1-'Assumptions'!F42-(0))+'Assumptions'!F47-'Assumptions'!F52*(F153)+'Assumptions'!F57-'Assumptions'!F62*(1)-'Assumptions'!F67-(0))+(('Historical Inputs'!$N$9*(1+(D153))^1)*('Assumptions'!E67+(0))))*'DCF'!F12/(1+(G153))^'DCF'!F13,(('Historical Inputs'!$N$9*(1+(D153))^3)*(('Assumptions'!G37+(E153))*(1-'Assumptions'!G42-(0))+'Assumptions'!G47-'Assumptions'!G52*(F153)+'Assumptions'!G57-'Assumptions'!G62*(1)-'Assumptions'!G67-(0))+(('Historical Inputs'!$N$9*(1+(D153))^2)*('Assumptions'!F67+(0))))*'DCF'!G12/(1+(G153))^'DCF'!G13,(('Historical Inputs'!$N$9*(1+(D153))^4)*(('Assumptions'!H37+(E153))*(1-'Assumptions'!H42-(0))+'Assumptions'!H47-'Assumptions'!H52*(F153)+'Assumptions'!H57-'Assumptions'!H62*(1)-'Assumptions'!H67-(0))+(('Historical Inputs'!$N$9*(1+(D153))^3)*('Assumptions'!G67+(0))))*'DCF'!H12/(1+(G153))^'DCF'!H13,(('Historical Inputs'!$N$9*(1+(D153))^5)*(('Assumptions'!I37+(E153))*(1-'Assumptions'!I42-(0))+'Assumptions'!I47-'Assumptions'!I52*(F153)+'Assumptions'!I57-'Assumptions'!I62*(1)-'Assumptions'!I67-(0))+(('Historical Inputs'!$N$9*(1+(D153))^4)*('Assumptions'!H67+(0))))*'DCF'!I12/(1+(G153))^'DCF'!I13)+('Historical Inputs'!$N$9*(1+(D153))^5)*(1+(H153))*('Terminal Value'!$E$10+(E153))*(1-'Assumptions'!$E$15-(0))*(1-(H153)/('Terminal Value'!$E$12))/((G153)-(H153))/(1+(G153))^'DCF'!$E$19)+'Equity Bridge'!$E$17)/'Equity Bridge'!$E$20</x:f>
        <x:v>266.81356501334045</x:v>
      </x:c>
      <x:c r="X153" s="255" t="n">
        <x:v>0.18981711530326606</x:v>
      </x:c>
      <x:c r="Y153" s="255" t="n">
        <x:v>0.21855239767225565</x:v>
      </x:c>
      <x:c r="Z153" s="255" t="n">
        <x:v>0.6429057948311981</x:v>
      </x:c>
      <x:c r="AA153" s="255" t="n">
        <x:v>0.2819067695786901</x:v>
      </x:c>
      <x:c r="AB153" s="255" t="n">
        <x:v>0.5966889605386513</x:v>
      </x:c>
    </x:row>
    <x:row r="154" ht="24" customHeight="1">
      <x:c r="C154" s="256" t="n">
        <x:f>123</x:f>
        <x:v>123</x:v>
      </x:c>
      <x:c r="D154" s="258" t="n">
        <x:f>IF(X154&lt;($E$12-$D$12)/($F$12-$D$12),$D$12+SQRT(X154*($F$12-$D$12)*($E$12-$D$12)),$F$12-SQRT((1-X154)*($F$12-$D$12)*($F$12-$E$12)))</x:f>
        <x:v>0.15502556753743468</x:v>
      </x:c>
      <x:c r="E154" s="258" t="n">
        <x:f>IF(Y154&lt;($E$13-$D$13)/($F$13-$D$13),$D$13+SQRT(Y154*($F$13-$D$13)*($E$13-$D$13)),$F$13-SQRT((1-Y154)*($F$13-$D$13)*($F$13-$E$13)))</x:f>
        <x:v>0.002862519722711794</x:v>
      </x:c>
      <x:c r="F154" s="260" t="n">
        <x:f>IF(Z154&lt;($E$14-$D$14)/($F$14-$D$14),$D$14+SQRT(Z154*($F$14-$D$14)*($E$14-$D$14)),$F$14-SQRT((1-Z154)*($F$14-$D$14)*($F$14-$E$14)))</x:f>
        <x:v>1.0835477769347284</x:v>
      </x:c>
      <x:c r="G154" s="258" t="n">
        <x:f>IF(AA154&lt;($E$15-$D$15)/($F$15-$D$15),$D$15+SQRT(AA154*($F$15-$D$15)*($E$15-$D$15)),$F$15-SQRT((1-AA154)*($F$15-$D$15)*($F$15-$E$15)))</x:f>
        <x:v>0.0968095210075618</x:v>
      </x:c>
      <x:c r="H154" s="258" t="n">
        <x:f>IF(AB154&lt;($E$16-$D$16)/($F$16-$D$16),$D$16+SQRT(AB154*($F$16-$D$16)*($E$16-$D$16)),$F$16-SQRT((1-AB154)*($F$16-$D$16)*($F$16-$E$16)))</x:f>
        <x:v>0.032823114338809495</x:v>
      </x:c>
      <x:c r="I154" s="262" t="n">
        <x:f>'Historical Inputs'!$N$9*(1+D154)^5</x:f>
        <x:v>682158.6887030564</x:v>
      </x:c>
      <x:c r="J154" s="262" t="n">
        <x:f>I154*(1+H154)*('Terminal Value'!$E$10+E154)*(1-'Assumptions'!$E$15)*(1-H154/'Terminal Value'!$E$12)</x:f>
        <x:v>189803.6022035831</x:v>
      </x:c>
      <x:c r="K154" s="264" t="n">
        <x:f>((SUM((('Historical Inputs'!$N$9*(1+(D154))^1)*(('Assumptions'!E37+(E154))*(1-'Assumptions'!E42-(0))+'Assumptions'!E47-'Assumptions'!E52*(F154)+'Assumptions'!E57-'Assumptions'!E62*(1)-'Assumptions'!E67-(0))+('Working Capital'!$E$6))*'DCF'!E12/(1+(G154))^'DCF'!E13,(('Historical Inputs'!$N$9*(1+(D154))^2)*(('Assumptions'!F37+(E154))*(1-'Assumptions'!F42-(0))+'Assumptions'!F47-'Assumptions'!F52*(F154)+'Assumptions'!F57-'Assumptions'!F62*(1)-'Assumptions'!F67-(0))+(('Historical Inputs'!$N$9*(1+(D154))^1)*('Assumptions'!E67+(0))))*'DCF'!F12/(1+(G154))^'DCF'!F13,(('Historical Inputs'!$N$9*(1+(D154))^3)*(('Assumptions'!G37+(E154))*(1-'Assumptions'!G42-(0))+'Assumptions'!G47-'Assumptions'!G52*(F154)+'Assumptions'!G57-'Assumptions'!G62*(1)-'Assumptions'!G67-(0))+(('Historical Inputs'!$N$9*(1+(D154))^2)*('Assumptions'!F67+(0))))*'DCF'!G12/(1+(G154))^'DCF'!G13,(('Historical Inputs'!$N$9*(1+(D154))^4)*(('Assumptions'!H37+(E154))*(1-'Assumptions'!H42-(0))+'Assumptions'!H47-'Assumptions'!H52*(F154)+'Assumptions'!H57-'Assumptions'!H62*(1)-'Assumptions'!H67-(0))+(('Historical Inputs'!$N$9*(1+(D154))^3)*('Assumptions'!G67+(0))))*'DCF'!H12/(1+(G154))^'DCF'!H13,(('Historical Inputs'!$N$9*(1+(D154))^5)*(('Assumptions'!I37+(E154))*(1-'Assumptions'!I42-(0))+'Assumptions'!I47-'Assumptions'!I52*(F154)+'Assumptions'!I57-'Assumptions'!I62*(1)-'Assumptions'!I67-(0))+(('Historical Inputs'!$N$9*(1+(D154))^4)*('Assumptions'!H67+(0))))*'DCF'!I12/(1+(G154))^'DCF'!I13)+('Historical Inputs'!$N$9*(1+(D154))^5)*(1+(H154))*('Terminal Value'!$E$10+(E154))*(1-'Assumptions'!$E$15-(0))*(1-(H154)/('Terminal Value'!$E$12))/((G154)-(H154))/(1+(G154))^'DCF'!$E$19)+'Equity Bridge'!$E$17)/'Equity Bridge'!$E$20</x:f>
        <x:v>310.43483470067906</x:v>
      </x:c>
      <x:c r="X154" s="255" t="n">
        <x:v>0.7076711805953907</x:v>
      </x:c>
      <x:c r="Y154" s="255" t="n">
        <x:v>0.5556115906216531</x:v>
      </x:c>
      <x:c r="Z154" s="255" t="n">
        <x:v>0.8062697106165178</x:v>
      </x:c>
      <x:c r="AA154" s="255" t="n">
        <x:v>0.41521268588814375</x:v>
      </x:c>
      <x:c r="AB154" s="255" t="n">
        <x:v>0.7424615610309904</x:v>
      </x:c>
    </x:row>
    <x:row r="155" ht="24" customHeight="1">
      <x:c r="C155" s="256" t="n">
        <x:f>124</x:f>
        <x:v>124</x:v>
      </x:c>
      <x:c r="D155" s="258" t="n">
        <x:f>IF(X155&lt;($E$12-$D$12)/($F$12-$D$12),$D$12+SQRT(X155*($F$12-$D$12)*($E$12-$D$12)),$F$12-SQRT((1-X155)*($F$12-$D$12)*($F$12-$E$12)))</x:f>
        <x:v>0.13459440513438103</x:v>
      </x:c>
      <x:c r="E155" s="258" t="n">
        <x:f>IF(Y155&lt;($E$13-$D$13)/($F$13-$D$13),$D$13+SQRT(Y155*($F$13-$D$13)*($E$13-$D$13)),$F$13-SQRT((1-Y155)*($F$13-$D$13)*($F$13-$E$13)))</x:f>
        <x:v>0.03141271084695895</x:v>
      </x:c>
      <x:c r="F155" s="260" t="n">
        <x:f>IF(Z155&lt;($E$14-$D$14)/($F$14-$D$14),$D$14+SQRT(Z155*($F$14-$D$14)*($E$14-$D$14)),$F$14-SQRT((1-Z155)*($F$14-$D$14)*($F$14-$E$14)))</x:f>
        <x:v>0.8791332637999917</x:v>
      </x:c>
      <x:c r="G155" s="258" t="n">
        <x:f>IF(AA155&lt;($E$15-$D$15)/($F$15-$D$15),$D$15+SQRT(AA155*($F$15-$D$15)*($E$15-$D$15)),$F$15-SQRT((1-AA155)*($F$15-$D$15)*($F$15-$E$15)))</x:f>
        <x:v>0.09433472842663462</x:v>
      </x:c>
      <x:c r="H155" s="258" t="n">
        <x:f>IF(AB155&lt;($E$16-$D$16)/($F$16-$D$16),$D$16+SQRT(AB155*($F$16-$D$16)*($E$16-$D$16)),$F$16-SQRT((1-AB155)*($F$16-$D$16)*($F$16-$E$16)))</x:f>
        <x:v>0.03488260344543958</x:v>
      </x:c>
      <x:c r="I155" s="262" t="n">
        <x:f>'Historical Inputs'!$N$9*(1+D155)^5</x:f>
        <x:v>623922.4522165781</x:v>
      </x:c>
      <x:c r="J155" s="262" t="n">
        <x:f>I155*(1+H155)*('Terminal Value'!$E$10+E155)*(1-'Assumptions'!$E$15)*(1-H155/'Terminal Value'!$E$12)</x:f>
        <x:v>183978.66412597106</x:v>
      </x:c>
      <x:c r="K155" s="264" t="n">
        <x:f>((SUM((('Historical Inputs'!$N$9*(1+(D155))^1)*(('Assumptions'!E37+(E155))*(1-'Assumptions'!E42-(0))+'Assumptions'!E47-'Assumptions'!E52*(F155)+'Assumptions'!E57-'Assumptions'!E62*(1)-'Assumptions'!E67-(0))+('Working Capital'!$E$6))*'DCF'!E12/(1+(G155))^'DCF'!E13,(('Historical Inputs'!$N$9*(1+(D155))^2)*(('Assumptions'!F37+(E155))*(1-'Assumptions'!F42-(0))+'Assumptions'!F47-'Assumptions'!F52*(F155)+'Assumptions'!F57-'Assumptions'!F62*(1)-'Assumptions'!F67-(0))+(('Historical Inputs'!$N$9*(1+(D155))^1)*('Assumptions'!E67+(0))))*'DCF'!F12/(1+(G155))^'DCF'!F13,(('Historical Inputs'!$N$9*(1+(D155))^3)*(('Assumptions'!G37+(E155))*(1-'Assumptions'!G42-(0))+'Assumptions'!G47-'Assumptions'!G52*(F155)+'Assumptions'!G57-'Assumptions'!G62*(1)-'Assumptions'!G67-(0))+(('Historical Inputs'!$N$9*(1+(D155))^2)*('Assumptions'!F67+(0))))*'DCF'!G12/(1+(G155))^'DCF'!G13,(('Historical Inputs'!$N$9*(1+(D155))^4)*(('Assumptions'!H37+(E155))*(1-'Assumptions'!H42-(0))+'Assumptions'!H47-'Assumptions'!H52*(F155)+'Assumptions'!H57-'Assumptions'!H62*(1)-'Assumptions'!H67-(0))+(('Historical Inputs'!$N$9*(1+(D155))^3)*('Assumptions'!G67+(0))))*'DCF'!H12/(1+(G155))^'DCF'!H13,(('Historical Inputs'!$N$9*(1+(D155))^5)*(('Assumptions'!I37+(E155))*(1-'Assumptions'!I42-(0))+'Assumptions'!I47-'Assumptions'!I52*(F155)+'Assumptions'!I57-'Assumptions'!I62*(1)-'Assumptions'!I67-(0))+(('Historical Inputs'!$N$9*(1+(D155))^4)*('Assumptions'!H67+(0))))*'DCF'!I12/(1+(G155))^'DCF'!I13)+('Historical Inputs'!$N$9*(1+(D155))^5)*(1+(H155))*('Terminal Value'!$E$10+(E155))*(1-'Assumptions'!$E$15-(0))*(1-(H155)/('Terminal Value'!$E$12))/((G155)-(H155))/(1+(G155))^'DCF'!$E$19)+'Equity Bridge'!$E$17)/'Equity Bridge'!$E$20</x:f>
        <x:v>339.92810187278747</x:v>
      </x:c>
      <x:c r="X155" s="255" t="n">
        <x:v>0.34175585175585543</x:v>
      </x:c>
      <x:c r="Y155" s="255" t="n">
        <x:v>0.9309025363882485</x:v>
      </x:c>
      <x:c r="Z155" s="255" t="n">
        <x:v>0.016166610659807734</x:v>
      </x:c>
      <x:c r="AA155" s="255" t="n">
        <x:v>0.27847483657106</x:v>
      </x:c>
      <x:c r="AB155" s="255" t="n">
        <x:v>0.8690612625168658</x:v>
      </x:c>
    </x:row>
    <x:row r="156" ht="24" customHeight="1">
      <x:c r="C156" s="256" t="n">
        <x:f>125</x:f>
        <x:v>125</x:v>
      </x:c>
      <x:c r="D156" s="258" t="n">
        <x:f>IF(X156&lt;($E$12-$D$12)/($F$12-$D$12),$D$12+SQRT(X156*($F$12-$D$12)*($E$12-$D$12)),$F$12-SQRT((1-X156)*($F$12-$D$12)*($F$12-$E$12)))</x:f>
        <x:v>0.15967957061003302</x:v>
      </x:c>
      <x:c r="E156" s="258" t="n">
        <x:f>IF(Y156&lt;($E$13-$D$13)/($F$13-$D$13),$D$13+SQRT(Y156*($F$13-$D$13)*($E$13-$D$13)),$F$13-SQRT((1-Y156)*($F$13-$D$13)*($F$13-$E$13)))</x:f>
        <x:v>0.010480831971593559</x:v>
      </x:c>
      <x:c r="F156" s="260" t="n">
        <x:f>IF(Z156&lt;($E$14-$D$14)/($F$14-$D$14),$D$14+SQRT(Z156*($F$14-$D$14)*($E$14-$D$14)),$F$14-SQRT((1-Z156)*($F$14-$D$14)*($F$14-$E$14)))</x:f>
        <x:v>0.9823962026235831</x:v>
      </x:c>
      <x:c r="G156" s="258" t="n">
        <x:f>IF(AA156&lt;($E$15-$D$15)/($F$15-$D$15),$D$15+SQRT(AA156*($F$15-$D$15)*($E$15-$D$15)),$F$15-SQRT((1-AA156)*($F$15-$D$15)*($F$15-$E$15)))</x:f>
        <x:v>0.0969438660629064</x:v>
      </x:c>
      <x:c r="H156" s="258" t="n">
        <x:f>IF(AB156&lt;($E$16-$D$16)/($F$16-$D$16),$D$16+SQRT(AB156*($F$16-$D$16)*($E$16-$D$16)),$F$16-SQRT((1-AB156)*($F$16-$D$16)*($F$16-$E$16)))</x:f>
        <x:v>0.031147682515878267</x:v>
      </x:c>
      <x:c r="I156" s="262" t="n">
        <x:f>'Historical Inputs'!$N$9*(1+D156)^5</x:f>
        <x:v>696013.1718088804</x:v>
      </x:c>
      <x:c r="J156" s="262" t="n">
        <x:f>I156*(1+H156)*('Terminal Value'!$E$10+E156)*(1-'Assumptions'!$E$15)*(1-H156/'Terminal Value'!$E$12)</x:f>
        <x:v>198974.86901936895</x:v>
      </x:c>
      <x:c r="K156" s="264" t="n">
        <x:f>((SUM((('Historical Inputs'!$N$9*(1+(D156))^1)*(('Assumptions'!E37+(E156))*(1-'Assumptions'!E42-(0))+'Assumptions'!E47-'Assumptions'!E52*(F156)+'Assumptions'!E57-'Assumptions'!E62*(1)-'Assumptions'!E67-(0))+('Working Capital'!$E$6))*'DCF'!E12/(1+(G156))^'DCF'!E13,(('Historical Inputs'!$N$9*(1+(D156))^2)*(('Assumptions'!F37+(E156))*(1-'Assumptions'!F42-(0))+'Assumptions'!F47-'Assumptions'!F52*(F156)+'Assumptions'!F57-'Assumptions'!F62*(1)-'Assumptions'!F67-(0))+(('Historical Inputs'!$N$9*(1+(D156))^1)*('Assumptions'!E67+(0))))*'DCF'!F12/(1+(G156))^'DCF'!F13,(('Historical Inputs'!$N$9*(1+(D156))^3)*(('Assumptions'!G37+(E156))*(1-'Assumptions'!G42-(0))+'Assumptions'!G47-'Assumptions'!G52*(F156)+'Assumptions'!G57-'Assumptions'!G62*(1)-'Assumptions'!G67-(0))+(('Historical Inputs'!$N$9*(1+(D156))^2)*('Assumptions'!F67+(0))))*'DCF'!G12/(1+(G156))^'DCF'!G13,(('Historical Inputs'!$N$9*(1+(D156))^4)*(('Assumptions'!H37+(E156))*(1-'Assumptions'!H42-(0))+'Assumptions'!H47-'Assumptions'!H52*(F156)+'Assumptions'!H57-'Assumptions'!H62*(1)-'Assumptions'!H67-(0))+(('Historical Inputs'!$N$9*(1+(D156))^3)*('Assumptions'!G67+(0))))*'DCF'!H12/(1+(G156))^'DCF'!H13,(('Historical Inputs'!$N$9*(1+(D156))^5)*(('Assumptions'!I37+(E156))*(1-'Assumptions'!I42-(0))+'Assumptions'!I47-'Assumptions'!I52*(F156)+'Assumptions'!I57-'Assumptions'!I62*(1)-'Assumptions'!I67-(0))+(('Historical Inputs'!$N$9*(1+(D156))^4)*('Assumptions'!H67+(0))))*'DCF'!I12/(1+(G156))^'DCF'!I13)+('Historical Inputs'!$N$9*(1+(D156))^5)*(1+(H156))*('Terminal Value'!$E$10+(E156))*(1-'Assumptions'!$E$15-(0))*(1-(H156)/('Terminal Value'!$E$12))/((G156)-(H156))/(1+(G156))^'DCF'!$E$19)+'Equity Bridge'!$E$17)/'Equity Bridge'!$E$20</x:f>
        <x:v>324.4489059475964</x:v>
      </x:c>
      <x:c r="X156" s="255" t="n">
        <x:v>0.774510953967101</x:v>
      </x:c>
      <x:c r="Y156" s="255" t="n">
        <x:v>0.6876470716685157</x:v>
      </x:c>
      <x:c r="Z156" s="255" t="n">
        <x:v>0.3338810375075213</x:v>
      </x:c>
      <x:c r="AA156" s="255" t="n">
        <x:v>0.42341449584734236</x:v>
      </x:c>
      <x:c r="AB156" s="255" t="n">
        <x:v>0.6081823758015633</x:v>
      </x:c>
    </x:row>
    <x:row r="157" ht="24" customHeight="1">
      <x:c r="C157" s="256" t="n">
        <x:f>126</x:f>
        <x:v>126</x:v>
      </x:c>
      <x:c r="D157" s="258" t="n">
        <x:f>IF(X157&lt;($E$12-$D$12)/($F$12-$D$12),$D$12+SQRT(X157*($F$12-$D$12)*($E$12-$D$12)),$F$12-SQRT((1-X157)*($F$12-$D$12)*($F$12-$E$12)))</x:f>
        <x:v>0.1723065372523526</x:v>
      </x:c>
      <x:c r="E157" s="258" t="n">
        <x:f>IF(Y157&lt;($E$13-$D$13)/($F$13-$D$13),$D$13+SQRT(Y157*($F$13-$D$13)*($E$13-$D$13)),$F$13-SQRT((1-Y157)*($F$13-$D$13)*($F$13-$E$13)))</x:f>
        <x:v>0.03607852383835568</x:v>
      </x:c>
      <x:c r="F157" s="260" t="n">
        <x:f>IF(Z157&lt;($E$14-$D$14)/($F$14-$D$14),$D$14+SQRT(Z157*($F$14-$D$14)*($E$14-$D$14)),$F$14-SQRT((1-Z157)*($F$14-$D$14)*($F$14-$E$14)))</x:f>
        <x:v>0.8814707496851968</x:v>
      </x:c>
      <x:c r="G157" s="258" t="n">
        <x:f>IF(AA157&lt;($E$15-$D$15)/($F$15-$D$15),$D$15+SQRT(AA157*($F$15-$D$15)*($E$15-$D$15)),$F$15-SQRT((1-AA157)*($F$15-$D$15)*($F$15-$E$15)))</x:f>
        <x:v>0.10669586152853539</x:v>
      </x:c>
      <x:c r="H157" s="258" t="n">
        <x:f>IF(AB157&lt;($E$16-$D$16)/($F$16-$D$16),$D$16+SQRT(AB157*($F$16-$D$16)*($E$16-$D$16)),$F$16-SQRT((1-AB157)*($F$16-$D$16)*($F$16-$E$16)))</x:f>
        <x:v>0.02589079425475913</x:v>
      </x:c>
      <x:c r="I157" s="262" t="n">
        <x:f>'Historical Inputs'!$N$9*(1+D157)^5</x:f>
        <x:v>734739.451859509</x:v>
      </x:c>
      <x:c r="J157" s="262" t="n">
        <x:f>I157*(1+H157)*('Terminal Value'!$E$10+E157)*(1-'Assumptions'!$E$15)*(1-H157/'Terminal Value'!$E$12)</x:f>
        <x:v>228918.5135587228</x:v>
      </x:c>
      <x:c r="K157" s="264" t="n">
        <x:f>((SUM((('Historical Inputs'!$N$9*(1+(D157))^1)*(('Assumptions'!E37+(E157))*(1-'Assumptions'!E42-(0))+'Assumptions'!E47-'Assumptions'!E52*(F157)+'Assumptions'!E57-'Assumptions'!E62*(1)-'Assumptions'!E67-(0))+('Working Capital'!$E$6))*'DCF'!E12/(1+(G157))^'DCF'!E13,(('Historical Inputs'!$N$9*(1+(D157))^2)*(('Assumptions'!F37+(E157))*(1-'Assumptions'!F42-(0))+'Assumptions'!F47-'Assumptions'!F52*(F157)+'Assumptions'!F57-'Assumptions'!F62*(1)-'Assumptions'!F67-(0))+(('Historical Inputs'!$N$9*(1+(D157))^1)*('Assumptions'!E67+(0))))*'DCF'!F12/(1+(G157))^'DCF'!F13,(('Historical Inputs'!$N$9*(1+(D157))^3)*(('Assumptions'!G37+(E157))*(1-'Assumptions'!G42-(0))+'Assumptions'!G47-'Assumptions'!G52*(F157)+'Assumptions'!G57-'Assumptions'!G62*(1)-'Assumptions'!G67-(0))+(('Historical Inputs'!$N$9*(1+(D157))^2)*('Assumptions'!F67+(0))))*'DCF'!G12/(1+(G157))^'DCF'!G13,(('Historical Inputs'!$N$9*(1+(D157))^4)*(('Assumptions'!H37+(E157))*(1-'Assumptions'!H42-(0))+'Assumptions'!H47-'Assumptions'!H52*(F157)+'Assumptions'!H57-'Assumptions'!H62*(1)-'Assumptions'!H67-(0))+(('Historical Inputs'!$N$9*(1+(D157))^3)*('Assumptions'!G67+(0))))*'DCF'!H12/(1+(G157))^'DCF'!H13,(('Historical Inputs'!$N$9*(1+(D157))^5)*(('Assumptions'!I37+(E157))*(1-'Assumptions'!I42-(0))+'Assumptions'!I47-'Assumptions'!I52*(F157)+'Assumptions'!I57-'Assumptions'!I62*(1)-'Assumptions'!I67-(0))+(('Historical Inputs'!$N$9*(1+(D157))^4)*('Assumptions'!H67+(0))))*'DCF'!I12/(1+(G157))^'DCF'!I13)+('Historical Inputs'!$N$9*(1+(D157))^5)*(1+(H157))*('Terminal Value'!$E$10+(E157))*(1-'Assumptions'!$E$15-(0))*(1-(H157)/('Terminal Value'!$E$12))/((G157)-(H157))/(1+(G157))^'DCF'!$E$19)+'Equity Bridge'!$E$17)/'Equity Bridge'!$E$20</x:f>
        <x:v>311.0812573566901</x:v>
      </x:c>
      <x:c r="X157" s="255" t="n">
        <x:v>0.9122154392253916</x:v>
      </x:c>
      <x:c r="Y157" s="255" t="n">
        <x:v>0.9612385002961538</x:v>
      </x:c>
      <x:c r="Z157" s="255" t="n">
        <x:v>0.018864915919015512</x:v>
      </x:c>
      <x:c r="AA157" s="255" t="n">
        <x:v>0.9077073771093201</x:v>
      </x:c>
      <x:c r="AB157" s="255" t="n">
        <x:v>0.17350728475951593</x:v>
      </x:c>
    </x:row>
    <x:row r="158" ht="24" customHeight="1">
      <x:c r="C158" s="256" t="n">
        <x:f>127</x:f>
        <x:v>127</x:v>
      </x:c>
      <x:c r="D158" s="258" t="n">
        <x:f>IF(X158&lt;($E$12-$D$12)/($F$12-$D$12),$D$12+SQRT(X158*($F$12-$D$12)*($E$12-$D$12)),$F$12-SQRT((1-X158)*($F$12-$D$12)*($F$12-$E$12)))</x:f>
        <x:v>0.11893712202511161</x:v>
      </x:c>
      <x:c r="E158" s="258" t="n">
        <x:f>IF(Y158&lt;($E$13-$D$13)/($F$13-$D$13),$D$13+SQRT(Y158*($F$13-$D$13)*($E$13-$D$13)),$F$13-SQRT((1-Y158)*($F$13-$D$13)*($F$13-$E$13)))</x:f>
        <x:v>-0.04282947514967883</x:v>
      </x:c>
      <x:c r="F158" s="260" t="n">
        <x:f>IF(Z158&lt;($E$14-$D$14)/($F$14-$D$14),$D$14+SQRT(Z158*($F$14-$D$14)*($E$14-$D$14)),$F$14-SQRT((1-Z158)*($F$14-$D$14)*($F$14-$E$14)))</x:f>
        <x:v>1.0549004974230074</x:v>
      </x:c>
      <x:c r="G158" s="258" t="n">
        <x:f>IF(AA158&lt;($E$15-$D$15)/($F$15-$D$15),$D$15+SQRT(AA158*($F$15-$D$15)*($E$15-$D$15)),$F$15-SQRT((1-AA158)*($F$15-$D$15)*($F$15-$E$15)))</x:f>
        <x:v>0.09460193361142548</x:v>
      </x:c>
      <x:c r="H158" s="258" t="n">
        <x:f>IF(AB158&lt;($E$16-$D$16)/($F$16-$D$16),$D$16+SQRT(AB158*($F$16-$D$16)*($E$16-$D$16)),$F$16-SQRT((1-AB158)*($F$16-$D$16)*($F$16-$E$16)))</x:f>
        <x:v>0.034129489383397</x:v>
      </x:c>
      <x:c r="I158" s="262" t="n">
        <x:f>'Historical Inputs'!$N$9*(1+D158)^5</x:f>
        <x:v>582044.0279055687</x:v>
      </x:c>
      <x:c r="J158" s="262" t="n">
        <x:f>I158*(1+H158)*('Terminal Value'!$E$10+E158)*(1-'Assumptions'!$E$15)*(1-H158/'Terminal Value'!$E$12)</x:f>
        <x:v>142638.0999564968</x:v>
      </x:c>
      <x:c r="K158" s="264" t="n">
        <x:f>((SUM((('Historical Inputs'!$N$9*(1+(D158))^1)*(('Assumptions'!E37+(E158))*(1-'Assumptions'!E42-(0))+'Assumptions'!E47-'Assumptions'!E52*(F158)+'Assumptions'!E57-'Assumptions'!E62*(1)-'Assumptions'!E67-(0))+('Working Capital'!$E$6))*'DCF'!E12/(1+(G158))^'DCF'!E13,(('Historical Inputs'!$N$9*(1+(D158))^2)*(('Assumptions'!F37+(E158))*(1-'Assumptions'!F42-(0))+'Assumptions'!F47-'Assumptions'!F52*(F158)+'Assumptions'!F57-'Assumptions'!F62*(1)-'Assumptions'!F67-(0))+(('Historical Inputs'!$N$9*(1+(D158))^1)*('Assumptions'!E67+(0))))*'DCF'!F12/(1+(G158))^'DCF'!F13,(('Historical Inputs'!$N$9*(1+(D158))^3)*(('Assumptions'!G37+(E158))*(1-'Assumptions'!G42-(0))+'Assumptions'!G47-'Assumptions'!G52*(F158)+'Assumptions'!G57-'Assumptions'!G62*(1)-'Assumptions'!G67-(0))+(('Historical Inputs'!$N$9*(1+(D158))^2)*('Assumptions'!F67+(0))))*'DCF'!G12/(1+(G158))^'DCF'!G13,(('Historical Inputs'!$N$9*(1+(D158))^4)*(('Assumptions'!H37+(E158))*(1-'Assumptions'!H42-(0))+'Assumptions'!H47-'Assumptions'!H52*(F158)+'Assumptions'!H57-'Assumptions'!H62*(1)-'Assumptions'!H67-(0))+(('Historical Inputs'!$N$9*(1+(D158))^3)*('Assumptions'!G67+(0))))*'DCF'!H12/(1+(G158))^'DCF'!H13,(('Historical Inputs'!$N$9*(1+(D158))^5)*(('Assumptions'!I37+(E158))*(1-'Assumptions'!I42-(0))+'Assumptions'!I47-'Assumptions'!I52*(F158)+'Assumptions'!I57-'Assumptions'!I62*(1)-'Assumptions'!I67-(0))+(('Historical Inputs'!$N$9*(1+(D158))^4)*('Assumptions'!H67+(0))))*'DCF'!I12/(1+(G158))^'DCF'!I13)+('Historical Inputs'!$N$9*(1+(D158))^5)*(1+(H158))*('Terminal Value'!$E$10+(E158))*(1-'Assumptions'!$E$15-(0))*(1-(H158)/('Terminal Value'!$E$12))/((G158)-(H158))/(1+(G158))^'DCF'!$E$19)+'Equity Bridge'!$E$17)/'Equity Bridge'!$E$20</x:f>
        <x:v>246.95970083411498</x:v>
      </x:c>
      <x:c r="X158" s="255" t="n">
        <x:v>0.13189350924669319</x:v>
      </x:c>
      <x:c r="Y158" s="255" t="n">
        <x:v>0.010283285325814684</x:v>
      </x:c>
      <x:c r="Z158" s="255" t="n">
        <x:v>0.6992304907415622</x:v>
      </x:c>
      <x:c r="AA158" s="255" t="n">
        <x:v>0.29192768149032666</x:v>
      </x:c>
      <x:c r="AB158" s="255" t="n">
        <x:v>0.8276855255017572</x:v>
      </x:c>
    </x:row>
    <x:row r="159" ht="24" customHeight="1">
      <x:c r="C159" s="256" t="n">
        <x:f>128</x:f>
        <x:v>128</x:v>
      </x:c>
      <x:c r="D159" s="258" t="n">
        <x:f>IF(X159&lt;($E$12-$D$12)/($F$12-$D$12),$D$12+SQRT(X159*($F$12-$D$12)*($E$12-$D$12)),$F$12-SQRT((1-X159)*($F$12-$D$12)*($F$12-$E$12)))</x:f>
        <x:v>0.11786447737209924</x:v>
      </x:c>
      <x:c r="E159" s="258" t="n">
        <x:f>IF(Y159&lt;($E$13-$D$13)/($F$13-$D$13),$D$13+SQRT(Y159*($F$13-$D$13)*($E$13-$D$13)),$F$13-SQRT((1-Y159)*($F$13-$D$13)*($F$13-$E$13)))</x:f>
        <x:v>-0.009550676903052571</x:v>
      </x:c>
      <x:c r="F159" s="260" t="n">
        <x:f>IF(Z159&lt;($E$14-$D$14)/($F$14-$D$14),$D$14+SQRT(Z159*($F$14-$D$14)*($E$14-$D$14)),$F$14-SQRT((1-Z159)*($F$14-$D$14)*($F$14-$E$14)))</x:f>
        <x:v>1.0734322517479573</x:v>
      </x:c>
      <x:c r="G159" s="258" t="n">
        <x:f>IF(AA159&lt;($E$15-$D$15)/($F$15-$D$15),$D$15+SQRT(AA159*($F$15-$D$15)*($E$15-$D$15)),$F$15-SQRT((1-AA159)*($F$15-$D$15)*($F$15-$E$15)))</x:f>
        <x:v>0.102598762117446</x:v>
      </x:c>
      <x:c r="H159" s="258" t="n">
        <x:f>IF(AB159&lt;($E$16-$D$16)/($F$16-$D$16),$D$16+SQRT(AB159*($F$16-$D$16)*($E$16-$D$16)),$F$16-SQRT((1-AB159)*($F$16-$D$16)*($F$16-$E$16)))</x:f>
        <x:v>0.034268341452566485</x:v>
      </x:c>
      <x:c r="I159" s="262" t="n">
        <x:f>'Historical Inputs'!$N$9*(1+D159)^5</x:f>
        <x:v>579259.5525529203</x:v>
      </x:c>
      <x:c r="J159" s="262" t="n">
        <x:f>I159*(1+H159)*('Terminal Value'!$E$10+E159)*(1-'Assumptions'!$E$15)*(1-H159/'Terminal Value'!$E$12)</x:f>
        <x:v>155073.13896396084</x:v>
      </x:c>
      <x:c r="K159" s="264" t="n">
        <x:f>((SUM((('Historical Inputs'!$N$9*(1+(D159))^1)*(('Assumptions'!E37+(E159))*(1-'Assumptions'!E42-(0))+'Assumptions'!E47-'Assumptions'!E52*(F159)+'Assumptions'!E57-'Assumptions'!E62*(1)-'Assumptions'!E67-(0))+('Working Capital'!$E$6))*'DCF'!E12/(1+(G159))^'DCF'!E13,(('Historical Inputs'!$N$9*(1+(D159))^2)*(('Assumptions'!F37+(E159))*(1-'Assumptions'!F42-(0))+'Assumptions'!F47-'Assumptions'!F52*(F159)+'Assumptions'!F57-'Assumptions'!F62*(1)-'Assumptions'!F67-(0))+(('Historical Inputs'!$N$9*(1+(D159))^1)*('Assumptions'!E67+(0))))*'DCF'!F12/(1+(G159))^'DCF'!F13,(('Historical Inputs'!$N$9*(1+(D159))^3)*(('Assumptions'!G37+(E159))*(1-'Assumptions'!G42-(0))+'Assumptions'!G47-'Assumptions'!G52*(F159)+'Assumptions'!G57-'Assumptions'!G62*(1)-'Assumptions'!G67-(0))+(('Historical Inputs'!$N$9*(1+(D159))^2)*('Assumptions'!F67+(0))))*'DCF'!G12/(1+(G159))^'DCF'!G13,(('Historical Inputs'!$N$9*(1+(D159))^4)*(('Assumptions'!H37+(E159))*(1-'Assumptions'!H42-(0))+'Assumptions'!H47-'Assumptions'!H52*(F159)+'Assumptions'!H57-'Assumptions'!H62*(1)-'Assumptions'!H67-(0))+(('Historical Inputs'!$N$9*(1+(D159))^3)*('Assumptions'!G67+(0))))*'DCF'!H12/(1+(G159))^'DCF'!H13,(('Historical Inputs'!$N$9*(1+(D159))^5)*(('Assumptions'!I37+(E159))*(1-'Assumptions'!I42-(0))+'Assumptions'!I47-'Assumptions'!I52*(F159)+'Assumptions'!I57-'Assumptions'!I62*(1)-'Assumptions'!I67-(0))+(('Historical Inputs'!$N$9*(1+(D159))^4)*('Assumptions'!H67+(0))))*'DCF'!I12/(1+(G159))^'DCF'!I13)+('Historical Inputs'!$N$9*(1+(D159))^5)*(1+(H159))*('Terminal Value'!$E$10+(E159))*(1-'Assumptions'!$E$15-(0))*(1-(H159)/('Terminal Value'!$E$12))/((G159)-(H159))/(1+(G159))^'DCF'!$E$19)+'Equity Bridge'!$E$17)/'Equity Bridge'!$E$20</x:f>
        <x:v>236.6114999198721</x:v>
      </x:c>
      <x:c r="X159" s="255" t="n">
        <x:v>0.12110537369008534</x:v>
      </x:c>
      <x:c r="Y159" s="255" t="n">
        <x:v>0.32722954780024893</x:v>
      </x:c>
      <x:c r="Z159" s="255" t="n">
        <x:v>0.7711515014629647</x:v>
      </x:c>
      <x:c r="AA159" s="255" t="n">
        <x:v>0.7530544848842665</x:v>
      </x:c>
      <x:c r="AB159" s="255" t="n">
        <x:v>0.8357404514781616</x:v>
      </x:c>
    </x:row>
    <x:row r="160" ht="24" customHeight="1">
      <x:c r="C160" s="256" t="n">
        <x:f>129</x:f>
        <x:v>129</x:v>
      </x:c>
      <x:c r="D160" s="258" t="n">
        <x:f>IF(X160&lt;($E$12-$D$12)/($F$12-$D$12),$D$12+SQRT(X160*($F$12-$D$12)*($E$12-$D$12)),$F$12-SQRT((1-X160)*($F$12-$D$12)*($F$12-$E$12)))</x:f>
        <x:v>0.15722817102566772</x:v>
      </x:c>
      <x:c r="E160" s="258" t="n">
        <x:f>IF(Y160&lt;($E$13-$D$13)/($F$13-$D$13),$D$13+SQRT(Y160*($F$13-$D$13)*($E$13-$D$13)),$F$13-SQRT((1-Y160)*($F$13-$D$13)*($F$13-$E$13)))</x:f>
        <x:v>0.023199423623511902</x:v>
      </x:c>
      <x:c r="F160" s="260" t="n">
        <x:f>IF(Z160&lt;($E$14-$D$14)/($F$14-$D$14),$D$14+SQRT(Z160*($F$14-$D$14)*($E$14-$D$14)),$F$14-SQRT((1-Z160)*($F$14-$D$14)*($F$14-$E$14)))</x:f>
        <x:v>1.0451605967815805</x:v>
      </x:c>
      <x:c r="G160" s="258" t="n">
        <x:f>IF(AA160&lt;($E$15-$D$15)/($F$15-$D$15),$D$15+SQRT(AA160*($F$15-$D$15)*($E$15-$D$15)),$F$15-SQRT((1-AA160)*($F$15-$D$15)*($F$15-$E$15)))</x:f>
        <x:v>0.10332755632680855</x:v>
      </x:c>
      <x:c r="H160" s="258" t="n">
        <x:f>IF(AB160&lt;($E$16-$D$16)/($F$16-$D$16),$D$16+SQRT(AB160*($F$16-$D$16)*($E$16-$D$16)),$F$16-SQRT((1-AB160)*($F$16-$D$16)*($F$16-$E$16)))</x:f>
        <x:v>0.03136368000234543</x:v>
      </x:c>
      <x:c r="I160" s="262" t="n">
        <x:f>'Historical Inputs'!$N$9*(1+D160)^5</x:f>
        <x:v>688687.8368020261</x:v>
      </x:c>
      <x:c r="J160" s="262" t="n">
        <x:f>I160*(1+H160)*('Terminal Value'!$E$10+E160)*(1-'Assumptions'!$E$15)*(1-H160/'Terminal Value'!$E$12)</x:f>
        <x:v>202763.79989134692</x:v>
      </x:c>
      <x:c r="K160" s="264" t="n">
        <x:f>((SUM((('Historical Inputs'!$N$9*(1+(D160))^1)*(('Assumptions'!E37+(E160))*(1-'Assumptions'!E42-(0))+'Assumptions'!E47-'Assumptions'!E52*(F160)+'Assumptions'!E57-'Assumptions'!E62*(1)-'Assumptions'!E67-(0))+('Working Capital'!$E$6))*'DCF'!E12/(1+(G160))^'DCF'!E13,(('Historical Inputs'!$N$9*(1+(D160))^2)*(('Assumptions'!F37+(E160))*(1-'Assumptions'!F42-(0))+'Assumptions'!F47-'Assumptions'!F52*(F160)+'Assumptions'!F57-'Assumptions'!F62*(1)-'Assumptions'!F67-(0))+(('Historical Inputs'!$N$9*(1+(D160))^1)*('Assumptions'!E67+(0))))*'DCF'!F12/(1+(G160))^'DCF'!F13,(('Historical Inputs'!$N$9*(1+(D160))^3)*(('Assumptions'!G37+(E160))*(1-'Assumptions'!G42-(0))+'Assumptions'!G47-'Assumptions'!G52*(F160)+'Assumptions'!G57-'Assumptions'!G62*(1)-'Assumptions'!G67-(0))+(('Historical Inputs'!$N$9*(1+(D160))^2)*('Assumptions'!F67+(0))))*'DCF'!G12/(1+(G160))^'DCF'!G13,(('Historical Inputs'!$N$9*(1+(D160))^4)*(('Assumptions'!H37+(E160))*(1-'Assumptions'!H42-(0))+'Assumptions'!H47-'Assumptions'!H52*(F160)+'Assumptions'!H57-'Assumptions'!H62*(1)-'Assumptions'!H67-(0))+(('Historical Inputs'!$N$9*(1+(D160))^3)*('Assumptions'!G67+(0))))*'DCF'!H12/(1+(G160))^'DCF'!H13,(('Historical Inputs'!$N$9*(1+(D160))^5)*(('Assumptions'!I37+(E160))*(1-'Assumptions'!I42-(0))+'Assumptions'!I47-'Assumptions'!I52*(F160)+'Assumptions'!I57-'Assumptions'!I62*(1)-'Assumptions'!I67-(0))+(('Historical Inputs'!$N$9*(1+(D160))^4)*('Assumptions'!H67+(0))))*'DCF'!I12/(1+(G160))^'DCF'!I13)+('Historical Inputs'!$N$9*(1+(D160))^5)*(1+(H160))*('Terminal Value'!$E$10+(E160))*(1-'Assumptions'!$E$15-(0))*(1-(H160)/('Terminal Value'!$E$12))/((G160)-(H160))/(1+(G160))^'DCF'!$E$19)+'Equity Bridge'!$E$17)/'Equity Bridge'!$E$20</x:f>
        <x:v>297.02723995787693</x:v>
      </x:c>
      <x:c r="X160" s="255" t="n">
        <x:v>0.7403843820006523</x:v>
      </x:c>
      <x:c r="Y160" s="255" t="n">
        <x:v>0.8563458211776056</x:v>
      </x:c>
      <x:c r="Z160" s="255" t="n">
        <x:v>0.6574965601566242</x:v>
      </x:c>
      <x:c r="AA160" s="255" t="n">
        <x:v>0.7860193371761772</x:v>
      </x:c>
      <x:c r="AB160" s="255" t="n">
        <x:v>0.6270698844905587</x:v>
      </x:c>
    </x:row>
    <x:row r="161" ht="24" customHeight="1">
      <x:c r="C161" s="256" t="n">
        <x:f>130</x:f>
        <x:v>130</x:v>
      </x:c>
      <x:c r="D161" s="258" t="n">
        <x:f>IF(X161&lt;($E$12-$D$12)/($F$12-$D$12),$D$12+SQRT(X161*($F$12-$D$12)*($E$12-$D$12)),$F$12-SQRT((1-X161)*($F$12-$D$12)*($F$12-$E$12)))</x:f>
        <x:v>0.1592212291009201</x:v>
      </x:c>
      <x:c r="E161" s="258" t="n">
        <x:f>IF(Y161&lt;($E$13-$D$13)/($F$13-$D$13),$D$13+SQRT(Y161*($F$13-$D$13)*($E$13-$D$13)),$F$13-SQRT((1-Y161)*($F$13-$D$13)*($F$13-$E$13)))</x:f>
        <x:v>-0.041064623300515544</x:v>
      </x:c>
      <x:c r="F161" s="260" t="n">
        <x:f>IF(Z161&lt;($E$14-$D$14)/($F$14-$D$14),$D$14+SQRT(Z161*($F$14-$D$14)*($E$14-$D$14)),$F$14-SQRT((1-Z161)*($F$14-$D$14)*($F$14-$E$14)))</x:f>
        <x:v>1.0777817266566398</x:v>
      </x:c>
      <x:c r="G161" s="258" t="n">
        <x:f>IF(AA161&lt;($E$15-$D$15)/($F$15-$D$15),$D$15+SQRT(AA161*($F$15-$D$15)*($E$15-$D$15)),$F$15-SQRT((1-AA161)*($F$15-$D$15)*($F$15-$E$15)))</x:f>
        <x:v>0.0932743901277816</x:v>
      </x:c>
      <x:c r="H161" s="258" t="n">
        <x:f>IF(AB161&lt;($E$16-$D$16)/($F$16-$D$16),$D$16+SQRT(AB161*($F$16-$D$16)*($E$16-$D$16)),$F$16-SQRT((1-AB161)*($F$16-$D$16)*($F$16-$E$16)))</x:f>
        <x:v>0.034654558599164775</x:v>
      </x:c>
      <x:c r="I161" s="262" t="n">
        <x:f>'Historical Inputs'!$N$9*(1+D161)^5</x:f>
        <x:v>694638.8281173207</x:v>
      </x:c>
      <x:c r="J161" s="262" t="n">
        <x:f>I161*(1+H161)*('Terminal Value'!$E$10+E161)*(1-'Assumptions'!$E$15)*(1-H161/'Terminal Value'!$E$12)</x:f>
        <x:v>170617.2401303957</x:v>
      </x:c>
      <x:c r="K161" s="264" t="n">
        <x:f>((SUM((('Historical Inputs'!$N$9*(1+(D161))^1)*(('Assumptions'!E37+(E161))*(1-'Assumptions'!E42-(0))+'Assumptions'!E47-'Assumptions'!E52*(F161)+'Assumptions'!E57-'Assumptions'!E62*(1)-'Assumptions'!E67-(0))+('Working Capital'!$E$6))*'DCF'!E12/(1+(G161))^'DCF'!E13,(('Historical Inputs'!$N$9*(1+(D161))^2)*(('Assumptions'!F37+(E161))*(1-'Assumptions'!F42-(0))+'Assumptions'!F47-'Assumptions'!F52*(F161)+'Assumptions'!F57-'Assumptions'!F62*(1)-'Assumptions'!F67-(0))+(('Historical Inputs'!$N$9*(1+(D161))^1)*('Assumptions'!E67+(0))))*'DCF'!F12/(1+(G161))^'DCF'!F13,(('Historical Inputs'!$N$9*(1+(D161))^3)*(('Assumptions'!G37+(E161))*(1-'Assumptions'!G42-(0))+'Assumptions'!G47-'Assumptions'!G52*(F161)+'Assumptions'!G57-'Assumptions'!G62*(1)-'Assumptions'!G67-(0))+(('Historical Inputs'!$N$9*(1+(D161))^2)*('Assumptions'!F67+(0))))*'DCF'!G12/(1+(G161))^'DCF'!G13,(('Historical Inputs'!$N$9*(1+(D161))^4)*(('Assumptions'!H37+(E161))*(1-'Assumptions'!H42-(0))+'Assumptions'!H47-'Assumptions'!H52*(F161)+'Assumptions'!H57-'Assumptions'!H62*(1)-'Assumptions'!H67-(0))+(('Historical Inputs'!$N$9*(1+(D161))^3)*('Assumptions'!G67+(0))))*'DCF'!H12/(1+(G161))^'DCF'!H13,(('Historical Inputs'!$N$9*(1+(D161))^5)*(('Assumptions'!I37+(E161))*(1-'Assumptions'!I42-(0))+'Assumptions'!I47-'Assumptions'!I52*(F161)+'Assumptions'!I57-'Assumptions'!I62*(1)-'Assumptions'!I67-(0))+(('Historical Inputs'!$N$9*(1+(D161))^4)*('Assumptions'!H67+(0))))*'DCF'!I12/(1+(G161))^'DCF'!I13)+('Historical Inputs'!$N$9*(1+(D161))^5)*(1+(H161))*('Terminal Value'!$E$10+(E161))*(1-'Assumptions'!$E$15-(0))*(1-(H161)/('Terminal Value'!$E$12))/((G161)-(H161))/(1+(G161))^'DCF'!$E$19)+'Equity Bridge'!$E$17)/'Equity Bridge'!$E$20</x:f>
        <x:v>301.58192249344296</x:v>
      </x:c>
      <x:c r="X161" s="255" t="n">
        <x:v>0.7683129627142985</x:v>
      </x:c>
      <x:c r="Y161" s="255" t="n">
        <x:v>0.015968191352337957</x:v>
      </x:c>
      <x:c r="Z161" s="255" t="n">
        <x:v>0.7866099094423958</x:v>
      </x:c>
      <x:c r="AA161" s="255" t="n">
        <x:v>0.22821861848842273</x:v>
      </x:c>
      <x:c r="AB161" s="255" t="n">
        <x:v>0.8571312811511838</x:v>
      </x:c>
    </x:row>
    <x:row r="162" ht="24" customHeight="1">
      <x:c r="C162" s="256" t="n">
        <x:f>131</x:f>
        <x:v>131</x:v>
      </x:c>
      <x:c r="D162" s="258" t="n">
        <x:f>IF(X162&lt;($E$12-$D$12)/($F$12-$D$12),$D$12+SQRT(X162*($F$12-$D$12)*($E$12-$D$12)),$F$12-SQRT((1-X162)*($F$12-$D$12)*($F$12-$E$12)))</x:f>
        <x:v>0.12851321471452465</x:v>
      </x:c>
      <x:c r="E162" s="258" t="n">
        <x:f>IF(Y162&lt;($E$13-$D$13)/($F$13-$D$13),$D$13+SQRT(Y162*($F$13-$D$13)*($E$13-$D$13)),$F$13-SQRT((1-Y162)*($F$13-$D$13)*($F$13-$E$13)))</x:f>
        <x:v>-0.005469842964845088</x:v>
      </x:c>
      <x:c r="F162" s="260" t="n">
        <x:f>IF(Z162&lt;($E$14-$D$14)/($F$14-$D$14),$D$14+SQRT(Z162*($F$14-$D$14)*($E$14-$D$14)),$F$14-SQRT((1-Z162)*($F$14-$D$14)*($F$14-$E$14)))</x:f>
        <x:v>1.0210974675460847</x:v>
      </x:c>
      <x:c r="G162" s="258" t="n">
        <x:f>IF(AA162&lt;($E$15-$D$15)/($F$15-$D$15),$D$15+SQRT(AA162*($F$15-$D$15)*($E$15-$D$15)),$F$15-SQRT((1-AA162)*($F$15-$D$15)*($F$15-$E$15)))</x:f>
        <x:v>0.09733424709187465</x:v>
      </x:c>
      <x:c r="H162" s="258" t="n">
        <x:f>IF(AB162&lt;($E$16-$D$16)/($F$16-$D$16),$D$16+SQRT(AB162*($F$16-$D$16)*($E$16-$D$16)),$F$16-SQRT((1-AB162)*($F$16-$D$16)*($F$16-$E$16)))</x:f>
        <x:v>0.02438972987451566</x:v>
      </x:c>
      <x:c r="I162" s="262" t="n">
        <x:f>'Historical Inputs'!$N$9*(1+D162)^5</x:f>
        <x:v>607380.2567038453</x:v>
      </x:c>
      <x:c r="J162" s="262" t="n">
        <x:f>I162*(1+H162)*('Terminal Value'!$E$10+E162)*(1-'Assumptions'!$E$15)*(1-H162/'Terminal Value'!$E$12)</x:f>
        <x:v>172431.25699602094</x:v>
      </x:c>
      <x:c r="K162" s="264" t="n">
        <x:f>((SUM((('Historical Inputs'!$N$9*(1+(D162))^1)*(('Assumptions'!E37+(E162))*(1-'Assumptions'!E42-(0))+'Assumptions'!E47-'Assumptions'!E52*(F162)+'Assumptions'!E57-'Assumptions'!E62*(1)-'Assumptions'!E67-(0))+('Working Capital'!$E$6))*'DCF'!E12/(1+(G162))^'DCF'!E13,(('Historical Inputs'!$N$9*(1+(D162))^2)*(('Assumptions'!F37+(E162))*(1-'Assumptions'!F42-(0))+'Assumptions'!F47-'Assumptions'!F52*(F162)+'Assumptions'!F57-'Assumptions'!F62*(1)-'Assumptions'!F67-(0))+(('Historical Inputs'!$N$9*(1+(D162))^1)*('Assumptions'!E67+(0))))*'DCF'!F12/(1+(G162))^'DCF'!F13,(('Historical Inputs'!$N$9*(1+(D162))^3)*(('Assumptions'!G37+(E162))*(1-'Assumptions'!G42-(0))+'Assumptions'!G47-'Assumptions'!G52*(F162)+'Assumptions'!G57-'Assumptions'!G62*(1)-'Assumptions'!G67-(0))+(('Historical Inputs'!$N$9*(1+(D162))^2)*('Assumptions'!F67+(0))))*'DCF'!G12/(1+(G162))^'DCF'!G13,(('Historical Inputs'!$N$9*(1+(D162))^4)*(('Assumptions'!H37+(E162))*(1-'Assumptions'!H42-(0))+'Assumptions'!H47-'Assumptions'!H52*(F162)+'Assumptions'!H57-'Assumptions'!H62*(1)-'Assumptions'!H67-(0))+(('Historical Inputs'!$N$9*(1+(D162))^3)*('Assumptions'!G67+(0))))*'DCF'!H12/(1+(G162))^'DCF'!H13,(('Historical Inputs'!$N$9*(1+(D162))^5)*(('Assumptions'!I37+(E162))*(1-'Assumptions'!I42-(0))+'Assumptions'!I47-'Assumptions'!I52*(F162)+'Assumptions'!I57-'Assumptions'!I62*(1)-'Assumptions'!I67-(0))+(('Historical Inputs'!$N$9*(1+(D162))^4)*('Assumptions'!H67+(0))))*'DCF'!I12/(1+(G162))^'DCF'!I13)+('Historical Inputs'!$N$9*(1+(D162))^5)*(1+(H162))*('Terminal Value'!$E$10+(E162))*(1-'Assumptions'!$E$15-(0))*(1-(H162)/('Terminal Value'!$E$12))/((G162)-(H162))/(1+(G162))^'DCF'!$E$19)+'Equity Bridge'!$E$17)/'Equity Bridge'!$E$20</x:f>
        <x:v>255.43733782940558</x:v>
      </x:c>
      <x:c r="X162" s="255" t="n">
        <x:v>0.2485998273977621</x:v>
      </x:c>
      <x:c r="Y162" s="255" t="n">
        <x:v>0.39658697711511126</x:v>
      </x:c>
      <x:c r="Z162" s="255" t="n">
        <x:v>0.5427697697367971</x:v>
      </x:c>
      <x:c r="AA162" s="255" t="n">
        <x:v>0.4477025933898112</x:v>
      </x:c>
      <x:c r="AB162" s="255" t="n">
        <x:v>0.0963486418560765</x:v>
      </x:c>
    </x:row>
    <x:row r="163" ht="24" customHeight="1">
      <x:c r="C163" s="256" t="n">
        <x:f>132</x:f>
        <x:v>132</x:v>
      </x:c>
      <x:c r="D163" s="258" t="n">
        <x:f>IF(X163&lt;($E$12-$D$12)/($F$12-$D$12),$D$12+SQRT(X163*($F$12-$D$12)*($E$12-$D$12)),$F$12-SQRT((1-X163)*($F$12-$D$12)*($F$12-$E$12)))</x:f>
        <x:v>0.1808766988519328</x:v>
      </x:c>
      <x:c r="E163" s="258" t="n">
        <x:f>IF(Y163&lt;($E$13-$D$13)/($F$13-$D$13),$D$13+SQRT(Y163*($F$13-$D$13)*($E$13-$D$13)),$F$13-SQRT((1-Y163)*($F$13-$D$13)*($F$13-$E$13)))</x:f>
        <x:v>-0.01627112965146424</x:v>
      </x:c>
      <x:c r="F163" s="260" t="n">
        <x:f>IF(Z163&lt;($E$14-$D$14)/($F$14-$D$14),$D$14+SQRT(Z163*($F$14-$D$14)*($E$14-$D$14)),$F$14-SQRT((1-Z163)*($F$14-$D$14)*($F$14-$E$14)))</x:f>
        <x:v>1.1231331462493013</x:v>
      </x:c>
      <x:c r="G163" s="258" t="n">
        <x:f>IF(AA163&lt;($E$15-$D$15)/($F$15-$D$15),$D$15+SQRT(AA163*($F$15-$D$15)*($E$15-$D$15)),$F$15-SQRT((1-AA163)*($F$15-$D$15)*($F$15-$E$15)))</x:f>
        <x:v>0.09606469771752085</x:v>
      </x:c>
      <x:c r="H163" s="258" t="n">
        <x:f>IF(AB163&lt;($E$16-$D$16)/($F$16-$D$16),$D$16+SQRT(AB163*($F$16-$D$16)*($E$16-$D$16)),$F$16-SQRT((1-AB163)*($F$16-$D$16)*($F$16-$E$16)))</x:f>
        <x:v>0.03219687377613041</x:v>
      </x:c>
      <x:c r="I163" s="262" t="n">
        <x:f>'Historical Inputs'!$N$9*(1+D163)^5</x:f>
        <x:v>761991.6139095004</x:v>
      </x:c>
      <x:c r="J163" s="262" t="n">
        <x:f>I163*(1+H163)*('Terminal Value'!$E$10+E163)*(1-'Assumptions'!$E$15)*(1-H163/'Terminal Value'!$E$12)</x:f>
        <x:v>202580.31645085238</x:v>
      </x:c>
      <x:c r="K163" s="264" t="n">
        <x:f>((SUM((('Historical Inputs'!$N$9*(1+(D163))^1)*(('Assumptions'!E37+(E163))*(1-'Assumptions'!E42-(0))+'Assumptions'!E47-'Assumptions'!E52*(F163)+'Assumptions'!E57-'Assumptions'!E62*(1)-'Assumptions'!E67-(0))+('Working Capital'!$E$6))*'DCF'!E12/(1+(G163))^'DCF'!E13,(('Historical Inputs'!$N$9*(1+(D163))^2)*(('Assumptions'!F37+(E163))*(1-'Assumptions'!F42-(0))+'Assumptions'!F47-'Assumptions'!F52*(F163)+'Assumptions'!F57-'Assumptions'!F62*(1)-'Assumptions'!F67-(0))+(('Historical Inputs'!$N$9*(1+(D163))^1)*('Assumptions'!E67+(0))))*'DCF'!F12/(1+(G163))^'DCF'!F13,(('Historical Inputs'!$N$9*(1+(D163))^3)*(('Assumptions'!G37+(E163))*(1-'Assumptions'!G42-(0))+'Assumptions'!G47-'Assumptions'!G52*(F163)+'Assumptions'!G57-'Assumptions'!G62*(1)-'Assumptions'!G67-(0))+(('Historical Inputs'!$N$9*(1+(D163))^2)*('Assumptions'!F67+(0))))*'DCF'!G12/(1+(G163))^'DCF'!G13,(('Historical Inputs'!$N$9*(1+(D163))^4)*(('Assumptions'!H37+(E163))*(1-'Assumptions'!H42-(0))+'Assumptions'!H47-'Assumptions'!H52*(F163)+'Assumptions'!H57-'Assumptions'!H62*(1)-'Assumptions'!H67-(0))+(('Historical Inputs'!$N$9*(1+(D163))^3)*('Assumptions'!G67+(0))))*'DCF'!H12/(1+(G163))^'DCF'!H13,(('Historical Inputs'!$N$9*(1+(D163))^5)*(('Assumptions'!I37+(E163))*(1-'Assumptions'!I42-(0))+'Assumptions'!I47-'Assumptions'!I52*(F163)+'Assumptions'!I57-'Assumptions'!I62*(1)-'Assumptions'!I67-(0))+(('Historical Inputs'!$N$9*(1+(D163))^4)*('Assumptions'!H67+(0))))*'DCF'!I12/(1+(G163))^'DCF'!I13)+('Historical Inputs'!$N$9*(1+(D163))^5)*(1+(H163))*('Terminal Value'!$E$10+(E163))*(1-'Assumptions'!$E$15-(0))*(1-(H163)/('Terminal Value'!$E$12))/((G163)-(H163))/(1+(G163))^'DCF'!$E$19)+'Equity Bridge'!$E$17)/'Equity Bridge'!$E$20</x:f>
        <x:v>326.69635537339235</x:v>
      </x:c>
      <x:c r="X163" s="255" t="n">
        <x:v>0.9693455206112728</x:v>
      </x:c>
      <x:c r="Y163" s="255" t="n">
        <x:v>0.22752733899766697</x:v>
      </x:c>
      <x:c r="Z163" s="255" t="n">
        <x:v>0.9155926684924097</x:v>
      </x:c>
      <x:c r="AA163" s="255" t="n">
        <x:v>0.37119614505754395</x:v>
      </x:c>
      <x:c r="AB163" s="255" t="n">
        <x:v>0.6955561056717936</x:v>
      </x:c>
    </x:row>
    <x:row r="164" ht="24" customHeight="1">
      <x:c r="C164" s="256" t="n">
        <x:f>133</x:f>
        <x:v>133</x:v>
      </x:c>
      <x:c r="D164" s="258" t="n">
        <x:f>IF(X164&lt;($E$12-$D$12)/($F$12-$D$12),$D$12+SQRT(X164*($F$12-$D$12)*($E$12-$D$12)),$F$12-SQRT((1-X164)*($F$12-$D$12)*($F$12-$E$12)))</x:f>
        <x:v>0.13866237170076132</x:v>
      </x:c>
      <x:c r="E164" s="258" t="n">
        <x:f>IF(Y164&lt;($E$13-$D$13)/($F$13-$D$13),$D$13+SQRT(Y164*($F$13-$D$13)*($E$13-$D$13)),$F$13-SQRT((1-Y164)*($F$13-$D$13)*($F$13-$E$13)))</x:f>
        <x:v>0.030706620923803548</x:v>
      </x:c>
      <x:c r="F164" s="260" t="n">
        <x:f>IF(Z164&lt;($E$14-$D$14)/($F$14-$D$14),$D$14+SQRT(Z164*($F$14-$D$14)*($E$14-$D$14)),$F$14-SQRT((1-Z164)*($F$14-$D$14)*($F$14-$E$14)))</x:f>
        <x:v>0.9244502560957467</x:v>
      </x:c>
      <x:c r="G164" s="258" t="n">
        <x:f>IF(AA164&lt;($E$15-$D$15)/($F$15-$D$15),$D$15+SQRT(AA164*($F$15-$D$15)*($E$15-$D$15)),$F$15-SQRT((1-AA164)*($F$15-$D$15)*($F$15-$E$15)))</x:f>
        <x:v>0.09622425518449922</x:v>
      </x:c>
      <x:c r="H164" s="258" t="n">
        <x:f>IF(AB164&lt;($E$16-$D$16)/($F$16-$D$16),$D$16+SQRT(AB164*($F$16-$D$16)*($E$16-$D$16)),$F$16-SQRT((1-AB164)*($F$16-$D$16)*($F$16-$E$16)))</x:f>
        <x:v>0.03039902198547368</x:v>
      </x:c>
      <x:c r="I164" s="262" t="n">
        <x:f>'Historical Inputs'!$N$9*(1+D164)^5</x:f>
        <x:v>635187.9810059844</x:v>
      </x:c>
      <x:c r="J164" s="262" t="n">
        <x:f>I164*(1+H164)*('Terminal Value'!$E$10+E164)*(1-'Assumptions'!$E$15)*(1-H164/'Terminal Value'!$E$12)</x:f>
        <x:v>191239.50069585032</x:v>
      </x:c>
      <x:c r="K164" s="264" t="n">
        <x:f>((SUM((('Historical Inputs'!$N$9*(1+(D164))^1)*(('Assumptions'!E37+(E164))*(1-'Assumptions'!E42-(0))+'Assumptions'!E47-'Assumptions'!E52*(F164)+'Assumptions'!E57-'Assumptions'!E62*(1)-'Assumptions'!E67-(0))+('Working Capital'!$E$6))*'DCF'!E12/(1+(G164))^'DCF'!E13,(('Historical Inputs'!$N$9*(1+(D164))^2)*(('Assumptions'!F37+(E164))*(1-'Assumptions'!F42-(0))+'Assumptions'!F47-'Assumptions'!F52*(F164)+'Assumptions'!F57-'Assumptions'!F62*(1)-'Assumptions'!F67-(0))+(('Historical Inputs'!$N$9*(1+(D164))^1)*('Assumptions'!E67+(0))))*'DCF'!F12/(1+(G164))^'DCF'!F13,(('Historical Inputs'!$N$9*(1+(D164))^3)*(('Assumptions'!G37+(E164))*(1-'Assumptions'!G42-(0))+'Assumptions'!G47-'Assumptions'!G52*(F164)+'Assumptions'!G57-'Assumptions'!G62*(1)-'Assumptions'!G67-(0))+(('Historical Inputs'!$N$9*(1+(D164))^2)*('Assumptions'!F67+(0))))*'DCF'!G12/(1+(G164))^'DCF'!G13,(('Historical Inputs'!$N$9*(1+(D164))^4)*(('Assumptions'!H37+(E164))*(1-'Assumptions'!H42-(0))+'Assumptions'!H47-'Assumptions'!H52*(F164)+'Assumptions'!H57-'Assumptions'!H62*(1)-'Assumptions'!H67-(0))+(('Historical Inputs'!$N$9*(1+(D164))^3)*('Assumptions'!G67+(0))))*'DCF'!H12/(1+(G164))^'DCF'!H13,(('Historical Inputs'!$N$9*(1+(D164))^5)*(('Assumptions'!I37+(E164))*(1-'Assumptions'!I42-(0))+'Assumptions'!I47-'Assumptions'!I52*(F164)+'Assumptions'!I57-'Assumptions'!I62*(1)-'Assumptions'!I67-(0))+(('Historical Inputs'!$N$9*(1+(D164))^4)*('Assumptions'!H67+(0))))*'DCF'!I12/(1+(G164))^'DCF'!I13)+('Historical Inputs'!$N$9*(1+(D164))^5)*(1+(H164))*('Terminal Value'!$E$10+(E164))*(1-'Assumptions'!$E$15-(0))*(1-(H164)/('Terminal Value'!$E$12))/((G164)-(H164))/(1+(G164))^'DCF'!$E$19)+'Equity Bridge'!$E$17)/'Equity Bridge'!$E$20</x:f>
        <x:v>318.80401126601754</x:v>
      </x:c>
      <x:c r="X164" s="255" t="n">
        <x:v>0.4123291594488554</x:v>
      </x:c>
      <x:c r="Y164" s="255" t="n">
        <x:v>0.925553104764437</x:v>
      </x:c>
      <x:c r="Z164" s="255" t="n">
        <x:v>0.1055779168137575</x:v>
      </x:c>
      <x:c r="AA164" s="255" t="n">
        <x:v>0.38041793349648656</x:v>
      </x:c>
      <x:c r="AB164" s="255" t="n">
        <x:v>0.5391061058229112</x:v>
      </x:c>
    </x:row>
    <x:row r="165" ht="24" customHeight="1">
      <x:c r="C165" s="256" t="n">
        <x:f>134</x:f>
        <x:v>134</x:v>
      </x:c>
      <x:c r="D165" s="258" t="n">
        <x:f>IF(X165&lt;($E$12-$D$12)/($F$12-$D$12),$D$12+SQRT(X165*($F$12-$D$12)*($E$12-$D$12)),$F$12-SQRT((1-X165)*($F$12-$D$12)*($F$12-$E$12)))</x:f>
        <x:v>0.1433284347977734</x:v>
      </x:c>
      <x:c r="E165" s="258" t="n">
        <x:f>IF(Y165&lt;($E$13-$D$13)/($F$13-$D$13),$D$13+SQRT(Y165*($F$13-$D$13)*($E$13-$D$13)),$F$13-SQRT((1-Y165)*($F$13-$D$13)*($F$13-$E$13)))</x:f>
        <x:v>-0.03759789427076927</x:v>
      </x:c>
      <x:c r="F165" s="260" t="n">
        <x:f>IF(Z165&lt;($E$14-$D$14)/($F$14-$D$14),$D$14+SQRT(Z165*($F$14-$D$14)*($E$14-$D$14)),$F$14-SQRT((1-Z165)*($F$14-$D$14)*($F$14-$E$14)))</x:f>
        <x:v>1.084634948374735</x:v>
      </x:c>
      <x:c r="G165" s="258" t="n">
        <x:f>IF(AA165&lt;($E$15-$D$15)/($F$15-$D$15),$D$15+SQRT(AA165*($F$15-$D$15)*($E$15-$D$15)),$F$15-SQRT((1-AA165)*($F$15-$D$15)*($F$15-$E$15)))</x:f>
        <x:v>0.10258531382694093</x:v>
      </x:c>
      <x:c r="H165" s="258" t="n">
        <x:f>IF(AB165&lt;($E$16-$D$16)/($F$16-$D$16),$D$16+SQRT(AB165*($F$16-$D$16)*($E$16-$D$16)),$F$16-SQRT((1-AB165)*($F$16-$D$16)*($F$16-$E$16)))</x:f>
        <x:v>0.03227939966710809</x:v>
      </x:c>
      <x:c r="I165" s="262" t="n">
        <x:f>'Historical Inputs'!$N$9*(1+D165)^5</x:f>
        <x:v>648309.5947105589</x:v>
      </x:c>
      <x:c r="J165" s="262" t="n">
        <x:f>I165*(1+H165)*('Terminal Value'!$E$10+E165)*(1-'Assumptions'!$E$15)*(1-H165/'Terminal Value'!$E$12)</x:f>
        <x:v>162710.96531892082</x:v>
      </x:c>
      <x:c r="K165" s="264" t="n">
        <x:f>((SUM((('Historical Inputs'!$N$9*(1+(D165))^1)*(('Assumptions'!E37+(E165))*(1-'Assumptions'!E42-(0))+'Assumptions'!E47-'Assumptions'!E52*(F165)+'Assumptions'!E57-'Assumptions'!E62*(1)-'Assumptions'!E67-(0))+('Working Capital'!$E$6))*'DCF'!E12/(1+(G165))^'DCF'!E13,(('Historical Inputs'!$N$9*(1+(D165))^2)*(('Assumptions'!F37+(E165))*(1-'Assumptions'!F42-(0))+'Assumptions'!F47-'Assumptions'!F52*(F165)+'Assumptions'!F57-'Assumptions'!F62*(1)-'Assumptions'!F67-(0))+(('Historical Inputs'!$N$9*(1+(D165))^1)*('Assumptions'!E67+(0))))*'DCF'!F12/(1+(G165))^'DCF'!F13,(('Historical Inputs'!$N$9*(1+(D165))^3)*(('Assumptions'!G37+(E165))*(1-'Assumptions'!G42-(0))+'Assumptions'!G47-'Assumptions'!G52*(F165)+'Assumptions'!G57-'Assumptions'!G62*(1)-'Assumptions'!G67-(0))+(('Historical Inputs'!$N$9*(1+(D165))^2)*('Assumptions'!F67+(0))))*'DCF'!G12/(1+(G165))^'DCF'!G13,(('Historical Inputs'!$N$9*(1+(D165))^4)*(('Assumptions'!H37+(E165))*(1-'Assumptions'!H42-(0))+'Assumptions'!H47-'Assumptions'!H52*(F165)+'Assumptions'!H57-'Assumptions'!H62*(1)-'Assumptions'!H67-(0))+(('Historical Inputs'!$N$9*(1+(D165))^3)*('Assumptions'!G67+(0))))*'DCF'!H12/(1+(G165))^'DCF'!H13,(('Historical Inputs'!$N$9*(1+(D165))^5)*(('Assumptions'!I37+(E165))*(1-'Assumptions'!I42-(0))+'Assumptions'!I47-'Assumptions'!I52*(F165)+'Assumptions'!I57-'Assumptions'!I62*(1)-'Assumptions'!I67-(0))+(('Historical Inputs'!$N$9*(1+(D165))^4)*('Assumptions'!H67+(0))))*'DCF'!I12/(1+(G165))^'DCF'!I13)+('Historical Inputs'!$N$9*(1+(D165))^5)*(1+(H165))*('Terminal Value'!$E$10+(E165))*(1-'Assumptions'!$E$15-(0))*(1-(H165)/('Terminal Value'!$E$12))/((G165)-(H165))/(1+(G165))^'DCF'!$E$19)+'Equity Bridge'!$E$17)/'Equity Bridge'!$E$20</x:f>
        <x:v>237.90680170343148</x:v>
      </x:c>
      <x:c r="X165" s="255" t="n">
        <x:v>0.5014272394718146</x:v>
      </x:c>
      <x:c r="Y165" s="255" t="n">
        <x:v>0.030762445303803565</x:v>
      </x:c>
      <x:c r="Z165" s="255" t="n">
        <x:v>0.8098700694785711</x:v>
      </x:c>
      <x:c r="AA165" s="255" t="n">
        <x:v>0.7524240092224025</x:v>
      </x:c>
      <x:c r="AB165" s="255" t="n">
        <x:v>0.7019616524987466</x:v>
      </x:c>
    </x:row>
    <x:row r="166" ht="24" customHeight="1">
      <x:c r="C166" s="256" t="n">
        <x:f>135</x:f>
        <x:v>135</x:v>
      </x:c>
      <x:c r="D166" s="258" t="n">
        <x:f>IF(X166&lt;($E$12-$D$12)/($F$12-$D$12),$D$12+SQRT(X166*($F$12-$D$12)*($E$12-$D$12)),$F$12-SQRT((1-X166)*($F$12-$D$12)*($F$12-$E$12)))</x:f>
        <x:v>0.18424232730139148</x:v>
      </x:c>
      <x:c r="E166" s="258" t="n">
        <x:f>IF(Y166&lt;($E$13-$D$13)/($F$13-$D$13),$D$13+SQRT(Y166*($F$13-$D$13)*($E$13-$D$13)),$F$13-SQRT((1-Y166)*($F$13-$D$13)*($F$13-$E$13)))</x:f>
        <x:v>0.0017490768012063673</x:v>
      </x:c>
      <x:c r="F166" s="260" t="n">
        <x:f>IF(Z166&lt;($E$14-$D$14)/($F$14-$D$14),$D$14+SQRT(Z166*($F$14-$D$14)*($E$14-$D$14)),$F$14-SQRT((1-Z166)*($F$14-$D$14)*($F$14-$E$14)))</x:f>
        <x:v>0.9529126041200142</x:v>
      </x:c>
      <x:c r="G166" s="258" t="n">
        <x:f>IF(AA166&lt;($E$15-$D$15)/($F$15-$D$15),$D$15+SQRT(AA166*($F$15-$D$15)*($E$15-$D$15)),$F$15-SQRT((1-AA166)*($F$15-$D$15)*($F$15-$E$15)))</x:f>
        <x:v>0.09450432303570995</x:v>
      </x:c>
      <x:c r="H166" s="258" t="n">
        <x:f>IF(AB166&lt;($E$16-$D$16)/($F$16-$D$16),$D$16+SQRT(AB166*($F$16-$D$16)*($E$16-$D$16)),$F$16-SQRT((1-AB166)*($F$16-$D$16)*($F$16-$E$16)))</x:f>
        <x:v>0.030492009677709445</x:v>
      </x:c>
      <x:c r="I166" s="262" t="n">
        <x:f>'Historical Inputs'!$N$9*(1+D166)^5</x:f>
        <x:v>772912.4875897681</x:v>
      </x:c>
      <x:c r="J166" s="262" t="n">
        <x:f>I166*(1+H166)*('Terminal Value'!$E$10+E166)*(1-'Assumptions'!$E$15)*(1-H166/'Terminal Value'!$E$12)</x:f>
        <x:v>216960.16697203027</x:v>
      </x:c>
      <x:c r="K166" s="264" t="n">
        <x:f>((SUM((('Historical Inputs'!$N$9*(1+(D166))^1)*(('Assumptions'!E37+(E166))*(1-'Assumptions'!E42-(0))+'Assumptions'!E47-'Assumptions'!E52*(F166)+'Assumptions'!E57-'Assumptions'!E62*(1)-'Assumptions'!E67-(0))+('Working Capital'!$E$6))*'DCF'!E12/(1+(G166))^'DCF'!E13,(('Historical Inputs'!$N$9*(1+(D166))^2)*(('Assumptions'!F37+(E166))*(1-'Assumptions'!F42-(0))+'Assumptions'!F47-'Assumptions'!F52*(F166)+'Assumptions'!F57-'Assumptions'!F62*(1)-'Assumptions'!F67-(0))+(('Historical Inputs'!$N$9*(1+(D166))^1)*('Assumptions'!E67+(0))))*'DCF'!F12/(1+(G166))^'DCF'!F13,(('Historical Inputs'!$N$9*(1+(D166))^3)*(('Assumptions'!G37+(E166))*(1-'Assumptions'!G42-(0))+'Assumptions'!G47-'Assumptions'!G52*(F166)+'Assumptions'!G57-'Assumptions'!G62*(1)-'Assumptions'!G67-(0))+(('Historical Inputs'!$N$9*(1+(D166))^2)*('Assumptions'!F67+(0))))*'DCF'!G12/(1+(G166))^'DCF'!G13,(('Historical Inputs'!$N$9*(1+(D166))^4)*(('Assumptions'!H37+(E166))*(1-'Assumptions'!H42-(0))+'Assumptions'!H47-'Assumptions'!H52*(F166)+'Assumptions'!H57-'Assumptions'!H62*(1)-'Assumptions'!H67-(0))+(('Historical Inputs'!$N$9*(1+(D166))^3)*('Assumptions'!G67+(0))))*'DCF'!H12/(1+(G166))^'DCF'!H13,(('Historical Inputs'!$N$9*(1+(D166))^5)*(('Assumptions'!I37+(E166))*(1-'Assumptions'!I42-(0))+'Assumptions'!I47-'Assumptions'!I52*(F166)+'Assumptions'!I57-'Assumptions'!I62*(1)-'Assumptions'!I67-(0))+(('Historical Inputs'!$N$9*(1+(D166))^4)*('Assumptions'!H67+(0))))*'DCF'!I12/(1+(G166))^'DCF'!I13)+('Historical Inputs'!$N$9*(1+(D166))^5)*(1+(H166))*('Terminal Value'!$E$10+(E166))*(1-'Assumptions'!$E$15-(0))*(1-(H166)/('Terminal Value'!$E$12))/((G166)-(H166))/(1+(G166))^'DCF'!$E$19)+'Equity Bridge'!$E$17)/'Equity Bridge'!$E$20</x:f>
        <x:v>364.6969992832617</x:v>
      </x:c>
      <x:c r="X166" s="255" t="n">
        <x:v>0.9837470565253917</x:v>
      </x:c>
      <x:c r="Y166" s="255" t="n">
        <x:v>0.5343696820928238</x:v>
      </x:c>
      <x:c r="Z166" s="255" t="n">
        <x:v>0.2017334111764335</x:v>
      </x:c>
      <x:c r="AA166" s="255" t="n">
        <x:v>0.28697654380290927</x:v>
      </x:c>
      <x:c r="AB166" s="255" t="n">
        <x:v>0.5479906001561458</x:v>
      </x:c>
    </x:row>
    <x:row r="167" ht="24" customHeight="1">
      <x:c r="C167" s="256" t="n">
        <x:f>136</x:f>
        <x:v>136</x:v>
      </x:c>
      <x:c r="D167" s="258" t="n">
        <x:f>IF(X167&lt;($E$12-$D$12)/($F$12-$D$12),$D$12+SQRT(X167*($F$12-$D$12)*($E$12-$D$12)),$F$12-SQRT((1-X167)*($F$12-$D$12)*($F$12-$E$12)))</x:f>
        <x:v>0.19188150940300333</x:v>
      </x:c>
      <x:c r="E167" s="258" t="n">
        <x:f>IF(Y167&lt;($E$13-$D$13)/($F$13-$D$13),$D$13+SQRT(Y167*($F$13-$D$13)*($E$13-$D$13)),$F$13-SQRT((1-Y167)*($F$13-$D$13)*($F$13-$E$13)))</x:f>
        <x:v>0.016037232629946094</x:v>
      </x:c>
      <x:c r="F167" s="260" t="n">
        <x:f>IF(Z167&lt;($E$14-$D$14)/($F$14-$D$14),$D$14+SQRT(Z167*($F$14-$D$14)*($E$14-$D$14)),$F$14-SQRT((1-Z167)*($F$14-$D$14)*($F$14-$E$14)))</x:f>
        <x:v>1.0584487848228035</x:v>
      </x:c>
      <x:c r="G167" s="258" t="n">
        <x:f>IF(AA167&lt;($E$15-$D$15)/($F$15-$D$15),$D$15+SQRT(AA167*($F$15-$D$15)*($E$15-$D$15)),$F$15-SQRT((1-AA167)*($F$15-$D$15)*($F$15-$E$15)))</x:f>
        <x:v>0.10229085197462456</x:v>
      </x:c>
      <x:c r="H167" s="258" t="n">
        <x:f>IF(AB167&lt;($E$16-$D$16)/($F$16-$D$16),$D$16+SQRT(AB167*($F$16-$D$16)*($E$16-$D$16)),$F$16-SQRT((1-AB167)*($F$16-$D$16)*($F$16-$E$16)))</x:f>
        <x:v>0.026726924362178654</x:v>
      </x:c>
      <x:c r="I167" s="262" t="n">
        <x:f>'Historical Inputs'!$N$9*(1+D167)^5</x:f>
        <x:v>798165.2895239863</x:v>
      </x:c>
      <x:c r="J167" s="262" t="n">
        <x:f>I167*(1+H167)*('Terminal Value'!$E$10+E167)*(1-'Assumptions'!$E$15)*(1-H167/'Terminal Value'!$E$12)</x:f>
        <x:v>236303.99433906737</x:v>
      </x:c>
      <x:c r="K167" s="264" t="n">
        <x:f>((SUM((('Historical Inputs'!$N$9*(1+(D167))^1)*(('Assumptions'!E37+(E167))*(1-'Assumptions'!E42-(0))+'Assumptions'!E47-'Assumptions'!E52*(F167)+'Assumptions'!E57-'Assumptions'!E62*(1)-'Assumptions'!E67-(0))+('Working Capital'!$E$6))*'DCF'!E12/(1+(G167))^'DCF'!E13,(('Historical Inputs'!$N$9*(1+(D167))^2)*(('Assumptions'!F37+(E167))*(1-'Assumptions'!F42-(0))+'Assumptions'!F47-'Assumptions'!F52*(F167)+'Assumptions'!F57-'Assumptions'!F62*(1)-'Assumptions'!F67-(0))+(('Historical Inputs'!$N$9*(1+(D167))^1)*('Assumptions'!E67+(0))))*'DCF'!F12/(1+(G167))^'DCF'!F13,(('Historical Inputs'!$N$9*(1+(D167))^3)*(('Assumptions'!G37+(E167))*(1-'Assumptions'!G42-(0))+'Assumptions'!G47-'Assumptions'!G52*(F167)+'Assumptions'!G57-'Assumptions'!G62*(1)-'Assumptions'!G67-(0))+(('Historical Inputs'!$N$9*(1+(D167))^2)*('Assumptions'!F67+(0))))*'DCF'!G12/(1+(G167))^'DCF'!G13,(('Historical Inputs'!$N$9*(1+(D167))^4)*(('Assumptions'!H37+(E167))*(1-'Assumptions'!H42-(0))+'Assumptions'!H47-'Assumptions'!H52*(F167)+'Assumptions'!H57-'Assumptions'!H62*(1)-'Assumptions'!H67-(0))+(('Historical Inputs'!$N$9*(1+(D167))^3)*('Assumptions'!G67+(0))))*'DCF'!H12/(1+(G167))^'DCF'!H13,(('Historical Inputs'!$N$9*(1+(D167))^5)*(('Assumptions'!I37+(E167))*(1-'Assumptions'!I42-(0))+'Assumptions'!I47-'Assumptions'!I52*(F167)+'Assumptions'!I57-'Assumptions'!I62*(1)-'Assumptions'!I67-(0))+(('Historical Inputs'!$N$9*(1+(D167))^4)*('Assumptions'!H67+(0))))*'DCF'!I12/(1+(G167))^'DCF'!I13)+('Historical Inputs'!$N$9*(1+(D167))^5)*(1+(H167))*('Terminal Value'!$E$10+(E167))*(1-'Assumptions'!$E$15-(0))*(1-(H167)/('Terminal Value'!$E$12))/((G167)-(H167))/(1+(G167))^'DCF'!$E$19)+'Equity Bridge'!$E$17)/'Equity Bridge'!$E$20</x:f>
        <x:v>328.6935597240002</x:v>
      </x:c>
      <x:c r="X167" s="255" t="n">
        <x:v>0.9996215931148048</x:v>
      </x:c>
      <x:c r="Y167" s="255" t="n">
        <x:v>0.7693060865135203</x:v>
      </x:c>
      <x:c r="Z167" s="255" t="n">
        <x:v>0.7137607640265575</x:v>
      </x:c>
      <x:c r="AA167" s="255" t="n">
        <x:v>0.7384177200024407</x:v>
      </x:c>
      <x:c r="AB167" s="255" t="n">
        <x:v>0.2262575568723637</x:v>
      </x:c>
    </x:row>
    <x:row r="168" ht="24" customHeight="1">
      <x:c r="C168" s="256" t="n">
        <x:f>137</x:f>
        <x:v>137</x:v>
      </x:c>
      <x:c r="D168" s="258" t="n">
        <x:f>IF(X168&lt;($E$12-$D$12)/($F$12-$D$12),$D$12+SQRT(X168*($F$12-$D$12)*($E$12-$D$12)),$F$12-SQRT((1-X168)*($F$12-$D$12)*($F$12-$E$12)))</x:f>
        <x:v>0.15320623985831797</x:v>
      </x:c>
      <x:c r="E168" s="258" t="n">
        <x:f>IF(Y168&lt;($E$13-$D$13)/($F$13-$D$13),$D$13+SQRT(Y168*($F$13-$D$13)*($E$13-$D$13)),$F$13-SQRT((1-Y168)*($F$13-$D$13)*($F$13-$E$13)))</x:f>
        <x:v>-0.0030918029026888935</x:v>
      </x:c>
      <x:c r="F168" s="260" t="n">
        <x:f>IF(Z168&lt;($E$14-$D$14)/($F$14-$D$14),$D$14+SQRT(Z168*($F$14-$D$14)*($E$14-$D$14)),$F$14-SQRT((1-Z168)*($F$14-$D$14)*($F$14-$E$14)))</x:f>
        <x:v>0.9792376720631266</x:v>
      </x:c>
      <x:c r="G168" s="258" t="n">
        <x:f>IF(AA168&lt;($E$15-$D$15)/($F$15-$D$15),$D$15+SQRT(AA168*($F$15-$D$15)*($E$15-$D$15)),$F$15-SQRT((1-AA168)*($F$15-$D$15)*($F$15-$E$15)))</x:f>
        <x:v>0.09300156076534619</x:v>
      </x:c>
      <x:c r="H168" s="258" t="n">
        <x:f>IF(AB168&lt;($E$16-$D$16)/($F$16-$D$16),$D$16+SQRT(AB168*($F$16-$D$16)*($E$16-$D$16)),$F$16-SQRT((1-AB168)*($F$16-$D$16)*($F$16-$E$16)))</x:f>
        <x:v>0.028698817146714052</x:v>
      </x:c>
      <x:c r="I168" s="262" t="n">
        <x:f>'Historical Inputs'!$N$9*(1+D168)^5</x:f>
        <x:v>676803.1076142425</x:v>
      </x:c>
      <x:c r="J168" s="262" t="n">
        <x:f>I168*(1+H168)*('Terminal Value'!$E$10+E168)*(1-'Assumptions'!$E$15)*(1-H168/'Terminal Value'!$E$12)</x:f>
        <x:v>189348.1237137156</x:v>
      </x:c>
      <x:c r="K168" s="264" t="n">
        <x:f>((SUM((('Historical Inputs'!$N$9*(1+(D168))^1)*(('Assumptions'!E37+(E168))*(1-'Assumptions'!E42-(0))+'Assumptions'!E47-'Assumptions'!E52*(F168)+'Assumptions'!E57-'Assumptions'!E62*(1)-'Assumptions'!E67-(0))+('Working Capital'!$E$6))*'DCF'!E12/(1+(G168))^'DCF'!E13,(('Historical Inputs'!$N$9*(1+(D168))^2)*(('Assumptions'!F37+(E168))*(1-'Assumptions'!F42-(0))+'Assumptions'!F47-'Assumptions'!F52*(F168)+'Assumptions'!F57-'Assumptions'!F62*(1)-'Assumptions'!F67-(0))+(('Historical Inputs'!$N$9*(1+(D168))^1)*('Assumptions'!E67+(0))))*'DCF'!F12/(1+(G168))^'DCF'!F13,(('Historical Inputs'!$N$9*(1+(D168))^3)*(('Assumptions'!G37+(E168))*(1-'Assumptions'!G42-(0))+'Assumptions'!G47-'Assumptions'!G52*(F168)+'Assumptions'!G57-'Assumptions'!G62*(1)-'Assumptions'!G67-(0))+(('Historical Inputs'!$N$9*(1+(D168))^2)*('Assumptions'!F67+(0))))*'DCF'!G12/(1+(G168))^'DCF'!G13,(('Historical Inputs'!$N$9*(1+(D168))^4)*(('Assumptions'!H37+(E168))*(1-'Assumptions'!H42-(0))+'Assumptions'!H47-'Assumptions'!H52*(F168)+'Assumptions'!H57-'Assumptions'!H62*(1)-'Assumptions'!H67-(0))+(('Historical Inputs'!$N$9*(1+(D168))^3)*('Assumptions'!G67+(0))))*'DCF'!H12/(1+(G168))^'DCF'!H13,(('Historical Inputs'!$N$9*(1+(D168))^5)*(('Assumptions'!I37+(E168))*(1-'Assumptions'!I42-(0))+'Assumptions'!I47-'Assumptions'!I52*(F168)+'Assumptions'!I57-'Assumptions'!I62*(1)-'Assumptions'!I67-(0))+(('Historical Inputs'!$N$9*(1+(D168))^4)*('Assumptions'!H67+(0))))*'DCF'!I12/(1+(G168))^'DCF'!I13)+('Historical Inputs'!$N$9*(1+(D168))^5)*(1+(H168))*('Terminal Value'!$E$10+(E168))*(1-'Assumptions'!$E$15-(0))*(1-(H168)/('Terminal Value'!$E$12))/((G168)-(H168))/(1+(G168))^'DCF'!$E$19)+'Equity Bridge'!$E$17)/'Equity Bridge'!$E$20</x:f>
        <x:v>318.6289615801593</x:v>
      </x:c>
      <x:c r="X168" s="255" t="n">
        <x:v>0.6791869727545201</x:v>
      </x:c>
      <x:c r="Y168" s="255" t="n">
        <x:v>0.44007579098403726</x:v>
      </x:c>
      <x:c r="Z168" s="255" t="n">
        <x:v>0.31814049295802393</x:v>
      </x:c>
      <x:c r="AA168" s="255" t="n">
        <x:v>0.21609577176266437</x:v>
      </x:c>
      <x:c r="AB168" s="255" t="n">
        <x:v>0.3783470987598321</x:v>
      </x:c>
    </x:row>
    <x:row r="169" ht="24" customHeight="1">
      <x:c r="C169" s="256" t="n">
        <x:f>138</x:f>
        <x:v>138</x:v>
      </x:c>
      <x:c r="D169" s="258" t="n">
        <x:f>IF(X169&lt;($E$12-$D$12)/($F$12-$D$12),$D$12+SQRT(X169*($F$12-$D$12)*($E$12-$D$12)),$F$12-SQRT((1-X169)*($F$12-$D$12)*($F$12-$E$12)))</x:f>
        <x:v>0.15023599170835478</x:v>
      </x:c>
      <x:c r="E169" s="258" t="n">
        <x:f>IF(Y169&lt;($E$13-$D$13)/($F$13-$D$13),$D$13+SQRT(Y169*($F$13-$D$13)*($E$13-$D$13)),$F$13-SQRT((1-Y169)*($F$13-$D$13)*($F$13-$E$13)))</x:f>
        <x:v>0.016971248002335487</x:v>
      </x:c>
      <x:c r="F169" s="260" t="n">
        <x:f>IF(Z169&lt;($E$14-$D$14)/($F$14-$D$14),$D$14+SQRT(Z169*($F$14-$D$14)*($E$14-$D$14)),$F$14-SQRT((1-Z169)*($F$14-$D$14)*($F$14-$E$14)))</x:f>
        <x:v>1.0288530668884466</x:v>
      </x:c>
      <x:c r="G169" s="258" t="n">
        <x:f>IF(AA169&lt;($E$15-$D$15)/($F$15-$D$15),$D$15+SQRT(AA169*($F$15-$D$15)*($E$15-$D$15)),$F$15-SQRT((1-AA169)*($F$15-$D$15)*($F$15-$E$15)))</x:f>
        <x:v>0.09239825288518716</x:v>
      </x:c>
      <x:c r="H169" s="258" t="n">
        <x:f>IF(AB169&lt;($E$16-$D$16)/($F$16-$D$16),$D$16+SQRT(AB169*($F$16-$D$16)*($E$16-$D$16)),$F$16-SQRT((1-AB169)*($F$16-$D$16)*($F$16-$E$16)))</x:f>
        <x:v>0.026526501961563205</x:v>
      </x:c>
      <x:c r="I169" s="262" t="n">
        <x:f>'Historical Inputs'!$N$9*(1+D169)^5</x:f>
        <x:v>668131.873220875</x:v>
      </x:c>
      <x:c r="J169" s="262" t="n">
        <x:f>I169*(1+H169)*('Terminal Value'!$E$10+E169)*(1-'Assumptions'!$E$15)*(1-H169/'Terminal Value'!$E$12)</x:f>
        <x:v>198441.0851044816</x:v>
      </x:c>
      <x:c r="K169" s="264" t="n">
        <x:f>((SUM((('Historical Inputs'!$N$9*(1+(D169))^1)*(('Assumptions'!E37+(E169))*(1-'Assumptions'!E42-(0))+'Assumptions'!E47-'Assumptions'!E52*(F169)+'Assumptions'!E57-'Assumptions'!E62*(1)-'Assumptions'!E67-(0))+('Working Capital'!$E$6))*'DCF'!E12/(1+(G169))^'DCF'!E13,(('Historical Inputs'!$N$9*(1+(D169))^2)*(('Assumptions'!F37+(E169))*(1-'Assumptions'!F42-(0))+'Assumptions'!F47-'Assumptions'!F52*(F169)+'Assumptions'!F57-'Assumptions'!F62*(1)-'Assumptions'!F67-(0))+(('Historical Inputs'!$N$9*(1+(D169))^1)*('Assumptions'!E67+(0))))*'DCF'!F12/(1+(G169))^'DCF'!F13,(('Historical Inputs'!$N$9*(1+(D169))^3)*(('Assumptions'!G37+(E169))*(1-'Assumptions'!G42-(0))+'Assumptions'!G47-'Assumptions'!G52*(F169)+'Assumptions'!G57-'Assumptions'!G62*(1)-'Assumptions'!G67-(0))+(('Historical Inputs'!$N$9*(1+(D169))^2)*('Assumptions'!F67+(0))))*'DCF'!G12/(1+(G169))^'DCF'!G13,(('Historical Inputs'!$N$9*(1+(D169))^4)*(('Assumptions'!H37+(E169))*(1-'Assumptions'!H42-(0))+'Assumptions'!H47-'Assumptions'!H52*(F169)+'Assumptions'!H57-'Assumptions'!H62*(1)-'Assumptions'!H67-(0))+(('Historical Inputs'!$N$9*(1+(D169))^3)*('Assumptions'!G67+(0))))*'DCF'!H12/(1+(G169))^'DCF'!H13,(('Historical Inputs'!$N$9*(1+(D169))^5)*(('Assumptions'!I37+(E169))*(1-'Assumptions'!I42-(0))+'Assumptions'!I47-'Assumptions'!I52*(F169)+'Assumptions'!I57-'Assumptions'!I62*(1)-'Assumptions'!I67-(0))+(('Historical Inputs'!$N$9*(1+(D169))^4)*('Assumptions'!H67+(0))))*'DCF'!I12/(1+(G169))^'DCF'!I13)+('Historical Inputs'!$N$9*(1+(D169))^5)*(1+(H169))*('Terminal Value'!$E$10+(E169))*(1-'Assumptions'!$E$15-(0))*(1-(H169)/('Terminal Value'!$E$12))/((G169)-(H169))/(1+(G169))^'DCF'!$E$19)+'Equity Bridge'!$E$17)/'Equity Bridge'!$E$20</x:f>
        <x:v>325.8524446302181</x:v>
      </x:c>
      <x:c r="X169" s="255" t="n">
        <x:v>0.629838193522345</x:v>
      </x:c>
      <x:c r="Y169" s="255" t="n">
        <x:v>0.7818203082953544</x:v>
      </x:c>
      <x:c r="Z169" s="255" t="n">
        <x:v>0.5815532469501358</x:v>
      </x:c>
      <x:c r="AA169" s="255" t="n">
        <x:v>0.19046313031784978</x:v>
      </x:c>
      <x:c r="AB169" s="255" t="n">
        <x:v>0.21297613927144177</x:v>
      </x:c>
    </x:row>
    <x:row r="170" ht="24" customHeight="1">
      <x:c r="C170" s="256" t="n">
        <x:f>139</x:f>
        <x:v>139</x:v>
      </x:c>
      <x:c r="D170" s="258" t="n">
        <x:f>IF(X170&lt;($E$12-$D$12)/($F$12-$D$12),$D$12+SQRT(X170*($F$12-$D$12)*($E$12-$D$12)),$F$12-SQRT((1-X170)*($F$12-$D$12)*($F$12-$E$12)))</x:f>
        <x:v>0.15687074481462934</x:v>
      </x:c>
      <x:c r="E170" s="258" t="n">
        <x:f>IF(Y170&lt;($E$13-$D$13)/($F$13-$D$13),$D$13+SQRT(Y170*($F$13-$D$13)*($E$13-$D$13)),$F$13-SQRT((1-Y170)*($F$13-$D$13)*($F$13-$E$13)))</x:f>
        <x:v>0.008749144152823948</x:v>
      </x:c>
      <x:c r="F170" s="260" t="n">
        <x:f>IF(Z170&lt;($E$14-$D$14)/($F$14-$D$14),$D$14+SQRT(Z170*($F$14-$D$14)*($E$14-$D$14)),$F$14-SQRT((1-Z170)*($F$14-$D$14)*($F$14-$E$14)))</x:f>
        <x:v>1.18358810765889</x:v>
      </x:c>
      <x:c r="G170" s="258" t="n">
        <x:f>IF(AA170&lt;($E$15-$D$15)/($F$15-$D$15),$D$15+SQRT(AA170*($F$15-$D$15)*($E$15-$D$15)),$F$15-SQRT((1-AA170)*($F$15-$D$15)*($F$15-$E$15)))</x:f>
        <x:v>0.09227319062414087</x:v>
      </x:c>
      <x:c r="H170" s="258" t="n">
        <x:f>IF(AB170&lt;($E$16-$D$16)/($F$16-$D$16),$D$16+SQRT(AB170*($F$16-$D$16)*($E$16-$D$16)),$F$16-SQRT((1-AB170)*($F$16-$D$16)*($F$16-$E$16)))</x:f>
        <x:v>0.02046858513926835</x:v>
      </x:c>
      <x:c r="I170" s="262" t="n">
        <x:f>'Historical Inputs'!$N$9*(1+D170)^5</x:f>
        <x:v>687624.9389211775</x:v>
      </x:c>
      <x:c r="J170" s="262" t="n">
        <x:f>I170*(1+H170)*('Terminal Value'!$E$10+E170)*(1-'Assumptions'!$E$15)*(1-H170/'Terminal Value'!$E$12)</x:f>
        <x:v>205972.17743790758</x:v>
      </x:c>
      <x:c r="K170" s="264" t="n">
        <x:f>((SUM((('Historical Inputs'!$N$9*(1+(D170))^1)*(('Assumptions'!E37+(E170))*(1-'Assumptions'!E42-(0))+'Assumptions'!E47-'Assumptions'!E52*(F170)+'Assumptions'!E57-'Assumptions'!E62*(1)-'Assumptions'!E67-(0))+('Working Capital'!$E$6))*'DCF'!E12/(1+(G170))^'DCF'!E13,(('Historical Inputs'!$N$9*(1+(D170))^2)*(('Assumptions'!F37+(E170))*(1-'Assumptions'!F42-(0))+'Assumptions'!F47-'Assumptions'!F52*(F170)+'Assumptions'!F57-'Assumptions'!F62*(1)-'Assumptions'!F67-(0))+(('Historical Inputs'!$N$9*(1+(D170))^1)*('Assumptions'!E67+(0))))*'DCF'!F12/(1+(G170))^'DCF'!F13,(('Historical Inputs'!$N$9*(1+(D170))^3)*(('Assumptions'!G37+(E170))*(1-'Assumptions'!G42-(0))+'Assumptions'!G47-'Assumptions'!G52*(F170)+'Assumptions'!G57-'Assumptions'!G62*(1)-'Assumptions'!G67-(0))+(('Historical Inputs'!$N$9*(1+(D170))^2)*('Assumptions'!F67+(0))))*'DCF'!G12/(1+(G170))^'DCF'!G13,(('Historical Inputs'!$N$9*(1+(D170))^4)*(('Assumptions'!H37+(E170))*(1-'Assumptions'!H42-(0))+'Assumptions'!H47-'Assumptions'!H52*(F170)+'Assumptions'!H57-'Assumptions'!H62*(1)-'Assumptions'!H67-(0))+(('Historical Inputs'!$N$9*(1+(D170))^3)*('Assumptions'!G67+(0))))*'DCF'!H12/(1+(G170))^'DCF'!H13,(('Historical Inputs'!$N$9*(1+(D170))^5)*(('Assumptions'!I37+(E170))*(1-'Assumptions'!I42-(0))+'Assumptions'!I47-'Assumptions'!I52*(F170)+'Assumptions'!I57-'Assumptions'!I62*(1)-'Assumptions'!I67-(0))+(('Historical Inputs'!$N$9*(1+(D170))^4)*('Assumptions'!H67+(0))))*'DCF'!I12/(1+(G170))^'DCF'!I13)+('Historical Inputs'!$N$9*(1+(D170))^5)*(1+(H170))*('Terminal Value'!$E$10+(E170))*(1-'Assumptions'!$E$15-(0))*(1-(H170)/('Terminal Value'!$E$12))/((G170)-(H170))/(1+(G170))^'DCF'!$E$19)+'Equity Bridge'!$E$17)/'Equity Bridge'!$E$20</x:f>
        <x:v>302.454898320712</x:v>
      </x:c>
      <x:c r="X170" s="255" t="n">
        <x:v>0.7352077690495249</x:v>
      </x:c>
      <x:c r="Y170" s="255" t="n">
        <x:v>0.6596733783751002</x:v>
      </x:c>
      <x:c r="Z170" s="255" t="n">
        <x:v>0.9961521398540546</x:v>
      </x:c>
      <x:c r="AA170" s="255" t="n">
        <x:v>0.18535205667242716</x:v>
      </x:c>
      <x:c r="AB170" s="255" t="n">
        <x:v>0.0010978601637157137</x:v>
      </x:c>
    </x:row>
    <x:row r="171" ht="24" customHeight="1">
      <x:c r="C171" s="256" t="n">
        <x:f>140</x:f>
        <x:v>140</x:v>
      </x:c>
      <x:c r="D171" s="258" t="n">
        <x:f>IF(X171&lt;($E$12-$D$12)/($F$12-$D$12),$D$12+SQRT(X171*($F$12-$D$12)*($E$12-$D$12)),$F$12-SQRT((1-X171)*($F$12-$D$12)*($F$12-$E$12)))</x:f>
        <x:v>0.15532678482823412</x:v>
      </x:c>
      <x:c r="E171" s="258" t="n">
        <x:f>IF(Y171&lt;($E$13-$D$13)/($F$13-$D$13),$D$13+SQRT(Y171*($F$13-$D$13)*($E$13-$D$13)),$F$13-SQRT((1-Y171)*($F$13-$D$13)*($F$13-$E$13)))</x:f>
        <x:v>0.013946157437497456</x:v>
      </x:c>
      <x:c r="F171" s="260" t="n">
        <x:f>IF(Z171&lt;($E$14-$D$14)/($F$14-$D$14),$D$14+SQRT(Z171*($F$14-$D$14)*($E$14-$D$14)),$F$14-SQRT((1-Z171)*($F$14-$D$14)*($F$14-$E$14)))</x:f>
        <x:v>1.067437537972382</x:v>
      </x:c>
      <x:c r="G171" s="258" t="n">
        <x:f>IF(AA171&lt;($E$15-$D$15)/($F$15-$D$15),$D$15+SQRT(AA171*($F$15-$D$15)*($E$15-$D$15)),$F$15-SQRT((1-AA171)*($F$15-$D$15)*($F$15-$E$15)))</x:f>
        <x:v>0.09742010517975414</x:v>
      </x:c>
      <x:c r="H171" s="258" t="n">
        <x:f>IF(AB171&lt;($E$16-$D$16)/($F$16-$D$16),$D$16+SQRT(AB171*($F$16-$D$16)*($E$16-$D$16)),$F$16-SQRT((1-AB171)*($F$16-$D$16)*($F$16-$E$16)))</x:f>
        <x:v>0.032351115260111196</x:v>
      </x:c>
      <x:c r="I171" s="262" t="n">
        <x:f>'Historical Inputs'!$N$9*(1+D171)^5</x:f>
        <x:v>683048.6481913943</x:v>
      </x:c>
      <x:c r="J171" s="262" t="n">
        <x:f>I171*(1+H171)*('Terminal Value'!$E$10+E171)*(1-'Assumptions'!$E$15)*(1-H171/'Terminal Value'!$E$12)</x:f>
        <x:v>195741.80238600733</x:v>
      </x:c>
      <x:c r="K171" s="264" t="n">
        <x:f>((SUM((('Historical Inputs'!$N$9*(1+(D171))^1)*(('Assumptions'!E37+(E171))*(1-'Assumptions'!E42-(0))+'Assumptions'!E47-'Assumptions'!E52*(F171)+'Assumptions'!E57-'Assumptions'!E62*(1)-'Assumptions'!E67-(0))+('Working Capital'!$E$6))*'DCF'!E12/(1+(G171))^'DCF'!E13,(('Historical Inputs'!$N$9*(1+(D171))^2)*(('Assumptions'!F37+(E171))*(1-'Assumptions'!F42-(0))+'Assumptions'!F47-'Assumptions'!F52*(F171)+'Assumptions'!F57-'Assumptions'!F62*(1)-'Assumptions'!F67-(0))+(('Historical Inputs'!$N$9*(1+(D171))^1)*('Assumptions'!E67+(0))))*'DCF'!F12/(1+(G171))^'DCF'!F13,(('Historical Inputs'!$N$9*(1+(D171))^3)*(('Assumptions'!G37+(E171))*(1-'Assumptions'!G42-(0))+'Assumptions'!G47-'Assumptions'!G52*(F171)+'Assumptions'!G57-'Assumptions'!G62*(1)-'Assumptions'!G67-(0))+(('Historical Inputs'!$N$9*(1+(D171))^2)*('Assumptions'!F67+(0))))*'DCF'!G12/(1+(G171))^'DCF'!G13,(('Historical Inputs'!$N$9*(1+(D171))^4)*(('Assumptions'!H37+(E171))*(1-'Assumptions'!H42-(0))+'Assumptions'!H47-'Assumptions'!H52*(F171)+'Assumptions'!H57-'Assumptions'!H62*(1)-'Assumptions'!H67-(0))+(('Historical Inputs'!$N$9*(1+(D171))^3)*('Assumptions'!G67+(0))))*'DCF'!H12/(1+(G171))^'DCF'!H13,(('Historical Inputs'!$N$9*(1+(D171))^5)*(('Assumptions'!I37+(E171))*(1-'Assumptions'!I42-(0))+'Assumptions'!I47-'Assumptions'!I52*(F171)+'Assumptions'!I57-'Assumptions'!I62*(1)-'Assumptions'!I67-(0))+(('Historical Inputs'!$N$9*(1+(D171))^4)*('Assumptions'!H67+(0))))*'DCF'!I12/(1+(G171))^'DCF'!I13)+('Historical Inputs'!$N$9*(1+(D171))^5)*(1+(H171))*('Terminal Value'!$E$10+(E171))*(1-'Assumptions'!$E$15-(0))*(1-(H171)/('Terminal Value'!$E$12))/((G171)-(H171))/(1+(G171))^'DCF'!$E$19)+'Equity Bridge'!$E$17)/'Equity Bridge'!$E$20</x:f>
        <x:v>316.763164785482</x:v>
      </x:c>
      <x:c r="X171" s="255" t="n">
        <x:v>0.712259424257792</x:v>
      </x:c>
      <x:c r="Y171" s="255" t="n">
        <x:v>0.740024087295656</x:v>
      </x:c>
      <x:c r="Z171" s="255" t="n">
        <x:v>0.7489599094453764</x:v>
      </x:c>
      <x:c r="AA171" s="255" t="n">
        <x:v>0.4531352378929364</x:v>
      </x:c>
      <x:c r="AB171" s="255" t="n">
        <x:v>0.7074728111794809</x:v>
      </x:c>
    </x:row>
    <x:row r="172" ht="24" customHeight="1">
      <x:c r="C172" s="256" t="n">
        <x:f>141</x:f>
        <x:v>141</x:v>
      </x:c>
      <x:c r="D172" s="258" t="n">
        <x:f>IF(X172&lt;($E$12-$D$12)/($F$12-$D$12),$D$12+SQRT(X172*($F$12-$D$12)*($E$12-$D$12)),$F$12-SQRT((1-X172)*($F$12-$D$12)*($F$12-$E$12)))</x:f>
        <x:v>0.13379361758380134</x:v>
      </x:c>
      <x:c r="E172" s="258" t="n">
        <x:f>IF(Y172&lt;($E$13-$D$13)/($F$13-$D$13),$D$13+SQRT(Y172*($F$13-$D$13)*($E$13-$D$13)),$F$13-SQRT((1-Y172)*($F$13-$D$13)*($F$13-$E$13)))</x:f>
        <x:v>-0.0015206915809761051</x:v>
      </x:c>
      <x:c r="F172" s="260" t="n">
        <x:f>IF(Z172&lt;($E$14-$D$14)/($F$14-$D$14),$D$14+SQRT(Z172*($F$14-$D$14)*($E$14-$D$14)),$F$14-SQRT((1-Z172)*($F$14-$D$14)*($F$14-$E$14)))</x:f>
        <x:v>0.9345374671830042</x:v>
      </x:c>
      <x:c r="G172" s="258" t="n">
        <x:f>IF(AA172&lt;($E$15-$D$15)/($F$15-$D$15),$D$15+SQRT(AA172*($F$15-$D$15)*($E$15-$D$15)),$F$15-SQRT((1-AA172)*($F$15-$D$15)*($F$15-$E$15)))</x:f>
        <x:v>0.09594999687760875</x:v>
      </x:c>
      <x:c r="H172" s="258" t="n">
        <x:f>IF(AB172&lt;($E$16-$D$16)/($F$16-$D$16),$D$16+SQRT(AB172*($F$16-$D$16)*($E$16-$D$16)),$F$16-SQRT((1-AB172)*($F$16-$D$16)*($F$16-$E$16)))</x:f>
        <x:v>0.029932236734343733</x:v>
      </x:c>
      <x:c r="I172" s="262" t="n">
        <x:f>'Historical Inputs'!$N$9*(1+D172)^5</x:f>
        <x:v>621723.7609533309</x:v>
      </x:c>
      <x:c r="J172" s="262" t="n">
        <x:f>I172*(1+H172)*('Terminal Value'!$E$10+E172)*(1-'Assumptions'!$E$15)*(1-H172/'Terminal Value'!$E$12)</x:f>
        <x:v>173577.68161075347</x:v>
      </x:c>
      <x:c r="K172" s="264" t="n">
        <x:f>((SUM((('Historical Inputs'!$N$9*(1+(D172))^1)*(('Assumptions'!E37+(E172))*(1-'Assumptions'!E42-(0))+'Assumptions'!E47-'Assumptions'!E52*(F172)+'Assumptions'!E57-'Assumptions'!E62*(1)-'Assumptions'!E67-(0))+('Working Capital'!$E$6))*'DCF'!E12/(1+(G172))^'DCF'!E13,(('Historical Inputs'!$N$9*(1+(D172))^2)*(('Assumptions'!F37+(E172))*(1-'Assumptions'!F42-(0))+'Assumptions'!F47-'Assumptions'!F52*(F172)+'Assumptions'!F57-'Assumptions'!F62*(1)-'Assumptions'!F67-(0))+(('Historical Inputs'!$N$9*(1+(D172))^1)*('Assumptions'!E67+(0))))*'DCF'!F12/(1+(G172))^'DCF'!F13,(('Historical Inputs'!$N$9*(1+(D172))^3)*(('Assumptions'!G37+(E172))*(1-'Assumptions'!G42-(0))+'Assumptions'!G47-'Assumptions'!G52*(F172)+'Assumptions'!G57-'Assumptions'!G62*(1)-'Assumptions'!G67-(0))+(('Historical Inputs'!$N$9*(1+(D172))^2)*('Assumptions'!F67+(0))))*'DCF'!G12/(1+(G172))^'DCF'!G13,(('Historical Inputs'!$N$9*(1+(D172))^4)*(('Assumptions'!H37+(E172))*(1-'Assumptions'!H42-(0))+'Assumptions'!H47-'Assumptions'!H52*(F172)+'Assumptions'!H57-'Assumptions'!H62*(1)-'Assumptions'!H67-(0))+(('Historical Inputs'!$N$9*(1+(D172))^3)*('Assumptions'!G67+(0))))*'DCF'!H12/(1+(G172))^'DCF'!H13,(('Historical Inputs'!$N$9*(1+(D172))^5)*(('Assumptions'!I37+(E172))*(1-'Assumptions'!I42-(0))+'Assumptions'!I47-'Assumptions'!I52*(F172)+'Assumptions'!I57-'Assumptions'!I62*(1)-'Assumptions'!I67-(0))+(('Historical Inputs'!$N$9*(1+(D172))^4)*('Assumptions'!H67+(0))))*'DCF'!I12/(1+(G172))^'DCF'!I13)+('Historical Inputs'!$N$9*(1+(D172))^5)*(1+(H172))*('Terminal Value'!$E$10+(E172))*(1-'Assumptions'!$E$15-(0))*(1-(H172)/('Terminal Value'!$E$12))/((G172)-(H172))/(1+(G172))^'DCF'!$E$19)+'Equity Bridge'!$E$17)/'Equity Bridge'!$E$20</x:f>
        <x:v>287.01920822149503</x:v>
      </x:c>
      <x:c r="X172" s="255" t="n">
        <x:v>0.3286431191253495</x:v>
      </x:c>
      <x:c r="Y172" s="255" t="n">
        <x:v>0.4700486689573683</x:v>
      </x:c>
      <x:c r="Z172" s="255" t="n">
        <x:v>0.13612539728985762</x:v>
      </x:c>
      <x:c r="AA172" s="255" t="n">
        <x:v>0.3646367975709637</x:v>
      </x:c>
      <x:c r="AB172" s="255" t="n">
        <x:v>0.4932466327352354</x:v>
      </x:c>
    </x:row>
    <x:row r="173" ht="24" customHeight="1">
      <x:c r="C173" s="256" t="n">
        <x:f>142</x:f>
        <x:v>142</x:v>
      </x:c>
      <x:c r="D173" s="258" t="n">
        <x:f>IF(X173&lt;($E$12-$D$12)/($F$12-$D$12),$D$12+SQRT(X173*($F$12-$D$12)*($E$12-$D$12)),$F$12-SQRT((1-X173)*($F$12-$D$12)*($F$12-$E$12)))</x:f>
        <x:v>0.1679147856002186</x:v>
      </x:c>
      <x:c r="E173" s="258" t="n">
        <x:f>IF(Y173&lt;($E$13-$D$13)/($F$13-$D$13),$D$13+SQRT(Y173*($F$13-$D$13)*($E$13-$D$13)),$F$13-SQRT((1-Y173)*($F$13-$D$13)*($F$13-$E$13)))</x:f>
        <x:v>-0.015126774127409447</x:v>
      </x:c>
      <x:c r="F173" s="260" t="n">
        <x:f>IF(Z173&lt;($E$14-$D$14)/($F$14-$D$14),$D$14+SQRT(Z173*($F$14-$D$14)*($E$14-$D$14)),$F$14-SQRT((1-Z173)*($F$14-$D$14)*($F$14-$E$14)))</x:f>
        <x:v>1.013652702625946</x:v>
      </x:c>
      <x:c r="G173" s="258" t="n">
        <x:f>IF(AA173&lt;($E$15-$D$15)/($F$15-$D$15),$D$15+SQRT(AA173*($F$15-$D$15)*($E$15-$D$15)),$F$15-SQRT((1-AA173)*($F$15-$D$15)*($F$15-$E$15)))</x:f>
        <x:v>0.10113783371356347</x:v>
      </x:c>
      <x:c r="H173" s="258" t="n">
        <x:f>IF(AB173&lt;($E$16-$D$16)/($F$16-$D$16),$D$16+SQRT(AB173*($F$16-$D$16)*($E$16-$D$16)),$F$16-SQRT((1-AB173)*($F$16-$D$16)*($F$16-$E$16)))</x:f>
        <x:v>0.03305542968066347</x:v>
      </x:c>
      <x:c r="I173" s="262" t="n">
        <x:f>'Historical Inputs'!$N$9*(1+D173)^5</x:f>
        <x:v>721079.599407384</x:v>
      </x:c>
      <x:c r="J173" s="262" t="n">
        <x:f>I173*(1+H173)*('Terminal Value'!$E$10+E173)*(1-'Assumptions'!$E$15)*(1-H173/'Terminal Value'!$E$12)</x:f>
        <x:v>191450.640427014</x:v>
      </x:c>
      <x:c r="K173" s="264" t="n">
        <x:f>((SUM((('Historical Inputs'!$N$9*(1+(D173))^1)*(('Assumptions'!E37+(E173))*(1-'Assumptions'!E42-(0))+'Assumptions'!E47-'Assumptions'!E52*(F173)+'Assumptions'!E57-'Assumptions'!E62*(1)-'Assumptions'!E67-(0))+('Working Capital'!$E$6))*'DCF'!E12/(1+(G173))^'DCF'!E13,(('Historical Inputs'!$N$9*(1+(D173))^2)*(('Assumptions'!F37+(E173))*(1-'Assumptions'!F42-(0))+'Assumptions'!F47-'Assumptions'!F52*(F173)+'Assumptions'!F57-'Assumptions'!F62*(1)-'Assumptions'!F67-(0))+(('Historical Inputs'!$N$9*(1+(D173))^1)*('Assumptions'!E67+(0))))*'DCF'!F12/(1+(G173))^'DCF'!F13,(('Historical Inputs'!$N$9*(1+(D173))^3)*(('Assumptions'!G37+(E173))*(1-'Assumptions'!G42-(0))+'Assumptions'!G47-'Assumptions'!G52*(F173)+'Assumptions'!G57-'Assumptions'!G62*(1)-'Assumptions'!G67-(0))+(('Historical Inputs'!$N$9*(1+(D173))^2)*('Assumptions'!F67+(0))))*'DCF'!G12/(1+(G173))^'DCF'!G13,(('Historical Inputs'!$N$9*(1+(D173))^4)*(('Assumptions'!H37+(E173))*(1-'Assumptions'!H42-(0))+'Assumptions'!H47-'Assumptions'!H52*(F173)+'Assumptions'!H57-'Assumptions'!H62*(1)-'Assumptions'!H67-(0))+(('Historical Inputs'!$N$9*(1+(D173))^3)*('Assumptions'!G67+(0))))*'DCF'!H12/(1+(G173))^'DCF'!H13,(('Historical Inputs'!$N$9*(1+(D173))^5)*(('Assumptions'!I37+(E173))*(1-'Assumptions'!I42-(0))+'Assumptions'!I47-'Assumptions'!I52*(F173)+'Assumptions'!I57-'Assumptions'!I62*(1)-'Assumptions'!I67-(0))+(('Historical Inputs'!$N$9*(1+(D173))^4)*('Assumptions'!H67+(0))))*'DCF'!I12/(1+(G173))^'DCF'!I13)+('Historical Inputs'!$N$9*(1+(D173))^5)*(1+(H173))*('Terminal Value'!$E$10+(E173))*(1-'Assumptions'!$E$15-(0))*(1-(H173)/('Terminal Value'!$E$12))/((G173)-(H173))/(1+(G173))^'DCF'!$E$19)+'Equity Bridge'!$E$17)/'Equity Bridge'!$E$20</x:f>
        <x:v>294.9429428688317</x:v>
      </x:c>
      <x:c r="X173" s="255" t="n">
        <x:v>0.8715542126147571</x:v>
      </x:c>
      <x:c r="Y173" s="255" t="n">
        <x:v>0.2432283765521438</x:v>
      </x:c>
      <x:c r="Z173" s="255" t="n">
        <x:v>0.503924068019799</x:v>
      </x:c>
      <x:c r="AA173" s="255" t="n">
        <x:v>0.6798647549149742</x:v>
      </x:c>
      <x:c r="AB173" s="255" t="n">
        <x:v>0.7588647153989504</x:v>
      </x:c>
    </x:row>
    <x:row r="174" ht="24" customHeight="1">
      <x:c r="C174" s="256" t="n">
        <x:f>143</x:f>
        <x:v>143</x:v>
      </x:c>
      <x:c r="D174" s="258" t="n">
        <x:f>IF(X174&lt;($E$12-$D$12)/($F$12-$D$12),$D$12+SQRT(X174*($F$12-$D$12)*($E$12-$D$12)),$F$12-SQRT((1-X174)*($F$12-$D$12)*($F$12-$E$12)))</x:f>
        <x:v>0.13480527815658222</x:v>
      </x:c>
      <x:c r="E174" s="258" t="n">
        <x:f>IF(Y174&lt;($E$13-$D$13)/($F$13-$D$13),$D$13+SQRT(Y174*($F$13-$D$13)*($E$13-$D$13)),$F$13-SQRT((1-Y174)*($F$13-$D$13)*($F$13-$E$13)))</x:f>
        <x:v>-0.020813079437986586</x:v>
      </x:c>
      <x:c r="F174" s="260" t="n">
        <x:f>IF(Z174&lt;($E$14-$D$14)/($F$14-$D$14),$D$14+SQRT(Z174*($F$14-$D$14)*($E$14-$D$14)),$F$14-SQRT((1-Z174)*($F$14-$D$14)*($F$14-$E$14)))</x:f>
        <x:v>0.9359452866107654</x:v>
      </x:c>
      <x:c r="G174" s="258" t="n">
        <x:f>IF(AA174&lt;($E$15-$D$15)/($F$15-$D$15),$D$15+SQRT(AA174*($F$15-$D$15)*($E$15-$D$15)),$F$15-SQRT((1-AA174)*($F$15-$D$15)*($F$15-$E$15)))</x:f>
        <x:v>0.10336230356108006</x:v>
      </x:c>
      <x:c r="H174" s="258" t="n">
        <x:f>IF(AB174&lt;($E$16-$D$16)/($F$16-$D$16),$D$16+SQRT(AB174*($F$16-$D$16)*($E$16-$D$16)),$F$16-SQRT((1-AB174)*($F$16-$D$16)*($F$16-$E$16)))</x:f>
        <x:v>0.03111515903432035</x:v>
      </x:c>
      <x:c r="I174" s="262" t="n">
        <x:f>'Historical Inputs'!$N$9*(1+D174)^5</x:f>
        <x:v>624502.4715062849</x:v>
      </x:c>
      <x:c r="J174" s="262" t="n">
        <x:f>I174*(1+H174)*('Terminal Value'!$E$10+E174)*(1-'Assumptions'!$E$15)*(1-H174/'Terminal Value'!$E$12)</x:f>
        <x:v>164947.3498858351</x:v>
      </x:c>
      <x:c r="K174" s="264" t="n">
        <x:f>((SUM((('Historical Inputs'!$N$9*(1+(D174))^1)*(('Assumptions'!E37+(E174))*(1-'Assumptions'!E42-(0))+'Assumptions'!E47-'Assumptions'!E52*(F174)+'Assumptions'!E57-'Assumptions'!E62*(1)-'Assumptions'!E67-(0))+('Working Capital'!$E$6))*'DCF'!E12/(1+(G174))^'DCF'!E13,(('Historical Inputs'!$N$9*(1+(D174))^2)*(('Assumptions'!F37+(E174))*(1-'Assumptions'!F42-(0))+'Assumptions'!F47-'Assumptions'!F52*(F174)+'Assumptions'!F57-'Assumptions'!F62*(1)-'Assumptions'!F67-(0))+(('Historical Inputs'!$N$9*(1+(D174))^1)*('Assumptions'!E67+(0))))*'DCF'!F12/(1+(G174))^'DCF'!F13,(('Historical Inputs'!$N$9*(1+(D174))^3)*(('Assumptions'!G37+(E174))*(1-'Assumptions'!G42-(0))+'Assumptions'!G47-'Assumptions'!G52*(F174)+'Assumptions'!G57-'Assumptions'!G62*(1)-'Assumptions'!G67-(0))+(('Historical Inputs'!$N$9*(1+(D174))^2)*('Assumptions'!F67+(0))))*'DCF'!G12/(1+(G174))^'DCF'!G13,(('Historical Inputs'!$N$9*(1+(D174))^4)*(('Assumptions'!H37+(E174))*(1-'Assumptions'!H42-(0))+'Assumptions'!H47-'Assumptions'!H52*(F174)+'Assumptions'!H57-'Assumptions'!H62*(1)-'Assumptions'!H67-(0))+(('Historical Inputs'!$N$9*(1+(D174))^3)*('Assumptions'!G67+(0))))*'DCF'!H12/(1+(G174))^'DCF'!H13,(('Historical Inputs'!$N$9*(1+(D174))^5)*(('Assumptions'!I37+(E174))*(1-'Assumptions'!I42-(0))+'Assumptions'!I47-'Assumptions'!I52*(F174)+'Assumptions'!I57-'Assumptions'!I62*(1)-'Assumptions'!I67-(0))+(('Historical Inputs'!$N$9*(1+(D174))^4)*('Assumptions'!H67+(0))))*'DCF'!I12/(1+(G174))^'DCF'!I13)+('Historical Inputs'!$N$9*(1+(D174))^5)*(1+(H174))*('Terminal Value'!$E$10+(E174))*(1-'Assumptions'!$E$15-(0))*(1-(H174)/('Terminal Value'!$E$12))/((G174)-(H174))/(1+(G174))^'DCF'!$E$19)+'Equity Bridge'!$E$17)/'Equity Bridge'!$E$20</x:f>
        <x:v>245.8276017575745</x:v>
      </x:c>
      <x:c r="X174" s="255" t="n">
        <x:v>0.3452515208213994</x:v>
      </x:c>
      <x:c r="Y174" s="255" t="n">
        <x:v>0.1703752663786563</x:v>
      </x:c>
      <x:c r="Z174" s="255" t="n">
        <x:v>0.14069699601155428</x:v>
      </x:c>
      <x:c r="AA174" s="255" t="n">
        <x:v>0.7875320679574455</x:v>
      </x:c>
      <x:c r="AB174" s="255" t="n">
        <x:v>0.6052980050729032</x:v>
      </x:c>
    </x:row>
    <x:row r="175" ht="24" customHeight="1">
      <x:c r="C175" s="256" t="n">
        <x:f>144</x:f>
        <x:v>144</x:v>
      </x:c>
      <x:c r="D175" s="258" t="n">
        <x:f>IF(X175&lt;($E$12-$D$12)/($F$12-$D$12),$D$12+SQRT(X175*($F$12-$D$12)*($E$12-$D$12)),$F$12-SQRT((1-X175)*($F$12-$D$12)*($F$12-$E$12)))</x:f>
        <x:v>0.10638191409192407</x:v>
      </x:c>
      <x:c r="E175" s="258" t="n">
        <x:f>IF(Y175&lt;($E$13-$D$13)/($F$13-$D$13),$D$13+SQRT(Y175*($F$13-$D$13)*($E$13-$D$13)),$F$13-SQRT((1-Y175)*($F$13-$D$13)*($F$13-$E$13)))</x:f>
        <x:v>-0.034073895458646405</x:v>
      </x:c>
      <x:c r="F175" s="260" t="n">
        <x:f>IF(Z175&lt;($E$14-$D$14)/($F$14-$D$14),$D$14+SQRT(Z175*($F$14-$D$14)*($E$14-$D$14)),$F$14-SQRT((1-Z175)*($F$14-$D$14)*($F$14-$E$14)))</x:f>
        <x:v>0.9543258756760417</x:v>
      </x:c>
      <x:c r="G175" s="258" t="n">
        <x:f>IF(AA175&lt;($E$15-$D$15)/($F$15-$D$15),$D$15+SQRT(AA175*($F$15-$D$15)*($E$15-$D$15)),$F$15-SQRT((1-AA175)*($F$15-$D$15)*($F$15-$E$15)))</x:f>
        <x:v>0.09555841719858978</x:v>
      </x:c>
      <x:c r="H175" s="258" t="n">
        <x:f>IF(AB175&lt;($E$16-$D$16)/($F$16-$D$16),$D$16+SQRT(AB175*($F$16-$D$16)*($E$16-$D$16)),$F$16-SQRT((1-AB175)*($F$16-$D$16)*($F$16-$E$16)))</x:f>
        <x:v>0.036683041684246076</x:v>
      </x:c>
      <x:c r="I175" s="262" t="n">
        <x:f>'Historical Inputs'!$N$9*(1+D175)^5</x:f>
        <x:v>550114.0853224458</x:v>
      </x:c>
      <x:c r="J175" s="262" t="n">
        <x:f>I175*(1+H175)*('Terminal Value'!$E$10+E175)*(1-'Assumptions'!$E$15)*(1-H175/'Terminal Value'!$E$12)</x:f>
        <x:v>136327.48593787922</x:v>
      </x:c>
      <x:c r="K175" s="264" t="n">
        <x:f>((SUM((('Historical Inputs'!$N$9*(1+(D175))^1)*(('Assumptions'!E37+(E175))*(1-'Assumptions'!E42-(0))+'Assumptions'!E47-'Assumptions'!E52*(F175)+'Assumptions'!E57-'Assumptions'!E62*(1)-'Assumptions'!E67-(0))+('Working Capital'!$E$6))*'DCF'!E12/(1+(G175))^'DCF'!E13,(('Historical Inputs'!$N$9*(1+(D175))^2)*(('Assumptions'!F37+(E175))*(1-'Assumptions'!F42-(0))+'Assumptions'!F47-'Assumptions'!F52*(F175)+'Assumptions'!F57-'Assumptions'!F62*(1)-'Assumptions'!F67-(0))+(('Historical Inputs'!$N$9*(1+(D175))^1)*('Assumptions'!E67+(0))))*'DCF'!F12/(1+(G175))^'DCF'!F13,(('Historical Inputs'!$N$9*(1+(D175))^3)*(('Assumptions'!G37+(E175))*(1-'Assumptions'!G42-(0))+'Assumptions'!G47-'Assumptions'!G52*(F175)+'Assumptions'!G57-'Assumptions'!G62*(1)-'Assumptions'!G67-(0))+(('Historical Inputs'!$N$9*(1+(D175))^2)*('Assumptions'!F67+(0))))*'DCF'!G12/(1+(G175))^'DCF'!G13,(('Historical Inputs'!$N$9*(1+(D175))^4)*(('Assumptions'!H37+(E175))*(1-'Assumptions'!H42-(0))+'Assumptions'!H47-'Assumptions'!H52*(F175)+'Assumptions'!H57-'Assumptions'!H62*(1)-'Assumptions'!H67-(0))+(('Historical Inputs'!$N$9*(1+(D175))^3)*('Assumptions'!G67+(0))))*'DCF'!H12/(1+(G175))^'DCF'!H13,(('Historical Inputs'!$N$9*(1+(D175))^5)*(('Assumptions'!I37+(E175))*(1-'Assumptions'!I42-(0))+'Assumptions'!I47-'Assumptions'!I52*(F175)+'Assumptions'!I57-'Assumptions'!I62*(1)-'Assumptions'!I67-(0))+(('Historical Inputs'!$N$9*(1+(D175))^4)*('Assumptions'!H67+(0))))*'DCF'!I12/(1+(G175))^'DCF'!I13)+('Historical Inputs'!$N$9*(1+(D175))^5)*(1+(H175))*('Terminal Value'!$E$10+(E175))*(1-'Assumptions'!$E$15-(0))*(1-(H175)/('Terminal Value'!$E$12))/((G175)-(H175))/(1+(G175))^'DCF'!$E$19)+'Equity Bridge'!$E$17)/'Equity Bridge'!$E$20</x:f>
        <x:v>248.0209564496544</x:v>
      </x:c>
      <x:c r="X175" s="255" t="n">
        <x:v>0.03445255939812153</x:v>
      </x:c>
      <x:c r="Y175" s="255" t="n">
        <x:v>0.050728161172424735</x:v>
      </x:c>
      <x:c r="Z175" s="255" t="n">
        <x:v>0.20731215877281728</x:v>
      </x:c>
      <x:c r="AA175" s="255" t="n">
        <x:v>0.342684252965647</x:v>
      </x:c>
      <x:c r="AB175" s="255" t="n">
        <x:v>0.9449889376577544</x:v>
      </x:c>
    </x:row>
    <x:row r="176" ht="24" customHeight="1">
      <x:c r="C176" s="256" t="n">
        <x:f>145</x:f>
        <x:v>145</x:v>
      </x:c>
      <x:c r="D176" s="258" t="n">
        <x:f>IF(X176&lt;($E$12-$D$12)/($F$12-$D$12),$D$12+SQRT(X176*($F$12-$D$12)*($E$12-$D$12)),$F$12-SQRT((1-X176)*($F$12-$D$12)*($F$12-$E$12)))</x:f>
        <x:v>0.17733968977418307</x:v>
      </x:c>
      <x:c r="E176" s="258" t="n">
        <x:f>IF(Y176&lt;($E$13-$D$13)/($F$13-$D$13),$D$13+SQRT(Y176*($F$13-$D$13)*($E$13-$D$13)),$F$13-SQRT((1-Y176)*($F$13-$D$13)*($F$13-$E$13)))</x:f>
        <x:v>-0.014996040211326674</x:v>
      </x:c>
      <x:c r="F176" s="260" t="n">
        <x:f>IF(Z176&lt;($E$14-$D$14)/($F$14-$D$14),$D$14+SQRT(Z176*($F$14-$D$14)*($E$14-$D$14)),$F$14-SQRT((1-Z176)*($F$14-$D$14)*($F$14-$E$14)))</x:f>
        <x:v>1.0760940809148096</x:v>
      </x:c>
      <x:c r="G176" s="258" t="n">
        <x:f>IF(AA176&lt;($E$15-$D$15)/($F$15-$D$15),$D$15+SQRT(AA176*($F$15-$D$15)*($E$15-$D$15)),$F$15-SQRT((1-AA176)*($F$15-$D$15)*($F$15-$E$15)))</x:f>
        <x:v>0.10508614689024548</x:v>
      </x:c>
      <x:c r="H176" s="258" t="n">
        <x:f>IF(AB176&lt;($E$16-$D$16)/($F$16-$D$16),$D$16+SQRT(AB176*($F$16-$D$16)*($E$16-$D$16)),$F$16-SQRT((1-AB176)*($F$16-$D$16)*($F$16-$E$16)))</x:f>
        <x:v>0.03370647379864471</x:v>
      </x:c>
      <x:c r="I176" s="262" t="n">
        <x:f>'Historical Inputs'!$N$9*(1+D176)^5</x:f>
        <x:v>750648.0325866059</x:v>
      </x:c>
      <x:c r="J176" s="262" t="n">
        <x:f>I176*(1+H176)*('Terminal Value'!$E$10+E176)*(1-'Assumptions'!$E$15)*(1-H176/'Terminal Value'!$E$12)</x:f>
        <x:v>198716.58582952895</x:v>
      </x:c>
      <x:c r="K176" s="264" t="n">
        <x:f>((SUM((('Historical Inputs'!$N$9*(1+(D176))^1)*(('Assumptions'!E37+(E176))*(1-'Assumptions'!E42-(0))+'Assumptions'!E47-'Assumptions'!E52*(F176)+'Assumptions'!E57-'Assumptions'!E62*(1)-'Assumptions'!E67-(0))+('Working Capital'!$E$6))*'DCF'!E12/(1+(G176))^'DCF'!E13,(('Historical Inputs'!$N$9*(1+(D176))^2)*(('Assumptions'!F37+(E176))*(1-'Assumptions'!F42-(0))+'Assumptions'!F47-'Assumptions'!F52*(F176)+'Assumptions'!F57-'Assumptions'!F62*(1)-'Assumptions'!F67-(0))+(('Historical Inputs'!$N$9*(1+(D176))^1)*('Assumptions'!E67+(0))))*'DCF'!F12/(1+(G176))^'DCF'!F13,(('Historical Inputs'!$N$9*(1+(D176))^3)*(('Assumptions'!G37+(E176))*(1-'Assumptions'!G42-(0))+'Assumptions'!G47-'Assumptions'!G52*(F176)+'Assumptions'!G57-'Assumptions'!G62*(1)-'Assumptions'!G67-(0))+(('Historical Inputs'!$N$9*(1+(D176))^2)*('Assumptions'!F67+(0))))*'DCF'!G12/(1+(G176))^'DCF'!G13,(('Historical Inputs'!$N$9*(1+(D176))^4)*(('Assumptions'!H37+(E176))*(1-'Assumptions'!H42-(0))+'Assumptions'!H47-'Assumptions'!H52*(F176)+'Assumptions'!H57-'Assumptions'!H62*(1)-'Assumptions'!H67-(0))+(('Historical Inputs'!$N$9*(1+(D176))^3)*('Assumptions'!G67+(0))))*'DCF'!H12/(1+(G176))^'DCF'!H13,(('Historical Inputs'!$N$9*(1+(D176))^5)*(('Assumptions'!I37+(E176))*(1-'Assumptions'!I42-(0))+'Assumptions'!I47-'Assumptions'!I52*(F176)+'Assumptions'!I57-'Assumptions'!I62*(1)-'Assumptions'!I67-(0))+(('Historical Inputs'!$N$9*(1+(D176))^4)*('Assumptions'!H67+(0))))*'DCF'!I12/(1+(G176))^'DCF'!I13)+('Historical Inputs'!$N$9*(1+(D176))^5)*(1+(H176))*('Terminal Value'!$E$10+(E176))*(1-'Assumptions'!$E$15-(0))*(1-(H176)/('Terminal Value'!$E$12))/((G176)-(H176))/(1+(G176))^'DCF'!$E$19)+'Equity Bridge'!$E$17)/'Equity Bridge'!$E$20</x:f>
        <x:v>285.4138226826721</x:v>
      </x:c>
      <x:c r="X176" s="255" t="n">
        <x:v>0.9493277080700752</x:v>
      </x:c>
      <x:c r="Y176" s="255" t="n">
        <x:v>0.24505544017741188</x:v>
      </x:c>
      <x:c r="Z176" s="255" t="n">
        <x:v>0.7806760459379184</x:v>
      </x:c>
      <x:c r="AA176" s="255" t="n">
        <x:v>0.8558433367083561</x:v>
      </x:c>
      <x:c r="AB176" s="255" t="n">
        <x:v>0.8019576397642721</x:v>
      </x:c>
    </x:row>
    <x:row r="177" ht="24" customHeight="1">
      <x:c r="C177" s="256" t="n">
        <x:f>146</x:f>
        <x:v>146</x:v>
      </x:c>
      <x:c r="D177" s="258" t="n">
        <x:f>IF(X177&lt;($E$12-$D$12)/($F$12-$D$12),$D$12+SQRT(X177*($F$12-$D$12)*($E$12-$D$12)),$F$12-SQRT((1-X177)*($F$12-$D$12)*($F$12-$E$12)))</x:f>
        <x:v>0.1345623418697601</x:v>
      </x:c>
      <x:c r="E177" s="258" t="n">
        <x:f>IF(Y177&lt;($E$13-$D$13)/($F$13-$D$13),$D$13+SQRT(Y177*($F$13-$D$13)*($E$13-$D$13)),$F$13-SQRT((1-Y177)*($F$13-$D$13)*($F$13-$E$13)))</x:f>
        <x:v>-0.018714577165309332</x:v>
      </x:c>
      <x:c r="F177" s="260" t="n">
        <x:f>IF(Z177&lt;($E$14-$D$14)/($F$14-$D$14),$D$14+SQRT(Z177*($F$14-$D$14)*($E$14-$D$14)),$F$14-SQRT((1-Z177)*($F$14-$D$14)*($F$14-$E$14)))</x:f>
        <x:v>1.0051155901444477</x:v>
      </x:c>
      <x:c r="G177" s="258" t="n">
        <x:f>IF(AA177&lt;($E$15-$D$15)/($F$15-$D$15),$D$15+SQRT(AA177*($F$15-$D$15)*($E$15-$D$15)),$F$15-SQRT((1-AA177)*($F$15-$D$15)*($F$15-$E$15)))</x:f>
        <x:v>0.1042530713105183</x:v>
      </x:c>
      <x:c r="H177" s="258" t="n">
        <x:f>IF(AB177&lt;($E$16-$D$16)/($F$16-$D$16),$D$16+SQRT(AB177*($F$16-$D$16)*($E$16-$D$16)),$F$16-SQRT((1-AB177)*($F$16-$D$16)*($F$16-$E$16)))</x:f>
        <x:v>0.02966084899646919</x:v>
      </x:c>
      <x:c r="I177" s="262" t="n">
        <x:f>'Historical Inputs'!$N$9*(1+D177)^5</x:f>
        <x:v>623834.2979829557</x:v>
      </x:c>
      <x:c r="J177" s="262" t="n">
        <x:f>I177*(1+H177)*('Terminal Value'!$E$10+E177)*(1-'Assumptions'!$E$15)*(1-H177/'Terminal Value'!$E$12)</x:f>
        <x:v>166873.7861111517</x:v>
      </x:c>
      <x:c r="K177" s="264" t="n">
        <x:f>((SUM((('Historical Inputs'!$N$9*(1+(D177))^1)*(('Assumptions'!E37+(E177))*(1-'Assumptions'!E42-(0))+'Assumptions'!E47-'Assumptions'!E52*(F177)+'Assumptions'!E57-'Assumptions'!E62*(1)-'Assumptions'!E67-(0))+('Working Capital'!$E$6))*'DCF'!E12/(1+(G177))^'DCF'!E13,(('Historical Inputs'!$N$9*(1+(D177))^2)*(('Assumptions'!F37+(E177))*(1-'Assumptions'!F42-(0))+'Assumptions'!F47-'Assumptions'!F52*(F177)+'Assumptions'!F57-'Assumptions'!F62*(1)-'Assumptions'!F67-(0))+(('Historical Inputs'!$N$9*(1+(D177))^1)*('Assumptions'!E67+(0))))*'DCF'!F12/(1+(G177))^'DCF'!F13,(('Historical Inputs'!$N$9*(1+(D177))^3)*(('Assumptions'!G37+(E177))*(1-'Assumptions'!G42-(0))+'Assumptions'!G47-'Assumptions'!G52*(F177)+'Assumptions'!G57-'Assumptions'!G62*(1)-'Assumptions'!G67-(0))+(('Historical Inputs'!$N$9*(1+(D177))^2)*('Assumptions'!F67+(0))))*'DCF'!G12/(1+(G177))^'DCF'!G13,(('Historical Inputs'!$N$9*(1+(D177))^4)*(('Assumptions'!H37+(E177))*(1-'Assumptions'!H42-(0))+'Assumptions'!H47-'Assumptions'!H52*(F177)+'Assumptions'!H57-'Assumptions'!H62*(1)-'Assumptions'!H67-(0))+(('Historical Inputs'!$N$9*(1+(D177))^3)*('Assumptions'!G67+(0))))*'DCF'!H12/(1+(G177))^'DCF'!H13,(('Historical Inputs'!$N$9*(1+(D177))^5)*(('Assumptions'!I37+(E177))*(1-'Assumptions'!I42-(0))+'Assumptions'!I47-'Assumptions'!I52*(F177)+'Assumptions'!I57-'Assumptions'!I62*(1)-'Assumptions'!I67-(0))+(('Historical Inputs'!$N$9*(1+(D177))^4)*('Assumptions'!H67+(0))))*'DCF'!I12/(1+(G177))^'DCF'!I13)+('Historical Inputs'!$N$9*(1+(D177))^5)*(1+(H177))*('Terminal Value'!$E$10+(E177))*(1-'Assumptions'!$E$15-(0))*(1-(H177)/('Terminal Value'!$E$12))/((G177)-(H177))/(1+(G177))^'DCF'!$E$19)+'Equity Bridge'!$E$17)/'Equity Bridge'!$E$20</x:f>
        <x:v>237.2388222924586</x:v>
      </x:c>
      <x:c r="X177" s="255" t="n">
        <x:v>0.34122589278254223</x:v>
      </x:c>
      <x:c r="Y177" s="255" t="n">
        <x:v>0.19575553638907683</x:v>
      </x:c>
      <x:c r="Z177" s="255" t="n">
        <x:v>0.45742952564647277</x:v>
      </x:c>
      <x:c r="AA177" s="255" t="n">
        <x:v>0.82447985467924</x:v>
      </x:c>
      <x:c r="AB177" s="255" t="n">
        <x:v>0.4666600166628988</x:v>
      </x:c>
    </x:row>
    <x:row r="178" ht="24" customHeight="1">
      <x:c r="C178" s="256" t="n">
        <x:f>147</x:f>
        <x:v>147</x:v>
      </x:c>
      <x:c r="D178" s="258" t="n">
        <x:f>IF(X178&lt;($E$12-$D$12)/($F$12-$D$12),$D$12+SQRT(X178*($F$12-$D$12)*($E$12-$D$12)),$F$12-SQRT((1-X178)*($F$12-$D$12)*($F$12-$E$12)))</x:f>
        <x:v>0.13921185419933016</x:v>
      </x:c>
      <x:c r="E178" s="258" t="n">
        <x:f>IF(Y178&lt;($E$13-$D$13)/($F$13-$D$13),$D$13+SQRT(Y178*($F$13-$D$13)*($E$13-$D$13)),$F$13-SQRT((1-Y178)*($F$13-$D$13)*($F$13-$E$13)))</x:f>
        <x:v>0.002185520109166672</x:v>
      </x:c>
      <x:c r="F178" s="260" t="n">
        <x:f>IF(Z178&lt;($E$14-$D$14)/($F$14-$D$14),$D$14+SQRT(Z178*($F$14-$D$14)*($E$14-$D$14)),$F$14-SQRT((1-Z178)*($F$14-$D$14)*($F$14-$E$14)))</x:f>
        <x:v>1.0452021787884742</x:v>
      </x:c>
      <x:c r="G178" s="258" t="n">
        <x:f>IF(AA178&lt;($E$15-$D$15)/($F$15-$D$15),$D$15+SQRT(AA178*($F$15-$D$15)*($E$15-$D$15)),$F$15-SQRT((1-AA178)*($F$15-$D$15)*($F$15-$E$15)))</x:f>
        <x:v>0.10145721391012225</x:v>
      </x:c>
      <x:c r="H178" s="258" t="n">
        <x:f>IF(AB178&lt;($E$16-$D$16)/($F$16-$D$16),$D$16+SQRT(AB178*($F$16-$D$16)*($E$16-$D$16)),$F$16-SQRT((1-AB178)*($F$16-$D$16)*($F$16-$E$16)))</x:f>
        <x:v>0.027072884293078168</x:v>
      </x:c>
      <x:c r="I178" s="262" t="n">
        <x:f>'Historical Inputs'!$N$9*(1+D178)^5</x:f>
        <x:v>636722.0691901383</x:v>
      </x:c>
      <x:c r="J178" s="262" t="n">
        <x:f>I178*(1+H178)*('Terminal Value'!$E$10+E178)*(1-'Assumptions'!$E$15)*(1-H178/'Terminal Value'!$E$12)</x:f>
        <x:v>181928.47806979332</x:v>
      </x:c>
      <x:c r="K178" s="264" t="n">
        <x:f>((SUM((('Historical Inputs'!$N$9*(1+(D178))^1)*(('Assumptions'!E37+(E178))*(1-'Assumptions'!E42-(0))+'Assumptions'!E47-'Assumptions'!E52*(F178)+'Assumptions'!E57-'Assumptions'!E62*(1)-'Assumptions'!E67-(0))+('Working Capital'!$E$6))*'DCF'!E12/(1+(G178))^'DCF'!E13,(('Historical Inputs'!$N$9*(1+(D178))^2)*(('Assumptions'!F37+(E178))*(1-'Assumptions'!F42-(0))+'Assumptions'!F47-'Assumptions'!F52*(F178)+'Assumptions'!F57-'Assumptions'!F62*(1)-'Assumptions'!F67-(0))+(('Historical Inputs'!$N$9*(1+(D178))^1)*('Assumptions'!E67+(0))))*'DCF'!F12/(1+(G178))^'DCF'!F13,(('Historical Inputs'!$N$9*(1+(D178))^3)*(('Assumptions'!G37+(E178))*(1-'Assumptions'!G42-(0))+'Assumptions'!G47-'Assumptions'!G52*(F178)+'Assumptions'!G57-'Assumptions'!G62*(1)-'Assumptions'!G67-(0))+(('Historical Inputs'!$N$9*(1+(D178))^2)*('Assumptions'!F67+(0))))*'DCF'!G12/(1+(G178))^'DCF'!G13,(('Historical Inputs'!$N$9*(1+(D178))^4)*(('Assumptions'!H37+(E178))*(1-'Assumptions'!H42-(0))+'Assumptions'!H47-'Assumptions'!H52*(F178)+'Assumptions'!H57-'Assumptions'!H62*(1)-'Assumptions'!H67-(0))+(('Historical Inputs'!$N$9*(1+(D178))^3)*('Assumptions'!G67+(0))))*'DCF'!H12/(1+(G178))^'DCF'!H13,(('Historical Inputs'!$N$9*(1+(D178))^5)*(('Assumptions'!I37+(E178))*(1-'Assumptions'!I42-(0))+'Assumptions'!I47-'Assumptions'!I52*(F178)+'Assumptions'!I57-'Assumptions'!I62*(1)-'Assumptions'!I67-(0))+(('Historical Inputs'!$N$9*(1+(D178))^4)*('Assumptions'!H67+(0))))*'DCF'!I12/(1+(G178))^'DCF'!I13)+('Historical Inputs'!$N$9*(1+(D178))^5)*(1+(H178))*('Terminal Value'!$E$10+(E178))*(1-'Assumptions'!$E$15-(0))*(1-(H178)/('Terminal Value'!$E$12))/((G178)-(H178))/(1+(G178))^'DCF'!$E$19)+'Equity Bridge'!$E$17)/'Equity Bridge'!$E$20</x:f>
        <x:v>260.0654507593703</x:v>
      </x:c>
      <x:c r="X178" s="255" t="n">
        <x:v>0.42236932369112035</x:v>
      </x:c>
      <x:c r="Y178" s="255" t="n">
        <x:v>0.542755102553819</x:v>
      </x:c>
      <x:c r="Z178" s="255" t="n">
        <x:v>0.6576804935452073</x:v>
      </x:c>
      <x:c r="AA178" s="255" t="n">
        <x:v>0.6966752896570048</x:v>
      </x:c>
      <x:c r="AB178" s="255" t="n">
        <x:v>0.25012846111635934</x:v>
      </x:c>
    </x:row>
    <x:row r="179" ht="24" customHeight="1">
      <x:c r="C179" s="256" t="n">
        <x:f>148</x:f>
        <x:v>148</x:v>
      </x:c>
      <x:c r="D179" s="258" t="n">
        <x:f>IF(X179&lt;($E$12-$D$12)/($F$12-$D$12),$D$12+SQRT(X179*($F$12-$D$12)*($E$12-$D$12)),$F$12-SQRT((1-X179)*($F$12-$D$12)*($F$12-$E$12)))</x:f>
        <x:v>0.15075808566942656</x:v>
      </x:c>
      <x:c r="E179" s="258" t="n">
        <x:f>IF(Y179&lt;($E$13-$D$13)/($F$13-$D$13),$D$13+SQRT(Y179*($F$13-$D$13)*($E$13-$D$13)),$F$13-SQRT((1-Y179)*($F$13-$D$13)*($F$13-$E$13)))</x:f>
        <x:v>0.01411792083711877</x:v>
      </x:c>
      <x:c r="F179" s="260" t="n">
        <x:f>IF(Z179&lt;($E$14-$D$14)/($F$14-$D$14),$D$14+SQRT(Z179*($F$14-$D$14)*($E$14-$D$14)),$F$14-SQRT((1-Z179)*($F$14-$D$14)*($F$14-$E$14)))</x:f>
        <x:v>1.100078126725475</x:v>
      </x:c>
      <x:c r="G179" s="258" t="n">
        <x:f>IF(AA179&lt;($E$15-$D$15)/($F$15-$D$15),$D$15+SQRT(AA179*($F$15-$D$15)*($E$15-$D$15)),$F$15-SQRT((1-AA179)*($F$15-$D$15)*($F$15-$E$15)))</x:f>
        <x:v>0.11133443101786683</x:v>
      </x:c>
      <x:c r="H179" s="258" t="n">
        <x:f>IF(AB179&lt;($E$16-$D$16)/($F$16-$D$16),$D$16+SQRT(AB179*($F$16-$D$16)*($E$16-$D$16)),$F$16-SQRT((1-AB179)*($F$16-$D$16)*($F$16-$E$16)))</x:f>
        <x:v>0.03609709321637924</x:v>
      </x:c>
      <x:c r="I179" s="262" t="n">
        <x:f>'Historical Inputs'!$N$9*(1+D179)^5</x:f>
        <x:v>669649.5810187614</x:v>
      </x:c>
      <x:c r="J179" s="262" t="n">
        <x:f>I179*(1+H179)*('Terminal Value'!$E$10+E179)*(1-'Assumptions'!$E$15)*(1-H179/'Terminal Value'!$E$12)</x:f>
        <x:v>188373.03225287294</x:v>
      </x:c>
      <x:c r="K179" s="264" t="n">
        <x:f>((SUM((('Historical Inputs'!$N$9*(1+(D179))^1)*(('Assumptions'!E37+(E179))*(1-'Assumptions'!E42-(0))+'Assumptions'!E47-'Assumptions'!E52*(F179)+'Assumptions'!E57-'Assumptions'!E62*(1)-'Assumptions'!E67-(0))+('Working Capital'!$E$6))*'DCF'!E12/(1+(G179))^'DCF'!E13,(('Historical Inputs'!$N$9*(1+(D179))^2)*(('Assumptions'!F37+(E179))*(1-'Assumptions'!F42-(0))+'Assumptions'!F47-'Assumptions'!F52*(F179)+'Assumptions'!F57-'Assumptions'!F62*(1)-'Assumptions'!F67-(0))+(('Historical Inputs'!$N$9*(1+(D179))^1)*('Assumptions'!E67+(0))))*'DCF'!F12/(1+(G179))^'DCF'!F13,(('Historical Inputs'!$N$9*(1+(D179))^3)*(('Assumptions'!G37+(E179))*(1-'Assumptions'!G42-(0))+'Assumptions'!G47-'Assumptions'!G52*(F179)+'Assumptions'!G57-'Assumptions'!G62*(1)-'Assumptions'!G67-(0))+(('Historical Inputs'!$N$9*(1+(D179))^2)*('Assumptions'!F67+(0))))*'DCF'!G12/(1+(G179))^'DCF'!G13,(('Historical Inputs'!$N$9*(1+(D179))^4)*(('Assumptions'!H37+(E179))*(1-'Assumptions'!H42-(0))+'Assumptions'!H47-'Assumptions'!H52*(F179)+'Assumptions'!H57-'Assumptions'!H62*(1)-'Assumptions'!H67-(0))+(('Historical Inputs'!$N$9*(1+(D179))^3)*('Assumptions'!G67+(0))))*'DCF'!H12/(1+(G179))^'DCF'!H13,(('Historical Inputs'!$N$9*(1+(D179))^5)*(('Assumptions'!I37+(E179))*(1-'Assumptions'!I42-(0))+'Assumptions'!I47-'Assumptions'!I52*(F179)+'Assumptions'!I57-'Assumptions'!I62*(1)-'Assumptions'!I67-(0))+(('Historical Inputs'!$N$9*(1+(D179))^4)*('Assumptions'!H67+(0))))*'DCF'!I12/(1+(G179))^'DCF'!I13)+('Historical Inputs'!$N$9*(1+(D179))^5)*(1+(H179))*('Terminal Value'!$E$10+(E179))*(1-'Assumptions'!$E$15-(0))*(1-(H179)/('Terminal Value'!$E$12))/((G179)-(H179))/(1+(G179))^'DCF'!$E$19)+'Equity Bridge'!$E$17)/'Equity Bridge'!$E$20</x:f>
        <x:v>255.74348916520958</x:v>
      </x:c>
      <x:c r="X179" s="255" t="n">
        <x:v>0.6387680851109239</x:v>
      </x:c>
      <x:c r="Y179" s="255" t="n">
        <x:v>0.7424952789897449</x:v>
      </x:c>
      <x:c r="Z179" s="255" t="n">
        <x:v>0.8573659891615678</x:v>
      </x:c>
      <x:c r="AA179" s="255" t="n">
        <x:v>0.9927524154523061</x:v>
      </x:c>
      <x:c r="AB179" s="255" t="n">
        <x:v>0.9238365931918352</x:v>
      </x:c>
    </x:row>
    <x:row r="180" ht="24" customHeight="1">
      <x:c r="C180" s="256" t="n">
        <x:f>149</x:f>
        <x:v>149</x:v>
      </x:c>
      <x:c r="D180" s="258" t="n">
        <x:f>IF(X180&lt;($E$12-$D$12)/($F$12-$D$12),$D$12+SQRT(X180*($F$12-$D$12)*($E$12-$D$12)),$F$12-SQRT((1-X180)*($F$12-$D$12)*($F$12-$E$12)))</x:f>
        <x:v>0.10014004618474837</x:v>
      </x:c>
      <x:c r="E180" s="258" t="n">
        <x:f>IF(Y180&lt;($E$13-$D$13)/($F$13-$D$13),$D$13+SQRT(Y180*($F$13-$D$13)*($E$13-$D$13)),$F$13-SQRT((1-Y180)*($F$13-$D$13)*($F$13-$E$13)))</x:f>
        <x:v>-0.02668247723792166</x:v>
      </x:c>
      <x:c r="F180" s="260" t="n">
        <x:f>IF(Z180&lt;($E$14-$D$14)/($F$14-$D$14),$D$14+SQRT(Z180*($F$14-$D$14)*($E$14-$D$14)),$F$14-SQRT((1-Z180)*($F$14-$D$14)*($F$14-$E$14)))</x:f>
        <x:v>0.9095358572338321</x:v>
      </x:c>
      <x:c r="G180" s="258" t="n">
        <x:f>IF(AA180&lt;($E$15-$D$15)/($F$15-$D$15),$D$15+SQRT(AA180*($F$15-$D$15)*($E$15-$D$15)),$F$15-SQRT((1-AA180)*($F$15-$D$15)*($F$15-$E$15)))</x:f>
        <x:v>0.09207582155163346</x:v>
      </x:c>
      <x:c r="H180" s="258" t="n">
        <x:f>IF(AB180&lt;($E$16-$D$16)/($F$16-$D$16),$D$16+SQRT(AB180*($F$16-$D$16)*($E$16-$D$16)),$F$16-SQRT((1-AB180)*($F$16-$D$16)*($F$16-$E$16)))</x:f>
        <x:v>0.031782251095216665</x:v>
      </x:c>
      <x:c r="I180" s="262" t="n">
        <x:f>'Historical Inputs'!$N$9*(1+D180)^5</x:f>
        <x:v>534770.3185561725</x:v>
      </x:c>
      <x:c r="J180" s="262" t="n">
        <x:f>I180*(1+H180)*('Terminal Value'!$E$10+E180)*(1-'Assumptions'!$E$15)*(1-H180/'Terminal Value'!$E$12)</x:f>
        <x:v>138600.7342178726</x:v>
      </x:c>
      <x:c r="K180" s="264" t="n">
        <x:f>((SUM((('Historical Inputs'!$N$9*(1+(D180))^1)*(('Assumptions'!E37+(E180))*(1-'Assumptions'!E42-(0))+'Assumptions'!E47-'Assumptions'!E52*(F180)+'Assumptions'!E57-'Assumptions'!E62*(1)-'Assumptions'!E67-(0))+('Working Capital'!$E$6))*'DCF'!E12/(1+(G180))^'DCF'!E13,(('Historical Inputs'!$N$9*(1+(D180))^2)*(('Assumptions'!F37+(E180))*(1-'Assumptions'!F42-(0))+'Assumptions'!F47-'Assumptions'!F52*(F180)+'Assumptions'!F57-'Assumptions'!F62*(1)-'Assumptions'!F67-(0))+(('Historical Inputs'!$N$9*(1+(D180))^1)*('Assumptions'!E67+(0))))*'DCF'!F12/(1+(G180))^'DCF'!F13,(('Historical Inputs'!$N$9*(1+(D180))^3)*(('Assumptions'!G37+(E180))*(1-'Assumptions'!G42-(0))+'Assumptions'!G47-'Assumptions'!G52*(F180)+'Assumptions'!G57-'Assumptions'!G62*(1)-'Assumptions'!G67-(0))+(('Historical Inputs'!$N$9*(1+(D180))^2)*('Assumptions'!F67+(0))))*'DCF'!G12/(1+(G180))^'DCF'!G13,(('Historical Inputs'!$N$9*(1+(D180))^4)*(('Assumptions'!H37+(E180))*(1-'Assumptions'!H42-(0))+'Assumptions'!H47-'Assumptions'!H52*(F180)+'Assumptions'!H57-'Assumptions'!H62*(1)-'Assumptions'!H67-(0))+(('Historical Inputs'!$N$9*(1+(D180))^3)*('Assumptions'!G67+(0))))*'DCF'!H12/(1+(G180))^'DCF'!H13,(('Historical Inputs'!$N$9*(1+(D180))^5)*(('Assumptions'!I37+(E180))*(1-'Assumptions'!I42-(0))+'Assumptions'!I47-'Assumptions'!I52*(F180)+'Assumptions'!I57-'Assumptions'!I62*(1)-'Assumptions'!I67-(0))+(('Historical Inputs'!$N$9*(1+(D180))^4)*('Assumptions'!H67+(0))))*'DCF'!I12/(1+(G180))^'DCF'!I13)+('Historical Inputs'!$N$9*(1+(D180))^5)*(1+(H180))*('Terminal Value'!$E$10+(E180))*(1-'Assumptions'!$E$15-(0))*(1-(H180)/('Terminal Value'!$E$12))/((G180)-(H180))/(1+(G180))^'DCF'!$E$19)+'Equity Bridge'!$E$17)/'Equity Bridge'!$E$20</x:f>
        <x:v>253.00975713418669</x:v>
      </x:c>
      <x:c r="X180" s="255" t="n">
        <x:v>0.009475204864466735</x:v>
      </x:c>
      <x:c r="Y180" s="255" t="n">
        <x:v>0.1087413735520083</x:v>
      </x:c>
      <x:c r="Z180" s="255" t="n">
        <x:v>0.06751463422032855</x:v>
      </x:c>
      <x:c r="AA180" s="255" t="n">
        <x:v>0.17742734911464264</x:v>
      </x:c>
      <x:c r="AB180" s="255" t="n">
        <x:v>0.6623430146896618</x:v>
      </x:c>
    </x:row>
    <x:row r="181" ht="24" customHeight="1">
      <x:c r="C181" s="256" t="n">
        <x:f>150</x:f>
        <x:v>150</x:v>
      </x:c>
      <x:c r="D181" s="258" t="n">
        <x:f>IF(X181&lt;($E$12-$D$12)/($F$12-$D$12),$D$12+SQRT(X181*($F$12-$D$12)*($E$12-$D$12)),$F$12-SQRT((1-X181)*($F$12-$D$12)*($F$12-$E$12)))</x:f>
        <x:v>0.14105551594161905</x:v>
      </x:c>
      <x:c r="E181" s="258" t="n">
        <x:f>IF(Y181&lt;($E$13-$D$13)/($F$13-$D$13),$D$13+SQRT(Y181*($F$13-$D$13)*($E$13-$D$13)),$F$13-SQRT((1-Y181)*($F$13-$D$13)*($F$13-$E$13)))</x:f>
        <x:v>-0.044689320076987865</x:v>
      </x:c>
      <x:c r="F181" s="260" t="n">
        <x:f>IF(Z181&lt;($E$14-$D$14)/($F$14-$D$14),$D$14+SQRT(Z181*($F$14-$D$14)*($E$14-$D$14)),$F$14-SQRT((1-Z181)*($F$14-$D$14)*($F$14-$E$14)))</x:f>
        <x:v>0.9496219382046451</x:v>
      </x:c>
      <x:c r="G181" s="258" t="n">
        <x:f>IF(AA181&lt;($E$15-$D$15)/($F$15-$D$15),$D$15+SQRT(AA181*($F$15-$D$15)*($E$15-$D$15)),$F$15-SQRT((1-AA181)*($F$15-$D$15)*($F$15-$E$15)))</x:f>
        <x:v>0.1022131839362811</x:v>
      </x:c>
      <x:c r="H181" s="258" t="n">
        <x:f>IF(AB181&lt;($E$16-$D$16)/($F$16-$D$16),$D$16+SQRT(AB181*($F$16-$D$16)*($E$16-$D$16)),$F$16-SQRT((1-AB181)*($F$16-$D$16)*($F$16-$E$16)))</x:f>
        <x:v>0.02634269972816123</x:v>
      </x:c>
      <x:c r="I181" s="262" t="n">
        <x:f>'Historical Inputs'!$N$9*(1+D181)^5</x:f>
        <x:v>641891.0194135761</x:v>
      </x:c>
      <x:c r="J181" s="262" t="n">
        <x:f>I181*(1+H181)*('Terminal Value'!$E$10+E181)*(1-'Assumptions'!$E$15)*(1-H181/'Terminal Value'!$E$12)</x:f>
        <x:v>162597.92358790475</x:v>
      </x:c>
      <x:c r="K181" s="264" t="n">
        <x:f>((SUM((('Historical Inputs'!$N$9*(1+(D181))^1)*(('Assumptions'!E37+(E181))*(1-'Assumptions'!E42-(0))+'Assumptions'!E47-'Assumptions'!E52*(F181)+'Assumptions'!E57-'Assumptions'!E62*(1)-'Assumptions'!E67-(0))+('Working Capital'!$E$6))*'DCF'!E12/(1+(G181))^'DCF'!E13,(('Historical Inputs'!$N$9*(1+(D181))^2)*(('Assumptions'!F37+(E181))*(1-'Assumptions'!F42-(0))+'Assumptions'!F47-'Assumptions'!F52*(F181)+'Assumptions'!F57-'Assumptions'!F62*(1)-'Assumptions'!F67-(0))+(('Historical Inputs'!$N$9*(1+(D181))^1)*('Assumptions'!E67+(0))))*'DCF'!F12/(1+(G181))^'DCF'!F13,(('Historical Inputs'!$N$9*(1+(D181))^3)*(('Assumptions'!G37+(E181))*(1-'Assumptions'!G42-(0))+'Assumptions'!G47-'Assumptions'!G52*(F181)+'Assumptions'!G57-'Assumptions'!G62*(1)-'Assumptions'!G67-(0))+(('Historical Inputs'!$N$9*(1+(D181))^2)*('Assumptions'!F67+(0))))*'DCF'!G12/(1+(G181))^'DCF'!G13,(('Historical Inputs'!$N$9*(1+(D181))^4)*(('Assumptions'!H37+(E181))*(1-'Assumptions'!H42-(0))+'Assumptions'!H47-'Assumptions'!H52*(F181)+'Assumptions'!H57-'Assumptions'!H62*(1)-'Assumptions'!H67-(0))+(('Historical Inputs'!$N$9*(1+(D181))^3)*('Assumptions'!G67+(0))))*'DCF'!H12/(1+(G181))^'DCF'!H13,(('Historical Inputs'!$N$9*(1+(D181))^5)*(('Assumptions'!I37+(E181))*(1-'Assumptions'!I42-(0))+'Assumptions'!I47-'Assumptions'!I52*(F181)+'Assumptions'!I57-'Assumptions'!I62*(1)-'Assumptions'!I67-(0))+(('Historical Inputs'!$N$9*(1+(D181))^4)*('Assumptions'!H67+(0))))*'DCF'!I12/(1+(G181))^'DCF'!I13)+('Historical Inputs'!$N$9*(1+(D181))^5)*(1+(H181))*('Terminal Value'!$E$10+(E181))*(1-'Assumptions'!$E$15-(0))*(1-(H181)/('Terminal Value'!$E$12))/((G181)-(H181))/(1+(G181))^'DCF'!$E$19)+'Equity Bridge'!$E$17)/'Equity Bridge'!$E$20</x:f>
        <x:v>230.46388049117672</x:v>
      </x:c>
      <x:c r="X181" s="255" t="n">
        <x:v>0.4569392079430771</x:v>
      </x:c>
      <x:c r="Y181" s="255" t="n">
        <x:v>0.005640664248936833</x:v>
      </x:c>
      <x:c r="Z181" s="255" t="n">
        <x:v>0.18903867755524062</x:v>
      </x:c>
      <x:c r="AA181" s="255" t="n">
        <x:v>0.7346591560512029</x:v>
      </x:c>
      <x:c r="AB181" s="255" t="n">
        <x:v>0.20114919920808294</x:v>
      </x:c>
    </x:row>
    <x:row r="182" ht="24" customHeight="1">
      <x:c r="C182" s="256" t="n">
        <x:f>151</x:f>
        <x:v>151</x:v>
      </x:c>
      <x:c r="D182" s="258" t="n">
        <x:f>IF(X182&lt;($E$12-$D$12)/($F$12-$D$12),$D$12+SQRT(X182*($F$12-$D$12)*($E$12-$D$12)),$F$12-SQRT((1-X182)*($F$12-$D$12)*($F$12-$E$12)))</x:f>
        <x:v>0.12174041424375018</x:v>
      </x:c>
      <x:c r="E182" s="258" t="n">
        <x:f>IF(Y182&lt;($E$13-$D$13)/($F$13-$D$13),$D$13+SQRT(Y182*($F$13-$D$13)*($E$13-$D$13)),$F$13-SQRT((1-Y182)*($F$13-$D$13)*($F$13-$E$13)))</x:f>
        <x:v>-0.004452635431980177</x:v>
      </x:c>
      <x:c r="F182" s="260" t="n">
        <x:f>IF(Z182&lt;($E$14-$D$14)/($F$14-$D$14),$D$14+SQRT(Z182*($F$14-$D$14)*($E$14-$D$14)),$F$14-SQRT((1-Z182)*($F$14-$D$14)*($F$14-$E$14)))</x:f>
        <x:v>0.9949089694846002</x:v>
      </x:c>
      <x:c r="G182" s="258" t="n">
        <x:f>IF(AA182&lt;($E$15-$D$15)/($F$15-$D$15),$D$15+SQRT(AA182*($F$15-$D$15)*($E$15-$D$15)),$F$15-SQRT((1-AA182)*($F$15-$D$15)*($F$15-$E$15)))</x:f>
        <x:v>0.09117694239784513</x:v>
      </x:c>
      <x:c r="H182" s="258" t="n">
        <x:f>IF(AB182&lt;($E$16-$D$16)/($F$16-$D$16),$D$16+SQRT(AB182*($F$16-$D$16)*($E$16-$D$16)),$F$16-SQRT((1-AB182)*($F$16-$D$16)*($F$16-$E$16)))</x:f>
        <x:v>0.030375892183001935</x:v>
      </x:c>
      <x:c r="I182" s="262" t="n">
        <x:f>'Historical Inputs'!$N$9*(1+D182)^5</x:f>
        <x:v>589371.6762535576</x:v>
      </x:c>
      <x:c r="J182" s="262" t="n">
        <x:f>I182*(1+H182)*('Terminal Value'!$E$10+E182)*(1-'Assumptions'!$E$15)*(1-H182/'Terminal Value'!$E$12)</x:f>
        <x:v>162978.7613358094</x:v>
      </x:c>
      <x:c r="K182" s="264" t="n">
        <x:f>((SUM((('Historical Inputs'!$N$9*(1+(D182))^1)*(('Assumptions'!E37+(E182))*(1-'Assumptions'!E42-(0))+'Assumptions'!E47-'Assumptions'!E52*(F182)+'Assumptions'!E57-'Assumptions'!E62*(1)-'Assumptions'!E67-(0))+('Working Capital'!$E$6))*'DCF'!E12/(1+(G182))^'DCF'!E13,(('Historical Inputs'!$N$9*(1+(D182))^2)*(('Assumptions'!F37+(E182))*(1-'Assumptions'!F42-(0))+'Assumptions'!F47-'Assumptions'!F52*(F182)+'Assumptions'!F57-'Assumptions'!F62*(1)-'Assumptions'!F67-(0))+(('Historical Inputs'!$N$9*(1+(D182))^1)*('Assumptions'!E67+(0))))*'DCF'!F12/(1+(G182))^'DCF'!F13,(('Historical Inputs'!$N$9*(1+(D182))^3)*(('Assumptions'!G37+(E182))*(1-'Assumptions'!G42-(0))+'Assumptions'!G47-'Assumptions'!G52*(F182)+'Assumptions'!G57-'Assumptions'!G62*(1)-'Assumptions'!G67-(0))+(('Historical Inputs'!$N$9*(1+(D182))^2)*('Assumptions'!F67+(0))))*'DCF'!G12/(1+(G182))^'DCF'!G13,(('Historical Inputs'!$N$9*(1+(D182))^4)*(('Assumptions'!H37+(E182))*(1-'Assumptions'!H42-(0))+'Assumptions'!H47-'Assumptions'!H52*(F182)+'Assumptions'!H57-'Assumptions'!H62*(1)-'Assumptions'!H67-(0))+(('Historical Inputs'!$N$9*(1+(D182))^3)*('Assumptions'!G67+(0))))*'DCF'!H12/(1+(G182))^'DCF'!H13,(('Historical Inputs'!$N$9*(1+(D182))^5)*(('Assumptions'!I37+(E182))*(1-'Assumptions'!I42-(0))+'Assumptions'!I47-'Assumptions'!I52*(F182)+'Assumptions'!I57-'Assumptions'!I62*(1)-'Assumptions'!I67-(0))+(('Historical Inputs'!$N$9*(1+(D182))^4)*('Assumptions'!H67+(0))))*'DCF'!I12/(1+(G182))^'DCF'!I13)+('Historical Inputs'!$N$9*(1+(D182))^5)*(1+(H182))*('Terminal Value'!$E$10+(E182))*(1-'Assumptions'!$E$15-(0))*(1-(H182)/('Terminal Value'!$E$12))/((G182)-(H182))/(1+(G182))^'DCF'!$E$19)+'Equity Bridge'!$E$17)/'Equity Bridge'!$E$20</x:f>
        <x:v>290.5966680815093</x:v>
      </x:c>
      <x:c r="X182" s="255" t="n">
        <x:v>0.16226072872405595</x:v>
      </x:c>
      <x:c r="Y182" s="255" t="n">
        <x:v>0.4149124838184215</x:v>
      </x:c>
      <x:c r="Z182" s="255" t="n">
        <x:v>0.39997351308740536</x:v>
      </x:c>
      <x:c r="AA182" s="255" t="n">
        <x:v>0.14352557178054048</x:v>
      </x:c>
      <x:c r="AB182" s="255" t="n">
        <x:v>0.5368827436339836</x:v>
      </x:c>
    </x:row>
    <x:row r="183" ht="24" customHeight="1">
      <x:c r="C183" s="256" t="n">
        <x:f>152</x:f>
        <x:v>152</x:v>
      </x:c>
      <x:c r="D183" s="258" t="n">
        <x:f>IF(X183&lt;($E$12-$D$12)/($F$12-$D$12),$D$12+SQRT(X183*($F$12-$D$12)*($E$12-$D$12)),$F$12-SQRT((1-X183)*($F$12-$D$12)*($F$12-$E$12)))</x:f>
        <x:v>0.13026823324938067</x:v>
      </x:c>
      <x:c r="E183" s="258" t="n">
        <x:f>IF(Y183&lt;($E$13-$D$13)/($F$13-$D$13),$D$13+SQRT(Y183*($F$13-$D$13)*($E$13-$D$13)),$F$13-SQRT((1-Y183)*($F$13-$D$13)*($F$13-$E$13)))</x:f>
        <x:v>-0.023366125622991812</x:v>
      </x:c>
      <x:c r="F183" s="260" t="n">
        <x:f>IF(Z183&lt;($E$14-$D$14)/($F$14-$D$14),$D$14+SQRT(Z183*($F$14-$D$14)*($E$14-$D$14)),$F$14-SQRT((1-Z183)*($F$14-$D$14)*($F$14-$E$14)))</x:f>
        <x:v>1.1190050648646197</x:v>
      </x:c>
      <x:c r="G183" s="258" t="n">
        <x:f>IF(AA183&lt;($E$15-$D$15)/($F$15-$D$15),$D$15+SQRT(AA183*($F$15-$D$15)*($E$15-$D$15)),$F$15-SQRT((1-AA183)*($F$15-$D$15)*($F$15-$E$15)))</x:f>
        <x:v>0.09941597375604151</x:v>
      </x:c>
      <x:c r="H183" s="258" t="n">
        <x:f>IF(AB183&lt;($E$16-$D$16)/($F$16-$D$16),$D$16+SQRT(AB183*($F$16-$D$16)*($E$16-$D$16)),$F$16-SQRT((1-AB183)*($F$16-$D$16)*($F$16-$E$16)))</x:f>
        <x:v>0.02782545652793936</x:v>
      </x:c>
      <x:c r="I183" s="262" t="n">
        <x:f>'Historical Inputs'!$N$9*(1+D183)^5</x:f>
        <x:v>612117.8363891739</x:v>
      </x:c>
      <x:c r="J183" s="262" t="n">
        <x:f>I183*(1+H183)*('Terminal Value'!$E$10+E183)*(1-'Assumptions'!$E$15)*(1-H183/'Terminal Value'!$E$12)</x:f>
        <x:v>163193.44617235663</x:v>
      </x:c>
      <x:c r="K183" s="264" t="n">
        <x:f>((SUM((('Historical Inputs'!$N$9*(1+(D183))^1)*(('Assumptions'!E37+(E183))*(1-'Assumptions'!E42-(0))+'Assumptions'!E47-'Assumptions'!E52*(F183)+'Assumptions'!E57-'Assumptions'!E62*(1)-'Assumptions'!E67-(0))+('Working Capital'!$E$6))*'DCF'!E12/(1+(G183))^'DCF'!E13,(('Historical Inputs'!$N$9*(1+(D183))^2)*(('Assumptions'!F37+(E183))*(1-'Assumptions'!F42-(0))+'Assumptions'!F47-'Assumptions'!F52*(F183)+'Assumptions'!F57-'Assumptions'!F62*(1)-'Assumptions'!F67-(0))+(('Historical Inputs'!$N$9*(1+(D183))^1)*('Assumptions'!E67+(0))))*'DCF'!F12/(1+(G183))^'DCF'!F13,(('Historical Inputs'!$N$9*(1+(D183))^3)*(('Assumptions'!G37+(E183))*(1-'Assumptions'!G42-(0))+'Assumptions'!G47-'Assumptions'!G52*(F183)+'Assumptions'!G57-'Assumptions'!G62*(1)-'Assumptions'!G67-(0))+(('Historical Inputs'!$N$9*(1+(D183))^2)*('Assumptions'!F67+(0))))*'DCF'!G12/(1+(G183))^'DCF'!G13,(('Historical Inputs'!$N$9*(1+(D183))^4)*(('Assumptions'!H37+(E183))*(1-'Assumptions'!H42-(0))+'Assumptions'!H47-'Assumptions'!H52*(F183)+'Assumptions'!H57-'Assumptions'!H62*(1)-'Assumptions'!H67-(0))+(('Historical Inputs'!$N$9*(1+(D183))^3)*('Assumptions'!G67+(0))))*'DCF'!H12/(1+(G183))^'DCF'!H13,(('Historical Inputs'!$N$9*(1+(D183))^5)*(('Assumptions'!I37+(E183))*(1-'Assumptions'!I42-(0))+'Assumptions'!I47-'Assumptions'!I52*(F183)+'Assumptions'!I57-'Assumptions'!I62*(1)-'Assumptions'!I67-(0))+(('Historical Inputs'!$N$9*(1+(D183))^4)*('Assumptions'!H67+(0))))*'DCF'!I12/(1+(G183))^'DCF'!I13)+('Historical Inputs'!$N$9*(1+(D183))^5)*(1+(H183))*('Terminal Value'!$E$10+(E183))*(1-'Assumptions'!$E$15-(0))*(1-(H183)/('Terminal Value'!$E$12))/((G183)-(H183))/(1+(G183))^'DCF'!$E$19)+'Equity Bridge'!$E$17)/'Equity Bridge'!$E$20</x:f>
        <x:v>236.85763541648691</x:v>
      </x:c>
      <x:c r="X183" s="255" t="n">
        <x:v>0.2739659542043874</x:v>
      </x:c>
      <x:c r="Y183" s="255" t="n">
        <x:v>0.14187265286605066</x:v>
      </x:c>
      <x:c r="Z183" s="255" t="n">
        <x:v>0.9062831497487933</x:v>
      </x:c>
      <x:c r="AA183" s="255" t="n">
        <x:v>0.5814243715539755</x:v>
      </x:c>
      <x:c r="AB183" s="255" t="n">
        <x:v>0.3061888493533439</x:v>
      </x:c>
    </x:row>
    <x:row r="184" ht="24" customHeight="1">
      <x:c r="C184" s="256" t="n">
        <x:f>153</x:f>
        <x:v>153</x:v>
      </x:c>
      <x:c r="D184" s="258" t="n">
        <x:f>IF(X184&lt;($E$12-$D$12)/($F$12-$D$12),$D$12+SQRT(X184*($F$12-$D$12)*($E$12-$D$12)),$F$12-SQRT((1-X184)*($F$12-$D$12)*($F$12-$E$12)))</x:f>
        <x:v>0.17228703540081164</x:v>
      </x:c>
      <x:c r="E184" s="258" t="n">
        <x:f>IF(Y184&lt;($E$13-$D$13)/($F$13-$D$13),$D$13+SQRT(Y184*($F$13-$D$13)*($E$13-$D$13)),$F$13-SQRT((1-Y184)*($F$13-$D$13)*($F$13-$E$13)))</x:f>
        <x:v>-0.01819222219795469</x:v>
      </x:c>
      <x:c r="F184" s="260" t="n">
        <x:f>IF(Z184&lt;($E$14-$D$14)/($F$14-$D$14),$D$14+SQRT(Z184*($F$14-$D$14)*($E$14-$D$14)),$F$14-SQRT((1-Z184)*($F$14-$D$14)*($F$14-$E$14)))</x:f>
        <x:v>1.040130888972626</x:v>
      </x:c>
      <x:c r="G184" s="258" t="n">
        <x:f>IF(AA184&lt;($E$15-$D$15)/($F$15-$D$15),$D$15+SQRT(AA184*($F$15-$D$15)*($E$15-$D$15)),$F$15-SQRT((1-AA184)*($F$15-$D$15)*($F$15-$E$15)))</x:f>
        <x:v>0.10427863342937281</x:v>
      </x:c>
      <x:c r="H184" s="258" t="n">
        <x:f>IF(AB184&lt;($E$16-$D$16)/($F$16-$D$16),$D$16+SQRT(AB184*($F$16-$D$16)*($E$16-$D$16)),$F$16-SQRT((1-AB184)*($F$16-$D$16)*($F$16-$E$16)))</x:f>
        <x:v>0.0369352133463527</x:v>
      </x:c>
      <x:c r="I184" s="262" t="n">
        <x:f>'Historical Inputs'!$N$9*(1+D184)^5</x:f>
        <x:v>734678.340270805</x:v>
      </x:c>
      <x:c r="J184" s="262" t="n">
        <x:f>I184*(1+H184)*('Terminal Value'!$E$10+E184)*(1-'Assumptions'!$E$15)*(1-H184/'Terminal Value'!$E$12)</x:f>
        <x:v>189720.30240731288</x:v>
      </x:c>
      <x:c r="K184" s="264" t="n">
        <x:f>((SUM((('Historical Inputs'!$N$9*(1+(D184))^1)*(('Assumptions'!E37+(E184))*(1-'Assumptions'!E42-(0))+'Assumptions'!E47-'Assumptions'!E52*(F184)+'Assumptions'!E57-'Assumptions'!E62*(1)-'Assumptions'!E67-(0))+('Working Capital'!$E$6))*'DCF'!E12/(1+(G184))^'DCF'!E13,(('Historical Inputs'!$N$9*(1+(D184))^2)*(('Assumptions'!F37+(E184))*(1-'Assumptions'!F42-(0))+'Assumptions'!F47-'Assumptions'!F52*(F184)+'Assumptions'!F57-'Assumptions'!F62*(1)-'Assumptions'!F67-(0))+(('Historical Inputs'!$N$9*(1+(D184))^1)*('Assumptions'!E67+(0))))*'DCF'!F12/(1+(G184))^'DCF'!F13,(('Historical Inputs'!$N$9*(1+(D184))^3)*(('Assumptions'!G37+(E184))*(1-'Assumptions'!G42-(0))+'Assumptions'!G47-'Assumptions'!G52*(F184)+'Assumptions'!G57-'Assumptions'!G62*(1)-'Assumptions'!G67-(0))+(('Historical Inputs'!$N$9*(1+(D184))^2)*('Assumptions'!F67+(0))))*'DCF'!G12/(1+(G184))^'DCF'!G13,(('Historical Inputs'!$N$9*(1+(D184))^4)*(('Assumptions'!H37+(E184))*(1-'Assumptions'!H42-(0))+'Assumptions'!H47-'Assumptions'!H52*(F184)+'Assumptions'!H57-'Assumptions'!H62*(1)-'Assumptions'!H67-(0))+(('Historical Inputs'!$N$9*(1+(D184))^3)*('Assumptions'!G67+(0))))*'DCF'!H12/(1+(G184))^'DCF'!H13,(('Historical Inputs'!$N$9*(1+(D184))^5)*(('Assumptions'!I37+(E184))*(1-'Assumptions'!I42-(0))+'Assumptions'!I47-'Assumptions'!I52*(F184)+'Assumptions'!I57-'Assumptions'!I62*(1)-'Assumptions'!I67-(0))+(('Historical Inputs'!$N$9*(1+(D184))^4)*('Assumptions'!H67+(0))))*'DCF'!I12/(1+(G184))^'DCF'!I13)+('Historical Inputs'!$N$9*(1+(D184))^5)*(1+(H184))*('Terminal Value'!$E$10+(E184))*(1-'Assumptions'!$E$15-(0))*(1-(H184)/('Terminal Value'!$E$12))/((G184)-(H184))/(1+(G184))^'DCF'!$E$19)+'Equity Bridge'!$E$17)/'Equity Bridge'!$E$20</x:f>
        <x:v>290.01695981980436</x:v>
      </x:c>
      <x:c r="X184" s="255" t="n">
        <x:v>0.912051933865002</x:v>
      </x:c>
      <x:c r="Y184" s="255" t="n">
        <x:v>0.20234694574085732</x:v>
      </x:c>
      <x:c r="Z184" s="255" t="n">
        <x:v>0.6348838191331025</x:v>
      </x:c>
      <x:c r="AA184" s="255" t="n">
        <x:v>0.8254880833739646</x:v>
      </x:c>
      <x:c r="AB184" s="255" t="n">
        <x:v>0.9530354138381268</x:v>
      </x:c>
    </x:row>
    <x:row r="185" ht="24" customHeight="1">
      <x:c r="C185" s="256" t="n">
        <x:f>154</x:f>
        <x:v>154</x:v>
      </x:c>
      <x:c r="D185" s="258" t="n">
        <x:f>IF(X185&lt;($E$12-$D$12)/($F$12-$D$12),$D$12+SQRT(X185*($F$12-$D$12)*($E$12-$D$12)),$F$12-SQRT((1-X185)*($F$12-$D$12)*($F$12-$E$12)))</x:f>
        <x:v>0.1361967452863414</x:v>
      </x:c>
      <x:c r="E185" s="258" t="n">
        <x:f>IF(Y185&lt;($E$13-$D$13)/($F$13-$D$13),$D$13+SQRT(Y185*($F$13-$D$13)*($E$13-$D$13)),$F$13-SQRT((1-Y185)*($F$13-$D$13)*($F$13-$E$13)))</x:f>
        <x:v>0.018017300449967383</x:v>
      </x:c>
      <x:c r="F185" s="260" t="n">
        <x:f>IF(Z185&lt;($E$14-$D$14)/($F$14-$D$14),$D$14+SQRT(Z185*($F$14-$D$14)*($E$14-$D$14)),$F$14-SQRT((1-Z185)*($F$14-$D$14)*($F$14-$E$14)))</x:f>
        <x:v>1.0730256317536855</x:v>
      </x:c>
      <x:c r="G185" s="258" t="n">
        <x:f>IF(AA185&lt;($E$15-$D$15)/($F$15-$D$15),$D$15+SQRT(AA185*($F$15-$D$15)*($E$15-$D$15)),$F$15-SQRT((1-AA185)*($F$15-$D$15)*($F$15-$E$15)))</x:f>
        <x:v>0.09242192842786767</x:v>
      </x:c>
      <x:c r="H185" s="258" t="n">
        <x:f>IF(AB185&lt;($E$16-$D$16)/($F$16-$D$16),$D$16+SQRT(AB185*($F$16-$D$16)*($E$16-$D$16)),$F$16-SQRT((1-AB185)*($F$16-$D$16)*($F$16-$E$16)))</x:f>
        <x:v>0.030191779200687285</x:v>
      </x:c>
      <x:c r="I185" s="262" t="n">
        <x:f>'Historical Inputs'!$N$9*(1+D185)^5</x:f>
        <x:v>628340.6114883452</x:v>
      </x:c>
      <x:c r="J185" s="262" t="n">
        <x:f>I185*(1+H185)*('Terminal Value'!$E$10+E185)*(1-'Assumptions'!$E$15)*(1-H185/'Terminal Value'!$E$12)</x:f>
        <x:v>183791.81622458075</x:v>
      </x:c>
      <x:c r="K185" s="264" t="n">
        <x:f>((SUM((('Historical Inputs'!$N$9*(1+(D185))^1)*(('Assumptions'!E37+(E185))*(1-'Assumptions'!E42-(0))+'Assumptions'!E47-'Assumptions'!E52*(F185)+'Assumptions'!E57-'Assumptions'!E62*(1)-'Assumptions'!E67-(0))+('Working Capital'!$E$6))*'DCF'!E12/(1+(G185))^'DCF'!E13,(('Historical Inputs'!$N$9*(1+(D185))^2)*(('Assumptions'!F37+(E185))*(1-'Assumptions'!F42-(0))+'Assumptions'!F47-'Assumptions'!F52*(F185)+'Assumptions'!F57-'Assumptions'!F62*(1)-'Assumptions'!F67-(0))+(('Historical Inputs'!$N$9*(1+(D185))^1)*('Assumptions'!E67+(0))))*'DCF'!F12/(1+(G185))^'DCF'!F13,(('Historical Inputs'!$N$9*(1+(D185))^3)*(('Assumptions'!G37+(E185))*(1-'Assumptions'!G42-(0))+'Assumptions'!G47-'Assumptions'!G52*(F185)+'Assumptions'!G57-'Assumptions'!G62*(1)-'Assumptions'!G67-(0))+(('Historical Inputs'!$N$9*(1+(D185))^2)*('Assumptions'!F67+(0))))*'DCF'!G12/(1+(G185))^'DCF'!G13,(('Historical Inputs'!$N$9*(1+(D185))^4)*(('Assumptions'!H37+(E185))*(1-'Assumptions'!H42-(0))+'Assumptions'!H47-'Assumptions'!H52*(F185)+'Assumptions'!H57-'Assumptions'!H62*(1)-'Assumptions'!H67-(0))+(('Historical Inputs'!$N$9*(1+(D185))^3)*('Assumptions'!G67+(0))))*'DCF'!H12/(1+(G185))^'DCF'!H13,(('Historical Inputs'!$N$9*(1+(D185))^5)*(('Assumptions'!I37+(E185))*(1-'Assumptions'!I42-(0))+'Assumptions'!I47-'Assumptions'!I52*(F185)+'Assumptions'!I57-'Assumptions'!I62*(1)-'Assumptions'!I67-(0))+(('Historical Inputs'!$N$9*(1+(D185))^4)*('Assumptions'!H67+(0))))*'DCF'!I12/(1+(G185))^'DCF'!I13)+('Historical Inputs'!$N$9*(1+(D185))^5)*(1+(H185))*('Terminal Value'!$E$10+(E185))*(1-'Assumptions'!$E$15-(0))*(1-(H185)/('Terminal Value'!$E$12))/((G185)-(H185))/(1+(G185))^'DCF'!$E$19)+'Equity Bridge'!$E$17)/'Equity Bridge'!$E$20</x:f>
        <x:v>315.4086018969525</x:v>
      </x:c>
      <x:c r="X185" s="255" t="n">
        <x:v>0.3687639701691334</x:v>
      </x:c>
      <x:c r="Y185" s="255" t="n">
        <x:v>0.7954213858984687</x:v>
      </x:c>
      <x:c r="Z185" s="255" t="n">
        <x:v>0.769678711549276</x:v>
      </x:c>
      <x:c r="AA185" s="255" t="n">
        <x:v>0.19143853335707406</x:v>
      </x:c>
      <x:c r="AB185" s="255" t="n">
        <x:v>0.5189940237596473</x:v>
      </x:c>
    </x:row>
    <x:row r="186" ht="24" customHeight="1">
      <x:c r="C186" s="256" t="n">
        <x:f>155</x:f>
        <x:v>155</x:v>
      </x:c>
      <x:c r="D186" s="258" t="n">
        <x:f>IF(X186&lt;($E$12-$D$12)/($F$12-$D$12),$D$12+SQRT(X186*($F$12-$D$12)*($E$12-$D$12)),$F$12-SQRT((1-X186)*($F$12-$D$12)*($F$12-$E$12)))</x:f>
        <x:v>0.1664272580523163</x:v>
      </x:c>
      <x:c r="E186" s="258" t="n">
        <x:f>IF(Y186&lt;($E$13-$D$13)/($F$13-$D$13),$D$13+SQRT(Y186*($F$13-$D$13)*($E$13-$D$13)),$F$13-SQRT((1-Y186)*($F$13-$D$13)*($F$13-$E$13)))</x:f>
        <x:v>0.00040728296524878554</x:v>
      </x:c>
      <x:c r="F186" s="260" t="n">
        <x:f>IF(Z186&lt;($E$14-$D$14)/($F$14-$D$14),$D$14+SQRT(Z186*($F$14-$D$14)*($E$14-$D$14)),$F$14-SQRT((1-Z186)*($F$14-$D$14)*($F$14-$E$14)))</x:f>
        <x:v>1.0309625022170597</x:v>
      </x:c>
      <x:c r="G186" s="258" t="n">
        <x:f>IF(AA186&lt;($E$15-$D$15)/($F$15-$D$15),$D$15+SQRT(AA186*($F$15-$D$15)*($E$15-$D$15)),$F$15-SQRT((1-AA186)*($F$15-$D$15)*($F$15-$E$15)))</x:f>
        <x:v>0.10114910006180149</x:v>
      </x:c>
      <x:c r="H186" s="258" t="n">
        <x:f>IF(AB186&lt;($E$16-$D$16)/($F$16-$D$16),$D$16+SQRT(AB186*($F$16-$D$16)*($E$16-$D$16)),$F$16-SQRT((1-AB186)*($F$16-$D$16)*($F$16-$E$16)))</x:f>
        <x:v>0.034245834785167205</x:v>
      </x:c>
      <x:c r="I186" s="262" t="n">
        <x:f>'Historical Inputs'!$N$9*(1+D186)^5</x:f>
        <x:v>716499.2270373367</x:v>
      </x:c>
      <x:c r="J186" s="262" t="n">
        <x:f>I186*(1+H186)*('Terminal Value'!$E$10+E186)*(1-'Assumptions'!$E$15)*(1-H186/'Terminal Value'!$E$12)</x:f>
        <x:v>196727.88224314153</x:v>
      </x:c>
      <x:c r="K186" s="264" t="n">
        <x:f>((SUM((('Historical Inputs'!$N$9*(1+(D186))^1)*(('Assumptions'!E37+(E186))*(1-'Assumptions'!E42-(0))+'Assumptions'!E47-'Assumptions'!E52*(F186)+'Assumptions'!E57-'Assumptions'!E62*(1)-'Assumptions'!E67-(0))+('Working Capital'!$E$6))*'DCF'!E12/(1+(G186))^'DCF'!E13,(('Historical Inputs'!$N$9*(1+(D186))^2)*(('Assumptions'!F37+(E186))*(1-'Assumptions'!F42-(0))+'Assumptions'!F47-'Assumptions'!F52*(F186)+'Assumptions'!F57-'Assumptions'!F62*(1)-'Assumptions'!F67-(0))+(('Historical Inputs'!$N$9*(1+(D186))^1)*('Assumptions'!E67+(0))))*'DCF'!F12/(1+(G186))^'DCF'!F13,(('Historical Inputs'!$N$9*(1+(D186))^3)*(('Assumptions'!G37+(E186))*(1-'Assumptions'!G42-(0))+'Assumptions'!G47-'Assumptions'!G52*(F186)+'Assumptions'!G57-'Assumptions'!G62*(1)-'Assumptions'!G67-(0))+(('Historical Inputs'!$N$9*(1+(D186))^2)*('Assumptions'!F67+(0))))*'DCF'!G12/(1+(G186))^'DCF'!G13,(('Historical Inputs'!$N$9*(1+(D186))^4)*(('Assumptions'!H37+(E186))*(1-'Assumptions'!H42-(0))+'Assumptions'!H47-'Assumptions'!H52*(F186)+'Assumptions'!H57-'Assumptions'!H62*(1)-'Assumptions'!H67-(0))+(('Historical Inputs'!$N$9*(1+(D186))^3)*('Assumptions'!G67+(0))))*'DCF'!H12/(1+(G186))^'DCF'!H13,(('Historical Inputs'!$N$9*(1+(D186))^5)*(('Assumptions'!I37+(E186))*(1-'Assumptions'!I42-(0))+'Assumptions'!I47-'Assumptions'!I52*(F186)+'Assumptions'!I57-'Assumptions'!I62*(1)-'Assumptions'!I67-(0))+(('Historical Inputs'!$N$9*(1+(D186))^4)*('Assumptions'!H67+(0))))*'DCF'!I12/(1+(G186))^'DCF'!I13)+('Historical Inputs'!$N$9*(1+(D186))^5)*(1+(H186))*('Terminal Value'!$E$10+(E186))*(1-'Assumptions'!$E$15-(0))*(1-(H186)/('Terminal Value'!$E$12))/((G186)-(H186))/(1+(G186))^'DCF'!$E$19)+'Equity Bridge'!$E$17)/'Equity Bridge'!$E$20</x:f>
        <x:v>307.8179055179287</x:v>
      </x:c>
      <x:c r="X186" s="255" t="n">
        <x:v>0.8560327551690503</x:v>
      </x:c>
      <x:c r="Y186" s="255" t="n">
        <x:v>0.5081124834222193</x:v>
      </x:c>
      <x:c r="Z186" s="255" t="n">
        <x:v>0.5918046334754636</x:v>
      </x:c>
      <x:c r="AA186" s="255" t="n">
        <x:v>0.6804654717161013</x:v>
      </x:c>
      <x:c r="AB186" s="255" t="n">
        <x:v>0.8344479134020412</x:v>
      </x:c>
    </x:row>
    <x:row r="187" ht="24" customHeight="1">
      <x:c r="C187" s="256" t="n">
        <x:f>156</x:f>
        <x:v>156</x:v>
      </x:c>
      <x:c r="D187" s="258" t="n">
        <x:f>IF(X187&lt;($E$12-$D$12)/($F$12-$D$12),$D$12+SQRT(X187*($F$12-$D$12)*($E$12-$D$12)),$F$12-SQRT((1-X187)*($F$12-$D$12)*($F$12-$E$12)))</x:f>
        <x:v>0.11462028875695311</x:v>
      </x:c>
      <x:c r="E187" s="258" t="n">
        <x:f>IF(Y187&lt;($E$13-$D$13)/($F$13-$D$13),$D$13+SQRT(Y187*($F$13-$D$13)*($E$13-$D$13)),$F$13-SQRT((1-Y187)*($F$13-$D$13)*($F$13-$E$13)))</x:f>
        <x:v>-0.011317455088967553</x:v>
      </x:c>
      <x:c r="F187" s="260" t="n">
        <x:f>IF(Z187&lt;($E$14-$D$14)/($F$14-$D$14),$D$14+SQRT(Z187*($F$14-$D$14)*($E$14-$D$14)),$F$14-SQRT((1-Z187)*($F$14-$D$14)*($F$14-$E$14)))</x:f>
        <x:v>1.086916313373188</x:v>
      </x:c>
      <x:c r="G187" s="258" t="n">
        <x:f>IF(AA187&lt;($E$15-$D$15)/($F$15-$D$15),$D$15+SQRT(AA187*($F$15-$D$15)*($E$15-$D$15)),$F$15-SQRT((1-AA187)*($F$15-$D$15)*($F$15-$E$15)))</x:f>
        <x:v>0.09285505854126969</x:v>
      </x:c>
      <x:c r="H187" s="258" t="n">
        <x:f>IF(AB187&lt;($E$16-$D$16)/($F$16-$D$16),$D$16+SQRT(AB187*($F$16-$D$16)*($E$16-$D$16)),$F$16-SQRT((1-AB187)*($F$16-$D$16)*($F$16-$E$16)))</x:f>
        <x:v>0.03331566955413698</x:v>
      </x:c>
      <x:c r="I187" s="262" t="n">
        <x:f>'Historical Inputs'!$N$9*(1+D187)^5</x:f>
        <x:v>570902.7643773364</x:v>
      </x:c>
      <x:c r="J187" s="262" t="n">
        <x:f>I187*(1+H187)*('Terminal Value'!$E$10+E187)*(1-'Assumptions'!$E$15)*(1-H187/'Terminal Value'!$E$12)</x:f>
        <x:v>152877.99030710052</x:v>
      </x:c>
      <x:c r="K187" s="264" t="n">
        <x:f>((SUM((('Historical Inputs'!$N$9*(1+(D187))^1)*(('Assumptions'!E37+(E187))*(1-'Assumptions'!E42-(0))+'Assumptions'!E47-'Assumptions'!E52*(F187)+'Assumptions'!E57-'Assumptions'!E62*(1)-'Assumptions'!E67-(0))+('Working Capital'!$E$6))*'DCF'!E12/(1+(G187))^'DCF'!E13,(('Historical Inputs'!$N$9*(1+(D187))^2)*(('Assumptions'!F37+(E187))*(1-'Assumptions'!F42-(0))+'Assumptions'!F47-'Assumptions'!F52*(F187)+'Assumptions'!F57-'Assumptions'!F62*(1)-'Assumptions'!F67-(0))+(('Historical Inputs'!$N$9*(1+(D187))^1)*('Assumptions'!E67+(0))))*'DCF'!F12/(1+(G187))^'DCF'!F13,(('Historical Inputs'!$N$9*(1+(D187))^3)*(('Assumptions'!G37+(E187))*(1-'Assumptions'!G42-(0))+'Assumptions'!G47-'Assumptions'!G52*(F187)+'Assumptions'!G57-'Assumptions'!G62*(1)-'Assumptions'!G67-(0))+(('Historical Inputs'!$N$9*(1+(D187))^2)*('Assumptions'!F67+(0))))*'DCF'!G12/(1+(G187))^'DCF'!G13,(('Historical Inputs'!$N$9*(1+(D187))^4)*(('Assumptions'!H37+(E187))*(1-'Assumptions'!H42-(0))+'Assumptions'!H47-'Assumptions'!H52*(F187)+'Assumptions'!H57-'Assumptions'!H62*(1)-'Assumptions'!H67-(0))+(('Historical Inputs'!$N$9*(1+(D187))^3)*('Assumptions'!G67+(0))))*'DCF'!H12/(1+(G187))^'DCF'!H13,(('Historical Inputs'!$N$9*(1+(D187))^5)*(('Assumptions'!I37+(E187))*(1-'Assumptions'!I42-(0))+'Assumptions'!I47-'Assumptions'!I52*(F187)+'Assumptions'!I57-'Assumptions'!I62*(1)-'Assumptions'!I67-(0))+(('Historical Inputs'!$N$9*(1+(D187))^4)*('Assumptions'!H67+(0))))*'DCF'!I12/(1+(G187))^'DCF'!I13)+('Historical Inputs'!$N$9*(1+(D187))^5)*(1+(H187))*('Terminal Value'!$E$10+(E187))*(1-'Assumptions'!$E$15-(0))*(1-(H187)/('Terminal Value'!$E$12))/((G187)-(H187))/(1+(G187))^'DCF'!$E$19)+'Equity Bridge'!$E$17)/'Equity Bridge'!$E$20</x:f>
        <x:v>270.69441331026434</x:v>
      </x:c>
      <x:c r="X187" s="255" t="n">
        <x:v>0.09127783479214069</x:v>
      </x:c>
      <x:c r="Y187" s="255" t="n">
        <x:v>0.29926785615880847</x:v>
      </x:c>
      <x:c r="Z187" s="255" t="n">
        <x:v>0.8173154259841284</x:v>
      </x:c>
      <x:c r="AA187" s="255" t="n">
        <x:v>0.20972263828620874</x:v>
      </x:c>
      <x:c r="AB187" s="255" t="n">
        <x:v>0.7765986324525435</x:v>
      </x:c>
    </x:row>
    <x:row r="188" ht="24" customHeight="1">
      <x:c r="C188" s="256" t="n">
        <x:f>157</x:f>
        <x:v>157</x:v>
      </x:c>
      <x:c r="D188" s="258" t="n">
        <x:f>IF(X188&lt;($E$12-$D$12)/($F$12-$D$12),$D$12+SQRT(X188*($F$12-$D$12)*($E$12-$D$12)),$F$12-SQRT((1-X188)*($F$12-$D$12)*($F$12-$E$12)))</x:f>
        <x:v>0.12561167875958296</x:v>
      </x:c>
      <x:c r="E188" s="258" t="n">
        <x:f>IF(Y188&lt;($E$13-$D$13)/($F$13-$D$13),$D$13+SQRT(Y188*($F$13-$D$13)*($E$13-$D$13)),$F$13-SQRT((1-Y188)*($F$13-$D$13)*($F$13-$E$13)))</x:f>
        <x:v>0.01774918899197967</x:v>
      </x:c>
      <x:c r="F188" s="260" t="n">
        <x:f>IF(Z188&lt;($E$14-$D$14)/($F$14-$D$14),$D$14+SQRT(Z188*($F$14-$D$14)*($E$14-$D$14)),$F$14-SQRT((1-Z188)*($F$14-$D$14)*($F$14-$E$14)))</x:f>
        <x:v>1.1359639616416928</x:v>
      </x:c>
      <x:c r="G188" s="258" t="n">
        <x:f>IF(AA188&lt;($E$15-$D$15)/($F$15-$D$15),$D$15+SQRT(AA188*($F$15-$D$15)*($E$15-$D$15)),$F$15-SQRT((1-AA188)*($F$15-$D$15)*($F$15-$E$15)))</x:f>
        <x:v>0.10577451819731133</x:v>
      </x:c>
      <x:c r="H188" s="258" t="n">
        <x:f>IF(AB188&lt;($E$16-$D$16)/($F$16-$D$16),$D$16+SQRT(AB188*($F$16-$D$16)*($E$16-$D$16)),$F$16-SQRT((1-AB188)*($F$16-$D$16)*($F$16-$E$16)))</x:f>
        <x:v>0.02681429141978777</x:v>
      </x:c>
      <x:c r="I188" s="262" t="n">
        <x:f>'Historical Inputs'!$N$9*(1+D188)^5</x:f>
        <x:v>599612.0862942053</x:v>
      </x:c>
      <x:c r="J188" s="262" t="n">
        <x:f>I188*(1+H188)*('Terminal Value'!$E$10+E188)*(1-'Assumptions'!$E$15)*(1-H188/'Terminal Value'!$E$12)</x:f>
        <x:v>178176.30179300692</x:v>
      </x:c>
      <x:c r="K188" s="264" t="n">
        <x:f>((SUM((('Historical Inputs'!$N$9*(1+(D188))^1)*(('Assumptions'!E37+(E188))*(1-'Assumptions'!E42-(0))+'Assumptions'!E47-'Assumptions'!E52*(F188)+'Assumptions'!E57-'Assumptions'!E62*(1)-'Assumptions'!E67-(0))+('Working Capital'!$E$6))*'DCF'!E12/(1+(G188))^'DCF'!E13,(('Historical Inputs'!$N$9*(1+(D188))^2)*(('Assumptions'!F37+(E188))*(1-'Assumptions'!F42-(0))+'Assumptions'!F47-'Assumptions'!F52*(F188)+'Assumptions'!F57-'Assumptions'!F62*(1)-'Assumptions'!F67-(0))+(('Historical Inputs'!$N$9*(1+(D188))^1)*('Assumptions'!E67+(0))))*'DCF'!F12/(1+(G188))^'DCF'!F13,(('Historical Inputs'!$N$9*(1+(D188))^3)*(('Assumptions'!G37+(E188))*(1-'Assumptions'!G42-(0))+'Assumptions'!G47-'Assumptions'!G52*(F188)+'Assumptions'!G57-'Assumptions'!G62*(1)-'Assumptions'!G67-(0))+(('Historical Inputs'!$N$9*(1+(D188))^2)*('Assumptions'!F67+(0))))*'DCF'!G12/(1+(G188))^'DCF'!G13,(('Historical Inputs'!$N$9*(1+(D188))^4)*(('Assumptions'!H37+(E188))*(1-'Assumptions'!H42-(0))+'Assumptions'!H47-'Assumptions'!H52*(F188)+'Assumptions'!H57-'Assumptions'!H62*(1)-'Assumptions'!H67-(0))+(('Historical Inputs'!$N$9*(1+(D188))^3)*('Assumptions'!G67+(0))))*'DCF'!H12/(1+(G188))^'DCF'!H13,(('Historical Inputs'!$N$9*(1+(D188))^5)*(('Assumptions'!I37+(E188))*(1-'Assumptions'!I42-(0))+'Assumptions'!I47-'Assumptions'!I52*(F188)+'Assumptions'!I57-'Assumptions'!I62*(1)-'Assumptions'!I67-(0))+(('Historical Inputs'!$N$9*(1+(D188))^4)*('Assumptions'!H67+(0))))*'DCF'!I12/(1+(G188))^'DCF'!I13)+('Historical Inputs'!$N$9*(1+(D188))^5)*(1+(H188))*('Terminal Value'!$E$10+(E188))*(1-'Assumptions'!$E$15-(0))*(1-(H188)/('Terminal Value'!$E$12))/((G188)-(H188))/(1+(G188))^'DCF'!$E$19)+'Equity Bridge'!$E$17)/'Equity Bridge'!$E$20</x:f>
        <x:v>235.21586166006358</x:v>
      </x:c>
      <x:c r="X188" s="255" t="n">
        <x:v>0.20936476505722723</x:v>
      </x:c>
      <x:c r="Y188" s="255" t="n">
        <x:v>0.791977037864991</x:v>
      </x:c>
      <x:c r="Z188" s="255" t="n">
        <x:v>0.9414197970196201</x:v>
      </x:c>
      <x:c r="AA188" s="255" t="n">
        <x:v>0.8794316392560395</x:v>
      </x:c>
      <x:c r="AB188" s="255" t="n">
        <x:v>0.23217283776896636</x:v>
      </x:c>
    </x:row>
    <x:row r="189" ht="24" customHeight="1">
      <x:c r="C189" s="256" t="n">
        <x:f>158</x:f>
        <x:v>158</x:v>
      </x:c>
      <x:c r="D189" s="258" t="n">
        <x:f>IF(X189&lt;($E$12-$D$12)/($F$12-$D$12),$D$12+SQRT(X189*($F$12-$D$12)*($E$12-$D$12)),$F$12-SQRT((1-X189)*($F$12-$D$12)*($F$12-$E$12)))</x:f>
        <x:v>0.17274157928373748</x:v>
      </x:c>
      <x:c r="E189" s="258" t="n">
        <x:f>IF(Y189&lt;($E$13-$D$13)/($F$13-$D$13),$D$13+SQRT(Y189*($F$13-$D$13)*($E$13-$D$13)),$F$13-SQRT((1-Y189)*($F$13-$D$13)*($F$13-$E$13)))</x:f>
        <x:v>-0.010503719064512605</x:v>
      </x:c>
      <x:c r="F189" s="260" t="n">
        <x:f>IF(Z189&lt;($E$14-$D$14)/($F$14-$D$14),$D$14+SQRT(Z189*($F$14-$D$14)*($E$14-$D$14)),$F$14-SQRT((1-Z189)*($F$14-$D$14)*($F$14-$E$14)))</x:f>
        <x:v>1.0881779029359957</x:v>
      </x:c>
      <x:c r="G189" s="258" t="n">
        <x:f>IF(AA189&lt;($E$15-$D$15)/($F$15-$D$15),$D$15+SQRT(AA189*($F$15-$D$15)*($E$15-$D$15)),$F$15-SQRT((1-AA189)*($F$15-$D$15)*($F$15-$E$15)))</x:f>
        <x:v>0.08834876484080208</x:v>
      </x:c>
      <x:c r="H189" s="258" t="n">
        <x:f>IF(AB189&lt;($E$16-$D$16)/($F$16-$D$16),$D$16+SQRT(AB189*($F$16-$D$16)*($E$16-$D$16)),$F$16-SQRT((1-AB189)*($F$16-$D$16)*($F$16-$E$16)))</x:f>
        <x:v>0.03590869150910597</x:v>
      </x:c>
      <x:c r="I189" s="262" t="n">
        <x:f>'Historical Inputs'!$N$9*(1+D189)^5</x:f>
        <x:v>736103.7702342584</x:v>
      </x:c>
      <x:c r="J189" s="262" t="n">
        <x:f>I189*(1+H189)*('Terminal Value'!$E$10+E189)*(1-'Assumptions'!$E$15)*(1-H189/'Terminal Value'!$E$12)</x:f>
        <x:v>194943.7893761396</x:v>
      </x:c>
      <x:c r="K189" s="264" t="n">
        <x:f>((SUM((('Historical Inputs'!$N$9*(1+(D189))^1)*(('Assumptions'!E37+(E189))*(1-'Assumptions'!E42-(0))+'Assumptions'!E47-'Assumptions'!E52*(F189)+'Assumptions'!E57-'Assumptions'!E62*(1)-'Assumptions'!E67-(0))+('Working Capital'!$E$6))*'DCF'!E12/(1+(G189))^'DCF'!E13,(('Historical Inputs'!$N$9*(1+(D189))^2)*(('Assumptions'!F37+(E189))*(1-'Assumptions'!F42-(0))+'Assumptions'!F47-'Assumptions'!F52*(F189)+'Assumptions'!F57-'Assumptions'!F62*(1)-'Assumptions'!F67-(0))+(('Historical Inputs'!$N$9*(1+(D189))^1)*('Assumptions'!E67+(0))))*'DCF'!F12/(1+(G189))^'DCF'!F13,(('Historical Inputs'!$N$9*(1+(D189))^3)*(('Assumptions'!G37+(E189))*(1-'Assumptions'!G42-(0))+'Assumptions'!G47-'Assumptions'!G52*(F189)+'Assumptions'!G57-'Assumptions'!G62*(1)-'Assumptions'!G67-(0))+(('Historical Inputs'!$N$9*(1+(D189))^2)*('Assumptions'!F67+(0))))*'DCF'!G12/(1+(G189))^'DCF'!G13,(('Historical Inputs'!$N$9*(1+(D189))^4)*(('Assumptions'!H37+(E189))*(1-'Assumptions'!H42-(0))+'Assumptions'!H47-'Assumptions'!H52*(F189)+'Assumptions'!H57-'Assumptions'!H62*(1)-'Assumptions'!H67-(0))+(('Historical Inputs'!$N$9*(1+(D189))^3)*('Assumptions'!G67+(0))))*'DCF'!H12/(1+(G189))^'DCF'!H13,(('Historical Inputs'!$N$9*(1+(D189))^5)*(('Assumptions'!I37+(E189))*(1-'Assumptions'!I42-(0))+'Assumptions'!I47-'Assumptions'!I52*(F189)+'Assumptions'!I57-'Assumptions'!I62*(1)-'Assumptions'!I67-(0))+(('Historical Inputs'!$N$9*(1+(D189))^4)*('Assumptions'!H67+(0))))*'DCF'!I12/(1+(G189))^'DCF'!I13)+('Historical Inputs'!$N$9*(1+(D189))^5)*(1+(H189))*('Terminal Value'!$E$10+(E189))*(1-'Assumptions'!$E$15-(0))*(1-(H189)/('Terminal Value'!$E$12))/((G189)-(H189))/(1+(G189))^'DCF'!$E$19)+'Equity Bridge'!$E$17)/'Equity Bridge'!$E$20</x:f>
        <x:v>388.6692386942685</x:v>
      </x:c>
      <x:c r="X189" s="255" t="n">
        <x:v>0.9158233234585543</x:v>
      </x:c>
      <x:c r="Y189" s="255" t="n">
        <x:v>0.311991241546989</x:v>
      </x:c>
      <x:c r="Z189" s="255" t="n">
        <x:v>0.8213688372601201</x:v>
      </x:c>
      <x:c r="AA189" s="255" t="n">
        <x:v>0.06028307600649763</x:v>
      </x:c>
      <x:c r="AB189" s="255" t="n">
        <x:v>0.916305974161692</x:v>
      </x:c>
    </x:row>
    <x:row r="190" ht="24" customHeight="1">
      <x:c r="C190" s="256" t="n">
        <x:f>159</x:f>
        <x:v>159</x:v>
      </x:c>
      <x:c r="D190" s="258" t="n">
        <x:f>IF(X190&lt;($E$12-$D$12)/($F$12-$D$12),$D$12+SQRT(X190*($F$12-$D$12)*($E$12-$D$12)),$F$12-SQRT((1-X190)*($F$12-$D$12)*($F$12-$E$12)))</x:f>
        <x:v>0.1514114472092725</x:v>
      </x:c>
      <x:c r="E190" s="258" t="n">
        <x:f>IF(Y190&lt;($E$13-$D$13)/($F$13-$D$13),$D$13+SQRT(Y190*($F$13-$D$13)*($E$13-$D$13)),$F$13-SQRT((1-Y190)*($F$13-$D$13)*($F$13-$E$13)))</x:f>
        <x:v>-0.002569611628614729</x:v>
      </x:c>
      <x:c r="F190" s="260" t="n">
        <x:f>IF(Z190&lt;($E$14-$D$14)/($F$14-$D$14),$D$14+SQRT(Z190*($F$14-$D$14)*($E$14-$D$14)),$F$14-SQRT((1-Z190)*($F$14-$D$14)*($F$14-$E$14)))</x:f>
        <x:v>1.0199258939358753</x:v>
      </x:c>
      <x:c r="G190" s="258" t="n">
        <x:f>IF(AA190&lt;($E$15-$D$15)/($F$15-$D$15),$D$15+SQRT(AA190*($F$15-$D$15)*($E$15-$D$15)),$F$15-SQRT((1-AA190)*($F$15-$D$15)*($F$15-$E$15)))</x:f>
        <x:v>0.09588841055352153</x:v>
      </x:c>
      <x:c r="H190" s="258" t="n">
        <x:f>IF(AB190&lt;($E$16-$D$16)/($F$16-$D$16),$D$16+SQRT(AB190*($F$16-$D$16)*($E$16-$D$16)),$F$16-SQRT((1-AB190)*($F$16-$D$16)*($F$16-$E$16)))</x:f>
        <x:v>0.028064289620746606</x:v>
      </x:c>
      <x:c r="I190" s="262" t="n">
        <x:f>'Historical Inputs'!$N$9*(1+D190)^5</x:f>
        <x:v>671552.7628902711</x:v>
      </x:c>
      <x:c r="J190" s="262" t="n">
        <x:f>I190*(1+H190)*('Terminal Value'!$E$10+E190)*(1-'Assumptions'!$E$15)*(1-H190/'Terminal Value'!$E$12)</x:f>
        <x:v>188706.8060008962</x:v>
      </x:c>
      <x:c r="K190" s="264" t="n">
        <x:f>((SUM((('Historical Inputs'!$N$9*(1+(D190))^1)*(('Assumptions'!E37+(E190))*(1-'Assumptions'!E42-(0))+'Assumptions'!E47-'Assumptions'!E52*(F190)+'Assumptions'!E57-'Assumptions'!E62*(1)-'Assumptions'!E67-(0))+('Working Capital'!$E$6))*'DCF'!E12/(1+(G190))^'DCF'!E13,(('Historical Inputs'!$N$9*(1+(D190))^2)*(('Assumptions'!F37+(E190))*(1-'Assumptions'!F42-(0))+'Assumptions'!F47-'Assumptions'!F52*(F190)+'Assumptions'!F57-'Assumptions'!F62*(1)-'Assumptions'!F67-(0))+(('Historical Inputs'!$N$9*(1+(D190))^1)*('Assumptions'!E67+(0))))*'DCF'!F12/(1+(G190))^'DCF'!F13,(('Historical Inputs'!$N$9*(1+(D190))^3)*(('Assumptions'!G37+(E190))*(1-'Assumptions'!G42-(0))+'Assumptions'!G47-'Assumptions'!G52*(F190)+'Assumptions'!G57-'Assumptions'!G62*(1)-'Assumptions'!G67-(0))+(('Historical Inputs'!$N$9*(1+(D190))^2)*('Assumptions'!F67+(0))))*'DCF'!G12/(1+(G190))^'DCF'!G13,(('Historical Inputs'!$N$9*(1+(D190))^4)*(('Assumptions'!H37+(E190))*(1-'Assumptions'!H42-(0))+'Assumptions'!H47-'Assumptions'!H52*(F190)+'Assumptions'!H57-'Assumptions'!H62*(1)-'Assumptions'!H67-(0))+(('Historical Inputs'!$N$9*(1+(D190))^3)*('Assumptions'!G67+(0))))*'DCF'!H12/(1+(G190))^'DCF'!H13,(('Historical Inputs'!$N$9*(1+(D190))^5)*(('Assumptions'!I37+(E190))*(1-'Assumptions'!I42-(0))+'Assumptions'!I47-'Assumptions'!I52*(F190)+'Assumptions'!I57-'Assumptions'!I62*(1)-'Assumptions'!I67-(0))+(('Historical Inputs'!$N$9*(1+(D190))^4)*('Assumptions'!H67+(0))))*'DCF'!I12/(1+(G190))^'DCF'!I13)+('Historical Inputs'!$N$9*(1+(D190))^5)*(1+(H190))*('Terminal Value'!$E$10+(E190))*(1-'Assumptions'!$E$15-(0))*(1-(H190)/('Terminal Value'!$E$12))/((G190)-(H190))/(1+(G190))^'DCF'!$E$19)+'Equity Bridge'!$E$17)/'Equity Bridge'!$E$20</x:f>
        <x:v>297.95110170052607</x:v>
      </x:c>
      <x:c r="X190" s="255" t="n">
        <x:v>0.6497895769982178</x:v>
      </x:c>
      <x:c r="Y190" s="255" t="n">
        <x:v>0.4499283482120878</x:v>
      </x:c>
      <x:c r="Z190" s="255" t="n">
        <x:v>0.5367616617886629</x:v>
      </x:c>
      <x:c r="AA190" s="255" t="n">
        <x:v>0.36113901340062304</x:v>
      </x:c>
      <x:c r="AB190" s="255" t="n">
        <x:v>0.32516383543640714</x:v>
      </x:c>
    </x:row>
    <x:row r="191" ht="24" customHeight="1">
      <x:c r="C191" s="256" t="n">
        <x:f>160</x:f>
        <x:v>160</x:v>
      </x:c>
      <x:c r="D191" s="258" t="n">
        <x:f>IF(X191&lt;($E$12-$D$12)/($F$12-$D$12),$D$12+SQRT(X191*($F$12-$D$12)*($E$12-$D$12)),$F$12-SQRT((1-X191)*($F$12-$D$12)*($F$12-$E$12)))</x:f>
        <x:v>0.17275485082761904</x:v>
      </x:c>
      <x:c r="E191" s="258" t="n">
        <x:f>IF(Y191&lt;($E$13-$D$13)/($F$13-$D$13),$D$13+SQRT(Y191*($F$13-$D$13)*($E$13-$D$13)),$F$13-SQRT((1-Y191)*($F$13-$D$13)*($F$13-$E$13)))</x:f>
        <x:v>0.03584399888226536</x:v>
      </x:c>
      <x:c r="F191" s="260" t="n">
        <x:f>IF(Z191&lt;($E$14-$D$14)/($F$14-$D$14),$D$14+SQRT(Z191*($F$14-$D$14)*($E$14-$D$14)),$F$14-SQRT((1-Z191)*($F$14-$D$14)*($F$14-$E$14)))</x:f>
        <x:v>1.0249735123494155</x:v>
      </x:c>
      <x:c r="G191" s="258" t="n">
        <x:f>IF(AA191&lt;($E$15-$D$15)/($F$15-$D$15),$D$15+SQRT(AA191*($F$15-$D$15)*($E$15-$D$15)),$F$15-SQRT((1-AA191)*($F$15-$D$15)*($F$15-$E$15)))</x:f>
        <x:v>0.09861175986075532</x:v>
      </x:c>
      <x:c r="H191" s="258" t="n">
        <x:f>IF(AB191&lt;($E$16-$D$16)/($F$16-$D$16),$D$16+SQRT(AB191*($F$16-$D$16)*($E$16-$D$16)),$F$16-SQRT((1-AB191)*($F$16-$D$16)*($F$16-$E$16)))</x:f>
        <x:v>0.03275529051255752</x:v>
      </x:c>
      <x:c r="I191" s="262" t="n">
        <x:f>'Historical Inputs'!$N$9*(1+D191)^5</x:f>
        <x:v>736145.422439543</x:v>
      </x:c>
      <x:c r="J191" s="262" t="n">
        <x:f>I191*(1+H191)*('Terminal Value'!$E$10+E191)*(1-'Assumptions'!$E$15)*(1-H191/'Terminal Value'!$E$12)</x:f>
        <x:v>221668.7614222191</x:v>
      </x:c>
      <x:c r="K191" s="264" t="n">
        <x:f>((SUM((('Historical Inputs'!$N$9*(1+(D191))^1)*(('Assumptions'!E37+(E191))*(1-'Assumptions'!E42-(0))+'Assumptions'!E47-'Assumptions'!E52*(F191)+'Assumptions'!E57-'Assumptions'!E62*(1)-'Assumptions'!E67-(0))+('Working Capital'!$E$6))*'DCF'!E12/(1+(G191))^'DCF'!E13,(('Historical Inputs'!$N$9*(1+(D191))^2)*(('Assumptions'!F37+(E191))*(1-'Assumptions'!F42-(0))+'Assumptions'!F47-'Assumptions'!F52*(F191)+'Assumptions'!F57-'Assumptions'!F62*(1)-'Assumptions'!F67-(0))+(('Historical Inputs'!$N$9*(1+(D191))^1)*('Assumptions'!E67+(0))))*'DCF'!F12/(1+(G191))^'DCF'!F13,(('Historical Inputs'!$N$9*(1+(D191))^3)*(('Assumptions'!G37+(E191))*(1-'Assumptions'!G42-(0))+'Assumptions'!G47-'Assumptions'!G52*(F191)+'Assumptions'!G57-'Assumptions'!G62*(1)-'Assumptions'!G67-(0))+(('Historical Inputs'!$N$9*(1+(D191))^2)*('Assumptions'!F67+(0))))*'DCF'!G12/(1+(G191))^'DCF'!G13,(('Historical Inputs'!$N$9*(1+(D191))^4)*(('Assumptions'!H37+(E191))*(1-'Assumptions'!H42-(0))+'Assumptions'!H47-'Assumptions'!H52*(F191)+'Assumptions'!H57-'Assumptions'!H62*(1)-'Assumptions'!H67-(0))+(('Historical Inputs'!$N$9*(1+(D191))^3)*('Assumptions'!G67+(0))))*'DCF'!H12/(1+(G191))^'DCF'!H13,(('Historical Inputs'!$N$9*(1+(D191))^5)*(('Assumptions'!I37+(E191))*(1-'Assumptions'!I42-(0))+'Assumptions'!I47-'Assumptions'!I52*(F191)+'Assumptions'!I57-'Assumptions'!I62*(1)-'Assumptions'!I67-(0))+(('Historical Inputs'!$N$9*(1+(D191))^4)*('Assumptions'!H67+(0))))*'DCF'!I12/(1+(G191))^'DCF'!I13)+('Historical Inputs'!$N$9*(1+(D191))^5)*(1+(H191))*('Terminal Value'!$E$10+(E191))*(1-'Assumptions'!$E$15-(0))*(1-(H191)/('Terminal Value'!$E$12))/((G191)-(H191))/(1+(G191))^'DCF'!$E$19)+'Equity Bridge'!$E$17)/'Equity Bridge'!$E$20</x:f>
        <x:v>357.0380404995233</x:v>
      </x:c>
      <x:c r="X191" s="255" t="n">
        <x:v>0.9159321968701588</x:v>
      </x:c>
      <x:c r="Y191" s="255" t="n">
        <x:v>0.9599215264709391</x:v>
      </x:c>
      <x:c r="Z191" s="255" t="n">
        <x:v>0.5623675517242832</x:v>
      </x:c>
      <x:c r="AA191" s="255" t="n">
        <x:v>0.530932240050313</x:v>
      </x:c>
      <x:c r="AB191" s="255" t="n">
        <x:v>0.7375709222128042</x:v>
      </x:c>
    </x:row>
    <x:row r="192" ht="24" customHeight="1">
      <x:c r="C192" s="256" t="n">
        <x:f>161</x:f>
        <x:v>161</x:v>
      </x:c>
      <x:c r="D192" s="258" t="n">
        <x:f>IF(X192&lt;($E$12-$D$12)/($F$12-$D$12),$D$12+SQRT(X192*($F$12-$D$12)*($E$12-$D$12)),$F$12-SQRT((1-X192)*($F$12-$D$12)*($F$12-$E$12)))</x:f>
        <x:v>0.15055318330128398</x:v>
      </x:c>
      <x:c r="E192" s="258" t="n">
        <x:f>IF(Y192&lt;($E$13-$D$13)/($F$13-$D$13),$D$13+SQRT(Y192*($F$13-$D$13)*($E$13-$D$13)),$F$13-SQRT((1-Y192)*($F$13-$D$13)*($F$13-$E$13)))</x:f>
        <x:v>0.015348722458726753</x:v>
      </x:c>
      <x:c r="F192" s="260" t="n">
        <x:f>IF(Z192&lt;($E$14-$D$14)/($F$14-$D$14),$D$14+SQRT(Z192*($F$14-$D$14)*($E$14-$D$14)),$F$14-SQRT((1-Z192)*($F$14-$D$14)*($F$14-$E$14)))</x:f>
        <x:v>0.9899342078038794</x:v>
      </x:c>
      <x:c r="G192" s="258" t="n">
        <x:f>IF(AA192&lt;($E$15-$D$15)/($F$15-$D$15),$D$15+SQRT(AA192*($F$15-$D$15)*($E$15-$D$15)),$F$15-SQRT((1-AA192)*($F$15-$D$15)*($F$15-$E$15)))</x:f>
        <x:v>0.10476311711531187</x:v>
      </x:c>
      <x:c r="H192" s="258" t="n">
        <x:f>IF(AB192&lt;($E$16-$D$16)/($F$16-$D$16),$D$16+SQRT(AB192*($F$16-$D$16)*($E$16-$D$16)),$F$16-SQRT((1-AB192)*($F$16-$D$16)*($F$16-$E$16)))</x:f>
        <x:v>0.032331605048797</x:v>
      </x:c>
      <x:c r="I192" s="262" t="n">
        <x:f>'Historical Inputs'!$N$9*(1+D192)^5</x:f>
        <x:v>669053.6089741021</x:v>
      </x:c>
      <x:c r="J192" s="262" t="n">
        <x:f>I192*(1+H192)*('Terminal Value'!$E$10+E192)*(1-'Assumptions'!$E$15)*(1-H192/'Terminal Value'!$E$12)</x:f>
        <x:v>192399.6238017412</x:v>
      </x:c>
      <x:c r="K192" s="264" t="n">
        <x:f>((SUM((('Historical Inputs'!$N$9*(1+(D192))^1)*(('Assumptions'!E37+(E192))*(1-'Assumptions'!E42-(0))+'Assumptions'!E47-'Assumptions'!E52*(F192)+'Assumptions'!E57-'Assumptions'!E62*(1)-'Assumptions'!E67-(0))+('Working Capital'!$E$6))*'DCF'!E12/(1+(G192))^'DCF'!E13,(('Historical Inputs'!$N$9*(1+(D192))^2)*(('Assumptions'!F37+(E192))*(1-'Assumptions'!F42-(0))+'Assumptions'!F47-'Assumptions'!F52*(F192)+'Assumptions'!F57-'Assumptions'!F62*(1)-'Assumptions'!F67-(0))+(('Historical Inputs'!$N$9*(1+(D192))^1)*('Assumptions'!E67+(0))))*'DCF'!F12/(1+(G192))^'DCF'!F13,(('Historical Inputs'!$N$9*(1+(D192))^3)*(('Assumptions'!G37+(E192))*(1-'Assumptions'!G42-(0))+'Assumptions'!G47-'Assumptions'!G52*(F192)+'Assumptions'!G57-'Assumptions'!G62*(1)-'Assumptions'!G67-(0))+(('Historical Inputs'!$N$9*(1+(D192))^2)*('Assumptions'!F67+(0))))*'DCF'!G12/(1+(G192))^'DCF'!G13,(('Historical Inputs'!$N$9*(1+(D192))^4)*(('Assumptions'!H37+(E192))*(1-'Assumptions'!H42-(0))+'Assumptions'!H47-'Assumptions'!H52*(F192)+'Assumptions'!H57-'Assumptions'!H62*(1)-'Assumptions'!H67-(0))+(('Historical Inputs'!$N$9*(1+(D192))^3)*('Assumptions'!G67+(0))))*'DCF'!H12/(1+(G192))^'DCF'!H13,(('Historical Inputs'!$N$9*(1+(D192))^5)*(('Assumptions'!I37+(E192))*(1-'Assumptions'!I42-(0))+'Assumptions'!I47-'Assumptions'!I52*(F192)+'Assumptions'!I57-'Assumptions'!I62*(1)-'Assumptions'!I67-(0))+(('Historical Inputs'!$N$9*(1+(D192))^4)*('Assumptions'!H67+(0))))*'DCF'!I12/(1+(G192))^'DCF'!I13)+('Historical Inputs'!$N$9*(1+(D192))^5)*(1+(H192))*('Terminal Value'!$E$10+(E192))*(1-'Assumptions'!$E$15-(0))*(1-(H192)/('Terminal Value'!$E$12))/((G192)-(H192))/(1+(G192))^'DCF'!$E$19)+'Equity Bridge'!$E$17)/'Equity Bridge'!$E$20</x:f>
        <x:v>282.50240956126015</x:v>
      </x:c>
      <x:c r="X192" s="255" t="n">
        <x:v>0.6352764350500159</x:v>
      </x:c>
      <x:c r="Y192" s="255" t="n">
        <x:v>0.7598577929515304</x:v>
      </x:c>
      <x:c r="Z192" s="255" t="n">
        <x:v>0.37298252407046295</x:v>
      </x:c>
      <x:c r="AA192" s="255" t="n">
        <x:v>0.8440481021877504</x:v>
      </x:c>
      <x:c r="AB192" s="255" t="n">
        <x:v>0.7059785943618216</x:v>
      </x:c>
    </x:row>
    <x:row r="193" ht="24" customHeight="1">
      <x:c r="C193" s="256" t="n">
        <x:f>162</x:f>
        <x:v>162</x:v>
      </x:c>
      <x:c r="D193" s="258" t="n">
        <x:f>IF(X193&lt;($E$12-$D$12)/($F$12-$D$12),$D$12+SQRT(X193*($F$12-$D$12)*($E$12-$D$12)),$F$12-SQRT((1-X193)*($F$12-$D$12)*($F$12-$E$12)))</x:f>
        <x:v>0.10379864687301917</x:v>
      </x:c>
      <x:c r="E193" s="258" t="n">
        <x:f>IF(Y193&lt;($E$13-$D$13)/($F$13-$D$13),$D$13+SQRT(Y193*($F$13-$D$13)*($E$13-$D$13)),$F$13-SQRT((1-Y193)*($F$13-$D$13)*($F$13-$E$13)))</x:f>
        <x:v>0.011560586654704184</x:v>
      </x:c>
      <x:c r="F193" s="260" t="n">
        <x:f>IF(Z193&lt;($E$14-$D$14)/($F$14-$D$14),$D$14+SQRT(Z193*($F$14-$D$14)*($E$14-$D$14)),$F$14-SQRT((1-Z193)*($F$14-$D$14)*($F$14-$E$14)))</x:f>
        <x:v>1.0268126382412972</x:v>
      </x:c>
      <x:c r="G193" s="258" t="n">
        <x:f>IF(AA193&lt;($E$15-$D$15)/($F$15-$D$15),$D$15+SQRT(AA193*($F$15-$D$15)*($E$15-$D$15)),$F$15-SQRT((1-AA193)*($F$15-$D$15)*($F$15-$E$15)))</x:f>
        <x:v>0.09783537721763029</x:v>
      </x:c>
      <x:c r="H193" s="258" t="n">
        <x:f>IF(AB193&lt;($E$16-$D$16)/($F$16-$D$16),$D$16+SQRT(AB193*($F$16-$D$16)*($E$16-$D$16)),$F$16-SQRT((1-AB193)*($F$16-$D$16)*($F$16-$E$16)))</x:f>
        <x:v>0.031516696112062335</x:v>
      </x:c>
      <x:c r="I193" s="262" t="n">
        <x:f>'Historical Inputs'!$N$9*(1+D193)^5</x:f>
        <x:v>543721.758273036</x:v>
      </x:c>
      <x:c r="J193" s="262" t="n">
        <x:f>I193*(1+H193)*('Terminal Value'!$E$10+E193)*(1-'Assumptions'!$E$15)*(1-H193/'Terminal Value'!$E$12)</x:f>
        <x:v>155562.0342512015</x:v>
      </x:c>
      <x:c r="K193" s="264" t="n">
        <x:f>((SUM((('Historical Inputs'!$N$9*(1+(D193))^1)*(('Assumptions'!E37+(E193))*(1-'Assumptions'!E42-(0))+'Assumptions'!E47-'Assumptions'!E52*(F193)+'Assumptions'!E57-'Assumptions'!E62*(1)-'Assumptions'!E67-(0))+('Working Capital'!$E$6))*'DCF'!E12/(1+(G193))^'DCF'!E13,(('Historical Inputs'!$N$9*(1+(D193))^2)*(('Assumptions'!F37+(E193))*(1-'Assumptions'!F42-(0))+'Assumptions'!F47-'Assumptions'!F52*(F193)+'Assumptions'!F57-'Assumptions'!F62*(1)-'Assumptions'!F67-(0))+(('Historical Inputs'!$N$9*(1+(D193))^1)*('Assumptions'!E67+(0))))*'DCF'!F12/(1+(G193))^'DCF'!F13,(('Historical Inputs'!$N$9*(1+(D193))^3)*(('Assumptions'!G37+(E193))*(1-'Assumptions'!G42-(0))+'Assumptions'!G47-'Assumptions'!G52*(F193)+'Assumptions'!G57-'Assumptions'!G62*(1)-'Assumptions'!G67-(0))+(('Historical Inputs'!$N$9*(1+(D193))^2)*('Assumptions'!F67+(0))))*'DCF'!G12/(1+(G193))^'DCF'!G13,(('Historical Inputs'!$N$9*(1+(D193))^4)*(('Assumptions'!H37+(E193))*(1-'Assumptions'!H42-(0))+'Assumptions'!H47-'Assumptions'!H52*(F193)+'Assumptions'!H57-'Assumptions'!H62*(1)-'Assumptions'!H67-(0))+(('Historical Inputs'!$N$9*(1+(D193))^3)*('Assumptions'!G67+(0))))*'DCF'!H12/(1+(G193))^'DCF'!H13,(('Historical Inputs'!$N$9*(1+(D193))^5)*(('Assumptions'!I37+(E193))*(1-'Assumptions'!I42-(0))+'Assumptions'!I47-'Assumptions'!I52*(F193)+'Assumptions'!I57-'Assumptions'!I62*(1)-'Assumptions'!I67-(0))+(('Historical Inputs'!$N$9*(1+(D193))^4)*('Assumptions'!H67+(0))))*'DCF'!I12/(1+(G193))^'DCF'!I13)+('Historical Inputs'!$N$9*(1+(D193))^5)*(1+(H193))*('Terminal Value'!$E$10+(E193))*(1-'Assumptions'!$E$15-(0))*(1-(H193)/('Terminal Value'!$E$12))/((G193)-(H193))/(1+(G193))^'DCF'!$E$19)+'Equity Bridge'!$E$17)/'Equity Bridge'!$E$20</x:f>
        <x:v>252.22002972278793</x:v>
      </x:c>
      <x:c r="X193" s="255" t="n">
        <x:v>0.022225171726146464</x:v>
      </x:c>
      <x:c r="Y193" s="255" t="n">
        <x:v>0.7044823003338988</x:v>
      </x:c>
      <x:c r="Z193" s="255" t="n">
        <x:v>0.5715162532437168</x:v>
      </x:c>
      <x:c r="AA193" s="255" t="n">
        <x:v>0.47987390658434137</x:v>
      </x:c>
      <x:c r="AB193" s="255" t="n">
        <x:v>0.6401677757245088</x:v>
      </x:c>
    </x:row>
    <x:row r="194" ht="24" customHeight="1">
      <x:c r="C194" s="256" t="n">
        <x:f>163</x:f>
        <x:v>163</x:v>
      </x:c>
      <x:c r="D194" s="258" t="n">
        <x:f>IF(X194&lt;($E$12-$D$12)/($F$12-$D$12),$D$12+SQRT(X194*($F$12-$D$12)*($E$12-$D$12)),$F$12-SQRT((1-X194)*($F$12-$D$12)*($F$12-$E$12)))</x:f>
        <x:v>0.1699115851584637</x:v>
      </x:c>
      <x:c r="E194" s="258" t="n">
        <x:f>IF(Y194&lt;($E$13-$D$13)/($F$13-$D$13),$D$13+SQRT(Y194*($F$13-$D$13)*($E$13-$D$13)),$F$13-SQRT((1-Y194)*($F$13-$D$13)*($F$13-$E$13)))</x:f>
        <x:v>0.0015385099884839132</x:v>
      </x:c>
      <x:c r="F194" s="260" t="n">
        <x:f>IF(Z194&lt;($E$14-$D$14)/($F$14-$D$14),$D$14+SQRT(Z194*($F$14-$D$14)*($E$14-$D$14)),$F$14-SQRT((1-Z194)*($F$14-$D$14)*($F$14-$E$14)))</x:f>
        <x:v>0.8970908609005812</x:v>
      </x:c>
      <x:c r="G194" s="258" t="n">
        <x:f>IF(AA194&lt;($E$15-$D$15)/($F$15-$D$15),$D$15+SQRT(AA194*($F$15-$D$15)*($E$15-$D$15)),$F$15-SQRT((1-AA194)*($F$15-$D$15)*($F$15-$E$15)))</x:f>
        <x:v>0.09233667655992531</x:v>
      </x:c>
      <x:c r="H194" s="258" t="n">
        <x:f>IF(AB194&lt;($E$16-$D$16)/($F$16-$D$16),$D$16+SQRT(AB194*($F$16-$D$16)*($E$16-$D$16)),$F$16-SQRT((1-AB194)*($F$16-$D$16)*($F$16-$E$16)))</x:f>
        <x:v>0.026966726344071868</x:v>
      </x:c>
      <x:c r="I194" s="262" t="n">
        <x:f>'Historical Inputs'!$N$9*(1+D194)^5</x:f>
        <x:v>727264.9107624395</x:v>
      </x:c>
      <x:c r="J194" s="262" t="n">
        <x:f>I194*(1+H194)*('Terminal Value'!$E$10+E194)*(1-'Assumptions'!$E$15)*(1-H194/'Terminal Value'!$E$12)</x:f>
        <x:v>207570.5928141305</x:v>
      </x:c>
      <x:c r="K194" s="264" t="n">
        <x:f>((SUM((('Historical Inputs'!$N$9*(1+(D194))^1)*(('Assumptions'!E37+(E194))*(1-'Assumptions'!E42-(0))+'Assumptions'!E47-'Assumptions'!E52*(F194)+'Assumptions'!E57-'Assumptions'!E62*(1)-'Assumptions'!E67-(0))+('Working Capital'!$E$6))*'DCF'!E12/(1+(G194))^'DCF'!E13,(('Historical Inputs'!$N$9*(1+(D194))^2)*(('Assumptions'!F37+(E194))*(1-'Assumptions'!F42-(0))+'Assumptions'!F47-'Assumptions'!F52*(F194)+'Assumptions'!F57-'Assumptions'!F62*(1)-'Assumptions'!F67-(0))+(('Historical Inputs'!$N$9*(1+(D194))^1)*('Assumptions'!E67+(0))))*'DCF'!F12/(1+(G194))^'DCF'!F13,(('Historical Inputs'!$N$9*(1+(D194))^3)*(('Assumptions'!G37+(E194))*(1-'Assumptions'!G42-(0))+'Assumptions'!G47-'Assumptions'!G52*(F194)+'Assumptions'!G57-'Assumptions'!G62*(1)-'Assumptions'!G67-(0))+(('Historical Inputs'!$N$9*(1+(D194))^2)*('Assumptions'!F67+(0))))*'DCF'!G12/(1+(G194))^'DCF'!G13,(('Historical Inputs'!$N$9*(1+(D194))^4)*(('Assumptions'!H37+(E194))*(1-'Assumptions'!H42-(0))+'Assumptions'!H47-'Assumptions'!H52*(F194)+'Assumptions'!H57-'Assumptions'!H62*(1)-'Assumptions'!H67-(0))+(('Historical Inputs'!$N$9*(1+(D194))^3)*('Assumptions'!G67+(0))))*'DCF'!H12/(1+(G194))^'DCF'!H13,(('Historical Inputs'!$N$9*(1+(D194))^5)*(('Assumptions'!I37+(E194))*(1-'Assumptions'!I42-(0))+'Assumptions'!I47-'Assumptions'!I52*(F194)+'Assumptions'!I57-'Assumptions'!I62*(1)-'Assumptions'!I67-(0))+(('Historical Inputs'!$N$9*(1+(D194))^4)*('Assumptions'!H67+(0))))*'DCF'!I12/(1+(G194))^'DCF'!I13)+('Historical Inputs'!$N$9*(1+(D194))^5)*(1+(H194))*('Terminal Value'!$E$10+(E194))*(1-'Assumptions'!$E$15-(0))*(1-(H194)/('Terminal Value'!$E$12))/((G194)-(H194))/(1+(G194))^'DCF'!$E$19)+'Equity Bridge'!$E$17)/'Equity Bridge'!$E$20</x:f>
        <x:v>349.7838218376488</x:v>
      </x:c>
      <x:c r="X194" s="255" t="n">
        <x:v>0.8909981173598744</x:v>
      </x:c>
      <x:c r="Y194" s="255" t="n">
        <x:v>0.5302967971727452</x:v>
      </x:c>
      <x:c r="Z194" s="255" t="n">
        <x:v>0.042239032006817</x:v>
      </x:c>
      <x:c r="AA194" s="255" t="n">
        <x:v>0.1879379275200096</x:v>
      </x:c>
      <x:c r="AB194" s="255" t="n">
        <x:v>0.24267637976592504</x:v>
      </x:c>
    </x:row>
    <x:row r="195" ht="24" customHeight="1">
      <x:c r="C195" s="256" t="n">
        <x:f>164</x:f>
        <x:v>164</x:v>
      </x:c>
      <x:c r="D195" s="258" t="n">
        <x:f>IF(X195&lt;($E$12-$D$12)/($F$12-$D$12),$D$12+SQRT(X195*($F$12-$D$12)*($E$12-$D$12)),$F$12-SQRT((1-X195)*($F$12-$D$12)*($F$12-$E$12)))</x:f>
        <x:v>0.13625127832474543</x:v>
      </x:c>
      <x:c r="E195" s="258" t="n">
        <x:f>IF(Y195&lt;($E$13-$D$13)/($F$13-$D$13),$D$13+SQRT(Y195*($F$13-$D$13)*($E$13-$D$13)),$F$13-SQRT((1-Y195)*($F$13-$D$13)*($F$13-$E$13)))</x:f>
        <x:v>0.010454883195784373</x:v>
      </x:c>
      <x:c r="F195" s="260" t="n">
        <x:f>IF(Z195&lt;($E$14-$D$14)/($F$14-$D$14),$D$14+SQRT(Z195*($F$14-$D$14)*($E$14-$D$14)),$F$14-SQRT((1-Z195)*($F$14-$D$14)*($F$14-$E$14)))</x:f>
        <x:v>0.9165972752083924</x:v>
      </x:c>
      <x:c r="G195" s="258" t="n">
        <x:f>IF(AA195&lt;($E$15-$D$15)/($F$15-$D$15),$D$15+SQRT(AA195*($F$15-$D$15)*($E$15-$D$15)),$F$15-SQRT((1-AA195)*($F$15-$D$15)*($F$15-$E$15)))</x:f>
        <x:v>0.10488572061065227</x:v>
      </x:c>
      <x:c r="H195" s="258" t="n">
        <x:f>IF(AB195&lt;($E$16-$D$16)/($F$16-$D$16),$D$16+SQRT(AB195*($F$16-$D$16)*($E$16-$D$16)),$F$16-SQRT((1-AB195)*($F$16-$D$16)*($F$16-$E$16)))</x:f>
        <x:v>0.03070294587962847</x:v>
      </x:c>
      <x:c r="I195" s="262" t="n">
        <x:f>'Historical Inputs'!$N$9*(1+D195)^5</x:f>
        <x:v>628491.4155291168</x:v>
      </x:c>
      <x:c r="J195" s="262" t="n">
        <x:f>I195*(1+H195)*('Terminal Value'!$E$10+E195)*(1-'Assumptions'!$E$15)*(1-H195/'Terminal Value'!$E$12)</x:f>
        <x:v>180056.03682822787</x:v>
      </x:c>
      <x:c r="K195" s="264" t="n">
        <x:f>((SUM((('Historical Inputs'!$N$9*(1+(D195))^1)*(('Assumptions'!E37+(E195))*(1-'Assumptions'!E42-(0))+'Assumptions'!E47-'Assumptions'!E52*(F195)+'Assumptions'!E57-'Assumptions'!E62*(1)-'Assumptions'!E67-(0))+('Working Capital'!$E$6))*'DCF'!E12/(1+(G195))^'DCF'!E13,(('Historical Inputs'!$N$9*(1+(D195))^2)*(('Assumptions'!F37+(E195))*(1-'Assumptions'!F42-(0))+'Assumptions'!F47-'Assumptions'!F52*(F195)+'Assumptions'!F57-'Assumptions'!F62*(1)-'Assumptions'!F67-(0))+(('Historical Inputs'!$N$9*(1+(D195))^1)*('Assumptions'!E67+(0))))*'DCF'!F12/(1+(G195))^'DCF'!F13,(('Historical Inputs'!$N$9*(1+(D195))^3)*(('Assumptions'!G37+(E195))*(1-'Assumptions'!G42-(0))+'Assumptions'!G47-'Assumptions'!G52*(F195)+'Assumptions'!G57-'Assumptions'!G62*(1)-'Assumptions'!G67-(0))+(('Historical Inputs'!$N$9*(1+(D195))^2)*('Assumptions'!F67+(0))))*'DCF'!G12/(1+(G195))^'DCF'!G13,(('Historical Inputs'!$N$9*(1+(D195))^4)*(('Assumptions'!H37+(E195))*(1-'Assumptions'!H42-(0))+'Assumptions'!H47-'Assumptions'!H52*(F195)+'Assumptions'!H57-'Assumptions'!H62*(1)-'Assumptions'!H67-(0))+(('Historical Inputs'!$N$9*(1+(D195))^3)*('Assumptions'!G67+(0))))*'DCF'!H12/(1+(G195))^'DCF'!H13,(('Historical Inputs'!$N$9*(1+(D195))^5)*(('Assumptions'!I37+(E195))*(1-'Assumptions'!I42-(0))+'Assumptions'!I47-'Assumptions'!I52*(F195)+'Assumptions'!I57-'Assumptions'!I62*(1)-'Assumptions'!I67-(0))+(('Historical Inputs'!$N$9*(1+(D195))^4)*('Assumptions'!H67+(0))))*'DCF'!I12/(1+(G195))^'DCF'!I13)+('Historical Inputs'!$N$9*(1+(D195))^5)*(1+(H195))*('Terminal Value'!$E$10+(E195))*(1-'Assumptions'!$E$15-(0))*(1-(H195)/('Terminal Value'!$E$12))/((G195)-(H195))/(1+(G195))^'DCF'!$E$19)+'Equity Bridge'!$E$17)/'Equity Bridge'!$E$20</x:f>
        <x:v>264.07583584002543</x:v>
      </x:c>
      <x:c r="X195" s="255" t="n">
        <x:v>0.36970121837499614</x:v>
      </x:c>
      <x:c r="Y195" s="255" t="n">
        <x:v>0.6872367473881885</x:v>
      </x:c>
      <x:c r="Z195" s="255" t="n">
        <x:v>0.08447994409871162</x:v>
      </x:c>
      <x:c r="AA195" s="255" t="n">
        <x:v>0.8485795003635533</x:v>
      </x:c>
      <x:c r="AB195" s="255" t="n">
        <x:v>0.5678239234144138</x:v>
      </x:c>
    </x:row>
    <x:row r="196" ht="24" customHeight="1">
      <x:c r="C196" s="256" t="n">
        <x:f>165</x:f>
        <x:v>165</x:v>
      </x:c>
      <x:c r="D196" s="258" t="n">
        <x:f>IF(X196&lt;($E$12-$D$12)/($F$12-$D$12),$D$12+SQRT(X196*($F$12-$D$12)*($E$12-$D$12)),$F$12-SQRT((1-X196)*($F$12-$D$12)*($F$12-$E$12)))</x:f>
        <x:v>0.17619691429521817</x:v>
      </x:c>
      <x:c r="E196" s="258" t="n">
        <x:f>IF(Y196&lt;($E$13-$D$13)/($F$13-$D$13),$D$13+SQRT(Y196*($F$13-$D$13)*($E$13-$D$13)),$F$13-SQRT((1-Y196)*($F$13-$D$13)*($F$13-$E$13)))</x:f>
        <x:v>0.016833395469293723</x:v>
      </x:c>
      <x:c r="F196" s="260" t="n">
        <x:f>IF(Z196&lt;($E$14-$D$14)/($F$14-$D$14),$D$14+SQRT(Z196*($F$14-$D$14)*($E$14-$D$14)),$F$14-SQRT((1-Z196)*($F$14-$D$14)*($F$14-$E$14)))</x:f>
        <x:v>1.0567465279898034</x:v>
      </x:c>
      <x:c r="G196" s="258" t="n">
        <x:f>IF(AA196&lt;($E$15-$D$15)/($F$15-$D$15),$D$15+SQRT(AA196*($F$15-$D$15)*($E$15-$D$15)),$F$15-SQRT((1-AA196)*($F$15-$D$15)*($F$15-$E$15)))</x:f>
        <x:v>0.0912969186643788</x:v>
      </x:c>
      <x:c r="H196" s="258" t="n">
        <x:f>IF(AB196&lt;($E$16-$D$16)/($F$16-$D$16),$D$16+SQRT(AB196*($F$16-$D$16)*($E$16-$D$16)),$F$16-SQRT((1-AB196)*($F$16-$D$16)*($F$16-$E$16)))</x:f>
        <x:v>0.023001687482805167</x:v>
      </x:c>
      <x:c r="I196" s="262" t="n">
        <x:f>'Historical Inputs'!$N$9*(1+D196)^5</x:f>
        <x:v>747012.0449808933</x:v>
      </x:c>
      <x:c r="J196" s="262" t="n">
        <x:f>I196*(1+H196)*('Terminal Value'!$E$10+E196)*(1-'Assumptions'!$E$15)*(1-H196/'Terminal Value'!$E$12)</x:f>
        <x:v>225525.46030670134</x:v>
      </x:c>
      <x:c r="K196" s="264" t="n">
        <x:f>((SUM((('Historical Inputs'!$N$9*(1+(D196))^1)*(('Assumptions'!E37+(E196))*(1-'Assumptions'!E42-(0))+'Assumptions'!E47-'Assumptions'!E52*(F196)+'Assumptions'!E57-'Assumptions'!E62*(1)-'Assumptions'!E67-(0))+('Working Capital'!$E$6))*'DCF'!E12/(1+(G196))^'DCF'!E13,(('Historical Inputs'!$N$9*(1+(D196))^2)*(('Assumptions'!F37+(E196))*(1-'Assumptions'!F42-(0))+'Assumptions'!F47-'Assumptions'!F52*(F196)+'Assumptions'!F57-'Assumptions'!F62*(1)-'Assumptions'!F67-(0))+(('Historical Inputs'!$N$9*(1+(D196))^1)*('Assumptions'!E67+(0))))*'DCF'!F12/(1+(G196))^'DCF'!F13,(('Historical Inputs'!$N$9*(1+(D196))^3)*(('Assumptions'!G37+(E196))*(1-'Assumptions'!G42-(0))+'Assumptions'!G47-'Assumptions'!G52*(F196)+'Assumptions'!G57-'Assumptions'!G62*(1)-'Assumptions'!G67-(0))+(('Historical Inputs'!$N$9*(1+(D196))^2)*('Assumptions'!F67+(0))))*'DCF'!G12/(1+(G196))^'DCF'!G13,(('Historical Inputs'!$N$9*(1+(D196))^4)*(('Assumptions'!H37+(E196))*(1-'Assumptions'!H42-(0))+'Assumptions'!H47-'Assumptions'!H52*(F196)+'Assumptions'!H57-'Assumptions'!H62*(1)-'Assumptions'!H67-(0))+(('Historical Inputs'!$N$9*(1+(D196))^3)*('Assumptions'!G67+(0))))*'DCF'!H12/(1+(G196))^'DCF'!H13,(('Historical Inputs'!$N$9*(1+(D196))^5)*(('Assumptions'!I37+(E196))*(1-'Assumptions'!I42-(0))+'Assumptions'!I47-'Assumptions'!I52*(F196)+'Assumptions'!I57-'Assumptions'!I62*(1)-'Assumptions'!I67-(0))+(('Historical Inputs'!$N$9*(1+(D196))^4)*('Assumptions'!H67+(0))))*'DCF'!I12/(1+(G196))^'DCF'!I13)+('Historical Inputs'!$N$9*(1+(D196))^5)*(1+(H196))*('Terminal Value'!$E$10+(E196))*(1-'Assumptions'!$E$15-(0))*(1-(H196)/('Terminal Value'!$E$12))/((G196)-(H196))/(1+(G196))^'DCF'!$E$19)+'Equity Bridge'!$E$17)/'Equity Bridge'!$E$20</x:f>
        <x:v>356.14880474574056</x:v>
      </x:c>
      <x:c r="X196" s="255" t="n">
        <x:v>0.9417905462072407</x:v>
      </x:c>
      <x:c r="Y196" s="255" t="n">
        <x:v>0.7799952687807468</x:v>
      </x:c>
      <x:c r="Z196" s="255" t="n">
        <x:v>0.7068348965289117</x:v>
      </x:c>
      <x:c r="AA196" s="255" t="n">
        <x:v>0.1478428837331932</x:v>
      </x:c>
      <x:c r="AB196" s="255" t="n">
        <x:v>0.04505063872214621</x:v>
      </x:c>
    </x:row>
    <x:row r="197" ht="24" customHeight="1">
      <x:c r="C197" s="256" t="n">
        <x:f>166</x:f>
        <x:v>166</x:v>
      </x:c>
      <x:c r="D197" s="258" t="n">
        <x:f>IF(X197&lt;($E$12-$D$12)/($F$12-$D$12),$D$12+SQRT(X197*($F$12-$D$12)*($E$12-$D$12)),$F$12-SQRT((1-X197)*($F$12-$D$12)*($F$12-$E$12)))</x:f>
        <x:v>0.1273081951881567</x:v>
      </x:c>
      <x:c r="E197" s="258" t="n">
        <x:f>IF(Y197&lt;($E$13-$D$13)/($F$13-$D$13),$D$13+SQRT(Y197*($F$13-$D$13)*($E$13-$D$13)),$F$13-SQRT((1-Y197)*($F$13-$D$13)*($F$13-$E$13)))</x:f>
        <x:v>0.04255146985632386</x:v>
      </x:c>
      <x:c r="F197" s="260" t="n">
        <x:f>IF(Z197&lt;($E$14-$D$14)/($F$14-$D$14),$D$14+SQRT(Z197*($F$14-$D$14)*($E$14-$D$14)),$F$14-SQRT((1-Z197)*($F$14-$D$14)*($F$14-$E$14)))</x:f>
        <x:v>1.1352052752525856</x:v>
      </x:c>
      <x:c r="G197" s="258" t="n">
        <x:f>IF(AA197&lt;($E$15-$D$15)/($F$15-$D$15),$D$15+SQRT(AA197*($F$15-$D$15)*($E$15-$D$15)),$F$15-SQRT((1-AA197)*($F$15-$D$15)*($F$15-$E$15)))</x:f>
        <x:v>0.10643452145521974</x:v>
      </x:c>
      <x:c r="H197" s="258" t="n">
        <x:f>IF(AB197&lt;($E$16-$D$16)/($F$16-$D$16),$D$16+SQRT(AB197*($F$16-$D$16)*($E$16-$D$16)),$F$16-SQRT((1-AB197)*($F$16-$D$16)*($F$16-$E$16)))</x:f>
        <x:v>0.03199704573527965</x:v>
      </x:c>
      <x:c r="I197" s="262" t="n">
        <x:f>'Historical Inputs'!$N$9*(1+D197)^5</x:f>
        <x:v>604144.389899978</x:v>
      </x:c>
      <x:c r="J197" s="262" t="n">
        <x:f>I197*(1+H197)*('Terminal Value'!$E$10+E197)*(1-'Assumptions'!$E$15)*(1-H197/'Terminal Value'!$E$12)</x:f>
        <x:v>185421.41823936815</x:v>
      </x:c>
      <x:c r="K197" s="264" t="n">
        <x:f>((SUM((('Historical Inputs'!$N$9*(1+(D197))^1)*(('Assumptions'!E37+(E197))*(1-'Assumptions'!E42-(0))+'Assumptions'!E47-'Assumptions'!E52*(F197)+'Assumptions'!E57-'Assumptions'!E62*(1)-'Assumptions'!E67-(0))+('Working Capital'!$E$6))*'DCF'!E12/(1+(G197))^'DCF'!E13,(('Historical Inputs'!$N$9*(1+(D197))^2)*(('Assumptions'!F37+(E197))*(1-'Assumptions'!F42-(0))+'Assumptions'!F47-'Assumptions'!F52*(F197)+'Assumptions'!F57-'Assumptions'!F62*(1)-'Assumptions'!F67-(0))+(('Historical Inputs'!$N$9*(1+(D197))^1)*('Assumptions'!E67+(0))))*'DCF'!F12/(1+(G197))^'DCF'!F13,(('Historical Inputs'!$N$9*(1+(D197))^3)*(('Assumptions'!G37+(E197))*(1-'Assumptions'!G42-(0))+'Assumptions'!G47-'Assumptions'!G52*(F197)+'Assumptions'!G57-'Assumptions'!G62*(1)-'Assumptions'!G67-(0))+(('Historical Inputs'!$N$9*(1+(D197))^2)*('Assumptions'!F67+(0))))*'DCF'!G12/(1+(G197))^'DCF'!G13,(('Historical Inputs'!$N$9*(1+(D197))^4)*(('Assumptions'!H37+(E197))*(1-'Assumptions'!H42-(0))+'Assumptions'!H47-'Assumptions'!H52*(F197)+'Assumptions'!H57-'Assumptions'!H62*(1)-'Assumptions'!H67-(0))+(('Historical Inputs'!$N$9*(1+(D197))^3)*('Assumptions'!G67+(0))))*'DCF'!H12/(1+(G197))^'DCF'!H13,(('Historical Inputs'!$N$9*(1+(D197))^5)*(('Assumptions'!I37+(E197))*(1-'Assumptions'!I42-(0))+'Assumptions'!I47-'Assumptions'!I52*(F197)+'Assumptions'!I57-'Assumptions'!I62*(1)-'Assumptions'!I67-(0))+(('Historical Inputs'!$N$9*(1+(D197))^4)*('Assumptions'!H67+(0))))*'DCF'!I12/(1+(G197))^'DCF'!I13)+('Historical Inputs'!$N$9*(1+(D197))^5)*(1+(H197))*('Terminal Value'!$E$10+(E197))*(1-'Assumptions'!$E$15-(0))*(1-(H197)/('Terminal Value'!$E$12))/((G197)-(H197))/(1+(G197))^'DCF'!$E$19)+'Equity Bridge'!$E$17)/'Equity Bridge'!$E$20</x:f>
        <x:v>259.2027873349545</x:v>
      </x:c>
      <x:c r="X197" s="255" t="n">
        <x:v>0.23189648146714847</x:v>
      </x:c>
      <x:c r="Y197" s="255" t="n">
        <x:v>0.9889038797397496</x:v>
      </x:c>
      <x:c r="Z197" s="255" t="n">
        <x:v>0.9400234806415259</x:v>
      </x:c>
      <x:c r="AA197" s="255" t="n">
        <x:v>0.900070232895574</x:v>
      </x:c>
      <x:c r="AB197" s="255" t="n">
        <x:v>0.6797636151839719</x:v>
      </x:c>
    </x:row>
    <x:row r="198" ht="24" customHeight="1">
      <x:c r="C198" s="256" t="n">
        <x:f>167</x:f>
        <x:v>167</x:v>
      </x:c>
      <x:c r="D198" s="258" t="n">
        <x:f>IF(X198&lt;($E$12-$D$12)/($F$12-$D$12),$D$12+SQRT(X198*($F$12-$D$12)*($E$12-$D$12)),$F$12-SQRT((1-X198)*($F$12-$D$12)*($F$12-$E$12)))</x:f>
        <x:v>0.14707560416619614</x:v>
      </x:c>
      <x:c r="E198" s="258" t="n">
        <x:f>IF(Y198&lt;($E$13-$D$13)/($F$13-$D$13),$D$13+SQRT(Y198*($F$13-$D$13)*($E$13-$D$13)),$F$13-SQRT((1-Y198)*($F$13-$D$13)*($F$13-$E$13)))</x:f>
        <x:v>-0.029124534597754197</x:v>
      </x:c>
      <x:c r="F198" s="260" t="n">
        <x:f>IF(Z198&lt;($E$14-$D$14)/($F$14-$D$14),$D$14+SQRT(Z198*($F$14-$D$14)*($E$14-$D$14)),$F$14-SQRT((1-Z198)*($F$14-$D$14)*($F$14-$E$14)))</x:f>
        <x:v>1.0832446364274446</x:v>
      </x:c>
      <x:c r="G198" s="258" t="n">
        <x:f>IF(AA198&lt;($E$15-$D$15)/($F$15-$D$15),$D$15+SQRT(AA198*($F$15-$D$15)*($E$15-$D$15)),$F$15-SQRT((1-AA198)*($F$15-$D$15)*($F$15-$E$15)))</x:f>
        <x:v>0.10289303955913952</x:v>
      </x:c>
      <x:c r="H198" s="258" t="n">
        <x:f>IF(AB198&lt;($E$16-$D$16)/($F$16-$D$16),$D$16+SQRT(AB198*($F$16-$D$16)*($E$16-$D$16)),$F$16-SQRT((1-AB198)*($F$16-$D$16)*($F$16-$E$16)))</x:f>
        <x:v>0.026306219218526078</x:v>
      </x:c>
      <x:c r="I198" s="262" t="n">
        <x:f>'Historical Inputs'!$N$9*(1+D198)^5</x:f>
        <x:v>659003.380963028</x:v>
      </x:c>
      <x:c r="J198" s="262" t="n">
        <x:f>I198*(1+H198)*('Terminal Value'!$E$10+E198)*(1-'Assumptions'!$E$15)*(1-H198/'Terminal Value'!$E$12)</x:f>
        <x:v>174275.75285893027</x:v>
      </x:c>
      <x:c r="K198" s="264" t="n">
        <x:f>((SUM((('Historical Inputs'!$N$9*(1+(D198))^1)*(('Assumptions'!E37+(E198))*(1-'Assumptions'!E42-(0))+'Assumptions'!E47-'Assumptions'!E52*(F198)+'Assumptions'!E57-'Assumptions'!E62*(1)-'Assumptions'!E67-(0))+('Working Capital'!$E$6))*'DCF'!E12/(1+(G198))^'DCF'!E13,(('Historical Inputs'!$N$9*(1+(D198))^2)*(('Assumptions'!F37+(E198))*(1-'Assumptions'!F42-(0))+'Assumptions'!F47-'Assumptions'!F52*(F198)+'Assumptions'!F57-'Assumptions'!F62*(1)-'Assumptions'!F67-(0))+(('Historical Inputs'!$N$9*(1+(D198))^1)*('Assumptions'!E67+(0))))*'DCF'!F12/(1+(G198))^'DCF'!F13,(('Historical Inputs'!$N$9*(1+(D198))^3)*(('Assumptions'!G37+(E198))*(1-'Assumptions'!G42-(0))+'Assumptions'!G47-'Assumptions'!G52*(F198)+'Assumptions'!G57-'Assumptions'!G62*(1)-'Assumptions'!G67-(0))+(('Historical Inputs'!$N$9*(1+(D198))^2)*('Assumptions'!F67+(0))))*'DCF'!G12/(1+(G198))^'DCF'!G13,(('Historical Inputs'!$N$9*(1+(D198))^4)*(('Assumptions'!H37+(E198))*(1-'Assumptions'!H42-(0))+'Assumptions'!H47-'Assumptions'!H52*(F198)+'Assumptions'!H57-'Assumptions'!H62*(1)-'Assumptions'!H67-(0))+(('Historical Inputs'!$N$9*(1+(D198))^3)*('Assumptions'!G67+(0))))*'DCF'!H12/(1+(G198))^'DCF'!H13,(('Historical Inputs'!$N$9*(1+(D198))^5)*(('Assumptions'!I37+(E198))*(1-'Assumptions'!I42-(0))+'Assumptions'!I47-'Assumptions'!I52*(F198)+'Assumptions'!I57-'Assumptions'!I62*(1)-'Assumptions'!I67-(0))+(('Historical Inputs'!$N$9*(1+(D198))^4)*('Assumptions'!H67+(0))))*'DCF'!I12/(1+(G198))^'DCF'!I13)+('Historical Inputs'!$N$9*(1+(D198))^5)*(1+(H198))*('Terminal Value'!$E$10+(E198))*(1-'Assumptions'!$E$15-(0))*(1-(H198)/('Terminal Value'!$E$12))/((G198)-(H198))/(1+(G198))^'DCF'!$E$19)+'Equity Bridge'!$E$17)/'Equity Bridge'!$E$20</x:f>
        <x:v>236.69075660687216</x:v>
      </x:c>
      <x:c r="X198" s="255" t="n">
        <x:v>0.5734553325850912</x:v>
      </x:c>
      <x:c r="Y198" s="255" t="n">
        <x:v>0.0871570111520723</x:v>
      </x:c>
      <x:c r="Z198" s="255" t="n">
        <x:v>0.8052597868148631</x:v>
      </x:c>
      <x:c r="AA198" s="255" t="n">
        <x:v>0.766649407479975</x:v>
      </x:c>
      <x:c r="AB198" s="255" t="n">
        <x:v>0.19884200416053854</x:v>
      </x:c>
    </x:row>
    <x:row r="199" ht="24" customHeight="1">
      <x:c r="C199" s="256" t="n">
        <x:f>168</x:f>
        <x:v>168</x:v>
      </x:c>
      <x:c r="D199" s="258" t="n">
        <x:f>IF(X199&lt;($E$12-$D$12)/($F$12-$D$12),$D$12+SQRT(X199*($F$12-$D$12)*($E$12-$D$12)),$F$12-SQRT((1-X199)*($F$12-$D$12)*($F$12-$E$12)))</x:f>
        <x:v>0.1552257444598345</x:v>
      </x:c>
      <x:c r="E199" s="258" t="n">
        <x:f>IF(Y199&lt;($E$13-$D$13)/($F$13-$D$13),$D$13+SQRT(Y199*($F$13-$D$13)*($E$13-$D$13)),$F$13-SQRT((1-Y199)*($F$13-$D$13)*($F$13-$E$13)))</x:f>
        <x:v>0.005261118420419132</x:v>
      </x:c>
      <x:c r="F199" s="260" t="n">
        <x:f>IF(Z199&lt;($E$14-$D$14)/($F$14-$D$14),$D$14+SQRT(Z199*($F$14-$D$14)*($E$14-$D$14)),$F$14-SQRT((1-Z199)*($F$14-$D$14)*($F$14-$E$14)))</x:f>
        <x:v>1.046251015416863</x:v>
      </x:c>
      <x:c r="G199" s="258" t="n">
        <x:f>IF(AA199&lt;($E$15-$D$15)/($F$15-$D$15),$D$15+SQRT(AA199*($F$15-$D$15)*($E$15-$D$15)),$F$15-SQRT((1-AA199)*($F$15-$D$15)*($F$15-$E$15)))</x:f>
        <x:v>0.10585187193929407</x:v>
      </x:c>
      <x:c r="H199" s="258" t="n">
        <x:f>IF(AB199&lt;($E$16-$D$16)/($F$16-$D$16),$D$16+SQRT(AB199*($F$16-$D$16)*($E$16-$D$16)),$F$16-SQRT((1-AB199)*($F$16-$D$16)*($F$16-$E$16)))</x:f>
        <x:v>0.03535611851373656</x:v>
      </x:c>
      <x:c r="I199" s="262" t="n">
        <x:f>'Historical Inputs'!$N$9*(1+D199)^5</x:f>
        <x:v>682750.0165948621</x:v>
      </x:c>
      <x:c r="J199" s="262" t="n">
        <x:f>I199*(1+H199)*('Terminal Value'!$E$10+E199)*(1-'Assumptions'!$E$15)*(1-H199/'Terminal Value'!$E$12)</x:f>
        <x:v>188665.28662674502</x:v>
      </x:c>
      <x:c r="K199" s="264" t="n">
        <x:f>((SUM((('Historical Inputs'!$N$9*(1+(D199))^1)*(('Assumptions'!E37+(E199))*(1-'Assumptions'!E42-(0))+'Assumptions'!E47-'Assumptions'!E52*(F199)+'Assumptions'!E57-'Assumptions'!E62*(1)-'Assumptions'!E67-(0))+('Working Capital'!$E$6))*'DCF'!E12/(1+(G199))^'DCF'!E13,(('Historical Inputs'!$N$9*(1+(D199))^2)*(('Assumptions'!F37+(E199))*(1-'Assumptions'!F42-(0))+'Assumptions'!F47-'Assumptions'!F52*(F199)+'Assumptions'!F57-'Assumptions'!F62*(1)-'Assumptions'!F67-(0))+(('Historical Inputs'!$N$9*(1+(D199))^1)*('Assumptions'!E67+(0))))*'DCF'!F12/(1+(G199))^'DCF'!F13,(('Historical Inputs'!$N$9*(1+(D199))^3)*(('Assumptions'!G37+(E199))*(1-'Assumptions'!G42-(0))+'Assumptions'!G47-'Assumptions'!G52*(F199)+'Assumptions'!G57-'Assumptions'!G62*(1)-'Assumptions'!G67-(0))+(('Historical Inputs'!$N$9*(1+(D199))^2)*('Assumptions'!F67+(0))))*'DCF'!G12/(1+(G199))^'DCF'!G13,(('Historical Inputs'!$N$9*(1+(D199))^4)*(('Assumptions'!H37+(E199))*(1-'Assumptions'!H42-(0))+'Assumptions'!H47-'Assumptions'!H52*(F199)+'Assumptions'!H57-'Assumptions'!H62*(1)-'Assumptions'!H67-(0))+(('Historical Inputs'!$N$9*(1+(D199))^3)*('Assumptions'!G67+(0))))*'DCF'!H12/(1+(G199))^'DCF'!H13,(('Historical Inputs'!$N$9*(1+(D199))^5)*(('Assumptions'!I37+(E199))*(1-'Assumptions'!I42-(0))+'Assumptions'!I47-'Assumptions'!I52*(F199)+'Assumptions'!I57-'Assumptions'!I62*(1)-'Assumptions'!I67-(0))+(('Historical Inputs'!$N$9*(1+(D199))^4)*('Assumptions'!H67+(0))))*'DCF'!I12/(1+(G199))^'DCF'!I13)+('Historical Inputs'!$N$9*(1+(D199))^5)*(1+(H199))*('Terminal Value'!$E$10+(E199))*(1-'Assumptions'!$E$15-(0))*(1-(H199)/('Terminal Value'!$E$12))/((G199)-(H199))/(1+(G199))^'DCF'!$E$19)+'Equity Bridge'!$E$17)/'Equity Bridge'!$E$20</x:f>
        <x:v>278.10901536579536</x:v>
      </x:c>
      <x:c r="X199" s="255" t="n">
        <x:v>0.7107243883786851</x:v>
      </x:c>
      <x:c r="Y199" s="255" t="n">
        <x:v>0.599686495001648</x:v>
      </x:c>
      <x:c r="Z199" s="255" t="n">
        <x:v>0.6623035677093472</x:v>
      </x:c>
      <x:c r="AA199" s="255" t="n">
        <x:v>0.8819506807862048</x:v>
      </x:c>
      <x:c r="AB199" s="255" t="n">
        <x:v>0.8921718237076982</x:v>
      </x:c>
    </x:row>
    <x:row r="200" ht="24" customHeight="1">
      <x:c r="C200" s="256" t="n">
        <x:f>169</x:f>
        <x:v>169</x:v>
      </x:c>
      <x:c r="D200" s="258" t="n">
        <x:f>IF(X200&lt;($E$12-$D$12)/($F$12-$D$12),$D$12+SQRT(X200*($F$12-$D$12)*($E$12-$D$12)),$F$12-SQRT((1-X200)*($F$12-$D$12)*($F$12-$E$12)))</x:f>
        <x:v>0.16043699671636075</x:v>
      </x:c>
      <x:c r="E200" s="258" t="n">
        <x:f>IF(Y200&lt;($E$13-$D$13)/($F$13-$D$13),$D$13+SQRT(Y200*($F$13-$D$13)*($E$13-$D$13)),$F$13-SQRT((1-Y200)*($F$13-$D$13)*($F$13-$E$13)))</x:f>
        <x:v>-0.020707206466778698</x:v>
      </x:c>
      <x:c r="F200" s="260" t="n">
        <x:f>IF(Z200&lt;($E$14-$D$14)/($F$14-$D$14),$D$14+SQRT(Z200*($F$14-$D$14)*($E$14-$D$14)),$F$14-SQRT((1-Z200)*($F$14-$D$14)*($F$14-$E$14)))</x:f>
        <x:v>0.9921048071762657</x:v>
      </x:c>
      <x:c r="G200" s="258" t="n">
        <x:f>IF(AA200&lt;($E$15-$D$15)/($F$15-$D$15),$D$15+SQRT(AA200*($F$15-$D$15)*($E$15-$D$15)),$F$15-SQRT((1-AA200)*($F$15-$D$15)*($F$15-$E$15)))</x:f>
        <x:v>0.09556834763879188</x:v>
      </x:c>
      <x:c r="H200" s="258" t="n">
        <x:f>IF(AB200&lt;($E$16-$D$16)/($F$16-$D$16),$D$16+SQRT(AB200*($F$16-$D$16)*($E$16-$D$16)),$F$16-SQRT((1-AB200)*($F$16-$D$16)*($F$16-$E$16)))</x:f>
        <x:v>0.025944849129246536</x:v>
      </x:c>
      <x:c r="I200" s="262" t="n">
        <x:f>'Historical Inputs'!$N$9*(1+D200)^5</x:f>
        <x:v>698289.0920130152</x:v>
      </x:c>
      <x:c r="J200" s="262" t="n">
        <x:f>I200*(1+H200)*('Terminal Value'!$E$10+E200)*(1-'Assumptions'!$E$15)*(1-H200/'Terminal Value'!$E$12)</x:f>
        <x:v>189182.40231644717</x:v>
      </x:c>
      <x:c r="K200" s="264" t="n">
        <x:f>((SUM((('Historical Inputs'!$N$9*(1+(D200))^1)*(('Assumptions'!E37+(E200))*(1-'Assumptions'!E42-(0))+'Assumptions'!E47-'Assumptions'!E52*(F200)+'Assumptions'!E57-'Assumptions'!E62*(1)-'Assumptions'!E67-(0))+('Working Capital'!$E$6))*'DCF'!E12/(1+(G200))^'DCF'!E13,(('Historical Inputs'!$N$9*(1+(D200))^2)*(('Assumptions'!F37+(E200))*(1-'Assumptions'!F42-(0))+'Assumptions'!F47-'Assumptions'!F52*(F200)+'Assumptions'!F57-'Assumptions'!F62*(1)-'Assumptions'!F67-(0))+(('Historical Inputs'!$N$9*(1+(D200))^1)*('Assumptions'!E67+(0))))*'DCF'!F12/(1+(G200))^'DCF'!F13,(('Historical Inputs'!$N$9*(1+(D200))^3)*(('Assumptions'!G37+(E200))*(1-'Assumptions'!G42-(0))+'Assumptions'!G47-'Assumptions'!G52*(F200)+'Assumptions'!G57-'Assumptions'!G62*(1)-'Assumptions'!G67-(0))+(('Historical Inputs'!$N$9*(1+(D200))^2)*('Assumptions'!F67+(0))))*'DCF'!G12/(1+(G200))^'DCF'!G13,(('Historical Inputs'!$N$9*(1+(D200))^4)*(('Assumptions'!H37+(E200))*(1-'Assumptions'!H42-(0))+'Assumptions'!H47-'Assumptions'!H52*(F200)+'Assumptions'!H57-'Assumptions'!H62*(1)-'Assumptions'!H67-(0))+(('Historical Inputs'!$N$9*(1+(D200))^3)*('Assumptions'!G67+(0))))*'DCF'!H12/(1+(G200))^'DCF'!H13,(('Historical Inputs'!$N$9*(1+(D200))^5)*(('Assumptions'!I37+(E200))*(1-'Assumptions'!I42-(0))+'Assumptions'!I47-'Assumptions'!I52*(F200)+'Assumptions'!I57-'Assumptions'!I62*(1)-'Assumptions'!I67-(0))+(('Historical Inputs'!$N$9*(1+(D200))^4)*('Assumptions'!H67+(0))))*'DCF'!I12/(1+(G200))^'DCF'!I13)+('Historical Inputs'!$N$9*(1+(D200))^5)*(1+(H200))*('Terminal Value'!$E$10+(E200))*(1-'Assumptions'!$E$15-(0))*(1-(H200)/('Terminal Value'!$E$12))/((G200)-(H200))/(1+(G200))^'DCF'!$E$19)+'Equity Bridge'!$E$17)/'Equity Bridge'!$E$20</x:f>
        <x:v>292.2188404276577</x:v>
      </x:c>
      <x:c r="X200" s="255" t="n">
        <x:v>0.7845691903597765</x:v>
      </x:c>
      <x:c r="Y200" s="255" t="n">
        <x:v>0.17161355059598637</x:v>
      </x:c>
      <x:c r="Z200" s="255" t="n">
        <x:v>0.384643356621022</x:v>
      </x:c>
      <x:c r="AA200" s="255" t="n">
        <x:v>0.34323254625006605</x:v>
      </x:c>
      <x:c r="AB200" s="255" t="n">
        <x:v>0.17670615584751648</x:v>
      </x:c>
    </x:row>
    <x:row r="201" ht="24" customHeight="1">
      <x:c r="C201" s="256" t="n">
        <x:f>170</x:f>
        <x:v>170</x:v>
      </x:c>
      <x:c r="D201" s="258" t="n">
        <x:f>IF(X201&lt;($E$12-$D$12)/($F$12-$D$12),$D$12+SQRT(X201*($F$12-$D$12)*($E$12-$D$12)),$F$12-SQRT((1-X201)*($F$12-$D$12)*($F$12-$E$12)))</x:f>
        <x:v>0.10221597735696726</x:v>
      </x:c>
      <x:c r="E201" s="258" t="n">
        <x:f>IF(Y201&lt;($E$13-$D$13)/($F$13-$D$13),$D$13+SQRT(Y201*($F$13-$D$13)*($E$13-$D$13)),$F$13-SQRT((1-Y201)*($F$13-$D$13)*($F$13-$E$13)))</x:f>
        <x:v>-0.013457837217014393</x:v>
      </x:c>
      <x:c r="F201" s="260" t="n">
        <x:f>IF(Z201&lt;($E$14-$D$14)/($F$14-$D$14),$D$14+SQRT(Z201*($F$14-$D$14)*($E$14-$D$14)),$F$14-SQRT((1-Z201)*($F$14-$D$14)*($F$14-$E$14)))</x:f>
        <x:v>1.0087255466563148</x:v>
      </x:c>
      <x:c r="G201" s="258" t="n">
        <x:f>IF(AA201&lt;($E$15-$D$15)/($F$15-$D$15),$D$15+SQRT(AA201*($F$15-$D$15)*($E$15-$D$15)),$F$15-SQRT((1-AA201)*($F$15-$D$15)*($F$15-$E$15)))</x:f>
        <x:v>0.10018696751051848</x:v>
      </x:c>
      <x:c r="H201" s="258" t="n">
        <x:f>IF(AB201&lt;($E$16-$D$16)/($F$16-$D$16),$D$16+SQRT(AB201*($F$16-$D$16)*($E$16-$D$16)),$F$16-SQRT((1-AB201)*($F$16-$D$16)*($F$16-$E$16)))</x:f>
        <x:v>0.02945828244416463</x:v>
      </x:c>
      <x:c r="I201" s="262" t="n">
        <x:f>'Historical Inputs'!$N$9*(1+D201)^5</x:f>
        <x:v>539834.8733686102</x:v>
      </x:c>
      <x:c r="J201" s="262" t="n">
        <x:f>I201*(1+H201)*('Terminal Value'!$E$10+E201)*(1-'Assumptions'!$E$15)*(1-H201/'Terminal Value'!$E$12)</x:f>
        <x:v>146540.33660182141</x:v>
      </x:c>
      <x:c r="K201" s="264" t="n">
        <x:f>((SUM((('Historical Inputs'!$N$9*(1+(D201))^1)*(('Assumptions'!E37+(E201))*(1-'Assumptions'!E42-(0))+'Assumptions'!E47-'Assumptions'!E52*(F201)+'Assumptions'!E57-'Assumptions'!E62*(1)-'Assumptions'!E67-(0))+('Working Capital'!$E$6))*'DCF'!E12/(1+(G201))^'DCF'!E13,(('Historical Inputs'!$N$9*(1+(D201))^2)*(('Assumptions'!F37+(E201))*(1-'Assumptions'!F42-(0))+'Assumptions'!F47-'Assumptions'!F52*(F201)+'Assumptions'!F57-'Assumptions'!F62*(1)-'Assumptions'!F67-(0))+(('Historical Inputs'!$N$9*(1+(D201))^1)*('Assumptions'!E67+(0))))*'DCF'!F12/(1+(G201))^'DCF'!F13,(('Historical Inputs'!$N$9*(1+(D201))^3)*(('Assumptions'!G37+(E201))*(1-'Assumptions'!G42-(0))+'Assumptions'!G47-'Assumptions'!G52*(F201)+'Assumptions'!G57-'Assumptions'!G62*(1)-'Assumptions'!G67-(0))+(('Historical Inputs'!$N$9*(1+(D201))^2)*('Assumptions'!F67+(0))))*'DCF'!G12/(1+(G201))^'DCF'!G13,(('Historical Inputs'!$N$9*(1+(D201))^4)*(('Assumptions'!H37+(E201))*(1-'Assumptions'!H42-(0))+'Assumptions'!H47-'Assumptions'!H52*(F201)+'Assumptions'!H57-'Assumptions'!H62*(1)-'Assumptions'!H67-(0))+(('Historical Inputs'!$N$9*(1+(D201))^3)*('Assumptions'!G67+(0))))*'DCF'!H12/(1+(G201))^'DCF'!H13,(('Historical Inputs'!$N$9*(1+(D201))^5)*(('Assumptions'!I37+(E201))*(1-'Assumptions'!I42-(0))+'Assumptions'!I47-'Assumptions'!I52*(F201)+'Assumptions'!I57-'Assumptions'!I62*(1)-'Assumptions'!I67-(0))+(('Historical Inputs'!$N$9*(1+(D201))^4)*('Assumptions'!H67+(0))))*'DCF'!I12/(1+(G201))^'DCF'!I13)+('Historical Inputs'!$N$9*(1+(D201))^5)*(1+(H201))*('Terminal Value'!$E$10+(E201))*(1-'Assumptions'!$E$15-(0))*(1-(H201)/('Terminal Value'!$E$12))/((G201)-(H201))/(1+(G201))^'DCF'!$E$19)+'Equity Bridge'!$E$17)/'Equity Bridge'!$E$20</x:f>
        <x:v>222.69505048890625</x:v>
      </x:c>
      <x:c r="X201" s="255" t="n">
        <x:v>0.016052576840964172</x:v>
      </x:c>
      <x:c r="Y201" s="255" t="n">
        <x:v>0.26706593217164365</x:v>
      </x:c>
      <x:c r="Z201" s="255" t="n">
        <x:v>0.47734404997249147</x:v>
      </x:c>
      <x:c r="AA201" s="255" t="n">
        <x:v>0.6271319606949697</x:v>
      </x:c>
      <x:c r="AB201" s="255" t="n">
        <x:v>0.4472955339679644</x:v>
      </x:c>
    </x:row>
    <x:row r="202" ht="24" customHeight="1">
      <x:c r="C202" s="256" t="n">
        <x:f>171</x:f>
        <x:v>171</x:v>
      </x:c>
      <x:c r="D202" s="258" t="n">
        <x:f>IF(X202&lt;($E$12-$D$12)/($F$12-$D$12),$D$12+SQRT(X202*($F$12-$D$12)*($E$12-$D$12)),$F$12-SQRT((1-X202)*($F$12-$D$12)*($F$12-$E$12)))</x:f>
        <x:v>0.17971311215592134</x:v>
      </x:c>
      <x:c r="E202" s="258" t="n">
        <x:f>IF(Y202&lt;($E$13-$D$13)/($F$13-$D$13),$D$13+SQRT(Y202*($F$13-$D$13)*($E$13-$D$13)),$F$13-SQRT((1-Y202)*($F$13-$D$13)*($F$13-$E$13)))</x:f>
        <x:v>0.034851009520917006</x:v>
      </x:c>
      <x:c r="F202" s="260" t="n">
        <x:f>IF(Z202&lt;($E$14-$D$14)/($F$14-$D$14),$D$14+SQRT(Z202*($F$14-$D$14)*($E$14-$D$14)),$F$14-SQRT((1-Z202)*($F$14-$D$14)*($F$14-$E$14)))</x:f>
        <x:v>0.9692867933270831</x:v>
      </x:c>
      <x:c r="G202" s="258" t="n">
        <x:f>IF(AA202&lt;($E$15-$D$15)/($F$15-$D$15),$D$15+SQRT(AA202*($F$15-$D$15)*($E$15-$D$15)),$F$15-SQRT((1-AA202)*($F$15-$D$15)*($F$15-$E$15)))</x:f>
        <x:v>0.10207842318708828</x:v>
      </x:c>
      <x:c r="H202" s="258" t="n">
        <x:f>IF(AB202&lt;($E$16-$D$16)/($F$16-$D$16),$D$16+SQRT(AB202*($F$16-$D$16)*($E$16-$D$16)),$F$16-SQRT((1-AB202)*($F$16-$D$16)*($F$16-$E$16)))</x:f>
        <x:v>0.02998925358963259</x:v>
      </x:c>
      <x:c r="I202" s="262" t="n">
        <x:f>'Historical Inputs'!$N$9*(1+D202)^5</x:f>
        <x:v>758244.8311021553</x:v>
      </x:c>
      <x:c r="J202" s="262" t="n">
        <x:f>I202*(1+H202)*('Terminal Value'!$E$10+E202)*(1-'Assumptions'!$E$15)*(1-H202/'Terminal Value'!$E$12)</x:f>
        <x:v>230950.54955255962</x:v>
      </x:c>
      <x:c r="K202" s="264" t="n">
        <x:f>((SUM((('Historical Inputs'!$N$9*(1+(D202))^1)*(('Assumptions'!E37+(E202))*(1-'Assumptions'!E42-(0))+'Assumptions'!E47-'Assumptions'!E52*(F202)+'Assumptions'!E57-'Assumptions'!E62*(1)-'Assumptions'!E67-(0))+('Working Capital'!$E$6))*'DCF'!E12/(1+(G202))^'DCF'!E13,(('Historical Inputs'!$N$9*(1+(D202))^2)*(('Assumptions'!F37+(E202))*(1-'Assumptions'!F42-(0))+'Assumptions'!F47-'Assumptions'!F52*(F202)+'Assumptions'!F57-'Assumptions'!F62*(1)-'Assumptions'!F67-(0))+(('Historical Inputs'!$N$9*(1+(D202))^1)*('Assumptions'!E67+(0))))*'DCF'!F12/(1+(G202))^'DCF'!F13,(('Historical Inputs'!$N$9*(1+(D202))^3)*(('Assumptions'!G37+(E202))*(1-'Assumptions'!G42-(0))+'Assumptions'!G47-'Assumptions'!G52*(F202)+'Assumptions'!G57-'Assumptions'!G62*(1)-'Assumptions'!G67-(0))+(('Historical Inputs'!$N$9*(1+(D202))^2)*('Assumptions'!F67+(0))))*'DCF'!G12/(1+(G202))^'DCF'!G13,(('Historical Inputs'!$N$9*(1+(D202))^4)*(('Assumptions'!H37+(E202))*(1-'Assumptions'!H42-(0))+'Assumptions'!H47-'Assumptions'!H52*(F202)+'Assumptions'!H57-'Assumptions'!H62*(1)-'Assumptions'!H67-(0))+(('Historical Inputs'!$N$9*(1+(D202))^3)*('Assumptions'!G67+(0))))*'DCF'!H12/(1+(G202))^'DCF'!H13,(('Historical Inputs'!$N$9*(1+(D202))^5)*(('Assumptions'!I37+(E202))*(1-'Assumptions'!I42-(0))+'Assumptions'!I47-'Assumptions'!I52*(F202)+'Assumptions'!I57-'Assumptions'!I62*(1)-'Assumptions'!I67-(0))+(('Historical Inputs'!$N$9*(1+(D202))^4)*('Assumptions'!H67+(0))))*'DCF'!I12/(1+(G202))^'DCF'!I13)+('Historical Inputs'!$N$9*(1+(D202))^5)*(1+(H202))*('Terminal Value'!$E$10+(E202))*(1-'Assumptions'!$E$15-(0))*(1-(H202)/('Terminal Value'!$E$12))/((G202)-(H202))/(1+(G202))^'DCF'!$E$19)+'Equity Bridge'!$E$17)/'Equity Bridge'!$E$20</x:f>
        <x:v>343.4814307236879</x:v>
      </x:c>
      <x:c r="X202" s="255" t="n">
        <x:v>0.9633125021694392</x:v>
      </x:c>
      <x:c r="Y202" s="255" t="n">
        <x:v>0.9541016174929305</x:v>
      </x:c>
      <x:c r="Z202" s="255" t="n">
        <x:v>0.2710350297572999</x:v>
      </x:c>
      <x:c r="AA202" s="255" t="n">
        <x:v>0.7280741075412666</x:v>
      </x:c>
      <x:c r="AB202" s="255" t="n">
        <x:v>0.498925936389938</x:v>
      </x:c>
    </x:row>
    <x:row r="203" ht="24" customHeight="1">
      <x:c r="C203" s="256" t="n">
        <x:f>172</x:f>
        <x:v>172</x:v>
      </x:c>
      <x:c r="D203" s="258" t="n">
        <x:f>IF(X203&lt;($E$12-$D$12)/($F$12-$D$12),$D$12+SQRT(X203*($F$12-$D$12)*($E$12-$D$12)),$F$12-SQRT((1-X203)*($F$12-$D$12)*($F$12-$E$12)))</x:f>
        <x:v>0.11438654685279462</x:v>
      </x:c>
      <x:c r="E203" s="258" t="n">
        <x:f>IF(Y203&lt;($E$13-$D$13)/($F$13-$D$13),$D$13+SQRT(Y203*($F$13-$D$13)*($E$13-$D$13)),$F$13-SQRT((1-Y203)*($F$13-$D$13)*($F$13-$E$13)))</x:f>
        <x:v>-0.00915186137324446</x:v>
      </x:c>
      <x:c r="F203" s="260" t="n">
        <x:f>IF(Z203&lt;($E$14-$D$14)/($F$14-$D$14),$D$14+SQRT(Z203*($F$14-$D$14)*($E$14-$D$14)),$F$14-SQRT((1-Z203)*($F$14-$D$14)*($F$14-$E$14)))</x:f>
        <x:v>1.0516345670402991</x:v>
      </x:c>
      <x:c r="G203" s="258" t="n">
        <x:f>IF(AA203&lt;($E$15-$D$15)/($F$15-$D$15),$D$15+SQRT(AA203*($F$15-$D$15)*($E$15-$D$15)),$F$15-SQRT((1-AA203)*($F$15-$D$15)*($F$15-$E$15)))</x:f>
        <x:v>0.10036688599973148</x:v>
      </x:c>
      <x:c r="H203" s="258" t="n">
        <x:f>IF(AB203&lt;($E$16-$D$16)/($F$16-$D$16),$D$16+SQRT(AB203*($F$16-$D$16)*($E$16-$D$16)),$F$16-SQRT((1-AB203)*($F$16-$D$16)*($F$16-$E$16)))</x:f>
        <x:v>0.026952099594597552</x:v>
      </x:c>
      <x:c r="I203" s="262" t="n">
        <x:f>'Historical Inputs'!$N$9*(1+D203)^5</x:f>
        <x:v>570304.4083968253</x:v>
      </x:c>
      <x:c r="J203" s="262" t="n">
        <x:f>I203*(1+H203)*('Terminal Value'!$E$10+E203)*(1-'Assumptions'!$E$15)*(1-H203/'Terminal Value'!$E$12)</x:f>
        <x:v>158449.65193125853</x:v>
      </x:c>
      <x:c r="K203" s="264" t="n">
        <x:f>((SUM((('Historical Inputs'!$N$9*(1+(D203))^1)*(('Assumptions'!E37+(E203))*(1-'Assumptions'!E42-(0))+'Assumptions'!E47-'Assumptions'!E52*(F203)+'Assumptions'!E57-'Assumptions'!E62*(1)-'Assumptions'!E67-(0))+('Working Capital'!$E$6))*'DCF'!E12/(1+(G203))^'DCF'!E13,(('Historical Inputs'!$N$9*(1+(D203))^2)*(('Assumptions'!F37+(E203))*(1-'Assumptions'!F42-(0))+'Assumptions'!F47-'Assumptions'!F52*(F203)+'Assumptions'!F57-'Assumptions'!F62*(1)-'Assumptions'!F67-(0))+(('Historical Inputs'!$N$9*(1+(D203))^1)*('Assumptions'!E67+(0))))*'DCF'!F12/(1+(G203))^'DCF'!F13,(('Historical Inputs'!$N$9*(1+(D203))^3)*(('Assumptions'!G37+(E203))*(1-'Assumptions'!G42-(0))+'Assumptions'!G47-'Assumptions'!G52*(F203)+'Assumptions'!G57-'Assumptions'!G62*(1)-'Assumptions'!G67-(0))+(('Historical Inputs'!$N$9*(1+(D203))^2)*('Assumptions'!F67+(0))))*'DCF'!G12/(1+(G203))^'DCF'!G13,(('Historical Inputs'!$N$9*(1+(D203))^4)*(('Assumptions'!H37+(E203))*(1-'Assumptions'!H42-(0))+'Assumptions'!H47-'Assumptions'!H52*(F203)+'Assumptions'!H57-'Assumptions'!H62*(1)-'Assumptions'!H67-(0))+(('Historical Inputs'!$N$9*(1+(D203))^3)*('Assumptions'!G67+(0))))*'DCF'!H12/(1+(G203))^'DCF'!H13,(('Historical Inputs'!$N$9*(1+(D203))^5)*(('Assumptions'!I37+(E203))*(1-'Assumptions'!I42-(0))+'Assumptions'!I47-'Assumptions'!I52*(F203)+'Assumptions'!I57-'Assumptions'!I62*(1)-'Assumptions'!I67-(0))+(('Historical Inputs'!$N$9*(1+(D203))^4)*('Assumptions'!H67+(0))))*'DCF'!I12/(1+(G203))^'DCF'!I13)+('Historical Inputs'!$N$9*(1+(D203))^5)*(1+(H203))*('Terminal Value'!$E$10+(E203))*(1-'Assumptions'!$E$15-(0))*(1-(H203)/('Terminal Value'!$E$12))/((G203)-(H203))/(1+(G203))^'DCF'!$E$19)+'Equity Bridge'!$E$17)/'Equity Bridge'!$E$20</x:f>
        <x:v>230.0677582587455</x:v>
      </x:c>
      <x:c r="X203" s="255" t="n">
        <x:v>0.08929136557110318</x:v>
      </x:c>
      <x:c r="Y203" s="255" t="n">
        <x:v>0.33371408585412754</x:v>
      </x:c>
      <x:c r="Z203" s="255" t="n">
        <x:v>0.6855385471811503</x:v>
      </x:c>
      <x:c r="AA203" s="255" t="n">
        <x:v>0.6374180546822479</x:v>
      </x:c>
      <x:c r="AB203" s="255" t="n">
        <x:v>0.24165844386601742</x:v>
      </x:c>
    </x:row>
    <x:row r="204" ht="24" customHeight="1">
      <x:c r="C204" s="256" t="n">
        <x:f>173</x:f>
        <x:v>173</x:v>
      </x:c>
      <x:c r="D204" s="258" t="n">
        <x:f>IF(X204&lt;($E$12-$D$12)/($F$12-$D$12),$D$12+SQRT(X204*($F$12-$D$12)*($E$12-$D$12)),$F$12-SQRT((1-X204)*($F$12-$D$12)*($F$12-$E$12)))</x:f>
        <x:v>0.15007828880625668</x:v>
      </x:c>
      <x:c r="E204" s="258" t="n">
        <x:f>IF(Y204&lt;($E$13-$D$13)/($F$13-$D$13),$D$13+SQRT(Y204*($F$13-$D$13)*($E$13-$D$13)),$F$13-SQRT((1-Y204)*($F$13-$D$13)*($F$13-$E$13)))</x:f>
        <x:v>0.016978432237068818</x:v>
      </x:c>
      <x:c r="F204" s="260" t="n">
        <x:f>IF(Z204&lt;($E$14-$D$14)/($F$14-$D$14),$D$14+SQRT(Z204*($F$14-$D$14)*($E$14-$D$14)),$F$14-SQRT((1-Z204)*($F$14-$D$14)*($F$14-$E$14)))</x:f>
        <x:v>0.8771092718990521</x:v>
      </x:c>
      <x:c r="G204" s="258" t="n">
        <x:f>IF(AA204&lt;($E$15-$D$15)/($F$15-$D$15),$D$15+SQRT(AA204*($F$15-$D$15)*($E$15-$D$15)),$F$15-SQRT((1-AA204)*($F$15-$D$15)*($F$15-$E$15)))</x:f>
        <x:v>0.10391023079690395</x:v>
      </x:c>
      <x:c r="H204" s="258" t="n">
        <x:f>IF(AB204&lt;($E$16-$D$16)/($F$16-$D$16),$D$16+SQRT(AB204*($F$16-$D$16)*($E$16-$D$16)),$F$16-SQRT((1-AB204)*($F$16-$D$16)*($F$16-$E$16)))</x:f>
        <x:v>0.03735568652652093</x:v>
      </x:c>
      <x:c r="I204" s="262" t="n">
        <x:f>'Historical Inputs'!$N$9*(1+D204)^5</x:f>
        <x:v>667673.9782860699</x:v>
      </x:c>
      <x:c r="J204" s="262" t="n">
        <x:f>I204*(1+H204)*('Terminal Value'!$E$10+E204)*(1-'Assumptions'!$E$15)*(1-H204/'Terminal Value'!$E$12)</x:f>
        <x:v>187890.40805860388</x:v>
      </x:c>
      <x:c r="K204" s="264" t="n">
        <x:f>((SUM((('Historical Inputs'!$N$9*(1+(D204))^1)*(('Assumptions'!E37+(E204))*(1-'Assumptions'!E42-(0))+'Assumptions'!E47-'Assumptions'!E52*(F204)+'Assumptions'!E57-'Assumptions'!E62*(1)-'Assumptions'!E67-(0))+('Working Capital'!$E$6))*'DCF'!E12/(1+(G204))^'DCF'!E13,(('Historical Inputs'!$N$9*(1+(D204))^2)*(('Assumptions'!F37+(E204))*(1-'Assumptions'!F42-(0))+'Assumptions'!F47-'Assumptions'!F52*(F204)+'Assumptions'!F57-'Assumptions'!F62*(1)-'Assumptions'!F67-(0))+(('Historical Inputs'!$N$9*(1+(D204))^1)*('Assumptions'!E67+(0))))*'DCF'!F12/(1+(G204))^'DCF'!F13,(('Historical Inputs'!$N$9*(1+(D204))^3)*(('Assumptions'!G37+(E204))*(1-'Assumptions'!G42-(0))+'Assumptions'!G47-'Assumptions'!G52*(F204)+'Assumptions'!G57-'Assumptions'!G62*(1)-'Assumptions'!G67-(0))+(('Historical Inputs'!$N$9*(1+(D204))^2)*('Assumptions'!F67+(0))))*'DCF'!G12/(1+(G204))^'DCF'!G13,(('Historical Inputs'!$N$9*(1+(D204))^4)*(('Assumptions'!H37+(E204))*(1-'Assumptions'!H42-(0))+'Assumptions'!H47-'Assumptions'!H52*(F204)+'Assumptions'!H57-'Assumptions'!H62*(1)-'Assumptions'!H67-(0))+(('Historical Inputs'!$N$9*(1+(D204))^3)*('Assumptions'!G67+(0))))*'DCF'!H12/(1+(G204))^'DCF'!H13,(('Historical Inputs'!$N$9*(1+(D204))^5)*(('Assumptions'!I37+(E204))*(1-'Assumptions'!I42-(0))+'Assumptions'!I47-'Assumptions'!I52*(F204)+'Assumptions'!I57-'Assumptions'!I62*(1)-'Assumptions'!I67-(0))+(('Historical Inputs'!$N$9*(1+(D204))^4)*('Assumptions'!H67+(0))))*'DCF'!I12/(1+(G204))^'DCF'!I13)+('Historical Inputs'!$N$9*(1+(D204))^5)*(1+(H204))*('Terminal Value'!$E$10+(E204))*(1-'Assumptions'!$E$15-(0))*(1-(H204)/('Terminal Value'!$E$12))/((G204)-(H204))/(1+(G204))^'DCF'!$E$19)+'Equity Bridge'!$E$17)/'Equity Bridge'!$E$20</x:f>
        <x:v>304.94551604602026</x:v>
      </x:c>
      <x:c r="X204" s="255" t="n">
        <x:v>0.6271194029609544</x:v>
      </x:c>
      <x:c r="Y204" s="255" t="n">
        <x:v>0.7819152124956288</x:v>
      </x:c>
      <x:c r="Z204" s="255" t="n">
        <x:v>0.013998335674223594</x:v>
      </x:c>
      <x:c r="AA204" s="255" t="n">
        <x:v>0.8106767630651566</x:v>
      </x:c>
      <x:c r="AB204" s="255" t="n">
        <x:v>0.9650380312698853</x:v>
      </x:c>
    </x:row>
    <x:row r="205" ht="24" customHeight="1">
      <x:c r="C205" s="256" t="n">
        <x:f>174</x:f>
        <x:v>174</x:v>
      </x:c>
      <x:c r="D205" s="258" t="n">
        <x:f>IF(X205&lt;($E$12-$D$12)/($F$12-$D$12),$D$12+SQRT(X205*($F$12-$D$12)*($E$12-$D$12)),$F$12-SQRT((1-X205)*($F$12-$D$12)*($F$12-$E$12)))</x:f>
        <x:v>0.12469637061624518</x:v>
      </x:c>
      <x:c r="E205" s="258" t="n">
        <x:f>IF(Y205&lt;($E$13-$D$13)/($F$13-$D$13),$D$13+SQRT(Y205*($F$13-$D$13)*($E$13-$D$13)),$F$13-SQRT((1-Y205)*($F$13-$D$13)*($F$13-$E$13)))</x:f>
        <x:v>0.0188890469729735</x:v>
      </x:c>
      <x:c r="F205" s="260" t="n">
        <x:f>IF(Z205&lt;($E$14-$D$14)/($F$14-$D$14),$D$14+SQRT(Z205*($F$14-$D$14)*($E$14-$D$14)),$F$14-SQRT((1-Z205)*($F$14-$D$14)*($F$14-$E$14)))</x:f>
        <x:v>0.9596606709565343</x:v>
      </x:c>
      <x:c r="G205" s="258" t="n">
        <x:f>IF(AA205&lt;($E$15-$D$15)/($F$15-$D$15),$D$15+SQRT(AA205*($F$15-$D$15)*($E$15-$D$15)),$F$15-SQRT((1-AA205)*($F$15-$D$15)*($F$15-$E$15)))</x:f>
        <x:v>0.09869919882247392</x:v>
      </x:c>
      <x:c r="H205" s="258" t="n">
        <x:f>IF(AB205&lt;($E$16-$D$16)/($F$16-$D$16),$D$16+SQRT(AB205*($F$16-$D$16)*($E$16-$D$16)),$F$16-SQRT((1-AB205)*($F$16-$D$16)*($F$16-$E$16)))</x:f>
        <x:v>0.033944814477679296</x:v>
      </x:c>
      <x:c r="I205" s="262" t="n">
        <x:f>'Historical Inputs'!$N$9*(1+D205)^5</x:f>
        <x:v>597178.1297941192</x:v>
      </x:c>
      <x:c r="J205" s="262" t="n">
        <x:f>I205*(1+H205)*('Terminal Value'!$E$10+E205)*(1-'Assumptions'!$E$15)*(1-H205/'Terminal Value'!$E$12)</x:f>
        <x:v>171795.85926072497</x:v>
      </x:c>
      <x:c r="K205" s="264" t="n">
        <x:f>((SUM((('Historical Inputs'!$N$9*(1+(D205))^1)*(('Assumptions'!E37+(E205))*(1-'Assumptions'!E42-(0))+'Assumptions'!E47-'Assumptions'!E52*(F205)+'Assumptions'!E57-'Assumptions'!E62*(1)-'Assumptions'!E67-(0))+('Working Capital'!$E$6))*'DCF'!E12/(1+(G205))^'DCF'!E13,(('Historical Inputs'!$N$9*(1+(D205))^2)*(('Assumptions'!F37+(E205))*(1-'Assumptions'!F42-(0))+'Assumptions'!F47-'Assumptions'!F52*(F205)+'Assumptions'!F57-'Assumptions'!F62*(1)-'Assumptions'!F67-(0))+(('Historical Inputs'!$N$9*(1+(D205))^1)*('Assumptions'!E67+(0))))*'DCF'!F12/(1+(G205))^'DCF'!F13,(('Historical Inputs'!$N$9*(1+(D205))^3)*(('Assumptions'!G37+(E205))*(1-'Assumptions'!G42-(0))+'Assumptions'!G47-'Assumptions'!G52*(F205)+'Assumptions'!G57-'Assumptions'!G62*(1)-'Assumptions'!G67-(0))+(('Historical Inputs'!$N$9*(1+(D205))^2)*('Assumptions'!F67+(0))))*'DCF'!G12/(1+(G205))^'DCF'!G13,(('Historical Inputs'!$N$9*(1+(D205))^4)*(('Assumptions'!H37+(E205))*(1-'Assumptions'!H42-(0))+'Assumptions'!H47-'Assumptions'!H52*(F205)+'Assumptions'!H57-'Assumptions'!H62*(1)-'Assumptions'!H67-(0))+(('Historical Inputs'!$N$9*(1+(D205))^3)*('Assumptions'!G67+(0))))*'DCF'!H12/(1+(G205))^'DCF'!H13,(('Historical Inputs'!$N$9*(1+(D205))^5)*(('Assumptions'!I37+(E205))*(1-'Assumptions'!I42-(0))+'Assumptions'!I47-'Assumptions'!I52*(F205)+'Assumptions'!I57-'Assumptions'!I62*(1)-'Assumptions'!I67-(0))+(('Historical Inputs'!$N$9*(1+(D205))^4)*('Assumptions'!H67+(0))))*'DCF'!I12/(1+(G205))^'DCF'!I13)+('Historical Inputs'!$N$9*(1+(D205))^5)*(1+(H205))*('Terminal Value'!$E$10+(E205))*(1-'Assumptions'!$E$15-(0))*(1-(H205)/('Terminal Value'!$E$12))/((G205)-(H205))/(1+(G205))^'DCF'!$E$19)+'Equity Bridge'!$E$17)/'Equity Bridge'!$E$20</x:f>
        <x:v>286.76742528099334</x:v>
      </x:c>
      <x:c r="X205" s="255" t="n">
        <x:v>0.19768653047021678</x:v>
      </x:c>
      <x:c r="Y205" s="255" t="n">
        <x:v>0.8064217203500301</x:v>
      </x:c>
      <x:c r="Z205" s="255" t="n">
        <x:v>0.2290564334216625</x:v>
      </x:c>
      <x:c r="AA205" s="255" t="n">
        <x:v>0.5365613233293556</x:v>
      </x:c>
      <x:c r="AB205" s="255" t="n">
        <x:v>0.8166736414513889</x:v>
      </x:c>
    </x:row>
    <x:row r="206" ht="24" customHeight="1">
      <x:c r="C206" s="256" t="n">
        <x:f>175</x:f>
        <x:v>175</x:v>
      </x:c>
      <x:c r="D206" s="258" t="n">
        <x:f>IF(X206&lt;($E$12-$D$12)/($F$12-$D$12),$D$12+SQRT(X206*($F$12-$D$12)*($E$12-$D$12)),$F$12-SQRT((1-X206)*($F$12-$D$12)*($F$12-$E$12)))</x:f>
        <x:v>0.11976301651116905</x:v>
      </x:c>
      <x:c r="E206" s="258" t="n">
        <x:f>IF(Y206&lt;($E$13-$D$13)/($F$13-$D$13),$D$13+SQRT(Y206*($F$13-$D$13)*($E$13-$D$13)),$F$13-SQRT((1-Y206)*($F$13-$D$13)*($F$13-$E$13)))</x:f>
        <x:v>-0.012022170998764972</x:v>
      </x:c>
      <x:c r="F206" s="260" t="n">
        <x:f>IF(Z206&lt;($E$14-$D$14)/($F$14-$D$14),$D$14+SQRT(Z206*($F$14-$D$14)*($E$14-$D$14)),$F$14-SQRT((1-Z206)*($F$14-$D$14)*($F$14-$E$14)))</x:f>
        <x:v>0.955723616036222</x:v>
      </x:c>
      <x:c r="G206" s="258" t="n">
        <x:f>IF(AA206&lt;($E$15-$D$15)/($F$15-$D$15),$D$15+SQRT(AA206*($F$15-$D$15)*($E$15-$D$15)),$F$15-SQRT((1-AA206)*($F$15-$D$15)*($F$15-$E$15)))</x:f>
        <x:v>0.0875538845193885</x:v>
      </x:c>
      <x:c r="H206" s="258" t="n">
        <x:f>IF(AB206&lt;($E$16-$D$16)/($F$16-$D$16),$D$16+SQRT(AB206*($F$16-$D$16)*($E$16-$D$16)),$F$16-SQRT((1-AB206)*($F$16-$D$16)*($F$16-$E$16)))</x:f>
        <x:v>0.026135715055286775</x:v>
      </x:c>
      <x:c r="I206" s="262" t="n">
        <x:f>'Historical Inputs'!$N$9*(1+D206)^5</x:f>
        <x:v>584195.2529091992</x:v>
      </x:c>
      <x:c r="J206" s="262" t="n">
        <x:f>I206*(1+H206)*('Terminal Value'!$E$10+E206)*(1-'Assumptions'!$E$15)*(1-H206/'Terminal Value'!$E$12)</x:f>
        <x:v>161748.44192130346</x:v>
      </x:c>
      <x:c r="K206" s="264" t="n">
        <x:f>((SUM((('Historical Inputs'!$N$9*(1+(D206))^1)*(('Assumptions'!E37+(E206))*(1-'Assumptions'!E42-(0))+'Assumptions'!E47-'Assumptions'!E52*(F206)+'Assumptions'!E57-'Assumptions'!E62*(1)-'Assumptions'!E67-(0))+('Working Capital'!$E$6))*'DCF'!E12/(1+(G206))^'DCF'!E13,(('Historical Inputs'!$N$9*(1+(D206))^2)*(('Assumptions'!F37+(E206))*(1-'Assumptions'!F42-(0))+'Assumptions'!F47-'Assumptions'!F52*(F206)+'Assumptions'!F57-'Assumptions'!F62*(1)-'Assumptions'!F67-(0))+(('Historical Inputs'!$N$9*(1+(D206))^1)*('Assumptions'!E67+(0))))*'DCF'!F12/(1+(G206))^'DCF'!F13,(('Historical Inputs'!$N$9*(1+(D206))^3)*(('Assumptions'!G37+(E206))*(1-'Assumptions'!G42-(0))+'Assumptions'!G47-'Assumptions'!G52*(F206)+'Assumptions'!G57-'Assumptions'!G62*(1)-'Assumptions'!G67-(0))+(('Historical Inputs'!$N$9*(1+(D206))^2)*('Assumptions'!F67+(0))))*'DCF'!G12/(1+(G206))^'DCF'!G13,(('Historical Inputs'!$N$9*(1+(D206))^4)*(('Assumptions'!H37+(E206))*(1-'Assumptions'!H42-(0))+'Assumptions'!H47-'Assumptions'!H52*(F206)+'Assumptions'!H57-'Assumptions'!H62*(1)-'Assumptions'!H67-(0))+(('Historical Inputs'!$N$9*(1+(D206))^3)*('Assumptions'!G67+(0))))*'DCF'!H12/(1+(G206))^'DCF'!H13,(('Historical Inputs'!$N$9*(1+(D206))^5)*(('Assumptions'!I37+(E206))*(1-'Assumptions'!I42-(0))+'Assumptions'!I47-'Assumptions'!I52*(F206)+'Assumptions'!I57-'Assumptions'!I62*(1)-'Assumptions'!I67-(0))+(('Historical Inputs'!$N$9*(1+(D206))^4)*('Assumptions'!H67+(0))))*'DCF'!I12/(1+(G206))^'DCF'!I13)+('Historical Inputs'!$N$9*(1+(D206))^5)*(1+(H206))*('Terminal Value'!$E$10+(E206))*(1-'Assumptions'!$E$15-(0))*(1-(H206)/('Terminal Value'!$E$12))/((G206)-(H206))/(1+(G206))^'DCF'!$E$19)+'Equity Bridge'!$E$17)/'Equity Bridge'!$E$20</x:f>
        <x:v>291.199278725323</x:v>
      </x:c>
      <x:c r="X206" s="255" t="n">
        <x:v>0.14051355084943373</x:v>
      </x:c>
      <x:c r="Y206" s="255" t="n">
        <x:v>0.2884630991294097</x:v>
      </x:c>
      <x:c r="Z206" s="255" t="n">
        <x:v>0.21290443786237168</x:v>
      </x:c>
      <x:c r="AA206" s="255" t="n">
        <x:v>0.04328692593552186</x:v>
      </x:c>
      <x:c r="AB206" s="255" t="n">
        <x:v>0.18823499619836404</x:v>
      </x:c>
    </x:row>
    <x:row r="207" ht="24" customHeight="1">
      <x:c r="C207" s="256" t="n">
        <x:f>176</x:f>
        <x:v>176</x:v>
      </x:c>
      <x:c r="D207" s="258" t="n">
        <x:f>IF(X207&lt;($E$12-$D$12)/($F$12-$D$12),$D$12+SQRT(X207*($F$12-$D$12)*($E$12-$D$12)),$F$12-SQRT((1-X207)*($F$12-$D$12)*($F$12-$E$12)))</x:f>
        <x:v>0.14368123450339193</x:v>
      </x:c>
      <x:c r="E207" s="258" t="n">
        <x:f>IF(Y207&lt;($E$13-$D$13)/($F$13-$D$13),$D$13+SQRT(Y207*($F$13-$D$13)*($E$13-$D$13)),$F$13-SQRT((1-Y207)*($F$13-$D$13)*($F$13-$E$13)))</x:f>
        <x:v>-0.014717972903288822</x:v>
      </x:c>
      <x:c r="F207" s="260" t="n">
        <x:f>IF(Z207&lt;($E$14-$D$14)/($F$14-$D$14),$D$14+SQRT(Z207*($F$14-$D$14)*($E$14-$D$14)),$F$14-SQRT((1-Z207)*($F$14-$D$14)*($F$14-$E$14)))</x:f>
        <x:v>1.0526460326390792</x:v>
      </x:c>
      <x:c r="G207" s="258" t="n">
        <x:f>IF(AA207&lt;($E$15-$D$15)/($F$15-$D$15),$D$15+SQRT(AA207*($F$15-$D$15)*($E$15-$D$15)),$F$15-SQRT((1-AA207)*($F$15-$D$15)*($F$15-$E$15)))</x:f>
        <x:v>0.09688849450325904</x:v>
      </x:c>
      <x:c r="H207" s="258" t="n">
        <x:f>IF(AB207&lt;($E$16-$D$16)/($F$16-$D$16),$D$16+SQRT(AB207*($F$16-$D$16)*($E$16-$D$16)),$F$16-SQRT((1-AB207)*($F$16-$D$16)*($F$16-$E$16)))</x:f>
        <x:v>0.025539971358134878</x:v>
      </x:c>
      <x:c r="I207" s="262" t="n">
        <x:f>'Historical Inputs'!$N$9*(1+D207)^5</x:f>
        <x:v>649310.4647417853</x:v>
      </x:c>
      <x:c r="J207" s="262" t="n">
        <x:f>I207*(1+H207)*('Terminal Value'!$E$10+E207)*(1-'Assumptions'!$E$15)*(1-H207/'Terminal Value'!$E$12)</x:f>
        <x:v>179035.7151489287</x:v>
      </x:c>
      <x:c r="K207" s="264" t="n">
        <x:f>((SUM((('Historical Inputs'!$N$9*(1+(D207))^1)*(('Assumptions'!E37+(E207))*(1-'Assumptions'!E42-(0))+'Assumptions'!E47-'Assumptions'!E52*(F207)+'Assumptions'!E57-'Assumptions'!E62*(1)-'Assumptions'!E67-(0))+('Working Capital'!$E$6))*'DCF'!E12/(1+(G207))^'DCF'!E13,(('Historical Inputs'!$N$9*(1+(D207))^2)*(('Assumptions'!F37+(E207))*(1-'Assumptions'!F42-(0))+'Assumptions'!F47-'Assumptions'!F52*(F207)+'Assumptions'!F57-'Assumptions'!F62*(1)-'Assumptions'!F67-(0))+(('Historical Inputs'!$N$9*(1+(D207))^1)*('Assumptions'!E67+(0))))*'DCF'!F12/(1+(G207))^'DCF'!F13,(('Historical Inputs'!$N$9*(1+(D207))^3)*(('Assumptions'!G37+(E207))*(1-'Assumptions'!G42-(0))+'Assumptions'!G47-'Assumptions'!G52*(F207)+'Assumptions'!G57-'Assumptions'!G62*(1)-'Assumptions'!G67-(0))+(('Historical Inputs'!$N$9*(1+(D207))^2)*('Assumptions'!F67+(0))))*'DCF'!G12/(1+(G207))^'DCF'!G13,(('Historical Inputs'!$N$9*(1+(D207))^4)*(('Assumptions'!H37+(E207))*(1-'Assumptions'!H42-(0))+'Assumptions'!H47-'Assumptions'!H52*(F207)+'Assumptions'!H57-'Assumptions'!H62*(1)-'Assumptions'!H67-(0))+(('Historical Inputs'!$N$9*(1+(D207))^3)*('Assumptions'!G67+(0))))*'DCF'!H12/(1+(G207))^'DCF'!H13,(('Historical Inputs'!$N$9*(1+(D207))^5)*(('Assumptions'!I37+(E207))*(1-'Assumptions'!I42-(0))+'Assumptions'!I47-'Assumptions'!I52*(F207)+'Assumptions'!I57-'Assumptions'!I62*(1)-'Assumptions'!I67-(0))+(('Historical Inputs'!$N$9*(1+(D207))^4)*('Assumptions'!H67+(0))))*'DCF'!I12/(1+(G207))^'DCF'!I13)+('Historical Inputs'!$N$9*(1+(D207))^5)*(1+(H207))*('Terminal Value'!$E$10+(E207))*(1-'Assumptions'!$E$15-(0))*(1-(H207)/('Terminal Value'!$E$12))/((G207)-(H207))/(1+(G207))^'DCF'!$E$19)+'Equity Bridge'!$E$17)/'Equity Bridge'!$E$20</x:f>
        <x:v>267.1415059526671</x:v>
      </x:c>
      <x:c r="X207" s="255" t="n">
        <x:v>0.5084482622675691</x:v>
      </x:c>
      <x:c r="Y207" s="255" t="n">
        <x:v>0.24896428721061237</x:v>
      </x:c>
      <x:c r="Z207" s="255" t="n">
        <x:v>0.6898115471856667</x:v>
      </x:c>
      <x:c r="AA207" s="255" t="n">
        <x:v>0.420024326336064</x:v>
      </x:c>
      <x:c r="AB207" s="255" t="n">
        <x:v>0.153456413244774</x:v>
      </x:c>
    </x:row>
    <x:row r="208" ht="24" customHeight="1">
      <x:c r="C208" s="256" t="n">
        <x:f>177</x:f>
        <x:v>177</x:v>
      </x:c>
      <x:c r="D208" s="258" t="n">
        <x:f>IF(X208&lt;($E$12-$D$12)/($F$12-$D$12),$D$12+SQRT(X208*($F$12-$D$12)*($E$12-$D$12)),$F$12-SQRT((1-X208)*($F$12-$D$12)*($F$12-$E$12)))</x:f>
        <x:v>0.14445852986792546</x:v>
      </x:c>
      <x:c r="E208" s="258" t="n">
        <x:f>IF(Y208&lt;($E$13-$D$13)/($F$13-$D$13),$D$13+SQRT(Y208*($F$13-$D$13)*($E$13-$D$13)),$F$13-SQRT((1-Y208)*($F$13-$D$13)*($F$13-$E$13)))</x:f>
        <x:v>0.008201035591540694</x:v>
      </x:c>
      <x:c r="F208" s="260" t="n">
        <x:f>IF(Z208&lt;($E$14-$D$14)/($F$14-$D$14),$D$14+SQRT(Z208*($F$14-$D$14)*($E$14-$D$14)),$F$14-SQRT((1-Z208)*($F$14-$D$14)*($F$14-$E$14)))</x:f>
        <x:v>1.023359485253326</x:v>
      </x:c>
      <x:c r="G208" s="258" t="n">
        <x:f>IF(AA208&lt;($E$15-$D$15)/($F$15-$D$15),$D$15+SQRT(AA208*($F$15-$D$15)*($E$15-$D$15)),$F$15-SQRT((1-AA208)*($F$15-$D$15)*($F$15-$E$15)))</x:f>
        <x:v>0.10886865849368622</x:v>
      </x:c>
      <x:c r="H208" s="258" t="n">
        <x:f>IF(AB208&lt;($E$16-$D$16)/($F$16-$D$16),$D$16+SQRT(AB208*($F$16-$D$16)*($E$16-$D$16)),$F$16-SQRT((1-AB208)*($F$16-$D$16)*($F$16-$E$16)))</x:f>
        <x:v>0.025389881895380346</x:v>
      </x:c>
      <x:c r="I208" s="262" t="n">
        <x:f>'Historical Inputs'!$N$9*(1+D208)^5</x:f>
        <x:v>651519.9637951512</x:v>
      </x:c>
      <x:c r="J208" s="262" t="n">
        <x:f>I208*(1+H208)*('Terminal Value'!$E$10+E208)*(1-'Assumptions'!$E$15)*(1-H208/'Terminal Value'!$E$12)</x:f>
        <x:v>190467.22531677267</x:v>
      </x:c>
      <x:c r="K208" s="264" t="n">
        <x:f>((SUM((('Historical Inputs'!$N$9*(1+(D208))^1)*(('Assumptions'!E37+(E208))*(1-'Assumptions'!E42-(0))+'Assumptions'!E47-'Assumptions'!E52*(F208)+'Assumptions'!E57-'Assumptions'!E62*(1)-'Assumptions'!E67-(0))+('Working Capital'!$E$6))*'DCF'!E12/(1+(G208))^'DCF'!E13,(('Historical Inputs'!$N$9*(1+(D208))^2)*(('Assumptions'!F37+(E208))*(1-'Assumptions'!F42-(0))+'Assumptions'!F47-'Assumptions'!F52*(F208)+'Assumptions'!F57-'Assumptions'!F62*(1)-'Assumptions'!F67-(0))+(('Historical Inputs'!$N$9*(1+(D208))^1)*('Assumptions'!E67+(0))))*'DCF'!F12/(1+(G208))^'DCF'!F13,(('Historical Inputs'!$N$9*(1+(D208))^3)*(('Assumptions'!G37+(E208))*(1-'Assumptions'!G42-(0))+'Assumptions'!G47-'Assumptions'!G52*(F208)+'Assumptions'!G57-'Assumptions'!G62*(1)-'Assumptions'!G67-(0))+(('Historical Inputs'!$N$9*(1+(D208))^2)*('Assumptions'!F67+(0))))*'DCF'!G12/(1+(G208))^'DCF'!G13,(('Historical Inputs'!$N$9*(1+(D208))^4)*(('Assumptions'!H37+(E208))*(1-'Assumptions'!H42-(0))+'Assumptions'!H47-'Assumptions'!H52*(F208)+'Assumptions'!H57-'Assumptions'!H62*(1)-'Assumptions'!H67-(0))+(('Historical Inputs'!$N$9*(1+(D208))^3)*('Assumptions'!G67+(0))))*'DCF'!H12/(1+(G208))^'DCF'!H13,(('Historical Inputs'!$N$9*(1+(D208))^5)*(('Assumptions'!I37+(E208))*(1-'Assumptions'!I42-(0))+'Assumptions'!I47-'Assumptions'!I52*(F208)+'Assumptions'!I57-'Assumptions'!I62*(1)-'Assumptions'!I67-(0))+(('Historical Inputs'!$N$9*(1+(D208))^4)*('Assumptions'!H67+(0))))*'DCF'!I12/(1+(G208))^'DCF'!I13)+('Historical Inputs'!$N$9*(1+(D208))^5)*(1+(H208))*('Terminal Value'!$E$10+(E208))*(1-'Assumptions'!$E$15-(0))*(1-(H208)/('Terminal Value'!$E$12))/((G208)-(H208))/(1+(G208))^'DCF'!$E$19)+'Equity Bridge'!$E$17)/'Equity Bridge'!$E$20</x:f>
        <x:v>242.49347501766886</x:v>
      </x:c>
      <x:c r="X208" s="255" t="n">
        <x:v>0.5237414365224269</x:v>
      </x:c>
      <x:c r="Y208" s="255" t="n">
        <x:v>0.6505693148760704</x:v>
      </x:c>
      <x:c r="Z208" s="255" t="n">
        <x:v>0.5542589792861442</x:v>
      </x:c>
      <x:c r="AA208" s="255" t="n">
        <x:v>0.95944997080864</x:v>
      </x:c>
      <x:c r="AB208" s="255" t="n">
        <x:v>0.1452541342307443</x:v>
      </x:c>
    </x:row>
    <x:row r="209" ht="24" customHeight="1">
      <x:c r="C209" s="256" t="n">
        <x:f>178</x:f>
        <x:v>178</x:v>
      </x:c>
      <x:c r="D209" s="258" t="n">
        <x:f>IF(X209&lt;($E$12-$D$12)/($F$12-$D$12),$D$12+SQRT(X209*($F$12-$D$12)*($E$12-$D$12)),$F$12-SQRT((1-X209)*($F$12-$D$12)*($F$12-$E$12)))</x:f>
        <x:v>0.1643579028337857</x:v>
      </x:c>
      <x:c r="E209" s="258" t="n">
        <x:f>IF(Y209&lt;($E$13-$D$13)/($F$13-$D$13),$D$13+SQRT(Y209*($F$13-$D$13)*($E$13-$D$13)),$F$13-SQRT((1-Y209)*($F$13-$D$13)*($F$13-$E$13)))</x:f>
        <x:v>0.014404015047756534</x:v>
      </x:c>
      <x:c r="F209" s="260" t="n">
        <x:f>IF(Z209&lt;($E$14-$D$14)/($F$14-$D$14),$D$14+SQRT(Z209*($F$14-$D$14)*($E$14-$D$14)),$F$14-SQRT((1-Z209)*($F$14-$D$14)*($F$14-$E$14)))</x:f>
        <x:v>1.0077865944906148</x:v>
      </x:c>
      <x:c r="G209" s="258" t="n">
        <x:f>IF(AA209&lt;($E$15-$D$15)/($F$15-$D$15),$D$15+SQRT(AA209*($F$15-$D$15)*($E$15-$D$15)),$F$15-SQRT((1-AA209)*($F$15-$D$15)*($F$15-$E$15)))</x:f>
        <x:v>0.09280282405600185</x:v>
      </x:c>
      <x:c r="H209" s="258" t="n">
        <x:f>IF(AB209&lt;($E$16-$D$16)/($F$16-$D$16),$D$16+SQRT(AB209*($F$16-$D$16)*($E$16-$D$16)),$F$16-SQRT((1-AB209)*($F$16-$D$16)*($F$16-$E$16)))</x:f>
        <x:v>0.028175063249208415</x:v>
      </x:c>
      <x:c r="I209" s="262" t="n">
        <x:f>'Historical Inputs'!$N$9*(1+D209)^5</x:f>
        <x:v>710166.0422961117</x:v>
      </x:c>
      <x:c r="J209" s="262" t="n">
        <x:f>I209*(1+H209)*('Terminal Value'!$E$10+E209)*(1-'Assumptions'!$E$15)*(1-H209/'Terminal Value'!$E$12)</x:f>
        <x:v>207968.2833931079</x:v>
      </x:c>
      <x:c r="K209" s="264" t="n">
        <x:f>((SUM((('Historical Inputs'!$N$9*(1+(D209))^1)*(('Assumptions'!E37+(E209))*(1-'Assumptions'!E42-(0))+'Assumptions'!E47-'Assumptions'!E52*(F209)+'Assumptions'!E57-'Assumptions'!E62*(1)-'Assumptions'!E67-(0))+('Working Capital'!$E$6))*'DCF'!E12/(1+(G209))^'DCF'!E13,(('Historical Inputs'!$N$9*(1+(D209))^2)*(('Assumptions'!F37+(E209))*(1-'Assumptions'!F42-(0))+'Assumptions'!F47-'Assumptions'!F52*(F209)+'Assumptions'!F57-'Assumptions'!F62*(1)-'Assumptions'!F67-(0))+(('Historical Inputs'!$N$9*(1+(D209))^1)*('Assumptions'!E67+(0))))*'DCF'!F12/(1+(G209))^'DCF'!F13,(('Historical Inputs'!$N$9*(1+(D209))^3)*(('Assumptions'!G37+(E209))*(1-'Assumptions'!G42-(0))+'Assumptions'!G47-'Assumptions'!G52*(F209)+'Assumptions'!G57-'Assumptions'!G62*(1)-'Assumptions'!G67-(0))+(('Historical Inputs'!$N$9*(1+(D209))^2)*('Assumptions'!F67+(0))))*'DCF'!G12/(1+(G209))^'DCF'!G13,(('Historical Inputs'!$N$9*(1+(D209))^4)*(('Assumptions'!H37+(E209))*(1-'Assumptions'!H42-(0))+'Assumptions'!H47-'Assumptions'!H52*(F209)+'Assumptions'!H57-'Assumptions'!H62*(1)-'Assumptions'!H67-(0))+(('Historical Inputs'!$N$9*(1+(D209))^3)*('Assumptions'!G67+(0))))*'DCF'!H12/(1+(G209))^'DCF'!H13,(('Historical Inputs'!$N$9*(1+(D209))^5)*(('Assumptions'!I37+(E209))*(1-'Assumptions'!I42-(0))+'Assumptions'!I47-'Assumptions'!I52*(F209)+'Assumptions'!I57-'Assumptions'!I62*(1)-'Assumptions'!I67-(0))+(('Historical Inputs'!$N$9*(1+(D209))^4)*('Assumptions'!H67+(0))))*'DCF'!I12/(1+(G209))^'DCF'!I13)+('Historical Inputs'!$N$9*(1+(D209))^5)*(1+(H209))*('Terminal Value'!$E$10+(E209))*(1-'Assumptions'!$E$15-(0))*(1-(H209)/('Terminal Value'!$E$12))/((G209)-(H209))/(1+(G209))^'DCF'!$E$19)+'Equity Bridge'!$E$17)/'Equity Bridge'!$E$20</x:f>
        <x:v>347.0381902410029</x:v>
      </x:c>
      <x:c r="X209" s="255" t="n">
        <x:v>0.8329681842941047</x:v>
      </x:c>
      <x:c r="Y209" s="255" t="n">
        <x:v>0.7465851710559314</x:v>
      </x:c>
      <x:c r="Z209" s="255" t="n">
        <x:v>0.4722000963212093</x:v>
      </x:c>
      <x:c r="AA209" s="255" t="n">
        <x:v>0.20747340463377406</x:v>
      </x:c>
      <x:c r="AB209" s="255" t="n">
        <x:v>0.3341582956427903</x:v>
      </x:c>
    </x:row>
    <x:row r="210" ht="24" customHeight="1">
      <x:c r="C210" s="256" t="n">
        <x:f>179</x:f>
        <x:v>179</x:v>
      </x:c>
      <x:c r="D210" s="258" t="n">
        <x:f>IF(X210&lt;($E$12-$D$12)/($F$12-$D$12),$D$12+SQRT(X210*($F$12-$D$12)*($E$12-$D$12)),$F$12-SQRT((1-X210)*($F$12-$D$12)*($F$12-$E$12)))</x:f>
        <x:v>0.16152520570403317</x:v>
      </x:c>
      <x:c r="E210" s="258" t="n">
        <x:f>IF(Y210&lt;($E$13-$D$13)/($F$13-$D$13),$D$13+SQRT(Y210*($F$13-$D$13)*($E$13-$D$13)),$F$13-SQRT((1-Y210)*($F$13-$D$13)*($F$13-$E$13)))</x:f>
        <x:v>-0.0017225520564715102</x:v>
      </x:c>
      <x:c r="F210" s="260" t="n">
        <x:f>IF(Z210&lt;($E$14-$D$14)/($F$14-$D$14),$D$14+SQRT(Z210*($F$14-$D$14)*($E$14-$D$14)),$F$14-SQRT((1-Z210)*($F$14-$D$14)*($F$14-$E$14)))</x:f>
        <x:v>0.8639459965137838</x:v>
      </x:c>
      <x:c r="G210" s="258" t="n">
        <x:f>IF(AA210&lt;($E$15-$D$15)/($F$15-$D$15),$D$15+SQRT(AA210*($F$15-$D$15)*($E$15-$D$15)),$F$15-SQRT((1-AA210)*($F$15-$D$15)*($F$15-$E$15)))</x:f>
        <x:v>0.09743971144605526</x:v>
      </x:c>
      <x:c r="H210" s="258" t="n">
        <x:f>IF(AB210&lt;($E$16-$D$16)/($F$16-$D$16),$D$16+SQRT(AB210*($F$16-$D$16)*($E$16-$D$16)),$F$16-SQRT((1-AB210)*($F$16-$D$16)*($F$16-$E$16)))</x:f>
        <x:v>0.03420895931806706</x:v>
      </x:c>
      <x:c r="I210" s="262" t="n">
        <x:f>'Historical Inputs'!$N$9*(1+D210)^5</x:f>
        <x:v>701569.3691005664</x:v>
      </x:c>
      <x:c r="J210" s="262" t="n">
        <x:f>I210*(1+H210)*('Terminal Value'!$E$10+E210)*(1-'Assumptions'!$E$15)*(1-H210/'Terminal Value'!$E$12)</x:f>
        <x:v>191639.78703814733</x:v>
      </x:c>
      <x:c r="K210" s="264" t="n">
        <x:f>((SUM((('Historical Inputs'!$N$9*(1+(D210))^1)*(('Assumptions'!E37+(E210))*(1-'Assumptions'!E42-(0))+'Assumptions'!E47-'Assumptions'!E52*(F210)+'Assumptions'!E57-'Assumptions'!E62*(1)-'Assumptions'!E67-(0))+('Working Capital'!$E$6))*'DCF'!E12/(1+(G210))^'DCF'!E13,(('Historical Inputs'!$N$9*(1+(D210))^2)*(('Assumptions'!F37+(E210))*(1-'Assumptions'!F42-(0))+'Assumptions'!F47-'Assumptions'!F52*(F210)+'Assumptions'!F57-'Assumptions'!F62*(1)-'Assumptions'!F67-(0))+(('Historical Inputs'!$N$9*(1+(D210))^1)*('Assumptions'!E67+(0))))*'DCF'!F12/(1+(G210))^'DCF'!F13,(('Historical Inputs'!$N$9*(1+(D210))^3)*(('Assumptions'!G37+(E210))*(1-'Assumptions'!G42-(0))+'Assumptions'!G47-'Assumptions'!G52*(F210)+'Assumptions'!G57-'Assumptions'!G62*(1)-'Assumptions'!G67-(0))+(('Historical Inputs'!$N$9*(1+(D210))^2)*('Assumptions'!F67+(0))))*'DCF'!G12/(1+(G210))^'DCF'!G13,(('Historical Inputs'!$N$9*(1+(D210))^4)*(('Assumptions'!H37+(E210))*(1-'Assumptions'!H42-(0))+'Assumptions'!H47-'Assumptions'!H52*(F210)+'Assumptions'!H57-'Assumptions'!H62*(1)-'Assumptions'!H67-(0))+(('Historical Inputs'!$N$9*(1+(D210))^3)*('Assumptions'!G67+(0))))*'DCF'!H12/(1+(G210))^'DCF'!H13,(('Historical Inputs'!$N$9*(1+(D210))^5)*(('Assumptions'!I37+(E210))*(1-'Assumptions'!I42-(0))+'Assumptions'!I47-'Assumptions'!I52*(F210)+'Assumptions'!I57-'Assumptions'!I62*(1)-'Assumptions'!I67-(0))+(('Historical Inputs'!$N$9*(1+(D210))^4)*('Assumptions'!H67+(0))))*'DCF'!I12/(1+(G210))^'DCF'!I13)+('Historical Inputs'!$N$9*(1+(D210))^5)*(1+(H210))*('Terminal Value'!$E$10+(E210))*(1-'Assumptions'!$E$15-(0))*(1-(H210)/('Terminal Value'!$E$12))/((G210)-(H210))/(1+(G210))^'DCF'!$E$19)+'Equity Bridge'!$E$17)/'Equity Bridge'!$E$20</x:f>
        <x:v>330.01697971787127</x:v>
      </x:c>
      <x:c r="X210" s="255" t="n">
        <x:v>0.7986183691196092</x:v>
      </x:c>
      <x:c r="Y210" s="255" t="n">
        <x:v>0.46614239598802065</x:v>
      </x:c>
      <x:c r="Z210" s="255" t="n">
        <x:v>0.003704587024047079</x:v>
      </x:c>
      <x:c r="AA210" s="255" t="n">
        <x:v>0.4543804134813061</x:v>
      </x:c>
      <x:c r="AB210" s="255" t="n">
        <x:v>0.8323192391009884</x:v>
      </x:c>
    </x:row>
    <x:row r="211" ht="24" customHeight="1">
      <x:c r="C211" s="256" t="n">
        <x:f>180</x:f>
        <x:v>180</x:v>
      </x:c>
      <x:c r="D211" s="258" t="n">
        <x:f>IF(X211&lt;($E$12-$D$12)/($F$12-$D$12),$D$12+SQRT(X211*($F$12-$D$12)*($E$12-$D$12)),$F$12-SQRT((1-X211)*($F$12-$D$12)*($F$12-$E$12)))</x:f>
        <x:v>0.14433951205440954</x:v>
      </x:c>
      <x:c r="E211" s="258" t="n">
        <x:f>IF(Y211&lt;($E$13-$D$13)/($F$13-$D$13),$D$13+SQRT(Y211*($F$13-$D$13)*($E$13-$D$13)),$F$13-SQRT((1-Y211)*($F$13-$D$13)*($F$13-$E$13)))</x:f>
        <x:v>0.0032877530660333706</x:v>
      </x:c>
      <x:c r="F211" s="260" t="n">
        <x:f>IF(Z211&lt;($E$14-$D$14)/($F$14-$D$14),$D$14+SQRT(Z211*($F$14-$D$14)*($E$14-$D$14)),$F$14-SQRT((1-Z211)*($F$14-$D$14)*($F$14-$E$14)))</x:f>
        <x:v>0.9199808866031272</x:v>
      </x:c>
      <x:c r="G211" s="258" t="n">
        <x:f>IF(AA211&lt;($E$15-$D$15)/($F$15-$D$15),$D$15+SQRT(AA211*($F$15-$D$15)*($E$15-$D$15)),$F$15-SQRT((1-AA211)*($F$15-$D$15)*($F$15-$E$15)))</x:f>
        <x:v>0.09974448583024637</x:v>
      </x:c>
      <x:c r="H211" s="258" t="n">
        <x:f>IF(AB211&lt;($E$16-$D$16)/($F$16-$D$16),$D$16+SQRT(AB211*($F$16-$D$16)*($E$16-$D$16)),$F$16-SQRT((1-AB211)*($F$16-$D$16)*($F$16-$E$16)))</x:f>
        <x:v>0.027672112463143463</x:v>
      </x:c>
      <x:c r="I211" s="262" t="n">
        <x:f>'Historical Inputs'!$N$9*(1+D211)^5</x:f>
        <x:v>651181.2605867495</x:v>
      </x:c>
      <x:c r="J211" s="262" t="n">
        <x:f>I211*(1+H211)*('Terminal Value'!$E$10+E211)*(1-'Assumptions'!$E$15)*(1-H211/'Terminal Value'!$E$12)</x:f>
        <x:v>186031.74285838226</x:v>
      </x:c>
      <x:c r="K211" s="264" t="n">
        <x:f>((SUM((('Historical Inputs'!$N$9*(1+(D211))^1)*(('Assumptions'!E37+(E211))*(1-'Assumptions'!E42-(0))+'Assumptions'!E47-'Assumptions'!E52*(F211)+'Assumptions'!E57-'Assumptions'!E62*(1)-'Assumptions'!E67-(0))+('Working Capital'!$E$6))*'DCF'!E12/(1+(G211))^'DCF'!E13,(('Historical Inputs'!$N$9*(1+(D211))^2)*(('Assumptions'!F37+(E211))*(1-'Assumptions'!F42-(0))+'Assumptions'!F47-'Assumptions'!F52*(F211)+'Assumptions'!F57-'Assumptions'!F62*(1)-'Assumptions'!F67-(0))+(('Historical Inputs'!$N$9*(1+(D211))^1)*('Assumptions'!E67+(0))))*'DCF'!F12/(1+(G211))^'DCF'!F13,(('Historical Inputs'!$N$9*(1+(D211))^3)*(('Assumptions'!G37+(E211))*(1-'Assumptions'!G42-(0))+'Assumptions'!G47-'Assumptions'!G52*(F211)+'Assumptions'!G57-'Assumptions'!G62*(1)-'Assumptions'!G67-(0))+(('Historical Inputs'!$N$9*(1+(D211))^2)*('Assumptions'!F67+(0))))*'DCF'!G12/(1+(G211))^'DCF'!G13,(('Historical Inputs'!$N$9*(1+(D211))^4)*(('Assumptions'!H37+(E211))*(1-'Assumptions'!H42-(0))+'Assumptions'!H47-'Assumptions'!H52*(F211)+'Assumptions'!H57-'Assumptions'!H62*(1)-'Assumptions'!H67-(0))+(('Historical Inputs'!$N$9*(1+(D211))^3)*('Assumptions'!G67+(0))))*'DCF'!H12/(1+(G211))^'DCF'!H13,(('Historical Inputs'!$N$9*(1+(D211))^5)*(('Assumptions'!I37+(E211))*(1-'Assumptions'!I42-(0))+'Assumptions'!I47-'Assumptions'!I52*(F211)+'Assumptions'!I57-'Assumptions'!I62*(1)-'Assumptions'!I67-(0))+(('Historical Inputs'!$N$9*(1+(D211))^4)*('Assumptions'!H67+(0))))*'DCF'!I12/(1+(G211))^'DCF'!I13)+('Historical Inputs'!$N$9*(1+(D211))^5)*(1+(H211))*('Terminal Value'!$E$10+(E211))*(1-'Assumptions'!$E$15-(0))*(1-(H211)/('Terminal Value'!$E$12))/((G211)-(H211))/(1+(G211))^'DCF'!$E$19)+'Equity Bridge'!$E$17)/'Equity Bridge'!$E$20</x:f>
        <x:v>282.4888091420421</x:v>
      </x:c>
      <x:c r="X211" s="255" t="n">
        <x:v>0.5214154475481478</x:v>
      </x:c>
      <x:c r="Y211" s="255" t="n">
        <x:v>0.5635931972760251</x:v>
      </x:c>
      <x:c r="Z211" s="255" t="n">
        <x:v>0.09328237123351879</x:v>
      </x:c>
      <x:c r="AA211" s="255" t="n">
        <x:v>0.6012229029004494</x:v>
      </x:c>
      <x:c r="AB211" s="255" t="n">
        <x:v>0.2943065482356063</x:v>
      </x:c>
    </x:row>
    <x:row r="212" ht="24" customHeight="1">
      <x:c r="C212" s="256" t="n">
        <x:f>181</x:f>
        <x:v>181</x:v>
      </x:c>
      <x:c r="D212" s="258" t="n">
        <x:f>IF(X212&lt;($E$12-$D$12)/($F$12-$D$12),$D$12+SQRT(X212*($F$12-$D$12)*($E$12-$D$12)),$F$12-SQRT((1-X212)*($F$12-$D$12)*($F$12-$E$12)))</x:f>
        <x:v>0.13995536022665378</x:v>
      </x:c>
      <x:c r="E212" s="258" t="n">
        <x:f>IF(Y212&lt;($E$13-$D$13)/($F$13-$D$13),$D$13+SQRT(Y212*($F$13-$D$13)*($E$13-$D$13)),$F$13-SQRT((1-Y212)*($F$13-$D$13)*($F$13-$E$13)))</x:f>
        <x:v>-0.01672959073451718</x:v>
      </x:c>
      <x:c r="F212" s="260" t="n">
        <x:f>IF(Z212&lt;($E$14-$D$14)/($F$14-$D$14),$D$14+SQRT(Z212*($F$14-$D$14)*($E$14-$D$14)),$F$14-SQRT((1-Z212)*($F$14-$D$14)*($F$14-$E$14)))</x:f>
        <x:v>1.1433497966947481</x:v>
      </x:c>
      <x:c r="G212" s="258" t="n">
        <x:f>IF(AA212&lt;($E$15-$D$15)/($F$15-$D$15),$D$15+SQRT(AA212*($F$15-$D$15)*($E$15-$D$15)),$F$15-SQRT((1-AA212)*($F$15-$D$15)*($F$15-$E$15)))</x:f>
        <x:v>0.09104214747897607</x:v>
      </x:c>
      <x:c r="H212" s="258" t="n">
        <x:f>IF(AB212&lt;($E$16-$D$16)/($F$16-$D$16),$D$16+SQRT(AB212*($F$16-$D$16)*($E$16-$D$16)),$F$16-SQRT((1-AB212)*($F$16-$D$16)*($F$16-$E$16)))</x:f>
        <x:v>0.02380264111825476</x:v>
      </x:c>
      <x:c r="I212" s="262" t="n">
        <x:f>'Historical Inputs'!$N$9*(1+D212)^5</x:f>
        <x:v>638802.5647324045</x:v>
      </x:c>
      <x:c r="J212" s="262" t="n">
        <x:f>I212*(1+H212)*('Terminal Value'!$E$10+E212)*(1-'Assumptions'!$E$15)*(1-H212/'Terminal Value'!$E$12)</x:f>
        <x:v>176663.8020105468</x:v>
      </x:c>
      <x:c r="K212" s="264" t="n">
        <x:f>((SUM((('Historical Inputs'!$N$9*(1+(D212))^1)*(('Assumptions'!E37+(E212))*(1-'Assumptions'!E42-(0))+'Assumptions'!E47-'Assumptions'!E52*(F212)+'Assumptions'!E57-'Assumptions'!E62*(1)-'Assumptions'!E67-(0))+('Working Capital'!$E$6))*'DCF'!E12/(1+(G212))^'DCF'!E13,(('Historical Inputs'!$N$9*(1+(D212))^2)*(('Assumptions'!F37+(E212))*(1-'Assumptions'!F42-(0))+'Assumptions'!F47-'Assumptions'!F52*(F212)+'Assumptions'!F57-'Assumptions'!F62*(1)-'Assumptions'!F67-(0))+(('Historical Inputs'!$N$9*(1+(D212))^1)*('Assumptions'!E67+(0))))*'DCF'!F12/(1+(G212))^'DCF'!F13,(('Historical Inputs'!$N$9*(1+(D212))^3)*(('Assumptions'!G37+(E212))*(1-'Assumptions'!G42-(0))+'Assumptions'!G47-'Assumptions'!G52*(F212)+'Assumptions'!G57-'Assumptions'!G62*(1)-'Assumptions'!G67-(0))+(('Historical Inputs'!$N$9*(1+(D212))^2)*('Assumptions'!F67+(0))))*'DCF'!G12/(1+(G212))^'DCF'!G13,(('Historical Inputs'!$N$9*(1+(D212))^4)*(('Assumptions'!H37+(E212))*(1-'Assumptions'!H42-(0))+'Assumptions'!H47-'Assumptions'!H52*(F212)+'Assumptions'!H57-'Assumptions'!H62*(1)-'Assumptions'!H67-(0))+(('Historical Inputs'!$N$9*(1+(D212))^3)*('Assumptions'!G67+(0))))*'DCF'!H12/(1+(G212))^'DCF'!H13,(('Historical Inputs'!$N$9*(1+(D212))^5)*(('Assumptions'!I37+(E212))*(1-'Assumptions'!I42-(0))+'Assumptions'!I47-'Assumptions'!I52*(F212)+'Assumptions'!I57-'Assumptions'!I62*(1)-'Assumptions'!I67-(0))+(('Historical Inputs'!$N$9*(1+(D212))^4)*('Assumptions'!H67+(0))))*'DCF'!I12/(1+(G212))^'DCF'!I13)+('Historical Inputs'!$N$9*(1+(D212))^5)*(1+(H212))*('Terminal Value'!$E$10+(E212))*(1-'Assumptions'!$E$15-(0))*(1-(H212)/('Terminal Value'!$E$12))/((G212)-(H212))/(1+(G212))^'DCF'!$E$19)+'Equity Bridge'!$E$17)/'Equity Bridge'!$E$20</x:f>
        <x:v>277.1715327300254</x:v>
      </x:c>
      <x:c r="X212" s="255" t="n">
        <x:v>0.4361469618753232</x:v>
      </x:c>
      <x:c r="Y212" s="255" t="n">
        <x:v>0.22138402653854505</x:v>
      </x:c>
      <x:c r="Z212" s="255" t="n">
        <x:v>0.9541536352210519</x:v>
      </x:c>
      <x:c r="AA212" s="255" t="n">
        <x:v>0.13875133007012974</x:v>
      </x:c>
      <x:c r="AB212" s="255" t="n">
        <x:v>0.07230039737120908</x:v>
      </x:c>
    </x:row>
    <x:row r="213" ht="24" customHeight="1">
      <x:c r="C213" s="256" t="n">
        <x:f>182</x:f>
        <x:v>182</x:v>
      </x:c>
      <x:c r="D213" s="258" t="n">
        <x:f>IF(X213&lt;($E$12-$D$12)/($F$12-$D$12),$D$12+SQRT(X213*($F$12-$D$12)*($E$12-$D$12)),$F$12-SQRT((1-X213)*($F$12-$D$12)*($F$12-$E$12)))</x:f>
        <x:v>0.09815993260072282</x:v>
      </x:c>
      <x:c r="E213" s="258" t="n">
        <x:f>IF(Y213&lt;($E$13-$D$13)/($F$13-$D$13),$D$13+SQRT(Y213*($F$13-$D$13)*($E$13-$D$13)),$F$13-SQRT((1-Y213)*($F$13-$D$13)*($F$13-$E$13)))</x:f>
        <x:v>0.01711455078245218</x:v>
      </x:c>
      <x:c r="F213" s="260" t="n">
        <x:f>IF(Z213&lt;($E$14-$D$14)/($F$14-$D$14),$D$14+SQRT(Z213*($F$14-$D$14)*($E$14-$D$14)),$F$14-SQRT((1-Z213)*($F$14-$D$14)*($F$14-$E$14)))</x:f>
        <x:v>1.0239533563077967</x:v>
      </x:c>
      <x:c r="G213" s="258" t="n">
        <x:f>IF(AA213&lt;($E$15-$D$15)/($F$15-$D$15),$D$15+SQRT(AA213*($F$15-$D$15)*($E$15-$D$15)),$F$15-SQRT((1-AA213)*($F$15-$D$15)*($F$15-$E$15)))</x:f>
        <x:v>0.08910046258457417</x:v>
      </x:c>
      <x:c r="H213" s="258" t="n">
        <x:f>IF(AB213&lt;($E$16-$D$16)/($F$16-$D$16),$D$16+SQRT(AB213*($F$16-$D$16)*($E$16-$D$16)),$F$16-SQRT((1-AB213)*($F$16-$D$16)*($F$16-$E$16)))</x:f>
        <x:v>0.028630096076736278</x:v>
      </x:c>
      <x:c r="I213" s="262" t="n">
        <x:f>'Historical Inputs'!$N$9*(1+D213)^5</x:f>
        <x:v>529975.0152879148</x:v>
      </x:c>
      <x:c r="J213" s="262" t="n">
        <x:f>I213*(1+H213)*('Terminal Value'!$E$10+E213)*(1-'Assumptions'!$E$15)*(1-H213/'Terminal Value'!$E$12)</x:f>
        <x:v>155870.70789154616</x:v>
      </x:c>
      <x:c r="K213" s="264" t="n">
        <x:f>((SUM((('Historical Inputs'!$N$9*(1+(D213))^1)*(('Assumptions'!E37+(E213))*(1-'Assumptions'!E42-(0))+'Assumptions'!E47-'Assumptions'!E52*(F213)+'Assumptions'!E57-'Assumptions'!E62*(1)-'Assumptions'!E67-(0))+('Working Capital'!$E$6))*'DCF'!E12/(1+(G213))^'DCF'!E13,(('Historical Inputs'!$N$9*(1+(D213))^2)*(('Assumptions'!F37+(E213))*(1-'Assumptions'!F42-(0))+'Assumptions'!F47-'Assumptions'!F52*(F213)+'Assumptions'!F57-'Assumptions'!F62*(1)-'Assumptions'!F67-(0))+(('Historical Inputs'!$N$9*(1+(D213))^1)*('Assumptions'!E67+(0))))*'DCF'!F12/(1+(G213))^'DCF'!F13,(('Historical Inputs'!$N$9*(1+(D213))^3)*(('Assumptions'!G37+(E213))*(1-'Assumptions'!G42-(0))+'Assumptions'!G47-'Assumptions'!G52*(F213)+'Assumptions'!G57-'Assumptions'!G62*(1)-'Assumptions'!G67-(0))+(('Historical Inputs'!$N$9*(1+(D213))^2)*('Assumptions'!F67+(0))))*'DCF'!G12/(1+(G213))^'DCF'!G13,(('Historical Inputs'!$N$9*(1+(D213))^4)*(('Assumptions'!H37+(E213))*(1-'Assumptions'!H42-(0))+'Assumptions'!H47-'Assumptions'!H52*(F213)+'Assumptions'!H57-'Assumptions'!H62*(1)-'Assumptions'!H67-(0))+(('Historical Inputs'!$N$9*(1+(D213))^3)*('Assumptions'!G67+(0))))*'DCF'!H12/(1+(G213))^'DCF'!H13,(('Historical Inputs'!$N$9*(1+(D213))^5)*(('Assumptions'!I37+(E213))*(1-'Assumptions'!I42-(0))+'Assumptions'!I47-'Assumptions'!I52*(F213)+'Assumptions'!I57-'Assumptions'!I62*(1)-'Assumptions'!I67-(0))+(('Historical Inputs'!$N$9*(1+(D213))^4)*('Assumptions'!H67+(0))))*'DCF'!I12/(1+(G213))^'DCF'!I13)+('Historical Inputs'!$N$9*(1+(D213))^5)*(1+(H213))*('Terminal Value'!$E$10+(E213))*(1-'Assumptions'!$E$15-(0))*(1-(H213)/('Terminal Value'!$E$12))/((G213)-(H213))/(1+(G213))^'DCF'!$E$19)+'Equity Bridge'!$E$17)/'Equity Bridge'!$E$20</x:f>
        <x:v>282.21317965103486</x:v>
      </x:c>
      <x:c r="X213" s="255" t="n">
        <x:v>0.0048077068128661304</x:v>
      </x:c>
      <x:c r="Y213" s="255" t="n">
        <x:v>0.7837094459520166</x:v>
      </x:c>
      <x:c r="Z213" s="255" t="n">
        <x:v>0.5572511320672919</x:v>
      </x:c>
      <x:c r="AA213" s="255" t="n">
        <x:v>0.07893936015065339</x:v>
      </x:c>
      <x:c r="AB213" s="255" t="n">
        <x:v>0.3723927914684947</x:v>
      </x:c>
    </x:row>
    <x:row r="214" ht="24" customHeight="1">
      <x:c r="C214" s="256" t="n">
        <x:f>183</x:f>
        <x:v>183</x:v>
      </x:c>
      <x:c r="D214" s="258" t="n">
        <x:f>IF(X214&lt;($E$12-$D$12)/($F$12-$D$12),$D$12+SQRT(X214*($F$12-$D$12)*($E$12-$D$12)),$F$12-SQRT((1-X214)*($F$12-$D$12)*($F$12-$E$12)))</x:f>
        <x:v>0.14899890175838484</x:v>
      </x:c>
      <x:c r="E214" s="258" t="n">
        <x:f>IF(Y214&lt;($E$13-$D$13)/($F$13-$D$13),$D$13+SQRT(Y214*($F$13-$D$13)*($E$13-$D$13)),$F$13-SQRT((1-Y214)*($F$13-$D$13)*($F$13-$E$13)))</x:f>
        <x:v>-0.018805957743019346</x:v>
      </x:c>
      <x:c r="F214" s="260" t="n">
        <x:f>IF(Z214&lt;($E$14-$D$14)/($F$14-$D$14),$D$14+SQRT(Z214*($F$14-$D$14)*($E$14-$D$14)),$F$14-SQRT((1-Z214)*($F$14-$D$14)*($F$14-$E$14)))</x:f>
        <x:v>1.1407454074347643</x:v>
      </x:c>
      <x:c r="G214" s="258" t="n">
        <x:f>IF(AA214&lt;($E$15-$D$15)/($F$15-$D$15),$D$15+SQRT(AA214*($F$15-$D$15)*($E$15-$D$15)),$F$15-SQRT((1-AA214)*($F$15-$D$15)*($F$15-$E$15)))</x:f>
        <x:v>0.10763675825790671</x:v>
      </x:c>
      <x:c r="H214" s="258" t="n">
        <x:f>IF(AB214&lt;($E$16-$D$16)/($F$16-$D$16),$D$16+SQRT(AB214*($F$16-$D$16)*($E$16-$D$16)),$F$16-SQRT((1-AB214)*($F$16-$D$16)*($F$16-$E$16)))</x:f>
        <x:v>0.026235688537721104</x:v>
      </x:c>
      <x:c r="I214" s="262" t="n">
        <x:f>'Historical Inputs'!$N$9*(1+D214)^5</x:f>
        <x:v>664546.681830592</x:v>
      </x:c>
      <x:c r="J214" s="262" t="n">
        <x:f>I214*(1+H214)*('Terminal Value'!$E$10+E214)*(1-'Assumptions'!$E$15)*(1-H214/'Terminal Value'!$E$12)</x:f>
        <x:v>180692.15065627816</x:v>
      </x:c>
      <x:c r="K214" s="264" t="n">
        <x:f>((SUM((('Historical Inputs'!$N$9*(1+(D214))^1)*(('Assumptions'!E37+(E214))*(1-'Assumptions'!E42-(0))+'Assumptions'!E47-'Assumptions'!E52*(F214)+'Assumptions'!E57-'Assumptions'!E62*(1)-'Assumptions'!E67-(0))+('Working Capital'!$E$6))*'DCF'!E12/(1+(G214))^'DCF'!E13,(('Historical Inputs'!$N$9*(1+(D214))^2)*(('Assumptions'!F37+(E214))*(1-'Assumptions'!F42-(0))+'Assumptions'!F47-'Assumptions'!F52*(F214)+'Assumptions'!F57-'Assumptions'!F62*(1)-'Assumptions'!F67-(0))+(('Historical Inputs'!$N$9*(1+(D214))^1)*('Assumptions'!E67+(0))))*'DCF'!F12/(1+(G214))^'DCF'!F13,(('Historical Inputs'!$N$9*(1+(D214))^3)*(('Assumptions'!G37+(E214))*(1-'Assumptions'!G42-(0))+'Assumptions'!G47-'Assumptions'!G52*(F214)+'Assumptions'!G57-'Assumptions'!G62*(1)-'Assumptions'!G67-(0))+(('Historical Inputs'!$N$9*(1+(D214))^2)*('Assumptions'!F67+(0))))*'DCF'!G12/(1+(G214))^'DCF'!G13,(('Historical Inputs'!$N$9*(1+(D214))^4)*(('Assumptions'!H37+(E214))*(1-'Assumptions'!H42-(0))+'Assumptions'!H47-'Assumptions'!H52*(F214)+'Assumptions'!H57-'Assumptions'!H62*(1)-'Assumptions'!H67-(0))+(('Historical Inputs'!$N$9*(1+(D214))^3)*('Assumptions'!G67+(0))))*'DCF'!H12/(1+(G214))^'DCF'!H13,(('Historical Inputs'!$N$9*(1+(D214))^5)*(('Assumptions'!I37+(E214))*(1-'Assumptions'!I42-(0))+'Assumptions'!I47-'Assumptions'!I52*(F214)+'Assumptions'!I57-'Assumptions'!I62*(1)-'Assumptions'!I67-(0))+(('Historical Inputs'!$N$9*(1+(D214))^4)*('Assumptions'!H67+(0))))*'DCF'!I12/(1+(G214))^'DCF'!I13)+('Historical Inputs'!$N$9*(1+(D214))^5)*(1+(H214))*('Terminal Value'!$E$10+(E214))*(1-'Assumptions'!$E$15-(0))*(1-(H214)/('Terminal Value'!$E$12))/((G214)-(H214))/(1+(G214))^'DCF'!$E$19)+'Equity Bridge'!$E$17)/'Equity Bridge'!$E$20</x:f>
        <x:v>226.38765565979767</x:v>
      </x:c>
      <x:c r="X214" s="255" t="n">
        <x:v>0.6082437616150966</x:v>
      </x:c>
      <x:c r="Y214" s="255" t="n">
        <x:v>0.19461365446605894</x:v>
      </x:c>
      <x:c r="Z214" s="255" t="n">
        <x:v>0.9498413322846846</x:v>
      </x:c>
      <x:c r="AA214" s="255" t="n">
        <x:v>0.9326894791024981</x:v>
      </x:c>
      <x:c r="AB214" s="255" t="n">
        <x:v>0.19441905769733192</x:v>
      </x:c>
    </x:row>
    <x:row r="215" ht="24" customHeight="1">
      <x:c r="C215" s="256" t="n">
        <x:f>184</x:f>
        <x:v>184</x:v>
      </x:c>
      <x:c r="D215" s="258" t="n">
        <x:f>IF(X215&lt;($E$12-$D$12)/($F$12-$D$12),$D$12+SQRT(X215*($F$12-$D$12)*($E$12-$D$12)),$F$12-SQRT((1-X215)*($F$12-$D$12)*($F$12-$E$12)))</x:f>
        <x:v>0.1210647935992798</x:v>
      </x:c>
      <x:c r="E215" s="258" t="n">
        <x:f>IF(Y215&lt;($E$13-$D$13)/($F$13-$D$13),$D$13+SQRT(Y215*($F$13-$D$13)*($E$13-$D$13)),$F$13-SQRT((1-Y215)*($F$13-$D$13)*($F$13-$E$13)))</x:f>
        <x:v>0.04620704353706075</x:v>
      </x:c>
      <x:c r="F215" s="260" t="n">
        <x:f>IF(Z215&lt;($E$14-$D$14)/($F$14-$D$14),$D$14+SQRT(Z215*($F$14-$D$14)*($E$14-$D$14)),$F$14-SQRT((1-Z215)*($F$14-$D$14)*($F$14-$E$14)))</x:f>
        <x:v>1.0436799591368502</x:v>
      </x:c>
      <x:c r="G215" s="258" t="n">
        <x:f>IF(AA215&lt;($E$15-$D$15)/($F$15-$D$15),$D$15+SQRT(AA215*($F$15-$D$15)*($E$15-$D$15)),$F$15-SQRT((1-AA215)*($F$15-$D$15)*($F$15-$E$15)))</x:f>
        <x:v>0.10647376771794918</x:v>
      </x:c>
      <x:c r="H215" s="258" t="n">
        <x:f>IF(AB215&lt;($E$16-$D$16)/($F$16-$D$16),$D$16+SQRT(AB215*($F$16-$D$16)*($E$16-$D$16)),$F$16-SQRT((1-AB215)*($F$16-$D$16)*($F$16-$E$16)))</x:f>
        <x:v>0.027591633015845874</x:v>
      </x:c>
      <x:c r="I215" s="262" t="n">
        <x:f>'Historical Inputs'!$N$9*(1+D215)^5</x:f>
        <x:v>587598.9296520437</x:v>
      </x:c>
      <x:c r="J215" s="262" t="n">
        <x:f>I215*(1+H215)*('Terminal Value'!$E$10+E215)*(1-'Assumptions'!$E$15)*(1-H215/'Terminal Value'!$E$12)</x:f>
        <x:v>185804.53364952793</x:v>
      </x:c>
      <x:c r="K215" s="264" t="n">
        <x:f>((SUM((('Historical Inputs'!$N$9*(1+(D215))^1)*(('Assumptions'!E37+(E215))*(1-'Assumptions'!E42-(0))+'Assumptions'!E47-'Assumptions'!E52*(F215)+'Assumptions'!E57-'Assumptions'!E62*(1)-'Assumptions'!E67-(0))+('Working Capital'!$E$6))*'DCF'!E12/(1+(G215))^'DCF'!E13,(('Historical Inputs'!$N$9*(1+(D215))^2)*(('Assumptions'!F37+(E215))*(1-'Assumptions'!F42-(0))+'Assumptions'!F47-'Assumptions'!F52*(F215)+'Assumptions'!F57-'Assumptions'!F62*(1)-'Assumptions'!F67-(0))+(('Historical Inputs'!$N$9*(1+(D215))^1)*('Assumptions'!E67+(0))))*'DCF'!F12/(1+(G215))^'DCF'!F13,(('Historical Inputs'!$N$9*(1+(D215))^3)*(('Assumptions'!G37+(E215))*(1-'Assumptions'!G42-(0))+'Assumptions'!G47-'Assumptions'!G52*(F215)+'Assumptions'!G57-'Assumptions'!G62*(1)-'Assumptions'!G67-(0))+(('Historical Inputs'!$N$9*(1+(D215))^2)*('Assumptions'!F67+(0))))*'DCF'!G12/(1+(G215))^'DCF'!G13,(('Historical Inputs'!$N$9*(1+(D215))^4)*(('Assumptions'!H37+(E215))*(1-'Assumptions'!H42-(0))+'Assumptions'!H47-'Assumptions'!H52*(F215)+'Assumptions'!H57-'Assumptions'!H62*(1)-'Assumptions'!H67-(0))+(('Historical Inputs'!$N$9*(1+(D215))^3)*('Assumptions'!G67+(0))))*'DCF'!H12/(1+(G215))^'DCF'!H13,(('Historical Inputs'!$N$9*(1+(D215))^5)*(('Assumptions'!I37+(E215))*(1-'Assumptions'!I42-(0))+'Assumptions'!I47-'Assumptions'!I52*(F215)+'Assumptions'!I57-'Assumptions'!I62*(1)-'Assumptions'!I67-(0))+(('Historical Inputs'!$N$9*(1+(D215))^4)*('Assumptions'!H67+(0))))*'DCF'!I12/(1+(G215))^'DCF'!I13)+('Historical Inputs'!$N$9*(1+(D215))^5)*(1+(H215))*('Terminal Value'!$E$10+(E215))*(1-'Assumptions'!$E$15-(0))*(1-(H215)/('Terminal Value'!$E$12))/((G215)-(H215))/(1+(G215))^'DCF'!$E$19)+'Equity Bridge'!$E$17)/'Equity Bridge'!$E$20</x:f>
        <x:v>252.93904017050903</x:v>
      </x:c>
      <x:c r="X215" s="255" t="n">
        <x:v>0.15465443419832514</x:v>
      </x:c>
      <x:c r="Y215" s="255" t="n">
        <x:v>0.9971226962540495</x:v>
      </x:c>
      <x:c r="Z215" s="255" t="n">
        <x:v>0.650914926064903</x:v>
      </x:c>
      <x:c r="AA215" s="255" t="n">
        <x:v>0.9012364965907678</x:v>
      </x:c>
      <x:c r="AB215" s="255" t="n">
        <x:v>0.28816445923640566</x:v>
      </x:c>
    </x:row>
    <x:row r="216" ht="24" customHeight="1">
      <x:c r="C216" s="256" t="n">
        <x:f>185</x:f>
        <x:v>185</x:v>
      </x:c>
      <x:c r="D216" s="258" t="n">
        <x:f>IF(X216&lt;($E$12-$D$12)/($F$12-$D$12),$D$12+SQRT(X216*($F$12-$D$12)*($E$12-$D$12)),$F$12-SQRT((1-X216)*($F$12-$D$12)*($F$12-$E$12)))</x:f>
        <x:v>0.18849546692428748</x:v>
      </x:c>
      <x:c r="E216" s="258" t="n">
        <x:f>IF(Y216&lt;($E$13-$D$13)/($F$13-$D$13),$D$13+SQRT(Y216*($F$13-$D$13)*($E$13-$D$13)),$F$13-SQRT((1-Y216)*($F$13-$D$13)*($F$13-$E$13)))</x:f>
        <x:v>0.031943823277048436</x:v>
      </x:c>
      <x:c r="F216" s="260" t="n">
        <x:f>IF(Z216&lt;($E$14-$D$14)/($F$14-$D$14),$D$14+SQRT(Z216*($F$14-$D$14)*($E$14-$D$14)),$F$14-SQRT((1-Z216)*($F$14-$D$14)*($F$14-$E$14)))</x:f>
        <x:v>1.0724367968051678</x:v>
      </x:c>
      <x:c r="G216" s="258" t="n">
        <x:f>IF(AA216&lt;($E$15-$D$15)/($F$15-$D$15),$D$15+SQRT(AA216*($F$15-$D$15)*($E$15-$D$15)),$F$15-SQRT((1-AA216)*($F$15-$D$15)*($F$15-$E$15)))</x:f>
        <x:v>0.09267291927995314</x:v>
      </x:c>
      <x:c r="H216" s="258" t="n">
        <x:f>IF(AB216&lt;($E$16-$D$16)/($F$16-$D$16),$D$16+SQRT(AB216*($F$16-$D$16)*($E$16-$D$16)),$F$16-SQRT((1-AB216)*($F$16-$D$16)*($F$16-$E$16)))</x:f>
        <x:v>0.0241696456204328</x:v>
      </x:c>
      <x:c r="I216" s="262" t="n">
        <x:f>'Historical Inputs'!$N$9*(1+D216)^5</x:f>
        <x:v>786891.8984924874</x:v>
      </x:c>
      <x:c r="J216" s="262" t="n">
        <x:f>I216*(1+H216)*('Terminal Value'!$E$10+E216)*(1-'Assumptions'!$E$15)*(1-H216/'Terminal Value'!$E$12)</x:f>
        <x:v>244831.94620244452</x:v>
      </x:c>
      <x:c r="K216" s="264" t="n">
        <x:f>((SUM((('Historical Inputs'!$N$9*(1+(D216))^1)*(('Assumptions'!E37+(E216))*(1-'Assumptions'!E42-(0))+'Assumptions'!E47-'Assumptions'!E52*(F216)+'Assumptions'!E57-'Assumptions'!E62*(1)-'Assumptions'!E67-(0))+('Working Capital'!$E$6))*'DCF'!E12/(1+(G216))^'DCF'!E13,(('Historical Inputs'!$N$9*(1+(D216))^2)*(('Assumptions'!F37+(E216))*(1-'Assumptions'!F42-(0))+'Assumptions'!F47-'Assumptions'!F52*(F216)+'Assumptions'!F57-'Assumptions'!F62*(1)-'Assumptions'!F67-(0))+(('Historical Inputs'!$N$9*(1+(D216))^1)*('Assumptions'!E67+(0))))*'DCF'!F12/(1+(G216))^'DCF'!F13,(('Historical Inputs'!$N$9*(1+(D216))^3)*(('Assumptions'!G37+(E216))*(1-'Assumptions'!G42-(0))+'Assumptions'!G47-'Assumptions'!G52*(F216)+'Assumptions'!G57-'Assumptions'!G62*(1)-'Assumptions'!G67-(0))+(('Historical Inputs'!$N$9*(1+(D216))^2)*('Assumptions'!F67+(0))))*'DCF'!G12/(1+(G216))^'DCF'!G13,(('Historical Inputs'!$N$9*(1+(D216))^4)*(('Assumptions'!H37+(E216))*(1-'Assumptions'!H42-(0))+'Assumptions'!H47-'Assumptions'!H52*(F216)+'Assumptions'!H57-'Assumptions'!H62*(1)-'Assumptions'!H67-(0))+(('Historical Inputs'!$N$9*(1+(D216))^3)*('Assumptions'!G67+(0))))*'DCF'!H12/(1+(G216))^'DCF'!H13,(('Historical Inputs'!$N$9*(1+(D216))^5)*(('Assumptions'!I37+(E216))*(1-'Assumptions'!I42-(0))+'Assumptions'!I47-'Assumptions'!I52*(F216)+'Assumptions'!I57-'Assumptions'!I62*(1)-'Assumptions'!I67-(0))+(('Historical Inputs'!$N$9*(1+(D216))^4)*('Assumptions'!H67+(0))))*'DCF'!I12/(1+(G216))^'DCF'!I13)+('Historical Inputs'!$N$9*(1+(D216))^5)*(1+(H216))*('Terminal Value'!$E$10+(E216))*(1-'Assumptions'!$E$15-(0))*(1-(H216)/('Terminal Value'!$E$12))/((G216)-(H216))/(1+(G216))^'DCF'!$E$19)+'Equity Bridge'!$E$17)/'Equity Bridge'!$E$20</x:f>
        <x:v>383.0700284614126</x:v>
      </x:c>
      <x:c r="X216" s="255" t="n">
        <x:v>0.9954655189834862</x:v>
      </x:c>
      <x:c r="Y216" s="255" t="n">
        <x:v>0.9347948964299084</x:v>
      </x:c>
      <x:c r="Z216" s="255" t="n">
        <x:v>0.7675375598667706</x:v>
      </x:c>
      <x:c r="AA216" s="255" t="n">
        <x:v>0.20193224286975264</x:v>
      </x:c>
      <x:c r="AB216" s="255" t="n">
        <x:v>0.08692972299997226</x:v>
      </x:c>
    </x:row>
    <x:row r="217" ht="24" customHeight="1">
      <x:c r="C217" s="256" t="n">
        <x:f>186</x:f>
        <x:v>186</x:v>
      </x:c>
      <x:c r="D217" s="258" t="n">
        <x:f>IF(X217&lt;($E$12-$D$12)/($F$12-$D$12),$D$12+SQRT(X217*($F$12-$D$12)*($E$12-$D$12)),$F$12-SQRT((1-X217)*($F$12-$D$12)*($F$12-$E$12)))</x:f>
        <x:v>0.1544243217908178</x:v>
      </x:c>
      <x:c r="E217" s="258" t="n">
        <x:f>IF(Y217&lt;($E$13-$D$13)/($F$13-$D$13),$D$13+SQRT(Y217*($F$13-$D$13)*($E$13-$D$13)),$F$13-SQRT((1-Y217)*($F$13-$D$13)*($F$13-$E$13)))</x:f>
        <x:v>0.038417118612377295</x:v>
      </x:c>
      <x:c r="F217" s="260" t="n">
        <x:f>IF(Z217&lt;($E$14-$D$14)/($F$14-$D$14),$D$14+SQRT(Z217*($F$14-$D$14)*($E$14-$D$14)),$F$14-SQRT((1-Z217)*($F$14-$D$14)*($F$14-$E$14)))</x:f>
        <x:v>1.087646831765113</x:v>
      </x:c>
      <x:c r="G217" s="258" t="n">
        <x:f>IF(AA217&lt;($E$15-$D$15)/($F$15-$D$15),$D$15+SQRT(AA217*($F$15-$D$15)*($E$15-$D$15)),$F$15-SQRT((1-AA217)*($F$15-$D$15)*($F$15-$E$15)))</x:f>
        <x:v>0.10535015875547508</x:v>
      </x:c>
      <x:c r="H217" s="258" t="n">
        <x:f>IF(AB217&lt;($E$16-$D$16)/($F$16-$D$16),$D$16+SQRT(AB217*($F$16-$D$16)*($E$16-$D$16)),$F$16-SQRT((1-AB217)*($F$16-$D$16)*($F$16-$E$16)))</x:f>
        <x:v>0.03541204066751704</x:v>
      </x:c>
      <x:c r="I217" s="262" t="n">
        <x:f>'Historical Inputs'!$N$9*(1+D217)^5</x:f>
        <x:v>680385.0559634052</x:v>
      </x:c>
      <x:c r="J217" s="262" t="n">
        <x:f>I217*(1+H217)*('Terminal Value'!$E$10+E217)*(1-'Assumptions'!$E$15)*(1-H217/'Terminal Value'!$E$12)</x:f>
        <x:v>203335.65196491827</x:v>
      </x:c>
      <x:c r="K217" s="264" t="n">
        <x:f>((SUM((('Historical Inputs'!$N$9*(1+(D217))^1)*(('Assumptions'!E37+(E217))*(1-'Assumptions'!E42-(0))+'Assumptions'!E47-'Assumptions'!E52*(F217)+'Assumptions'!E57-'Assumptions'!E62*(1)-'Assumptions'!E67-(0))+('Working Capital'!$E$6))*'DCF'!E12/(1+(G217))^'DCF'!E13,(('Historical Inputs'!$N$9*(1+(D217))^2)*(('Assumptions'!F37+(E217))*(1-'Assumptions'!F42-(0))+'Assumptions'!F47-'Assumptions'!F52*(F217)+'Assumptions'!F57-'Assumptions'!F62*(1)-'Assumptions'!F67-(0))+(('Historical Inputs'!$N$9*(1+(D217))^1)*('Assumptions'!E67+(0))))*'DCF'!F12/(1+(G217))^'DCF'!F13,(('Historical Inputs'!$N$9*(1+(D217))^3)*(('Assumptions'!G37+(E217))*(1-'Assumptions'!G42-(0))+'Assumptions'!G47-'Assumptions'!G52*(F217)+'Assumptions'!G57-'Assumptions'!G62*(1)-'Assumptions'!G67-(0))+(('Historical Inputs'!$N$9*(1+(D217))^2)*('Assumptions'!F67+(0))))*'DCF'!G12/(1+(G217))^'DCF'!G13,(('Historical Inputs'!$N$9*(1+(D217))^4)*(('Assumptions'!H37+(E217))*(1-'Assumptions'!H42-(0))+'Assumptions'!H47-'Assumptions'!H52*(F217)+'Assumptions'!H57-'Assumptions'!H62*(1)-'Assumptions'!H67-(0))+(('Historical Inputs'!$N$9*(1+(D217))^3)*('Assumptions'!G67+(0))))*'DCF'!H12/(1+(G217))^'DCF'!H13,(('Historical Inputs'!$N$9*(1+(D217))^5)*(('Assumptions'!I37+(E217))*(1-'Assumptions'!I42-(0))+'Assumptions'!I47-'Assumptions'!I52*(F217)+'Assumptions'!I57-'Assumptions'!I62*(1)-'Assumptions'!I67-(0))+(('Historical Inputs'!$N$9*(1+(D217))^4)*('Assumptions'!H67+(0))))*'DCF'!I12/(1+(G217))^'DCF'!I13)+('Historical Inputs'!$N$9*(1+(D217))^5)*(1+(H217))*('Terminal Value'!$E$10+(E217))*(1-'Assumptions'!$E$15-(0))*(1-(H217)/('Terminal Value'!$E$12))/((G217)-(H217))/(1+(G217))^'DCF'!$E$19)+'Equity Bridge'!$E$17)/'Equity Bridge'!$E$20</x:f>
        <x:v>302.08249306800354</x:v>
      </x:c>
      <x:c r="X217" s="255" t="n">
        <x:v>0.6984042815946209</x:v>
      </x:c>
      <x:c r="Y217" s="255" t="n">
        <x:v>0.9731673717520527</x:v>
      </x:c>
      <x:c r="Z217" s="255" t="n">
        <x:v>0.8196680798226168</x:v>
      </x:c>
      <x:c r="AA217" s="255" t="n">
        <x:v>0.8651391551373032</x:v>
      </x:c>
      <x:c r="AB217" s="255" t="n">
        <x:v>0.8947531458174125</x:v>
      </x:c>
    </x:row>
    <x:row r="218" ht="24" customHeight="1">
      <x:c r="C218" s="256" t="n">
        <x:f>187</x:f>
        <x:v>187</x:v>
      </x:c>
      <x:c r="D218" s="258" t="n">
        <x:f>IF(X218&lt;($E$12-$D$12)/($F$12-$D$12),$D$12+SQRT(X218*($F$12-$D$12)*($E$12-$D$12)),$F$12-SQRT((1-X218)*($F$12-$D$12)*($F$12-$E$12)))</x:f>
        <x:v>0.11162702756164648</x:v>
      </x:c>
      <x:c r="E218" s="258" t="n">
        <x:f>IF(Y218&lt;($E$13-$D$13)/($F$13-$D$13),$D$13+SQRT(Y218*($F$13-$D$13)*($E$13-$D$13)),$F$13-SQRT((1-Y218)*($F$13-$D$13)*($F$13-$E$13)))</x:f>
        <x:v>0.00930761714890295</x:v>
      </x:c>
      <x:c r="F218" s="260" t="n">
        <x:f>IF(Z218&lt;($E$14-$D$14)/($F$14-$D$14),$D$14+SQRT(Z218*($F$14-$D$14)*($E$14-$D$14)),$F$14-SQRT((1-Z218)*($F$14-$D$14)*($F$14-$E$14)))</x:f>
        <x:v>1.0212631774691086</x:v>
      </x:c>
      <x:c r="G218" s="258" t="n">
        <x:f>IF(AA218&lt;($E$15-$D$15)/($F$15-$D$15),$D$15+SQRT(AA218*($F$15-$D$15)*($E$15-$D$15)),$F$15-SQRT((1-AA218)*($F$15-$D$15)*($F$15-$E$15)))</x:f>
        <x:v>0.09671753962715492</x:v>
      </x:c>
      <x:c r="H218" s="258" t="n">
        <x:f>IF(AB218&lt;($E$16-$D$16)/($F$16-$D$16),$D$16+SQRT(AB218*($F$16-$D$16)*($E$16-$D$16)),$F$16-SQRT((1-AB218)*($F$16-$D$16)*($F$16-$E$16)))</x:f>
        <x:v>0.036818251448601784</x:v>
      </x:c>
      <x:c r="I218" s="262" t="n">
        <x:f>'Historical Inputs'!$N$9*(1+D218)^5</x:f>
        <x:v>563278.1607894705</x:v>
      </x:c>
      <x:c r="J218" s="262" t="n">
        <x:f>I218*(1+H218)*('Terminal Value'!$E$10+E218)*(1-'Assumptions'!$E$15)*(1-H218/'Terminal Value'!$E$12)</x:f>
        <x:v>156029.58289398128</x:v>
      </x:c>
      <x:c r="K218" s="264" t="n">
        <x:f>((SUM((('Historical Inputs'!$N$9*(1+(D218))^1)*(('Assumptions'!E37+(E218))*(1-'Assumptions'!E42-(0))+'Assumptions'!E47-'Assumptions'!E52*(F218)+'Assumptions'!E57-'Assumptions'!E62*(1)-'Assumptions'!E67-(0))+('Working Capital'!$E$6))*'DCF'!E12/(1+(G218))^'DCF'!E13,(('Historical Inputs'!$N$9*(1+(D218))^2)*(('Assumptions'!F37+(E218))*(1-'Assumptions'!F42-(0))+'Assumptions'!F47-'Assumptions'!F52*(F218)+'Assumptions'!F57-'Assumptions'!F62*(1)-'Assumptions'!F67-(0))+(('Historical Inputs'!$N$9*(1+(D218))^1)*('Assumptions'!E67+(0))))*'DCF'!F12/(1+(G218))^'DCF'!F13,(('Historical Inputs'!$N$9*(1+(D218))^3)*(('Assumptions'!G37+(E218))*(1-'Assumptions'!G42-(0))+'Assumptions'!G47-'Assumptions'!G52*(F218)+'Assumptions'!G57-'Assumptions'!G62*(1)-'Assumptions'!G67-(0))+(('Historical Inputs'!$N$9*(1+(D218))^2)*('Assumptions'!F67+(0))))*'DCF'!G12/(1+(G218))^'DCF'!G13,(('Historical Inputs'!$N$9*(1+(D218))^4)*(('Assumptions'!H37+(E218))*(1-'Assumptions'!H42-(0))+'Assumptions'!H47-'Assumptions'!H52*(F218)+'Assumptions'!H57-'Assumptions'!H62*(1)-'Assumptions'!H67-(0))+(('Historical Inputs'!$N$9*(1+(D218))^3)*('Assumptions'!G67+(0))))*'DCF'!H12/(1+(G218))^'DCF'!H13,(('Historical Inputs'!$N$9*(1+(D218))^5)*(('Assumptions'!I37+(E218))*(1-'Assumptions'!I42-(0))+'Assumptions'!I47-'Assumptions'!I52*(F218)+'Assumptions'!I57-'Assumptions'!I62*(1)-'Assumptions'!I67-(0))+(('Historical Inputs'!$N$9*(1+(D218))^4)*('Assumptions'!H67+(0))))*'DCF'!I12/(1+(G218))^'DCF'!I13)+('Historical Inputs'!$N$9*(1+(D218))^5)*(1+(H218))*('Terminal Value'!$E$10+(E218))*(1-'Assumptions'!$E$15-(0))*(1-(H218)/('Terminal Value'!$E$12))/((G218)-(H218))/(1+(G218))^'DCF'!$E$19)+'Equity Bridge'!$E$17)/'Equity Bridge'!$E$20</x:f>
        <x:v>277.02040263935146</x:v>
      </x:c>
      <x:c r="X218" s="255" t="n">
        <x:v>0.06749142214511539</x:v>
      </x:c>
      <x:c r="Y218" s="255" t="n">
        <x:v>0.6688259955799485</x:v>
      </x:c>
      <x:c r="Z218" s="255" t="n">
        <x:v>0.5436164038794373</x:v>
      </x:c>
      <x:c r="AA218" s="255" t="n">
        <x:v>0.40964345408055625</x:v>
      </x:c>
      <x:c r="AB218" s="255" t="n">
        <x:v>0.9493823807783767</x:v>
      </x:c>
    </x:row>
    <x:row r="219" ht="24" customHeight="1">
      <x:c r="C219" s="256" t="n">
        <x:f>188</x:f>
        <x:v>188</x:v>
      </x:c>
      <x:c r="D219" s="258" t="n">
        <x:f>IF(X219&lt;($E$12-$D$12)/($F$12-$D$12),$D$12+SQRT(X219*($F$12-$D$12)*($E$12-$D$12)),$F$12-SQRT((1-X219)*($F$12-$D$12)*($F$12-$E$12)))</x:f>
        <x:v>0.13338557786973362</x:v>
      </x:c>
      <x:c r="E219" s="258" t="n">
        <x:f>IF(Y219&lt;($E$13-$D$13)/($F$13-$D$13),$D$13+SQRT(Y219*($F$13-$D$13)*($E$13-$D$13)),$F$13-SQRT((1-Y219)*($F$13-$D$13)*($F$13-$E$13)))</x:f>
        <x:v>-0.006779739378481198</x:v>
      </x:c>
      <x:c r="F219" s="260" t="n">
        <x:f>IF(Z219&lt;($E$14-$D$14)/($F$14-$D$14),$D$14+SQRT(Z219*($F$14-$D$14)*($E$14-$D$14)),$F$14-SQRT((1-Z219)*($F$14-$D$14)*($F$14-$E$14)))</x:f>
        <x:v>1.058693830340493</x:v>
      </x:c>
      <x:c r="G219" s="258" t="n">
        <x:f>IF(AA219&lt;($E$15-$D$15)/($F$15-$D$15),$D$15+SQRT(AA219*($F$15-$D$15)*($E$15-$D$15)),$F$15-SQRT((1-AA219)*($F$15-$D$15)*($F$15-$E$15)))</x:f>
        <x:v>0.0953730136930399</x:v>
      </x:c>
      <x:c r="H219" s="258" t="n">
        <x:f>IF(AB219&lt;($E$16-$D$16)/($F$16-$D$16),$D$16+SQRT(AB219*($F$16-$D$16)*($E$16-$D$16)),$F$16-SQRT((1-AB219)*($F$16-$D$16)*($F$16-$E$16)))</x:f>
        <x:v>0.03216811259322179</x:v>
      </x:c>
      <x:c r="I219" s="262" t="n">
        <x:f>'Historical Inputs'!$N$9*(1+D219)^5</x:f>
        <x:v>620605.8085832929</x:v>
      </x:c>
      <x:c r="J219" s="262" t="n">
        <x:f>I219*(1+H219)*('Terminal Value'!$E$10+E219)*(1-'Assumptions'!$E$15)*(1-H219/'Terminal Value'!$E$12)</x:f>
        <x:v>169097.28344839322</x:v>
      </x:c>
      <x:c r="K219" s="264" t="n">
        <x:f>((SUM((('Historical Inputs'!$N$9*(1+(D219))^1)*(('Assumptions'!E37+(E219))*(1-'Assumptions'!E42-(0))+'Assumptions'!E47-'Assumptions'!E52*(F219)+'Assumptions'!E57-'Assumptions'!E62*(1)-'Assumptions'!E67-(0))+('Working Capital'!$E$6))*'DCF'!E12/(1+(G219))^'DCF'!E13,(('Historical Inputs'!$N$9*(1+(D219))^2)*(('Assumptions'!F37+(E219))*(1-'Assumptions'!F42-(0))+'Assumptions'!F47-'Assumptions'!F52*(F219)+'Assumptions'!F57-'Assumptions'!F62*(1)-'Assumptions'!F67-(0))+(('Historical Inputs'!$N$9*(1+(D219))^1)*('Assumptions'!E67+(0))))*'DCF'!F12/(1+(G219))^'DCF'!F13,(('Historical Inputs'!$N$9*(1+(D219))^3)*(('Assumptions'!G37+(E219))*(1-'Assumptions'!G42-(0))+'Assumptions'!G47-'Assumptions'!G52*(F219)+'Assumptions'!G57-'Assumptions'!G62*(1)-'Assumptions'!G67-(0))+(('Historical Inputs'!$N$9*(1+(D219))^2)*('Assumptions'!F67+(0))))*'DCF'!G12/(1+(G219))^'DCF'!G13,(('Historical Inputs'!$N$9*(1+(D219))^4)*(('Assumptions'!H37+(E219))*(1-'Assumptions'!H42-(0))+'Assumptions'!H47-'Assumptions'!H52*(F219)+'Assumptions'!H57-'Assumptions'!H62*(1)-'Assumptions'!H67-(0))+(('Historical Inputs'!$N$9*(1+(D219))^3)*('Assumptions'!G67+(0))))*'DCF'!H12/(1+(G219))^'DCF'!H13,(('Historical Inputs'!$N$9*(1+(D219))^5)*(('Assumptions'!I37+(E219))*(1-'Assumptions'!I42-(0))+'Assumptions'!I47-'Assumptions'!I52*(F219)+'Assumptions'!I57-'Assumptions'!I62*(1)-'Assumptions'!I67-(0))+(('Historical Inputs'!$N$9*(1+(D219))^4)*('Assumptions'!H67+(0))))*'DCF'!I12/(1+(G219))^'DCF'!I13)+('Historical Inputs'!$N$9*(1+(D219))^5)*(1+(H219))*('Terminal Value'!$E$10+(E219))*(1-'Assumptions'!$E$15-(0))*(1-(H219)/('Terminal Value'!$E$12))/((G219)-(H219))/(1+(G219))^'DCF'!$E$19)+'Equity Bridge'!$E$17)/'Equity Bridge'!$E$20</x:f>
        <x:v>282.83479316552945</x:v>
      </x:c>
      <x:c r="X219" s="255" t="n">
        <x:v>0.3220602020300931</x:v>
      </x:c>
      <x:c r="Y219" s="255" t="n">
        <x:v>0.37359818563840175</x:v>
      </x:c>
      <x:c r="Z219" s="255" t="n">
        <x:v>0.7147509488022656</x:v>
      </x:c>
      <x:c r="AA219" s="255" t="n">
        <x:v>0.3325279757024755</x:v>
      </x:c>
      <x:c r="AB219" s="255" t="n">
        <x:v>0.6933076982377446</x:v>
      </x:c>
    </x:row>
    <x:row r="220" ht="24" customHeight="1">
      <x:c r="C220" s="256" t="n">
        <x:f>189</x:f>
        <x:v>189</x:v>
      </x:c>
      <x:c r="D220" s="258" t="n">
        <x:f>IF(X220&lt;($E$12-$D$12)/($F$12-$D$12),$D$12+SQRT(X220*($F$12-$D$12)*($E$12-$D$12)),$F$12-SQRT((1-X220)*($F$12-$D$12)*($F$12-$E$12)))</x:f>
        <x:v>0.1397440920552195</x:v>
      </x:c>
      <x:c r="E220" s="258" t="n">
        <x:f>IF(Y220&lt;($E$13-$D$13)/($F$13-$D$13),$D$13+SQRT(Y220*($F$13-$D$13)*($E$13-$D$13)),$F$13-SQRT((1-Y220)*($F$13-$D$13)*($F$13-$E$13)))</x:f>
        <x:v>0.007166133707835559</x:v>
      </x:c>
      <x:c r="F220" s="260" t="n">
        <x:f>IF(Z220&lt;($E$14-$D$14)/($F$14-$D$14),$D$14+SQRT(Z220*($F$14-$D$14)*($E$14-$D$14)),$F$14-SQRT((1-Z220)*($F$14-$D$14)*($F$14-$E$14)))</x:f>
        <x:v>1.1196176927959867</x:v>
      </x:c>
      <x:c r="G220" s="258" t="n">
        <x:f>IF(AA220&lt;($E$15-$D$15)/($F$15-$D$15),$D$15+SQRT(AA220*($F$15-$D$15)*($E$15-$D$15)),$F$15-SQRT((1-AA220)*($F$15-$D$15)*($F$15-$E$15)))</x:f>
        <x:v>0.09606103476516199</x:v>
      </x:c>
      <x:c r="H220" s="258" t="n">
        <x:f>IF(AB220&lt;($E$16-$D$16)/($F$16-$D$16),$D$16+SQRT(AB220*($F$16-$D$16)*($E$16-$D$16)),$F$16-SQRT((1-AB220)*($F$16-$D$16)*($F$16-$E$16)))</x:f>
        <x:v>0.024215366810725433</x:v>
      </x:c>
      <x:c r="I220" s="262" t="n">
        <x:f>'Historical Inputs'!$N$9*(1+D220)^5</x:f>
        <x:v>638210.8370213702</x:v>
      </x:c>
      <x:c r="J220" s="262" t="n">
        <x:f>I220*(1+H220)*('Terminal Value'!$E$10+E220)*(1-'Assumptions'!$E$15)*(1-H220/'Terminal Value'!$E$12)</x:f>
        <x:v>187140.59604659237</x:v>
      </x:c>
      <x:c r="K220" s="264" t="n">
        <x:f>((SUM((('Historical Inputs'!$N$9*(1+(D220))^1)*(('Assumptions'!E37+(E220))*(1-'Assumptions'!E42-(0))+'Assumptions'!E47-'Assumptions'!E52*(F220)+'Assumptions'!E57-'Assumptions'!E62*(1)-'Assumptions'!E67-(0))+('Working Capital'!$E$6))*'DCF'!E12/(1+(G220))^'DCF'!E13,(('Historical Inputs'!$N$9*(1+(D220))^2)*(('Assumptions'!F37+(E220))*(1-'Assumptions'!F42-(0))+'Assumptions'!F47-'Assumptions'!F52*(F220)+'Assumptions'!F57-'Assumptions'!F62*(1)-'Assumptions'!F67-(0))+(('Historical Inputs'!$N$9*(1+(D220))^1)*('Assumptions'!E67+(0))))*'DCF'!F12/(1+(G220))^'DCF'!F13,(('Historical Inputs'!$N$9*(1+(D220))^3)*(('Assumptions'!G37+(E220))*(1-'Assumptions'!G42-(0))+'Assumptions'!G47-'Assumptions'!G52*(F220)+'Assumptions'!G57-'Assumptions'!G62*(1)-'Assumptions'!G67-(0))+(('Historical Inputs'!$N$9*(1+(D220))^2)*('Assumptions'!F67+(0))))*'DCF'!G12/(1+(G220))^'DCF'!G13,(('Historical Inputs'!$N$9*(1+(D220))^4)*(('Assumptions'!H37+(E220))*(1-'Assumptions'!H42-(0))+'Assumptions'!H47-'Assumptions'!H52*(F220)+'Assumptions'!H57-'Assumptions'!H62*(1)-'Assumptions'!H67-(0))+(('Historical Inputs'!$N$9*(1+(D220))^3)*('Assumptions'!G67+(0))))*'DCF'!H12/(1+(G220))^'DCF'!H13,(('Historical Inputs'!$N$9*(1+(D220))^5)*(('Assumptions'!I37+(E220))*(1-'Assumptions'!I42-(0))+'Assumptions'!I47-'Assumptions'!I52*(F220)+'Assumptions'!I57-'Assumptions'!I62*(1)-'Assumptions'!I67-(0))+(('Historical Inputs'!$N$9*(1+(D220))^4)*('Assumptions'!H67+(0))))*'DCF'!I12/(1+(G220))^'DCF'!I13)+('Historical Inputs'!$N$9*(1+(D220))^5)*(1+(H220))*('Terminal Value'!$E$10+(E220))*(1-'Assumptions'!$E$15-(0))*(1-(H220)/('Terminal Value'!$E$12))/((G220)-(H220))/(1+(G220))^'DCF'!$E$19)+'Equity Bridge'!$E$17)/'Equity Bridge'!$E$20</x:f>
        <x:v>275.9320072056539</x:v>
      </x:c>
      <x:c r="X220" s="255" t="n">
        <x:v>0.43220953969821074</x:v>
      </x:c>
      <x:c r="Y220" s="255" t="n">
        <x:v>0.6330519796929958</x:v>
      </x:c>
      <x:c r="Z220" s="255" t="n">
        <x:v>0.9076954955508519</x:v>
      </x:c>
      <x:c r="AA220" s="255" t="n">
        <x:v>0.37098576954338136</x:v>
      </x:c>
      <x:c r="AB220" s="255" t="n">
        <x:v>0.0888465867448276</x:v>
      </x:c>
    </x:row>
    <x:row r="221" ht="24" customHeight="1">
      <x:c r="C221" s="256" t="n">
        <x:f>190</x:f>
        <x:v>190</x:v>
      </x:c>
      <x:c r="D221" s="258" t="n">
        <x:f>IF(X221&lt;($E$12-$D$12)/($F$12-$D$12),$D$12+SQRT(X221*($F$12-$D$12)*($E$12-$D$12)),$F$12-SQRT((1-X221)*($F$12-$D$12)*($F$12-$E$12)))</x:f>
        <x:v>0.15016477209580736</x:v>
      </x:c>
      <x:c r="E221" s="258" t="n">
        <x:f>IF(Y221&lt;($E$13-$D$13)/($F$13-$D$13),$D$13+SQRT(Y221*($F$13-$D$13)*($E$13-$D$13)),$F$13-SQRT((1-Y221)*($F$13-$D$13)*($F$13-$E$13)))</x:f>
        <x:v>-0.014676175562769539</x:v>
      </x:c>
      <x:c r="F221" s="260" t="n">
        <x:f>IF(Z221&lt;($E$14-$D$14)/($F$14-$D$14),$D$14+SQRT(Z221*($F$14-$D$14)*($E$14-$D$14)),$F$14-SQRT((1-Z221)*($F$14-$D$14)*($F$14-$E$14)))</x:f>
        <x:v>1.1538869043202107</x:v>
      </x:c>
      <x:c r="G221" s="258" t="n">
        <x:f>IF(AA221&lt;($E$15-$D$15)/($F$15-$D$15),$D$15+SQRT(AA221*($F$15-$D$15)*($E$15-$D$15)),$F$15-SQRT((1-AA221)*($F$15-$D$15)*($F$15-$E$15)))</x:f>
        <x:v>0.09276418586152935</x:v>
      </x:c>
      <x:c r="H221" s="258" t="n">
        <x:f>IF(AB221&lt;($E$16-$D$16)/($F$16-$D$16),$D$16+SQRT(AB221*($F$16-$D$16)*($E$16-$D$16)),$F$16-SQRT((1-AB221)*($F$16-$D$16)*($F$16-$E$16)))</x:f>
        <x:v>0.02879124900124492</x:v>
      </x:c>
      <x:c r="I221" s="262" t="n">
        <x:f>'Historical Inputs'!$N$9*(1+D221)^5</x:f>
        <x:v>667925.0539190825</x:v>
      </x:c>
      <x:c r="J221" s="262" t="n">
        <x:f>I221*(1+H221)*('Terminal Value'!$E$10+E221)*(1-'Assumptions'!$E$15)*(1-H221/'Terminal Value'!$E$12)</x:f>
        <x:v>181328.80860812607</x:v>
      </x:c>
      <x:c r="K221" s="264" t="n">
        <x:f>((SUM((('Historical Inputs'!$N$9*(1+(D221))^1)*(('Assumptions'!E37+(E221))*(1-'Assumptions'!E42-(0))+'Assumptions'!E47-'Assumptions'!E52*(F221)+'Assumptions'!E57-'Assumptions'!E62*(1)-'Assumptions'!E67-(0))+('Working Capital'!$E$6))*'DCF'!E12/(1+(G221))^'DCF'!E13,(('Historical Inputs'!$N$9*(1+(D221))^2)*(('Assumptions'!F37+(E221))*(1-'Assumptions'!F42-(0))+'Assumptions'!F47-'Assumptions'!F52*(F221)+'Assumptions'!F57-'Assumptions'!F62*(1)-'Assumptions'!F67-(0))+(('Historical Inputs'!$N$9*(1+(D221))^1)*('Assumptions'!E67+(0))))*'DCF'!F12/(1+(G221))^'DCF'!F13,(('Historical Inputs'!$N$9*(1+(D221))^3)*(('Assumptions'!G37+(E221))*(1-'Assumptions'!G42-(0))+'Assumptions'!G47-'Assumptions'!G52*(F221)+'Assumptions'!G57-'Assumptions'!G62*(1)-'Assumptions'!G67-(0))+(('Historical Inputs'!$N$9*(1+(D221))^2)*('Assumptions'!F67+(0))))*'DCF'!G12/(1+(G221))^'DCF'!G13,(('Historical Inputs'!$N$9*(1+(D221))^4)*(('Assumptions'!H37+(E221))*(1-'Assumptions'!H42-(0))+'Assumptions'!H47-'Assumptions'!H52*(F221)+'Assumptions'!H57-'Assumptions'!H62*(1)-'Assumptions'!H67-(0))+(('Historical Inputs'!$N$9*(1+(D221))^3)*('Assumptions'!G67+(0))))*'DCF'!H12/(1+(G221))^'DCF'!H13,(('Historical Inputs'!$N$9*(1+(D221))^5)*(('Assumptions'!I37+(E221))*(1-'Assumptions'!I42-(0))+'Assumptions'!I47-'Assumptions'!I52*(F221)+'Assumptions'!I57-'Assumptions'!I62*(1)-'Assumptions'!I67-(0))+(('Historical Inputs'!$N$9*(1+(D221))^4)*('Assumptions'!H67+(0))))*'DCF'!I12/(1+(G221))^'DCF'!I13)+('Historical Inputs'!$N$9*(1+(D221))^5)*(1+(H221))*('Terminal Value'!$E$10+(E221))*(1-'Assumptions'!$E$15-(0))*(1-(H221)/('Terminal Value'!$E$12))/((G221)-(H221))/(1+(G221))^'DCF'!$E$19)+'Equity Bridge'!$E$17)/'Equity Bridge'!$E$20</x:f>
        <x:v>294.75849077752383</x:v>
      </x:c>
      <x:c r="X221" s="255" t="n">
        <x:v>0.6286116026371534</x:v>
      </x:c>
      <x:c r="Y221" s="255" t="n">
        <x:v>0.249554514574456</x:v>
      </x:c>
      <x:c r="Z221" s="255" t="n">
        <x:v>0.9696226058118087</x:v>
      </x:c>
      <x:c r="AA221" s="255" t="n">
        <x:v>0.20581743418375242</x:v>
      </x:c>
      <x:c r="AB221" s="255" t="n">
        <x:v>0.3864302950094488</x:v>
      </x:c>
    </x:row>
    <x:row r="222" ht="24" customHeight="1">
      <x:c r="C222" s="256" t="n">
        <x:f>191</x:f>
        <x:v>191</x:v>
      </x:c>
      <x:c r="D222" s="258" t="n">
        <x:f>IF(X222&lt;($E$12-$D$12)/($F$12-$D$12),$D$12+SQRT(X222*($F$12-$D$12)*($E$12-$D$12)),$F$12-SQRT((1-X222)*($F$12-$D$12)*($F$12-$E$12)))</x:f>
        <x:v>0.10313323833739602</x:v>
      </x:c>
      <x:c r="E222" s="258" t="n">
        <x:f>IF(Y222&lt;($E$13-$D$13)/($F$13-$D$13),$D$13+SQRT(Y222*($F$13-$D$13)*($E$13-$D$13)),$F$13-SQRT((1-Y222)*($F$13-$D$13)*($F$13-$E$13)))</x:f>
        <x:v>-0.015251300030339338</x:v>
      </x:c>
      <x:c r="F222" s="260" t="n">
        <x:f>IF(Z222&lt;($E$14-$D$14)/($F$14-$D$14),$D$14+SQRT(Z222*($F$14-$D$14)*($E$14-$D$14)),$F$14-SQRT((1-Z222)*($F$14-$D$14)*($F$14-$E$14)))</x:f>
        <x:v>0.924902880429483</x:v>
      </x:c>
      <x:c r="G222" s="258" t="n">
        <x:f>IF(AA222&lt;($E$15-$D$15)/($F$15-$D$15),$D$15+SQRT(AA222*($F$15-$D$15)*($E$15-$D$15)),$F$15-SQRT((1-AA222)*($F$15-$D$15)*($F$15-$E$15)))</x:f>
        <x:v>0.09609165595122106</x:v>
      </x:c>
      <x:c r="H222" s="258" t="n">
        <x:f>IF(AB222&lt;($E$16-$D$16)/($F$16-$D$16),$D$16+SQRT(AB222*($F$16-$D$16)*($E$16-$D$16)),$F$16-SQRT((1-AB222)*($F$16-$D$16)*($F$16-$E$16)))</x:f>
        <x:v>0.026369013512257858</x:v>
      </x:c>
      <x:c r="I222" s="262" t="n">
        <x:f>'Historical Inputs'!$N$9*(1+D222)^5</x:f>
        <x:v>542084.8602984587</x:v>
      </x:c>
      <x:c r="J222" s="262" t="n">
        <x:f>I222*(1+H222)*('Terminal Value'!$E$10+E222)*(1-'Assumptions'!$E$15)*(1-H222/'Terminal Value'!$E$12)</x:f>
        <x:v>148674.05794610974</x:v>
      </x:c>
      <x:c r="K222" s="264" t="n">
        <x:f>((SUM((('Historical Inputs'!$N$9*(1+(D222))^1)*(('Assumptions'!E37+(E222))*(1-'Assumptions'!E42-(0))+'Assumptions'!E47-'Assumptions'!E52*(F222)+'Assumptions'!E57-'Assumptions'!E62*(1)-'Assumptions'!E67-(0))+('Working Capital'!$E$6))*'DCF'!E12/(1+(G222))^'DCF'!E13,(('Historical Inputs'!$N$9*(1+(D222))^2)*(('Assumptions'!F37+(E222))*(1-'Assumptions'!F42-(0))+'Assumptions'!F47-'Assumptions'!F52*(F222)+'Assumptions'!F57-'Assumptions'!F62*(1)-'Assumptions'!F67-(0))+(('Historical Inputs'!$N$9*(1+(D222))^1)*('Assumptions'!E67+(0))))*'DCF'!F12/(1+(G222))^'DCF'!F13,(('Historical Inputs'!$N$9*(1+(D222))^3)*(('Assumptions'!G37+(E222))*(1-'Assumptions'!G42-(0))+'Assumptions'!G47-'Assumptions'!G52*(F222)+'Assumptions'!G57-'Assumptions'!G62*(1)-'Assumptions'!G67-(0))+(('Historical Inputs'!$N$9*(1+(D222))^2)*('Assumptions'!F67+(0))))*'DCF'!G12/(1+(G222))^'DCF'!G13,(('Historical Inputs'!$N$9*(1+(D222))^4)*(('Assumptions'!H37+(E222))*(1-'Assumptions'!H42-(0))+'Assumptions'!H47-'Assumptions'!H52*(F222)+'Assumptions'!H57-'Assumptions'!H62*(1)-'Assumptions'!H67-(0))+(('Historical Inputs'!$N$9*(1+(D222))^3)*('Assumptions'!G67+(0))))*'DCF'!H12/(1+(G222))^'DCF'!H13,(('Historical Inputs'!$N$9*(1+(D222))^5)*(('Assumptions'!I37+(E222))*(1-'Assumptions'!I42-(0))+'Assumptions'!I47-'Assumptions'!I52*(F222)+'Assumptions'!I57-'Assumptions'!I62*(1)-'Assumptions'!I67-(0))+(('Historical Inputs'!$N$9*(1+(D222))^4)*('Assumptions'!H67+(0))))*'DCF'!I12/(1+(G222))^'DCF'!I13)+('Historical Inputs'!$N$9*(1+(D222))^5)*(1+(H222))*('Terminal Value'!$E$10+(E222))*(1-'Assumptions'!$E$15-(0))*(1-(H222)/('Terminal Value'!$E$12))/((G222)-(H222))/(1+(G222))^'DCF'!$E$19)+'Equity Bridge'!$E$17)/'Equity Bridge'!$E$20</x:f>
        <x:v>236.22389389396335</x:v>
      </x:c>
      <x:c r="X222" s="255" t="n">
        <x:v>0.019507930515767602</x:v>
      </x:c>
      <x:c r="Y222" s="255" t="n">
        <x:v>0.241494429916299</x:v>
      </x:c>
      <x:c r="Z222" s="255" t="n">
        <x:v>0.10686555231682726</x:v>
      </x:c>
      <x:c r="AA222" s="255" t="n">
        <x:v>0.3727462803434183</x:v>
      </x:c>
      <x:c r="AB222" s="255" t="n">
        <x:v>0.20282166559661596</x:v>
      </x:c>
    </x:row>
    <x:row r="223" ht="24" customHeight="1">
      <x:c r="C223" s="256" t="n">
        <x:f>192</x:f>
        <x:v>192</x:v>
      </x:c>
      <x:c r="D223" s="258" t="n">
        <x:f>IF(X223&lt;($E$12-$D$12)/($F$12-$D$12),$D$12+SQRT(X223*($F$12-$D$12)*($E$12-$D$12)),$F$12-SQRT((1-X223)*($F$12-$D$12)*($F$12-$E$12)))</x:f>
        <x:v>0.11895010223137834</x:v>
      </x:c>
      <x:c r="E223" s="258" t="n">
        <x:f>IF(Y223&lt;($E$13-$D$13)/($F$13-$D$13),$D$13+SQRT(Y223*($F$13-$D$13)*($E$13-$D$13)),$F$13-SQRT((1-Y223)*($F$13-$D$13)*($F$13-$E$13)))</x:f>
        <x:v>-0.02141112920214815</x:v>
      </x:c>
      <x:c r="F223" s="260" t="n">
        <x:f>IF(Z223&lt;($E$14-$D$14)/($F$14-$D$14),$D$14+SQRT(Z223*($F$14-$D$14)*($E$14-$D$14)),$F$14-SQRT((1-Z223)*($F$14-$D$14)*($F$14-$E$14)))</x:f>
        <x:v>1.0027032672666476</x:v>
      </x:c>
      <x:c r="G223" s="258" t="n">
        <x:f>IF(AA223&lt;($E$15-$D$15)/($F$15-$D$15),$D$15+SQRT(AA223*($F$15-$D$15)*($E$15-$D$15)),$F$15-SQRT((1-AA223)*($F$15-$D$15)*($F$15-$E$15)))</x:f>
        <x:v>0.09816150888445518</x:v>
      </x:c>
      <x:c r="H223" s="258" t="n">
        <x:f>IF(AB223&lt;($E$16-$D$16)/($F$16-$D$16),$D$16+SQRT(AB223*($F$16-$D$16)*($E$16-$D$16)),$F$16-SQRT((1-AB223)*($F$16-$D$16)*($F$16-$E$16)))</x:f>
        <x:v>0.034895685662899974</x:v>
      </x:c>
      <x:c r="I223" s="262" t="n">
        <x:f>'Historical Inputs'!$N$9*(1+D223)^5</x:f>
        <x:v>582077.7886356235</x:v>
      </x:c>
      <x:c r="J223" s="262" t="n">
        <x:f>I223*(1+H223)*('Terminal Value'!$E$10+E223)*(1-'Assumptions'!$E$15)*(1-H223/'Terminal Value'!$E$12)</x:f>
        <x:v>150613.4858989149</x:v>
      </x:c>
      <x:c r="K223" s="264" t="n">
        <x:f>((SUM((('Historical Inputs'!$N$9*(1+(D223))^1)*(('Assumptions'!E37+(E223))*(1-'Assumptions'!E42-(0))+'Assumptions'!E47-'Assumptions'!E52*(F223)+'Assumptions'!E57-'Assumptions'!E62*(1)-'Assumptions'!E67-(0))+('Working Capital'!$E$6))*'DCF'!E12/(1+(G223))^'DCF'!E13,(('Historical Inputs'!$N$9*(1+(D223))^2)*(('Assumptions'!F37+(E223))*(1-'Assumptions'!F42-(0))+'Assumptions'!F47-'Assumptions'!F52*(F223)+'Assumptions'!F57-'Assumptions'!F62*(1)-'Assumptions'!F67-(0))+(('Historical Inputs'!$N$9*(1+(D223))^1)*('Assumptions'!E67+(0))))*'DCF'!F12/(1+(G223))^'DCF'!F13,(('Historical Inputs'!$N$9*(1+(D223))^3)*(('Assumptions'!G37+(E223))*(1-'Assumptions'!G42-(0))+'Assumptions'!G47-'Assumptions'!G52*(F223)+'Assumptions'!G57-'Assumptions'!G62*(1)-'Assumptions'!G67-(0))+(('Historical Inputs'!$N$9*(1+(D223))^2)*('Assumptions'!F67+(0))))*'DCF'!G12/(1+(G223))^'DCF'!G13,(('Historical Inputs'!$N$9*(1+(D223))^4)*(('Assumptions'!H37+(E223))*(1-'Assumptions'!H42-(0))+'Assumptions'!H47-'Assumptions'!H52*(F223)+'Assumptions'!H57-'Assumptions'!H62*(1)-'Assumptions'!H67-(0))+(('Historical Inputs'!$N$9*(1+(D223))^3)*('Assumptions'!G67+(0))))*'DCF'!H12/(1+(G223))^'DCF'!H13,(('Historical Inputs'!$N$9*(1+(D223))^5)*(('Assumptions'!I37+(E223))*(1-'Assumptions'!I42-(0))+'Assumptions'!I47-'Assumptions'!I52*(F223)+'Assumptions'!I57-'Assumptions'!I62*(1)-'Assumptions'!I67-(0))+(('Historical Inputs'!$N$9*(1+(D223))^4)*('Assumptions'!H67+(0))))*'DCF'!I12/(1+(G223))^'DCF'!I13)+('Historical Inputs'!$N$9*(1+(D223))^5)*(1+(H223))*('Terminal Value'!$E$10+(E223))*(1-'Assumptions'!$E$15-(0))*(1-(H223)/('Terminal Value'!$E$12))/((G223)-(H223))/(1+(G223))^'DCF'!$E$19)+'Equity Bridge'!$E$17)/'Equity Bridge'!$E$20</x:f>
        <x:v>252.53356069110893</x:v>
      </x:c>
      <x:c r="X223" s="255" t="n">
        <x:v>0.13202687614285757</x:v>
      </x:c>
      <x:c r="Y223" s="255" t="n">
        <x:v>0.16346470669925328</x:v>
      </x:c>
      <x:c r="Z223" s="255" t="n">
        <x:v>0.44391427503920156</x:v>
      </x:c>
      <x:c r="AA223" s="255" t="n">
        <x:v>0.501408313156568</x:v>
      </x:c>
      <x:c r="AB223" s="255" t="n">
        <x:v>0.8697298757403757</x:v>
      </x:c>
    </x:row>
    <x:row r="224" ht="24" customHeight="1">
      <x:c r="C224" s="256" t="n">
        <x:f>193</x:f>
        <x:v>193</x:v>
      </x:c>
      <x:c r="D224" s="258" t="n">
        <x:f>IF(X224&lt;($E$12-$D$12)/($F$12-$D$12),$D$12+SQRT(X224*($F$12-$D$12)*($E$12-$D$12)),$F$12-SQRT((1-X224)*($F$12-$D$12)*($F$12-$E$12)))</x:f>
        <x:v>0.1508159183297391</x:v>
      </x:c>
      <x:c r="E224" s="258" t="n">
        <x:f>IF(Y224&lt;($E$13-$D$13)/($F$13-$D$13),$D$13+SQRT(Y224*($F$13-$D$13)*($E$13-$D$13)),$F$13-SQRT((1-Y224)*($F$13-$D$13)*($F$13-$E$13)))</x:f>
        <x:v>-0.004667335816218504</x:v>
      </x:c>
      <x:c r="F224" s="260" t="n">
        <x:f>IF(Z224&lt;($E$14-$D$14)/($F$14-$D$14),$D$14+SQRT(Z224*($F$14-$D$14)*($E$14-$D$14)),$F$14-SQRT((1-Z224)*($F$14-$D$14)*($F$14-$E$14)))</x:f>
        <x:v>1.0468730070489836</x:v>
      </x:c>
      <x:c r="G224" s="258" t="n">
        <x:f>IF(AA224&lt;($E$15-$D$15)/($F$15-$D$15),$D$15+SQRT(AA224*($F$15-$D$15)*($E$15-$D$15)),$F$15-SQRT((1-AA224)*($F$15-$D$15)*($F$15-$E$15)))</x:f>
        <x:v>0.10223434571830417</x:v>
      </x:c>
      <x:c r="H224" s="258" t="n">
        <x:f>IF(AB224&lt;($E$16-$D$16)/($F$16-$D$16),$D$16+SQRT(AB224*($F$16-$D$16)*($E$16-$D$16)),$F$16-SQRT((1-AB224)*($F$16-$D$16)*($F$16-$E$16)))</x:f>
        <x:v>0.03287141870353617</x:v>
      </x:c>
      <x:c r="I224" s="262" t="n">
        <x:f>'Historical Inputs'!$N$9*(1+D224)^5</x:f>
        <x:v>669817.8679507695</x:v>
      </x:c>
      <x:c r="J224" s="262" t="n">
        <x:f>I224*(1+H224)*('Terminal Value'!$E$10+E224)*(1-'Assumptions'!$E$15)*(1-H224/'Terminal Value'!$E$12)</x:f>
        <x:v>182842.1862814555</x:v>
      </x:c>
      <x:c r="K224" s="264" t="n">
        <x:f>((SUM((('Historical Inputs'!$N$9*(1+(D224))^1)*(('Assumptions'!E37+(E224))*(1-'Assumptions'!E42-(0))+'Assumptions'!E47-'Assumptions'!E52*(F224)+'Assumptions'!E57-'Assumptions'!E62*(1)-'Assumptions'!E67-(0))+('Working Capital'!$E$6))*'DCF'!E12/(1+(G224))^'DCF'!E13,(('Historical Inputs'!$N$9*(1+(D224))^2)*(('Assumptions'!F37+(E224))*(1-'Assumptions'!F42-(0))+'Assumptions'!F47-'Assumptions'!F52*(F224)+'Assumptions'!F57-'Assumptions'!F62*(1)-'Assumptions'!F67-(0))+(('Historical Inputs'!$N$9*(1+(D224))^1)*('Assumptions'!E67+(0))))*'DCF'!F12/(1+(G224))^'DCF'!F13,(('Historical Inputs'!$N$9*(1+(D224))^3)*(('Assumptions'!G37+(E224))*(1-'Assumptions'!G42-(0))+'Assumptions'!G47-'Assumptions'!G52*(F224)+'Assumptions'!G57-'Assumptions'!G62*(1)-'Assumptions'!G67-(0))+(('Historical Inputs'!$N$9*(1+(D224))^2)*('Assumptions'!F67+(0))))*'DCF'!G12/(1+(G224))^'DCF'!G13,(('Historical Inputs'!$N$9*(1+(D224))^4)*(('Assumptions'!H37+(E224))*(1-'Assumptions'!H42-(0))+'Assumptions'!H47-'Assumptions'!H52*(F224)+'Assumptions'!H57-'Assumptions'!H62*(1)-'Assumptions'!H67-(0))+(('Historical Inputs'!$N$9*(1+(D224))^3)*('Assumptions'!G67+(0))))*'DCF'!H12/(1+(G224))^'DCF'!H13,(('Historical Inputs'!$N$9*(1+(D224))^5)*(('Assumptions'!I37+(E224))*(1-'Assumptions'!I42-(0))+'Assumptions'!I47-'Assumptions'!I52*(F224)+'Assumptions'!I57-'Assumptions'!I62*(1)-'Assumptions'!I67-(0))+(('Historical Inputs'!$N$9*(1+(D224))^4)*('Assumptions'!H67+(0))))*'DCF'!I12/(1+(G224))^'DCF'!I13)+('Historical Inputs'!$N$9*(1+(D224))^5)*(1+(H224))*('Terminal Value'!$E$10+(E224))*(1-'Assumptions'!$E$15-(0))*(1-(H224)/('Terminal Value'!$E$12))/((G224)-(H224))/(1+(G224))^'DCF'!$E$19)+'Equity Bridge'!$E$17)/'Equity Bridge'!$E$20</x:f>
        <x:v>275.8334076876443</x:v>
      </x:c>
      <x:c r="X224" s="255" t="n">
        <x:v>0.6397505468029601</x:v>
      </x:c>
      <x:c r="Y224" s="255" t="n">
        <x:v>0.41101008839990116</x:v>
      </x:c>
      <x:c r="Z224" s="255" t="n">
        <x:v>0.6650303432825627</x:v>
      </x:c>
      <x:c r="AA224" s="255" t="n">
        <x:v>0.7356858885138418</x:v>
      </x:c>
      <x:c r="AB224" s="255" t="n">
        <x:v>0.7459166434985305</x:v>
      </x:c>
    </x:row>
    <x:row r="225" ht="24" customHeight="1">
      <x:c r="C225" s="256" t="n">
        <x:f>194</x:f>
        <x:v>194</x:v>
      </x:c>
      <x:c r="D225" s="258" t="n">
        <x:f>IF(X225&lt;($E$12-$D$12)/($F$12-$D$12),$D$12+SQRT(X225*($F$12-$D$12)*($E$12-$D$12)),$F$12-SQRT((1-X225)*($F$12-$D$12)*($F$12-$E$12)))</x:f>
        <x:v>0.13447190917711999</x:v>
      </x:c>
      <x:c r="E225" s="258" t="n">
        <x:f>IF(Y225&lt;($E$13-$D$13)/($F$13-$D$13),$D$13+SQRT(Y225*($F$13-$D$13)*($E$13-$D$13)),$F$13-SQRT((1-Y225)*($F$13-$D$13)*($F$13-$E$13)))</x:f>
        <x:v>-0.027812097878041873</x:v>
      </x:c>
      <x:c r="F225" s="260" t="n">
        <x:f>IF(Z225&lt;($E$14-$D$14)/($F$14-$D$14),$D$14+SQRT(Z225*($F$14-$D$14)*($E$14-$D$14)),$F$14-SQRT((1-Z225)*($F$14-$D$14)*($F$14-$E$14)))</x:f>
        <x:v>1.147008998856806</x:v>
      </x:c>
      <x:c r="G225" s="258" t="n">
        <x:f>IF(AA225&lt;($E$15-$D$15)/($F$15-$D$15),$D$15+SQRT(AA225*($F$15-$D$15)*($E$15-$D$15)),$F$15-SQRT((1-AA225)*($F$15-$D$15)*($F$15-$E$15)))</x:f>
        <x:v>0.09422346039063015</x:v>
      </x:c>
      <x:c r="H225" s="258" t="n">
        <x:f>IF(AB225&lt;($E$16-$D$16)/($F$16-$D$16),$D$16+SQRT(AB225*($F$16-$D$16)*($E$16-$D$16)),$F$16-SQRT((1-AB225)*($F$16-$D$16)*($F$16-$E$16)))</x:f>
        <x:v>0.026037436349489403</x:v>
      </x:c>
      <x:c r="I225" s="262" t="n">
        <x:f>'Historical Inputs'!$N$9*(1+D225)^5</x:f>
        <x:v>623585.7174483889</x:v>
      </x:c>
      <x:c r="J225" s="262" t="n">
        <x:f>I225*(1+H225)*('Terminal Value'!$E$10+E225)*(1-'Assumptions'!$E$15)*(1-H225/'Terminal Value'!$E$12)</x:f>
        <x:v>165705.68536743676</x:v>
      </x:c>
      <x:c r="K225" s="264" t="n">
        <x:f>((SUM((('Historical Inputs'!$N$9*(1+(D225))^1)*(('Assumptions'!E37+(E225))*(1-'Assumptions'!E42-(0))+'Assumptions'!E47-'Assumptions'!E52*(F225)+'Assumptions'!E57-'Assumptions'!E62*(1)-'Assumptions'!E67-(0))+('Working Capital'!$E$6))*'DCF'!E12/(1+(G225))^'DCF'!E13,(('Historical Inputs'!$N$9*(1+(D225))^2)*(('Assumptions'!F37+(E225))*(1-'Assumptions'!F42-(0))+'Assumptions'!F47-'Assumptions'!F52*(F225)+'Assumptions'!F57-'Assumptions'!F62*(1)-'Assumptions'!F67-(0))+(('Historical Inputs'!$N$9*(1+(D225))^1)*('Assumptions'!E67+(0))))*'DCF'!F12/(1+(G225))^'DCF'!F13,(('Historical Inputs'!$N$9*(1+(D225))^3)*(('Assumptions'!G37+(E225))*(1-'Assumptions'!G42-(0))+'Assumptions'!G47-'Assumptions'!G52*(F225)+'Assumptions'!G57-'Assumptions'!G62*(1)-'Assumptions'!G67-(0))+(('Historical Inputs'!$N$9*(1+(D225))^2)*('Assumptions'!F67+(0))))*'DCF'!G12/(1+(G225))^'DCF'!G13,(('Historical Inputs'!$N$9*(1+(D225))^4)*(('Assumptions'!H37+(E225))*(1-'Assumptions'!H42-(0))+'Assumptions'!H47-'Assumptions'!H52*(F225)+'Assumptions'!H57-'Assumptions'!H62*(1)-'Assumptions'!H67-(0))+(('Historical Inputs'!$N$9*(1+(D225))^3)*('Assumptions'!G67+(0))))*'DCF'!H12/(1+(G225))^'DCF'!H13,(('Historical Inputs'!$N$9*(1+(D225))^5)*(('Assumptions'!I37+(E225))*(1-'Assumptions'!I42-(0))+'Assumptions'!I47-'Assumptions'!I52*(F225)+'Assumptions'!I57-'Assumptions'!I62*(1)-'Assumptions'!I67-(0))+(('Historical Inputs'!$N$9*(1+(D225))^4)*('Assumptions'!H67+(0))))*'DCF'!I12/(1+(G225))^'DCF'!I13)+('Historical Inputs'!$N$9*(1+(D225))^5)*(1+(H225))*('Terminal Value'!$E$10+(E225))*(1-'Assumptions'!$E$15-(0))*(1-(H225)/('Terminal Value'!$E$12))/((G225)-(H225))/(1+(G225))^'DCF'!$E$19)+'Equity Bridge'!$E$17)/'Equity Bridge'!$E$20</x:f>
        <x:v>253.04064604652118</x:v>
      </x:c>
      <x:c r="X225" s="255" t="n">
        <x:v>0.33973338787215646</x:v>
      </x:c>
      <x:c r="Y225" s="255" t="n">
        <x:v>0.0984606001147188</x:v>
      </x:c>
      <x:c r="Z225" s="255" t="n">
        <x:v>0.9598850542548859</x:v>
      </x:c>
      <x:c r="AA225" s="255" t="n">
        <x:v>0.27296646293803895</x:v>
      </x:c>
      <x:c r="AB225" s="255" t="n">
        <x:v>0.18225318837067983</x:v>
      </x:c>
    </x:row>
    <x:row r="226" ht="24" customHeight="1">
      <x:c r="C226" s="256" t="n">
        <x:f>195</x:f>
        <x:v>195</x:v>
      </x:c>
      <x:c r="D226" s="258" t="n">
        <x:f>IF(X226&lt;($E$12-$D$12)/($F$12-$D$12),$D$12+SQRT(X226*($F$12-$D$12)*($E$12-$D$12)),$F$12-SQRT((1-X226)*($F$12-$D$12)*($F$12-$E$12)))</x:f>
        <x:v>0.11524853753686227</x:v>
      </x:c>
      <x:c r="E226" s="258" t="n">
        <x:f>IF(Y226&lt;($E$13-$D$13)/($F$13-$D$13),$D$13+SQRT(Y226*($F$13-$D$13)*($E$13-$D$13)),$F$13-SQRT((1-Y226)*($F$13-$D$13)*($F$13-$E$13)))</x:f>
        <x:v>0.025311094161856458</x:v>
      </x:c>
      <x:c r="F226" s="260" t="n">
        <x:f>IF(Z226&lt;($E$14-$D$14)/($F$14-$D$14),$D$14+SQRT(Z226*($F$14-$D$14)*($E$14-$D$14)),$F$14-SQRT((1-Z226)*($F$14-$D$14)*($F$14-$E$14)))</x:f>
        <x:v>1.004436906727955</x:v>
      </x:c>
      <x:c r="G226" s="258" t="n">
        <x:f>IF(AA226&lt;($E$15-$D$15)/($F$15-$D$15),$D$15+SQRT(AA226*($F$15-$D$15)*($E$15-$D$15)),$F$15-SQRT((1-AA226)*($F$15-$D$15)*($F$15-$E$15)))</x:f>
        <x:v>0.09784665046366141</x:v>
      </x:c>
      <x:c r="H226" s="258" t="n">
        <x:f>IF(AB226&lt;($E$16-$D$16)/($F$16-$D$16),$D$16+SQRT(AB226*($F$16-$D$16)*($E$16-$D$16)),$F$16-SQRT((1-AB226)*($F$16-$D$16)*($F$16-$E$16)))</x:f>
        <x:v>0.02338949918199689</x:v>
      </x:c>
      <x:c r="I226" s="262" t="n">
        <x:f>'Historical Inputs'!$N$9*(1+D226)^5</x:f>
        <x:v>572513.5080530144</x:v>
      </x:c>
      <x:c r="J226" s="262" t="n">
        <x:f>I226*(1+H226)*('Terminal Value'!$E$10+E226)*(1-'Assumptions'!$E$15)*(1-H226/'Terminal Value'!$E$12)</x:f>
        <x:v>176039.4160205244</x:v>
      </x:c>
      <x:c r="K226" s="264" t="n">
        <x:f>((SUM((('Historical Inputs'!$N$9*(1+(D226))^1)*(('Assumptions'!E37+(E226))*(1-'Assumptions'!E42-(0))+'Assumptions'!E47-'Assumptions'!E52*(F226)+'Assumptions'!E57-'Assumptions'!E62*(1)-'Assumptions'!E67-(0))+('Working Capital'!$E$6))*'DCF'!E12/(1+(G226))^'DCF'!E13,(('Historical Inputs'!$N$9*(1+(D226))^2)*(('Assumptions'!F37+(E226))*(1-'Assumptions'!F42-(0))+'Assumptions'!F47-'Assumptions'!F52*(F226)+'Assumptions'!F57-'Assumptions'!F62*(1)-'Assumptions'!F67-(0))+(('Historical Inputs'!$N$9*(1+(D226))^1)*('Assumptions'!E67+(0))))*'DCF'!F12/(1+(G226))^'DCF'!F13,(('Historical Inputs'!$N$9*(1+(D226))^3)*(('Assumptions'!G37+(E226))*(1-'Assumptions'!G42-(0))+'Assumptions'!G47-'Assumptions'!G52*(F226)+'Assumptions'!G57-'Assumptions'!G62*(1)-'Assumptions'!G67-(0))+(('Historical Inputs'!$N$9*(1+(D226))^2)*('Assumptions'!F67+(0))))*'DCF'!G12/(1+(G226))^'DCF'!G13,(('Historical Inputs'!$N$9*(1+(D226))^4)*(('Assumptions'!H37+(E226))*(1-'Assumptions'!H42-(0))+'Assumptions'!H47-'Assumptions'!H52*(F226)+'Assumptions'!H57-'Assumptions'!H62*(1)-'Assumptions'!H67-(0))+(('Historical Inputs'!$N$9*(1+(D226))^3)*('Assumptions'!G67+(0))))*'DCF'!H12/(1+(G226))^'DCF'!H13,(('Historical Inputs'!$N$9*(1+(D226))^5)*(('Assumptions'!I37+(E226))*(1-'Assumptions'!I42-(0))+'Assumptions'!I47-'Assumptions'!I52*(F226)+'Assumptions'!I57-'Assumptions'!I62*(1)-'Assumptions'!I67-(0))+(('Historical Inputs'!$N$9*(1+(D226))^4)*('Assumptions'!H67+(0))))*'DCF'!I12/(1+(G226))^'DCF'!I13)+('Historical Inputs'!$N$9*(1+(D226))^5)*(1+(H226))*('Terminal Value'!$E$10+(E226))*(1-'Assumptions'!$E$15-(0))*(1-(H226)/('Terminal Value'!$E$12))/((G226)-(H226))/(1+(G226))^'DCF'!$E$19)+'Equity Bridge'!$E$17)/'Equity Bridge'!$E$20</x:f>
        <x:v>259.6358342451718</x:v>
      </x:c>
      <x:c r="X226" s="255" t="n">
        <x:v>0.09672535265171578</x:v>
      </x:c>
      <x:c r="Y226" s="255" t="n">
        <x:v>0.8780915857030563</x:v>
      </x:c>
      <x:c r="Z226" s="255" t="n">
        <x:v>0.4536439507124209</x:v>
      </x:c>
      <x:c r="AA226" s="255" t="n">
        <x:v>0.48061045761911414</x:v>
      </x:c>
      <x:c r="AB226" s="255" t="n">
        <x:v>0.05744352352378801</x:v>
      </x:c>
    </x:row>
    <x:row r="227" ht="24" customHeight="1">
      <x:c r="C227" s="256" t="n">
        <x:f>196</x:f>
        <x:v>196</x:v>
      </x:c>
      <x:c r="D227" s="258" t="n">
        <x:f>IF(X227&lt;($E$12-$D$12)/($F$12-$D$12),$D$12+SQRT(X227*($F$12-$D$12)*($E$12-$D$12)),$F$12-SQRT((1-X227)*($F$12-$D$12)*($F$12-$E$12)))</x:f>
        <x:v>0.15085204785103767</x:v>
      </x:c>
      <x:c r="E227" s="258" t="n">
        <x:f>IF(Y227&lt;($E$13-$D$13)/($F$13-$D$13),$D$13+SQRT(Y227*($F$13-$D$13)*($E$13-$D$13)),$F$13-SQRT((1-Y227)*($F$13-$D$13)*($F$13-$E$13)))</x:f>
        <x:v>0.012177041625535033</x:v>
      </x:c>
      <x:c r="F227" s="260" t="n">
        <x:f>IF(Z227&lt;($E$14-$D$14)/($F$14-$D$14),$D$14+SQRT(Z227*($F$14-$D$14)*($E$14-$D$14)),$F$14-SQRT((1-Z227)*($F$14-$D$14)*($F$14-$E$14)))</x:f>
        <x:v>0.978467755671245</x:v>
      </x:c>
      <x:c r="G227" s="258" t="n">
        <x:f>IF(AA227&lt;($E$15-$D$15)/($F$15-$D$15),$D$15+SQRT(AA227*($F$15-$D$15)*($E$15-$D$15)),$F$15-SQRT((1-AA227)*($F$15-$D$15)*($F$15-$E$15)))</x:f>
        <x:v>0.09753256277916338</x:v>
      </x:c>
      <x:c r="H227" s="258" t="n">
        <x:f>IF(AB227&lt;($E$16-$D$16)/($F$16-$D$16),$D$16+SQRT(AB227*($F$16-$D$16)*($E$16-$D$16)),$F$16-SQRT((1-AB227)*($F$16-$D$16)*($F$16-$E$16)))</x:f>
        <x:v>0.024683721079008663</x:v>
      </x:c>
      <x:c r="I227" s="262" t="n">
        <x:f>'Historical Inputs'!$N$9*(1+D227)^5</x:f>
        <x:v>669923.0182102708</x:v>
      </x:c>
      <x:c r="J227" s="262" t="n">
        <x:f>I227*(1+H227)*('Terminal Value'!$E$10+E227)*(1-'Assumptions'!$E$15)*(1-H227/'Terminal Value'!$E$12)</x:f>
        <x:v>198417.8640712893</x:v>
      </x:c>
      <x:c r="K227" s="264" t="n">
        <x:f>((SUM((('Historical Inputs'!$N$9*(1+(D227))^1)*(('Assumptions'!E37+(E227))*(1-'Assumptions'!E42-(0))+'Assumptions'!E47-'Assumptions'!E52*(F227)+'Assumptions'!E57-'Assumptions'!E62*(1)-'Assumptions'!E67-(0))+('Working Capital'!$E$6))*'DCF'!E12/(1+(G227))^'DCF'!E13,(('Historical Inputs'!$N$9*(1+(D227))^2)*(('Assumptions'!F37+(E227))*(1-'Assumptions'!F42-(0))+'Assumptions'!F47-'Assumptions'!F52*(F227)+'Assumptions'!F57-'Assumptions'!F62*(1)-'Assumptions'!F67-(0))+(('Historical Inputs'!$N$9*(1+(D227))^1)*('Assumptions'!E67+(0))))*'DCF'!F12/(1+(G227))^'DCF'!F13,(('Historical Inputs'!$N$9*(1+(D227))^3)*(('Assumptions'!G37+(E227))*(1-'Assumptions'!G42-(0))+'Assumptions'!G47-'Assumptions'!G52*(F227)+'Assumptions'!G57-'Assumptions'!G62*(1)-'Assumptions'!G67-(0))+(('Historical Inputs'!$N$9*(1+(D227))^2)*('Assumptions'!F67+(0))))*'DCF'!G12/(1+(G227))^'DCF'!G13,(('Historical Inputs'!$N$9*(1+(D227))^4)*(('Assumptions'!H37+(E227))*(1-'Assumptions'!H42-(0))+'Assumptions'!H47-'Assumptions'!H52*(F227)+'Assumptions'!H57-'Assumptions'!H62*(1)-'Assumptions'!H67-(0))+(('Historical Inputs'!$N$9*(1+(D227))^3)*('Assumptions'!G67+(0))))*'DCF'!H12/(1+(G227))^'DCF'!H13,(('Historical Inputs'!$N$9*(1+(D227))^5)*(('Assumptions'!I37+(E227))*(1-'Assumptions'!I42-(0))+'Assumptions'!I47-'Assumptions'!I52*(F227)+'Assumptions'!I57-'Assumptions'!I62*(1)-'Assumptions'!I67-(0))+(('Historical Inputs'!$N$9*(1+(D227))^4)*('Assumptions'!H67+(0))))*'DCF'!I12/(1+(G227))^'DCF'!I13)+('Historical Inputs'!$N$9*(1+(D227))^5)*(1+(H227))*('Terminal Value'!$E$10+(E227))*(1-'Assumptions'!$E$15-(0))*(1-(H227)/('Terminal Value'!$E$12))/((G227)-(H227))/(1+(G227))^'DCF'!$E$19)+'Equity Bridge'!$E$17)/'Equity Bridge'!$E$20</x:f>
        <x:v>296.61819005685095</x:v>
      </x:c>
      <x:c r="X227" s="255" t="n">
        <x:v>0.6403636364355804</x:v>
      </x:c>
      <x:c r="Y227" s="255" t="n">
        <x:v>0.7138847639606981</x:v>
      </x:c>
      <x:c r="Z227" s="255" t="n">
        <x:v>0.31436122375631814</x:v>
      </x:c>
      <x:c r="AA227" s="255" t="n">
        <x:v>0.4603005186666107</x:v>
      </x:c>
      <x:c r="AB227" s="255" t="n">
        <x:v>0.10968621572975046</x:v>
      </x:c>
    </x:row>
    <x:row r="228" ht="24" customHeight="1">
      <x:c r="C228" s="256" t="n">
        <x:f>197</x:f>
        <x:v>197</x:v>
      </x:c>
      <x:c r="D228" s="258" t="n">
        <x:f>IF(X228&lt;($E$12-$D$12)/($F$12-$D$12),$D$12+SQRT(X228*($F$12-$D$12)*($E$12-$D$12)),$F$12-SQRT((1-X228)*($F$12-$D$12)*($F$12-$E$12)))</x:f>
        <x:v>0.11960995014223441</x:v>
      </x:c>
      <x:c r="E228" s="258" t="n">
        <x:f>IF(Y228&lt;($E$13-$D$13)/($F$13-$D$13),$D$13+SQRT(Y228*($F$13-$D$13)*($E$13-$D$13)),$F$13-SQRT((1-Y228)*($F$13-$D$13)*($F$13-$E$13)))</x:f>
        <x:v>-0.029556640200225092</x:v>
      </x:c>
      <x:c r="F228" s="260" t="n">
        <x:f>IF(Z228&lt;($E$14-$D$14)/($F$14-$D$14),$D$14+SQRT(Z228*($F$14-$D$14)*($E$14-$D$14)),$F$14-SQRT((1-Z228)*($F$14-$D$14)*($F$14-$E$14)))</x:f>
        <x:v>1.0122980520324574</x:v>
      </x:c>
      <x:c r="G228" s="258" t="n">
        <x:f>IF(AA228&lt;($E$15-$D$15)/($F$15-$D$15),$D$15+SQRT(AA228*($F$15-$D$15)*($E$15-$D$15)),$F$15-SQRT((1-AA228)*($F$15-$D$15)*($F$15-$E$15)))</x:f>
        <x:v>0.0974887531902738</x:v>
      </x:c>
      <x:c r="H228" s="258" t="n">
        <x:f>IF(AB228&lt;($E$16-$D$16)/($F$16-$D$16),$D$16+SQRT(AB228*($F$16-$D$16)*($E$16-$D$16)),$F$16-SQRT((1-AB228)*($F$16-$D$16)*($F$16-$E$16)))</x:f>
        <x:v>0.037671322932105594</x:v>
      </x:c>
      <x:c r="I228" s="262" t="n">
        <x:f>'Historical Inputs'!$N$9*(1+D228)^5</x:f>
        <x:v>583796.0782563188</x:v>
      </x:c>
      <x:c r="J228" s="262" t="n">
        <x:f>I228*(1+H228)*('Terminal Value'!$E$10+E228)*(1-'Assumptions'!$E$15)*(1-H228/'Terminal Value'!$E$12)</x:f>
        <x:v>145712.91387909546</x:v>
      </x:c>
      <x:c r="K228" s="264" t="n">
        <x:f>((SUM((('Historical Inputs'!$N$9*(1+(D228))^1)*(('Assumptions'!E37+(E228))*(1-'Assumptions'!E42-(0))+'Assumptions'!E47-'Assumptions'!E52*(F228)+'Assumptions'!E57-'Assumptions'!E62*(1)-'Assumptions'!E67-(0))+('Working Capital'!$E$6))*'DCF'!E12/(1+(G228))^'DCF'!E13,(('Historical Inputs'!$N$9*(1+(D228))^2)*(('Assumptions'!F37+(E228))*(1-'Assumptions'!F42-(0))+'Assumptions'!F47-'Assumptions'!F52*(F228)+'Assumptions'!F57-'Assumptions'!F62*(1)-'Assumptions'!F67-(0))+(('Historical Inputs'!$N$9*(1+(D228))^1)*('Assumptions'!E67+(0))))*'DCF'!F12/(1+(G228))^'DCF'!F13,(('Historical Inputs'!$N$9*(1+(D228))^3)*(('Assumptions'!G37+(E228))*(1-'Assumptions'!G42-(0))+'Assumptions'!G47-'Assumptions'!G52*(F228)+'Assumptions'!G57-'Assumptions'!G62*(1)-'Assumptions'!G67-(0))+(('Historical Inputs'!$N$9*(1+(D228))^2)*('Assumptions'!F67+(0))))*'DCF'!G12/(1+(G228))^'DCF'!G13,(('Historical Inputs'!$N$9*(1+(D228))^4)*(('Assumptions'!H37+(E228))*(1-'Assumptions'!H42-(0))+'Assumptions'!H47-'Assumptions'!H52*(F228)+'Assumptions'!H57-'Assumptions'!H62*(1)-'Assumptions'!H67-(0))+(('Historical Inputs'!$N$9*(1+(D228))^3)*('Assumptions'!G67+(0))))*'DCF'!H12/(1+(G228))^'DCF'!H13,(('Historical Inputs'!$N$9*(1+(D228))^5)*(('Assumptions'!I37+(E228))*(1-'Assumptions'!I42-(0))+'Assumptions'!I47-'Assumptions'!I52*(F228)+'Assumptions'!I57-'Assumptions'!I62*(1)-'Assumptions'!I67-(0))+(('Historical Inputs'!$N$9*(1+(D228))^4)*('Assumptions'!H67+(0))))*'DCF'!I12/(1+(G228))^'DCF'!I13)+('Historical Inputs'!$N$9*(1+(D228))^5)*(1+(H228))*('Terminal Value'!$E$10+(E228))*(1-'Assumptions'!$E$15-(0))*(1-(H228)/('Terminal Value'!$E$12))/((G228)-(H228))/(1+(G228))^'DCF'!$E$19)+'Equity Bridge'!$E$17)/'Equity Bridge'!$E$20</x:f>
        <x:v>255.95854210335466</x:v>
      </x:c>
      <x:c r="X228" s="255" t="n">
        <x:v>0.13889536616751308</x:v>
      </x:c>
      <x:c r="Y228" s="255" t="n">
        <x:v>0.08358619198061057</x:v>
      </x:c>
      <x:c r="Z228" s="255" t="n">
        <x:v>0.49668541041699843</x:v>
      </x:c>
      <x:c r="AA228" s="255" t="n">
        <x:v>0.4575024900448539</x:v>
      </x:c>
      <x:c r="AB228" s="255" t="n">
        <x:v>0.9728863155673135</x:v>
      </x:c>
    </x:row>
    <x:row r="229" ht="24" customHeight="1">
      <x:c r="C229" s="256" t="n">
        <x:f>198</x:f>
        <x:v>198</x:v>
      </x:c>
      <x:c r="D229" s="258" t="n">
        <x:f>IF(X229&lt;($E$12-$D$12)/($F$12-$D$12),$D$12+SQRT(X229*($F$12-$D$12)*($E$12-$D$12)),$F$12-SQRT((1-X229)*($F$12-$D$12)*($F$12-$E$12)))</x:f>
        <x:v>0.13564520919113812</x:v>
      </x:c>
      <x:c r="E229" s="258" t="n">
        <x:f>IF(Y229&lt;($E$13-$D$13)/($F$13-$D$13),$D$13+SQRT(Y229*($F$13-$D$13)*($E$13-$D$13)),$F$13-SQRT((1-Y229)*($F$13-$D$13)*($F$13-$E$13)))</x:f>
        <x:v>0.0003392213662612581</x:v>
      </x:c>
      <x:c r="F229" s="260" t="n">
        <x:f>IF(Z229&lt;($E$14-$D$14)/($F$14-$D$14),$D$14+SQRT(Z229*($F$14-$D$14)*($E$14-$D$14)),$F$14-SQRT((1-Z229)*($F$14-$D$14)*($F$14-$E$14)))</x:f>
        <x:v>1.0741169383680775</x:v>
      </x:c>
      <x:c r="G229" s="258" t="n">
        <x:f>IF(AA229&lt;($E$15-$D$15)/($F$15-$D$15),$D$15+SQRT(AA229*($F$15-$D$15)*($E$15-$D$15)),$F$15-SQRT((1-AA229)*($F$15-$D$15)*($F$15-$E$15)))</x:f>
        <x:v>0.09093205938504786</x:v>
      </x:c>
      <x:c r="H229" s="258" t="n">
        <x:f>IF(AB229&lt;($E$16-$D$16)/($F$16-$D$16),$D$16+SQRT(AB229*($F$16-$D$16)*($E$16-$D$16)),$F$16-SQRT((1-AB229)*($F$16-$D$16)*($F$16-$E$16)))</x:f>
        <x:v>0.03414688772416502</x:v>
      </x:c>
      <x:c r="I229" s="262" t="n">
        <x:f>'Historical Inputs'!$N$9*(1+D229)^5</x:f>
        <x:v>626817.0362674966</x:v>
      </x:c>
      <x:c r="J229" s="262" t="n">
        <x:f>I229*(1+H229)*('Terminal Value'!$E$10+E229)*(1-'Assumptions'!$E$15)*(1-H229/'Terminal Value'!$E$12)</x:f>
        <x:v>172161.00055470024</x:v>
      </x:c>
      <x:c r="K229" s="264" t="n">
        <x:f>((SUM((('Historical Inputs'!$N$9*(1+(D229))^1)*(('Assumptions'!E37+(E229))*(1-'Assumptions'!E42-(0))+'Assumptions'!E47-'Assumptions'!E52*(F229)+'Assumptions'!E57-'Assumptions'!E62*(1)-'Assumptions'!E67-(0))+('Working Capital'!$E$6))*'DCF'!E12/(1+(G229))^'DCF'!E13,(('Historical Inputs'!$N$9*(1+(D229))^2)*(('Assumptions'!F37+(E229))*(1-'Assumptions'!F42-(0))+'Assumptions'!F47-'Assumptions'!F52*(F229)+'Assumptions'!F57-'Assumptions'!F62*(1)-'Assumptions'!F67-(0))+(('Historical Inputs'!$N$9*(1+(D229))^1)*('Assumptions'!E67+(0))))*'DCF'!F12/(1+(G229))^'DCF'!F13,(('Historical Inputs'!$N$9*(1+(D229))^3)*(('Assumptions'!G37+(E229))*(1-'Assumptions'!G42-(0))+'Assumptions'!G47-'Assumptions'!G52*(F229)+'Assumptions'!G57-'Assumptions'!G62*(1)-'Assumptions'!G67-(0))+(('Historical Inputs'!$N$9*(1+(D229))^2)*('Assumptions'!F67+(0))))*'DCF'!G12/(1+(G229))^'DCF'!G13,(('Historical Inputs'!$N$9*(1+(D229))^4)*(('Assumptions'!H37+(E229))*(1-'Assumptions'!H42-(0))+'Assumptions'!H47-'Assumptions'!H52*(F229)+'Assumptions'!H57-'Assumptions'!H62*(1)-'Assumptions'!H67-(0))+(('Historical Inputs'!$N$9*(1+(D229))^3)*('Assumptions'!G67+(0))))*'DCF'!H12/(1+(G229))^'DCF'!H13,(('Historical Inputs'!$N$9*(1+(D229))^5)*(('Assumptions'!I37+(E229))*(1-'Assumptions'!I42-(0))+'Assumptions'!I47-'Assumptions'!I52*(F229)+'Assumptions'!I57-'Assumptions'!I62*(1)-'Assumptions'!I67-(0))+(('Historical Inputs'!$N$9*(1+(D229))^4)*('Assumptions'!H67+(0))))*'DCF'!I12/(1+(G229))^'DCF'!I13)+('Historical Inputs'!$N$9*(1+(D229))^5)*(1+(H229))*('Terminal Value'!$E$10+(E229))*(1-'Assumptions'!$E$15-(0))*(1-(H229)/('Terminal Value'!$E$12))/((G229)-(H229))/(1+(G229))^'DCF'!$E$19)+'Equity Bridge'!$E$17)/'Equity Bridge'!$E$20</x:f>
        <x:v>320.5117923105097</x:v>
      </x:c>
      <x:c r="X229" s="255" t="n">
        <x:v>0.3593516856194384</x:v>
      </x:c>
      <x:c r="Y229" s="255" t="n">
        <x:v>0.5067614130981595</x:v>
      </x:c>
      <x:c r="Z229" s="255" t="n">
        <x:v>0.7736207827739087</x:v>
      </x:c>
      <x:c r="AA229" s="255" t="n">
        <x:v>0.13491207671394123</x:v>
      </x:c>
      <x:c r="AB229" s="255" t="n">
        <x:v>0.8287053834323491</x:v>
      </x:c>
    </x:row>
    <x:row r="230" ht="24" customHeight="1">
      <x:c r="C230" s="256" t="n">
        <x:f>199</x:f>
        <x:v>199</x:v>
      </x:c>
      <x:c r="D230" s="258" t="n">
        <x:f>IF(X230&lt;($E$12-$D$12)/($F$12-$D$12),$D$12+SQRT(X230*($F$12-$D$12)*($E$12-$D$12)),$F$12-SQRT((1-X230)*($F$12-$D$12)*($F$12-$E$12)))</x:f>
        <x:v>0.12161334882291794</x:v>
      </x:c>
      <x:c r="E230" s="258" t="n">
        <x:f>IF(Y230&lt;($E$13-$D$13)/($F$13-$D$13),$D$13+SQRT(Y230*($F$13-$D$13)*($E$13-$D$13)),$F$13-SQRT((1-Y230)*($F$13-$D$13)*($F$13-$E$13)))</x:f>
        <x:v>-0.006208055031572554</x:v>
      </x:c>
      <x:c r="F230" s="260" t="n">
        <x:f>IF(Z230&lt;($E$14-$D$14)/($F$14-$D$14),$D$14+SQRT(Z230*($F$14-$D$14)*($E$14-$D$14)),$F$14-SQRT((1-Z230)*($F$14-$D$14)*($F$14-$E$14)))</x:f>
        <x:v>0.9928641625715292</x:v>
      </x:c>
      <x:c r="G230" s="258" t="n">
        <x:f>IF(AA230&lt;($E$15-$D$15)/($F$15-$D$15),$D$15+SQRT(AA230*($F$15-$D$15)*($E$15-$D$15)),$F$15-SQRT((1-AA230)*($F$15-$D$15)*($F$15-$E$15)))</x:f>
        <x:v>0.09144221558415536</x:v>
      </x:c>
      <x:c r="H230" s="258" t="n">
        <x:f>IF(AB230&lt;($E$16-$D$16)/($F$16-$D$16),$D$16+SQRT(AB230*($F$16-$D$16)*($E$16-$D$16)),$F$16-SQRT((1-AB230)*($F$16-$D$16)*($F$16-$E$16)))</x:f>
        <x:v>0.03353342158916638</x:v>
      </x:c>
      <x:c r="I230" s="262" t="n">
        <x:f>'Historical Inputs'!$N$9*(1+D230)^5</x:f>
        <x:v>589037.9457622807</x:v>
      </x:c>
      <x:c r="J230" s="262" t="n">
        <x:f>I230*(1+H230)*('Terminal Value'!$E$10+E230)*(1-'Assumptions'!$E$15)*(1-H230/'Terminal Value'!$E$12)</x:f>
        <x:v>159632.6306843392</x:v>
      </x:c>
      <x:c r="K230" s="264" t="n">
        <x:f>((SUM((('Historical Inputs'!$N$9*(1+(D230))^1)*(('Assumptions'!E37+(E230))*(1-'Assumptions'!E42-(0))+'Assumptions'!E47-'Assumptions'!E52*(F230)+'Assumptions'!E57-'Assumptions'!E62*(1)-'Assumptions'!E67-(0))+('Working Capital'!$E$6))*'DCF'!E12/(1+(G230))^'DCF'!E13,(('Historical Inputs'!$N$9*(1+(D230))^2)*(('Assumptions'!F37+(E230))*(1-'Assumptions'!F42-(0))+'Assumptions'!F47-'Assumptions'!F52*(F230)+'Assumptions'!F57-'Assumptions'!F62*(1)-'Assumptions'!F67-(0))+(('Historical Inputs'!$N$9*(1+(D230))^1)*('Assumptions'!E67+(0))))*'DCF'!F12/(1+(G230))^'DCF'!F13,(('Historical Inputs'!$N$9*(1+(D230))^3)*(('Assumptions'!G37+(E230))*(1-'Assumptions'!G42-(0))+'Assumptions'!G47-'Assumptions'!G52*(F230)+'Assumptions'!G57-'Assumptions'!G62*(1)-'Assumptions'!G67-(0))+(('Historical Inputs'!$N$9*(1+(D230))^2)*('Assumptions'!F67+(0))))*'DCF'!G12/(1+(G230))^'DCF'!G13,(('Historical Inputs'!$N$9*(1+(D230))^4)*(('Assumptions'!H37+(E230))*(1-'Assumptions'!H42-(0))+'Assumptions'!H47-'Assumptions'!H52*(F230)+'Assumptions'!H57-'Assumptions'!H62*(1)-'Assumptions'!H67-(0))+(('Historical Inputs'!$N$9*(1+(D230))^3)*('Assumptions'!G67+(0))))*'DCF'!H12/(1+(G230))^'DCF'!H13,(('Historical Inputs'!$N$9*(1+(D230))^5)*(('Assumptions'!I37+(E230))*(1-'Assumptions'!I42-(0))+'Assumptions'!I47-'Assumptions'!I52*(F230)+'Assumptions'!I57-'Assumptions'!I62*(1)-'Assumptions'!I67-(0))+(('Historical Inputs'!$N$9*(1+(D230))^4)*('Assumptions'!H67+(0))))*'DCF'!I12/(1+(G230))^'DCF'!I13)+('Historical Inputs'!$N$9*(1+(D230))^5)*(1+(H230))*('Terminal Value'!$E$10+(E230))*(1-'Assumptions'!$E$15-(0))*(1-(H230)/('Terminal Value'!$E$12))/((G230)-(H230))/(1+(G230))^'DCF'!$E$19)+'Equity Bridge'!$E$17)/'Equity Bridge'!$E$20</x:f>
        <x:v>296.80076766510797</x:v>
      </x:c>
      <x:c r="X230" s="255" t="n">
        <x:v>0.1608162561505766</x:v>
      </x:c>
      <x:c r="Y230" s="255" t="n">
        <x:v>0.3835468888235556</x:v>
      </x:c>
      <x:c r="Z230" s="255" t="n">
        <x:v>0.38876512280503484</x:v>
      </x:c>
      <x:c r="AA230" s="255" t="n">
        <x:v>0.15315700416608946</x:v>
      </x:c>
      <x:c r="AB230" s="255" t="n">
        <x:v>0.7909168182827031</x:v>
      </x:c>
    </x:row>
    <x:row r="231" ht="24" customHeight="1">
      <x:c r="C231" s="256" t="n">
        <x:f>200</x:f>
        <x:v>200</x:v>
      </x:c>
      <x:c r="D231" s="258" t="n">
        <x:f>IF(X231&lt;($E$12-$D$12)/($F$12-$D$12),$D$12+SQRT(X231*($F$12-$D$12)*($E$12-$D$12)),$F$12-SQRT((1-X231)*($F$12-$D$12)*($F$12-$E$12)))</x:f>
        <x:v>0.14001538663406365</x:v>
      </x:c>
      <x:c r="E231" s="258" t="n">
        <x:f>IF(Y231&lt;($E$13-$D$13)/($F$13-$D$13),$D$13+SQRT(Y231*($F$13-$D$13)*($E$13-$D$13)),$F$13-SQRT((1-Y231)*($F$13-$D$13)*($F$13-$E$13)))</x:f>
        <x:v>0.009122953847512855</x:v>
      </x:c>
      <x:c r="F231" s="260" t="n">
        <x:f>IF(Z231&lt;($E$14-$D$14)/($F$14-$D$14),$D$14+SQRT(Z231*($F$14-$D$14)*($E$14-$D$14)),$F$14-SQRT((1-Z231)*($F$14-$D$14)*($F$14-$E$14)))</x:f>
        <x:v>0.9181500091043822</x:v>
      </x:c>
      <x:c r="G231" s="258" t="n">
        <x:f>IF(AA231&lt;($E$15-$D$15)/($F$15-$D$15),$D$15+SQRT(AA231*($F$15-$D$15)*($E$15-$D$15)),$F$15-SQRT((1-AA231)*($F$15-$D$15)*($F$15-$E$15)))</x:f>
        <x:v>0.08483897547398525</x:v>
      </x:c>
      <x:c r="H231" s="258" t="n">
        <x:f>IF(AB231&lt;($E$16-$D$16)/($F$16-$D$16),$D$16+SQRT(AB231*($F$16-$D$16)*($E$16-$D$16)),$F$16-SQRT((1-AB231)*($F$16-$D$16)*($F$16-$E$16)))</x:f>
        <x:v>0.02543981796595391</x:v>
      </x:c>
      <x:c r="I231" s="262" t="n">
        <x:f>'Historical Inputs'!$N$9*(1+D231)^5</x:f>
        <x:v>638970.7689569229</x:v>
      </x:c>
      <x:c r="J231" s="262" t="n">
        <x:f>I231*(1+H231)*('Terminal Value'!$E$10+E231)*(1-'Assumptions'!$E$15)*(1-H231/'Terminal Value'!$E$12)</x:f>
        <x:v>187176.01281878294</x:v>
      </x:c>
      <x:c r="K231" s="264" t="n">
        <x:f>((SUM((('Historical Inputs'!$N$9*(1+(D231))^1)*(('Assumptions'!E37+(E231))*(1-'Assumptions'!E42-(0))+'Assumptions'!E47-'Assumptions'!E52*(F231)+'Assumptions'!E57-'Assumptions'!E62*(1)-'Assumptions'!E67-(0))+('Working Capital'!$E$6))*'DCF'!E12/(1+(G231))^'DCF'!E13,(('Historical Inputs'!$N$9*(1+(D231))^2)*(('Assumptions'!F37+(E231))*(1-'Assumptions'!F42-(0))+'Assumptions'!F47-'Assumptions'!F52*(F231)+'Assumptions'!F57-'Assumptions'!F62*(1)-'Assumptions'!F67-(0))+(('Historical Inputs'!$N$9*(1+(D231))^1)*('Assumptions'!E67+(0))))*'DCF'!F12/(1+(G231))^'DCF'!F13,(('Historical Inputs'!$N$9*(1+(D231))^3)*(('Assumptions'!G37+(E231))*(1-'Assumptions'!G42-(0))+'Assumptions'!G47-'Assumptions'!G52*(F231)+'Assumptions'!G57-'Assumptions'!G62*(1)-'Assumptions'!G67-(0))+(('Historical Inputs'!$N$9*(1+(D231))^2)*('Assumptions'!F67+(0))))*'DCF'!G12/(1+(G231))^'DCF'!G13,(('Historical Inputs'!$N$9*(1+(D231))^4)*(('Assumptions'!H37+(E231))*(1-'Assumptions'!H42-(0))+'Assumptions'!H47-'Assumptions'!H52*(F231)+'Assumptions'!H57-'Assumptions'!H62*(1)-'Assumptions'!H67-(0))+(('Historical Inputs'!$N$9*(1+(D231))^3)*('Assumptions'!G67+(0))))*'DCF'!H12/(1+(G231))^'DCF'!H13,(('Historical Inputs'!$N$9*(1+(D231))^5)*(('Assumptions'!I37+(E231))*(1-'Assumptions'!I42-(0))+'Assumptions'!I47-'Assumptions'!I52*(F231)+'Assumptions'!I57-'Assumptions'!I62*(1)-'Assumptions'!I67-(0))+(('Historical Inputs'!$N$9*(1+(D231))^4)*('Assumptions'!H67+(0))))*'DCF'!I12/(1+(G231))^'DCF'!I13)+('Historical Inputs'!$N$9*(1+(D231))^5)*(1+(H231))*('Terminal Value'!$E$10+(E231))*(1-'Assumptions'!$E$15-(0))*(1-(H231)/('Terminal Value'!$E$12))/((G231)-(H231))/(1+(G231))^'DCF'!$E$19)+'Equity Bridge'!$E$17)/'Equity Bridge'!$E$20</x:f>
        <x:v>352.1830644360158</x:v>
      </x:c>
      <x:c r="X231" s="255" t="n">
        <x:v>0.4372689359037202</x:v>
      </x:c>
      <x:c r="Y231" s="255" t="n">
        <x:v>0.6658134195694871</x:v>
      </x:c>
      <x:c r="Z231" s="255" t="n">
        <x:v>0.08846521411290242</x:v>
      </x:c>
      <x:c r="AA231" s="255" t="n">
        <x:v>0.0064116954773029144</x:v>
      </x:c>
      <x:c r="AB231" s="255" t="n">
        <x:v>0.14795809751357492</x:v>
      </x:c>
    </x:row>
    <x:row r="232" ht="24" customHeight="1">
      <x:c r="C232" s="256" t="n">
        <x:f>201</x:f>
        <x:v>201</x:v>
      </x:c>
      <x:c r="D232" s="258" t="n">
        <x:f>IF(X232&lt;($E$12-$D$12)/($F$12-$D$12),$D$12+SQRT(X232*($F$12-$D$12)*($E$12-$D$12)),$F$12-SQRT((1-X232)*($F$12-$D$12)*($F$12-$E$12)))</x:f>
        <x:v>0.10524884916276822</x:v>
      </x:c>
      <x:c r="E232" s="258" t="n">
        <x:f>IF(Y232&lt;($E$13-$D$13)/($F$13-$D$13),$D$13+SQRT(Y232*($F$13-$D$13)*($E$13-$D$13)),$F$13-SQRT((1-Y232)*($F$13-$D$13)*($F$13-$E$13)))</x:f>
        <x:v>0.02296483410125421</x:v>
      </x:c>
      <x:c r="F232" s="260" t="n">
        <x:f>IF(Z232&lt;($E$14-$D$14)/($F$14-$D$14),$D$14+SQRT(Z232*($F$14-$D$14)*($E$14-$D$14)),$F$14-SQRT((1-Z232)*($F$14-$D$14)*($F$14-$E$14)))</x:f>
        <x:v>0.9622629968390407</x:v>
      </x:c>
      <x:c r="G232" s="258" t="n">
        <x:f>IF(AA232&lt;($E$15-$D$15)/($F$15-$D$15),$D$15+SQRT(AA232*($F$15-$D$15)*($E$15-$D$15)),$F$15-SQRT((1-AA232)*($F$15-$D$15)*($F$15-$E$15)))</x:f>
        <x:v>0.09397950292998568</x:v>
      </x:c>
      <x:c r="H232" s="258" t="n">
        <x:f>IF(AB232&lt;($E$16-$D$16)/($F$16-$D$16),$D$16+SQRT(AB232*($F$16-$D$16)*($E$16-$D$16)),$F$16-SQRT((1-AB232)*($F$16-$D$16)*($F$16-$E$16)))</x:f>
        <x:v>0.02686758668744421</x:v>
      </x:c>
      <x:c r="I232" s="262" t="n">
        <x:f>'Historical Inputs'!$N$9*(1+D232)^5</x:f>
        <x:v>547302.9421691418</x:v>
      </x:c>
      <x:c r="J232" s="262" t="n">
        <x:f>I232*(1+H232)*('Terminal Value'!$E$10+E232)*(1-'Assumptions'!$E$15)*(1-H232/'Terminal Value'!$E$12)</x:f>
        <x:v>164620.85894088785</x:v>
      </x:c>
      <x:c r="K232" s="264" t="n">
        <x:f>((SUM((('Historical Inputs'!$N$9*(1+(D232))^1)*(('Assumptions'!E37+(E232))*(1-'Assumptions'!E42-(0))+'Assumptions'!E47-'Assumptions'!E52*(F232)+'Assumptions'!E57-'Assumptions'!E62*(1)-'Assumptions'!E67-(0))+('Working Capital'!$E$6))*'DCF'!E12/(1+(G232))^'DCF'!E13,(('Historical Inputs'!$N$9*(1+(D232))^2)*(('Assumptions'!F37+(E232))*(1-'Assumptions'!F42-(0))+'Assumptions'!F47-'Assumptions'!F52*(F232)+'Assumptions'!F57-'Assumptions'!F62*(1)-'Assumptions'!F67-(0))+(('Historical Inputs'!$N$9*(1+(D232))^1)*('Assumptions'!E67+(0))))*'DCF'!F12/(1+(G232))^'DCF'!F13,(('Historical Inputs'!$N$9*(1+(D232))^3)*(('Assumptions'!G37+(E232))*(1-'Assumptions'!G42-(0))+'Assumptions'!G47-'Assumptions'!G52*(F232)+'Assumptions'!G57-'Assumptions'!G62*(1)-'Assumptions'!G67-(0))+(('Historical Inputs'!$N$9*(1+(D232))^2)*('Assumptions'!F67+(0))))*'DCF'!G12/(1+(G232))^'DCF'!G13,(('Historical Inputs'!$N$9*(1+(D232))^4)*(('Assumptions'!H37+(E232))*(1-'Assumptions'!H42-(0))+'Assumptions'!H47-'Assumptions'!H52*(F232)+'Assumptions'!H57-'Assumptions'!H62*(1)-'Assumptions'!H67-(0))+(('Historical Inputs'!$N$9*(1+(D232))^3)*('Assumptions'!G67+(0))))*'DCF'!H12/(1+(G232))^'DCF'!H13,(('Historical Inputs'!$N$9*(1+(D232))^5)*(('Assumptions'!I37+(E232))*(1-'Assumptions'!I42-(0))+'Assumptions'!I47-'Assumptions'!I52*(F232)+'Assumptions'!I57-'Assumptions'!I62*(1)-'Assumptions'!I67-(0))+(('Historical Inputs'!$N$9*(1+(D232))^4)*('Assumptions'!H67+(0))))*'DCF'!I12/(1+(G232))^'DCF'!I13)+('Historical Inputs'!$N$9*(1+(D232))^5)*(1+(H232))*('Terminal Value'!$E$10+(E232))*(1-'Assumptions'!$E$15-(0))*(1-(H232)/('Terminal Value'!$E$12))/((G232)-(H232))/(1+(G232))^'DCF'!$E$19)+'Equity Bridge'!$E$17)/'Equity Bridge'!$E$20</x:f>
        <x:v>271.6384080864973</x:v>
      </x:c>
      <x:c r="X232" s="255" t="n">
        <x:v>0.028760784574697107</x:v>
      </x:c>
      <x:c r="Y232" s="255" t="n">
        <x:v>0.8538199609654585</x:v>
      </x:c>
      <x:c r="Z232" s="255" t="n">
        <x:v>0.24005677065299924</x:v>
      </x:c>
      <x:c r="AA232" s="255" t="n">
        <x:v>0.2610818178738228</x:v>
      </x:c>
      <x:c r="AB232" s="255" t="n">
        <x:v>0.23581873454780478</x:v>
      </x:c>
    </x:row>
    <x:row r="233" ht="24" customHeight="1">
      <x:c r="C233" s="256" t="n">
        <x:f>202</x:f>
        <x:v>202</x:v>
      </x:c>
      <x:c r="D233" s="258" t="n">
        <x:f>IF(X233&lt;($E$12-$D$12)/($F$12-$D$12),$D$12+SQRT(X233*($F$12-$D$12)*($E$12-$D$12)),$F$12-SQRT((1-X233)*($F$12-$D$12)*($F$12-$E$12)))</x:f>
        <x:v>0.1529986184635867</x:v>
      </x:c>
      <x:c r="E233" s="258" t="n">
        <x:f>IF(Y233&lt;($E$13-$D$13)/($F$13-$D$13),$D$13+SQRT(Y233*($F$13-$D$13)*($E$13-$D$13)),$F$13-SQRT((1-Y233)*($F$13-$D$13)*($F$13-$E$13)))</x:f>
        <x:v>-0.0022187726392150914</x:v>
      </x:c>
      <x:c r="F233" s="260" t="n">
        <x:f>IF(Z233&lt;($E$14-$D$14)/($F$14-$D$14),$D$14+SQRT(Z233*($F$14-$D$14)*($E$14-$D$14)),$F$14-SQRT((1-Z233)*($F$14-$D$14)*($F$14-$E$14)))</x:f>
        <x:v>1.1093798523430065</x:v>
      </x:c>
      <x:c r="G233" s="258" t="n">
        <x:f>IF(AA233&lt;($E$15-$D$15)/($F$15-$D$15),$D$15+SQRT(AA233*($F$15-$D$15)*($E$15-$D$15)),$F$15-SQRT((1-AA233)*($F$15-$D$15)*($F$15-$E$15)))</x:f>
        <x:v>0.08958958513863532</x:v>
      </x:c>
      <x:c r="H233" s="258" t="n">
        <x:f>IF(AB233&lt;($E$16-$D$16)/($F$16-$D$16),$D$16+SQRT(AB233*($F$16-$D$16)*($E$16-$D$16)),$F$16-SQRT((1-AB233)*($F$16-$D$16)*($F$16-$E$16)))</x:f>
        <x:v>0.02745914583721941</x:v>
      </x:c>
      <x:c r="I233" s="262" t="n">
        <x:f>'Historical Inputs'!$N$9*(1+D233)^5</x:f>
        <x:v>676194.0742433842</x:v>
      </x:c>
      <x:c r="J233" s="262" t="n">
        <x:f>I233*(1+H233)*('Terminal Value'!$E$10+E233)*(1-'Assumptions'!$E$15)*(1-H233/'Terminal Value'!$E$12)</x:f>
        <x:v>190735.76754346667</x:v>
      </x:c>
      <x:c r="K233" s="264" t="n">
        <x:f>((SUM((('Historical Inputs'!$N$9*(1+(D233))^1)*(('Assumptions'!E37+(E233))*(1-'Assumptions'!E42-(0))+'Assumptions'!E47-'Assumptions'!E52*(F233)+'Assumptions'!E57-'Assumptions'!E62*(1)-'Assumptions'!E67-(0))+('Working Capital'!$E$6))*'DCF'!E12/(1+(G233))^'DCF'!E13,(('Historical Inputs'!$N$9*(1+(D233))^2)*(('Assumptions'!F37+(E233))*(1-'Assumptions'!F42-(0))+'Assumptions'!F47-'Assumptions'!F52*(F233)+'Assumptions'!F57-'Assumptions'!F62*(1)-'Assumptions'!F67-(0))+(('Historical Inputs'!$N$9*(1+(D233))^1)*('Assumptions'!E67+(0))))*'DCF'!F12/(1+(G233))^'DCF'!F13,(('Historical Inputs'!$N$9*(1+(D233))^3)*(('Assumptions'!G37+(E233))*(1-'Assumptions'!G42-(0))+'Assumptions'!G47-'Assumptions'!G52*(F233)+'Assumptions'!G57-'Assumptions'!G62*(1)-'Assumptions'!G67-(0))+(('Historical Inputs'!$N$9*(1+(D233))^2)*('Assumptions'!F67+(0))))*'DCF'!G12/(1+(G233))^'DCF'!G13,(('Historical Inputs'!$N$9*(1+(D233))^4)*(('Assumptions'!H37+(E233))*(1-'Assumptions'!H42-(0))+'Assumptions'!H47-'Assumptions'!H52*(F233)+'Assumptions'!H57-'Assumptions'!H62*(1)-'Assumptions'!H67-(0))+(('Historical Inputs'!$N$9*(1+(D233))^3)*('Assumptions'!G67+(0))))*'DCF'!H12/(1+(G233))^'DCF'!H13,(('Historical Inputs'!$N$9*(1+(D233))^5)*(('Assumptions'!I37+(E233))*(1-'Assumptions'!I42-(0))+'Assumptions'!I47-'Assumptions'!I52*(F233)+'Assumptions'!I57-'Assumptions'!I62*(1)-'Assumptions'!I67-(0))+(('Historical Inputs'!$N$9*(1+(D233))^4)*('Assumptions'!H67+(0))))*'DCF'!I12/(1+(G233))^'DCF'!I13)+('Historical Inputs'!$N$9*(1+(D233))^5)*(1+(H233))*('Terminal Value'!$E$10+(E233))*(1-'Assumptions'!$E$15-(0))*(1-(H233)/('Terminal Value'!$E$12))/((G233)-(H233))/(1+(G233))^'DCF'!$E$19)+'Equity Bridge'!$E$17)/'Equity Bridge'!$E$20</x:f>
        <x:v>325.7543315495078</x:v>
      </x:c>
      <x:c r="X233" s="255" t="n">
        <x:v>0.6758521917409223</x:v>
      </x:c>
      <x:c r="Y233" s="255" t="n">
        <x:v>0.45660913762060407</x:v>
      </x:c>
      <x:c r="Z233" s="255" t="n">
        <x:v>0.8826855548374956</x:v>
      </x:c>
      <x:c r="AA233" s="255" t="n">
        <x:v>0.09242752233122464</x:v>
      </x:c>
      <x:c r="AB233" s="255" t="n">
        <x:v>0.2781942831045382</x:v>
      </x:c>
    </x:row>
    <x:row r="234" ht="24" customHeight="1">
      <x:c r="C234" s="256" t="n">
        <x:f>203</x:f>
        <x:v>203</x:v>
      </x:c>
      <x:c r="D234" s="258" t="n">
        <x:f>IF(X234&lt;($E$12-$D$12)/($F$12-$D$12),$D$12+SQRT(X234*($F$12-$D$12)*($E$12-$D$12)),$F$12-SQRT((1-X234)*($F$12-$D$12)*($F$12-$E$12)))</x:f>
        <x:v>0.12458634419479511</x:v>
      </x:c>
      <x:c r="E234" s="258" t="n">
        <x:f>IF(Y234&lt;($E$13-$D$13)/($F$13-$D$13),$D$13+SQRT(Y234*($F$13-$D$13)*($E$13-$D$13)),$F$13-SQRT((1-Y234)*($F$13-$D$13)*($F$13-$E$13)))</x:f>
        <x:v>-0.014363716116590153</x:v>
      </x:c>
      <x:c r="F234" s="260" t="n">
        <x:f>IF(Z234&lt;($E$14-$D$14)/($F$14-$D$14),$D$14+SQRT(Z234*($F$14-$D$14)*($E$14-$D$14)),$F$14-SQRT((1-Z234)*($F$14-$D$14)*($F$14-$E$14)))</x:f>
        <x:v>0.9899806236197365</x:v>
      </x:c>
      <x:c r="G234" s="258" t="n">
        <x:f>IF(AA234&lt;($E$15-$D$15)/($F$15-$D$15),$D$15+SQRT(AA234*($F$15-$D$15)*($E$15-$D$15)),$F$15-SQRT((1-AA234)*($F$15-$D$15)*($F$15-$E$15)))</x:f>
        <x:v>0.0919539523395237</x:v>
      </x:c>
      <x:c r="H234" s="258" t="n">
        <x:f>IF(AB234&lt;($E$16-$D$16)/($F$16-$D$16),$D$16+SQRT(AB234*($F$16-$D$16)*($E$16-$D$16)),$F$16-SQRT((1-AB234)*($F$16-$D$16)*($F$16-$E$16)))</x:f>
        <x:v>0.03261101546199828</x:v>
      </x:c>
      <x:c r="I234" s="262" t="n">
        <x:f>'Historical Inputs'!$N$9*(1+D234)^5</x:f>
        <x:v>596886.0842253917</x:v>
      </x:c>
      <x:c r="J234" s="262" t="n">
        <x:f>I234*(1+H234)*('Terminal Value'!$E$10+E234)*(1-'Assumptions'!$E$15)*(1-H234/'Terminal Value'!$E$12)</x:f>
        <x:v>159144.98688447324</x:v>
      </x:c>
      <x:c r="K234" s="264" t="n">
        <x:f>((SUM((('Historical Inputs'!$N$9*(1+(D234))^1)*(('Assumptions'!E37+(E234))*(1-'Assumptions'!E42-(0))+'Assumptions'!E47-'Assumptions'!E52*(F234)+'Assumptions'!E57-'Assumptions'!E62*(1)-'Assumptions'!E67-(0))+('Working Capital'!$E$6))*'DCF'!E12/(1+(G234))^'DCF'!E13,(('Historical Inputs'!$N$9*(1+(D234))^2)*(('Assumptions'!F37+(E234))*(1-'Assumptions'!F42-(0))+'Assumptions'!F47-'Assumptions'!F52*(F234)+'Assumptions'!F57-'Assumptions'!F62*(1)-'Assumptions'!F67-(0))+(('Historical Inputs'!$N$9*(1+(D234))^1)*('Assumptions'!E67+(0))))*'DCF'!F12/(1+(G234))^'DCF'!F13,(('Historical Inputs'!$N$9*(1+(D234))^3)*(('Assumptions'!G37+(E234))*(1-'Assumptions'!G42-(0))+'Assumptions'!G47-'Assumptions'!G52*(F234)+'Assumptions'!G57-'Assumptions'!G62*(1)-'Assumptions'!G67-(0))+(('Historical Inputs'!$N$9*(1+(D234))^2)*('Assumptions'!F67+(0))))*'DCF'!G12/(1+(G234))^'DCF'!G13,(('Historical Inputs'!$N$9*(1+(D234))^4)*(('Assumptions'!H37+(E234))*(1-'Assumptions'!H42-(0))+'Assumptions'!H47-'Assumptions'!H52*(F234)+'Assumptions'!H57-'Assumptions'!H62*(1)-'Assumptions'!H67-(0))+(('Historical Inputs'!$N$9*(1+(D234))^3)*('Assumptions'!G67+(0))))*'DCF'!H12/(1+(G234))^'DCF'!H13,(('Historical Inputs'!$N$9*(1+(D234))^5)*(('Assumptions'!I37+(E234))*(1-'Assumptions'!I42-(0))+'Assumptions'!I47-'Assumptions'!I52*(F234)+'Assumptions'!I57-'Assumptions'!I62*(1)-'Assumptions'!I67-(0))+(('Historical Inputs'!$N$9*(1+(D234))^4)*('Assumptions'!H67+(0))))*'DCF'!I12/(1+(G234))^'DCF'!I13)+('Historical Inputs'!$N$9*(1+(D234))^5)*(1+(H234))*('Terminal Value'!$E$10+(E234))*(1-'Assumptions'!$E$15-(0))*(1-(H234)/('Terminal Value'!$E$12))/((G234)-(H234))/(1+(G234))^'DCF'!$E$19)+'Equity Bridge'!$E$17)/'Equity Bridge'!$E$20</x:f>
        <x:v>288.630736143081</x:v>
      </x:c>
      <x:c r="X234" s="255" t="n">
        <x:v>0.1963052880168581</x:v>
      </x:c>
      <x:c r="Y234" s="255" t="n">
        <x:v>0.2539889458037953</x:v>
      </x:c>
      <x:c r="Z234" s="255" t="n">
        <x:v>0.37322999978991134</x:v>
      </x:c>
      <x:c r="AA234" s="255" t="n">
        <x:v>0.1726205470061346</x:v>
      </x:c>
      <x:c r="AB234" s="255" t="n">
        <x:v>0.7270145374858578</x:v>
      </x:c>
    </x:row>
    <x:row r="235" ht="24" customHeight="1">
      <x:c r="C235" s="256" t="n">
        <x:f>204</x:f>
        <x:v>204</x:v>
      </x:c>
      <x:c r="D235" s="258" t="n">
        <x:f>IF(X235&lt;($E$12-$D$12)/($F$12-$D$12),$D$12+SQRT(X235*($F$12-$D$12)*($E$12-$D$12)),$F$12-SQRT((1-X235)*($F$12-$D$12)*($F$12-$E$12)))</x:f>
        <x:v>0.1578173434760748</x:v>
      </x:c>
      <x:c r="E235" s="258" t="n">
        <x:f>IF(Y235&lt;($E$13-$D$13)/($F$13-$D$13),$D$13+SQRT(Y235*($F$13-$D$13)*($E$13-$D$13)),$F$13-SQRT((1-Y235)*($F$13-$D$13)*($F$13-$E$13)))</x:f>
        <x:v>0.001538666243075637</x:v>
      </x:c>
      <x:c r="F235" s="260" t="n">
        <x:f>IF(Z235&lt;($E$14-$D$14)/($F$14-$D$14),$D$14+SQRT(Z235*($F$14-$D$14)*($E$14-$D$14)),$F$14-SQRT((1-Z235)*($F$14-$D$14)*($F$14-$E$14)))</x:f>
        <x:v>1.0391041599251545</x:v>
      </x:c>
      <x:c r="G235" s="258" t="n">
        <x:f>IF(AA235&lt;($E$15-$D$15)/($F$15-$D$15),$D$15+SQRT(AA235*($F$15-$D$15)*($E$15-$D$15)),$F$15-SQRT((1-AA235)*($F$15-$D$15)*($F$15-$E$15)))</x:f>
        <x:v>0.09798147317480835</x:v>
      </x:c>
      <x:c r="H235" s="258" t="n">
        <x:f>IF(AB235&lt;($E$16-$D$16)/($F$16-$D$16),$D$16+SQRT(AB235*($F$16-$D$16)*($E$16-$D$16)),$F$16-SQRT((1-AB235)*($F$16-$D$16)*($F$16-$E$16)))</x:f>
        <x:v>0.028643241160068</x:v>
      </x:c>
      <x:c r="I235" s="262" t="n">
        <x:f>'Historical Inputs'!$N$9*(1+D235)^5</x:f>
        <x:v>690442.7598195919</x:v>
      </x:c>
      <x:c r="J235" s="262" t="n">
        <x:f>I235*(1+H235)*('Terminal Value'!$E$10+E235)*(1-'Assumptions'!$E$15)*(1-H235/'Terminal Value'!$E$12)</x:f>
        <x:v>195470.4258550016</x:v>
      </x:c>
      <x:c r="K235" s="264" t="n">
        <x:f>((SUM((('Historical Inputs'!$N$9*(1+(D235))^1)*(('Assumptions'!E37+(E235))*(1-'Assumptions'!E42-(0))+'Assumptions'!E47-'Assumptions'!E52*(F235)+'Assumptions'!E57-'Assumptions'!E62*(1)-'Assumptions'!E67-(0))+('Working Capital'!$E$6))*'DCF'!E12/(1+(G235))^'DCF'!E13,(('Historical Inputs'!$N$9*(1+(D235))^2)*(('Assumptions'!F37+(E235))*(1-'Assumptions'!F42-(0))+'Assumptions'!F47-'Assumptions'!F52*(F235)+'Assumptions'!F57-'Assumptions'!F62*(1)-'Assumptions'!F67-(0))+(('Historical Inputs'!$N$9*(1+(D235))^1)*('Assumptions'!E67+(0))))*'DCF'!F12/(1+(G235))^'DCF'!F13,(('Historical Inputs'!$N$9*(1+(D235))^3)*(('Assumptions'!G37+(E235))*(1-'Assumptions'!G42-(0))+'Assumptions'!G47-'Assumptions'!G52*(F235)+'Assumptions'!G57-'Assumptions'!G62*(1)-'Assumptions'!G67-(0))+(('Historical Inputs'!$N$9*(1+(D235))^2)*('Assumptions'!F67+(0))))*'DCF'!G12/(1+(G235))^'DCF'!G13,(('Historical Inputs'!$N$9*(1+(D235))^4)*(('Assumptions'!H37+(E235))*(1-'Assumptions'!H42-(0))+'Assumptions'!H47-'Assumptions'!H52*(F235)+'Assumptions'!H57-'Assumptions'!H62*(1)-'Assumptions'!H67-(0))+(('Historical Inputs'!$N$9*(1+(D235))^3)*('Assumptions'!G67+(0))))*'DCF'!H12/(1+(G235))^'DCF'!H13,(('Historical Inputs'!$N$9*(1+(D235))^5)*(('Assumptions'!I37+(E235))*(1-'Assumptions'!I42-(0))+'Assumptions'!I47-'Assumptions'!I52*(F235)+'Assumptions'!I57-'Assumptions'!I62*(1)-'Assumptions'!I67-(0))+(('Historical Inputs'!$N$9*(1+(D235))^4)*('Assumptions'!H67+(0))))*'DCF'!I12/(1+(G235))^'DCF'!I13)+('Historical Inputs'!$N$9*(1+(D235))^5)*(1+(H235))*('Terminal Value'!$E$10+(E235))*(1-'Assumptions'!$E$15-(0))*(1-(H235)/('Terminal Value'!$E$12))/((G235)-(H235))/(1+(G235))^'DCF'!$E$19)+'Equity Bridge'!$E$17)/'Equity Bridge'!$E$20</x:f>
        <x:v>299.39765886024156</x:v>
      </x:c>
      <x:c r="X235" s="255" t="n">
        <x:v>0.7488058396899552</x:v>
      </x:c>
      <x:c r="Y235" s="255" t="n">
        <x:v>0.5302998260999966</x:v>
      </x:c>
      <x:c r="Z235" s="255" t="n">
        <x:v>0.6301789806658533</x:v>
      </x:c>
      <x:c r="AA235" s="255" t="n">
        <x:v>0.48946303219824483</x:v>
      </x:c>
      <x:c r="AB235" s="255" t="n">
        <x:v>0.3735280887554684</x:v>
      </x:c>
    </x:row>
    <x:row r="236" ht="24" customHeight="1">
      <x:c r="C236" s="256" t="n">
        <x:f>205</x:f>
        <x:v>205</x:v>
      </x:c>
      <x:c r="D236" s="258" t="n">
        <x:f>IF(X236&lt;($E$12-$D$12)/($F$12-$D$12),$D$12+SQRT(X236*($F$12-$D$12)*($E$12-$D$12)),$F$12-SQRT((1-X236)*($F$12-$D$12)*($F$12-$E$12)))</x:f>
        <x:v>0.18260613508064796</x:v>
      </x:c>
      <x:c r="E236" s="258" t="n">
        <x:f>IF(Y236&lt;($E$13-$D$13)/($F$13-$D$13),$D$13+SQRT(Y236*($F$13-$D$13)*($E$13-$D$13)),$F$13-SQRT((1-Y236)*($F$13-$D$13)*($F$13-$E$13)))</x:f>
        <x:v>0.014107485199206814</x:v>
      </x:c>
      <x:c r="F236" s="260" t="n">
        <x:f>IF(Z236&lt;($E$14-$D$14)/($F$14-$D$14),$D$14+SQRT(Z236*($F$14-$D$14)*($E$14-$D$14)),$F$14-SQRT((1-Z236)*($F$14-$D$14)*($F$14-$E$14)))</x:f>
        <x:v>1.0736865114654046</x:v>
      </x:c>
      <x:c r="G236" s="258" t="n">
        <x:f>IF(AA236&lt;($E$15-$D$15)/($F$15-$D$15),$D$15+SQRT(AA236*($F$15-$D$15)*($E$15-$D$15)),$F$15-SQRT((1-AA236)*($F$15-$D$15)*($F$15-$E$15)))</x:f>
        <x:v>0.09948087609795898</x:v>
      </x:c>
      <x:c r="H236" s="258" t="n">
        <x:f>IF(AB236&lt;($E$16-$D$16)/($F$16-$D$16),$D$16+SQRT(AB236*($F$16-$D$16)*($E$16-$D$16)),$F$16-SQRT((1-AB236)*($F$16-$D$16)*($F$16-$E$16)))</x:f>
        <x:v>0.0310858385835558</x:v>
      </x:c>
      <x:c r="I236" s="262" t="n">
        <x:f>'Historical Inputs'!$N$9*(1+D236)^5</x:f>
        <x:v>767587.8016349878</x:v>
      </x:c>
      <x:c r="J236" s="262" t="n">
        <x:f>I236*(1+H236)*('Terminal Value'!$E$10+E236)*(1-'Assumptions'!$E$15)*(1-H236/'Terminal Value'!$E$12)</x:f>
        <x:v>221443.0323812272</x:v>
      </x:c>
      <x:c r="K236" s="264" t="n">
        <x:f>((SUM((('Historical Inputs'!$N$9*(1+(D236))^1)*(('Assumptions'!E37+(E236))*(1-'Assumptions'!E42-(0))+'Assumptions'!E47-'Assumptions'!E52*(F236)+'Assumptions'!E57-'Assumptions'!E62*(1)-'Assumptions'!E67-(0))+('Working Capital'!$E$6))*'DCF'!E12/(1+(G236))^'DCF'!E13,(('Historical Inputs'!$N$9*(1+(D236))^2)*(('Assumptions'!F37+(E236))*(1-'Assumptions'!F42-(0))+'Assumptions'!F47-'Assumptions'!F52*(F236)+'Assumptions'!F57-'Assumptions'!F62*(1)-'Assumptions'!F67-(0))+(('Historical Inputs'!$N$9*(1+(D236))^1)*('Assumptions'!E67+(0))))*'DCF'!F12/(1+(G236))^'DCF'!F13,(('Historical Inputs'!$N$9*(1+(D236))^3)*(('Assumptions'!G37+(E236))*(1-'Assumptions'!G42-(0))+'Assumptions'!G47-'Assumptions'!G52*(F236)+'Assumptions'!G57-'Assumptions'!G62*(1)-'Assumptions'!G67-(0))+(('Historical Inputs'!$N$9*(1+(D236))^2)*('Assumptions'!F67+(0))))*'DCF'!G12/(1+(G236))^'DCF'!G13,(('Historical Inputs'!$N$9*(1+(D236))^4)*(('Assumptions'!H37+(E236))*(1-'Assumptions'!H42-(0))+'Assumptions'!H47-'Assumptions'!H52*(F236)+'Assumptions'!H57-'Assumptions'!H62*(1)-'Assumptions'!H67-(0))+(('Historical Inputs'!$N$9*(1+(D236))^3)*('Assumptions'!G67+(0))))*'DCF'!H12/(1+(G236))^'DCF'!H13,(('Historical Inputs'!$N$9*(1+(D236))^5)*(('Assumptions'!I37+(E236))*(1-'Assumptions'!I42-(0))+'Assumptions'!I47-'Assumptions'!I52*(F236)+'Assumptions'!I57-'Assumptions'!I62*(1)-'Assumptions'!I67-(0))+(('Historical Inputs'!$N$9*(1+(D236))^4)*('Assumptions'!H67+(0))))*'DCF'!I12/(1+(G236))^'DCF'!I13)+('Historical Inputs'!$N$9*(1+(D236))^5)*(1+(H236))*('Terminal Value'!$E$10+(E236))*(1-'Assumptions'!$E$15-(0))*(1-(H236)/('Terminal Value'!$E$12))/((G236)-(H236))/(1+(G236))^'DCF'!$E$19)+'Equity Bridge'!$E$17)/'Equity Bridge'!$E$20</x:f>
        <x:v>338.51606359418304</x:v>
      </x:c>
      <x:c r="X236" s="255" t="n">
        <x:v>0.9773117223072925</x:v>
      </x:c>
      <x:c r="Y236" s="255" t="n">
        <x:v>0.7423454762549684</x:v>
      </x:c>
      <x:c r="Z236" s="255" t="n">
        <x:v>0.7720700373460095</x:v>
      </x:c>
      <x:c r="AA236" s="255" t="n">
        <x:v>0.5853738793523269</x:v>
      </x:c>
      <x:c r="AB236" s="255" t="n">
        <x:v>0.6026886312078877</x:v>
      </x:c>
    </x:row>
    <x:row r="237" ht="24" customHeight="1">
      <x:c r="C237" s="256" t="n">
        <x:f>206</x:f>
        <x:v>206</x:v>
      </x:c>
      <x:c r="D237" s="258" t="n">
        <x:f>IF(X237&lt;($E$12-$D$12)/($F$12-$D$12),$D$12+SQRT(X237*($F$12-$D$12)*($E$12-$D$12)),$F$12-SQRT((1-X237)*($F$12-$D$12)*($F$12-$E$12)))</x:f>
        <x:v>0.1313378384431093</x:v>
      </x:c>
      <x:c r="E237" s="258" t="n">
        <x:f>IF(Y237&lt;($E$13-$D$13)/($F$13-$D$13),$D$13+SQRT(Y237*($F$13-$D$13)*($E$13-$D$13)),$F$13-SQRT((1-Y237)*($F$13-$D$13)*($F$13-$E$13)))</x:f>
        <x:v>-0.02385357936943336</x:v>
      </x:c>
      <x:c r="F237" s="260" t="n">
        <x:f>IF(Z237&lt;($E$14-$D$14)/($F$14-$D$14),$D$14+SQRT(Z237*($F$14-$D$14)*($E$14-$D$14)),$F$14-SQRT((1-Z237)*($F$14-$D$14)*($F$14-$E$14)))</x:f>
        <x:v>1.0362989370026792</x:v>
      </x:c>
      <x:c r="G237" s="258" t="n">
        <x:f>IF(AA237&lt;($E$15-$D$15)/($F$15-$D$15),$D$15+SQRT(AA237*($F$15-$D$15)*($E$15-$D$15)),$F$15-SQRT((1-AA237)*($F$15-$D$15)*($F$15-$E$15)))</x:f>
        <x:v>0.11015670882019225</x:v>
      </x:c>
      <x:c r="H237" s="258" t="n">
        <x:f>IF(AB237&lt;($E$16-$D$16)/($F$16-$D$16),$D$16+SQRT(AB237*($F$16-$D$16)*($E$16-$D$16)),$F$16-SQRT((1-AB237)*($F$16-$D$16)*($F$16-$E$16)))</x:f>
        <x:v>0.025526415334810294</x:v>
      </x:c>
      <x:c r="I237" s="262" t="n">
        <x:f>'Historical Inputs'!$N$9*(1+D237)^5</x:f>
        <x:v>615019.6465074362</x:v>
      </x:c>
      <x:c r="J237" s="262" t="n">
        <x:f>I237*(1+H237)*('Terminal Value'!$E$10+E237)*(1-'Assumptions'!$E$15)*(1-H237/'Terminal Value'!$E$12)</x:f>
        <x:v>165570.30524997337</x:v>
      </x:c>
      <x:c r="K237" s="264" t="n">
        <x:f>((SUM((('Historical Inputs'!$N$9*(1+(D237))^1)*(('Assumptions'!E37+(E237))*(1-'Assumptions'!E42-(0))+'Assumptions'!E47-'Assumptions'!E52*(F237)+'Assumptions'!E57-'Assumptions'!E62*(1)-'Assumptions'!E67-(0))+('Working Capital'!$E$6))*'DCF'!E12/(1+(G237))^'DCF'!E13,(('Historical Inputs'!$N$9*(1+(D237))^2)*(('Assumptions'!F37+(E237))*(1-'Assumptions'!F42-(0))+'Assumptions'!F47-'Assumptions'!F52*(F237)+'Assumptions'!F57-'Assumptions'!F62*(1)-'Assumptions'!F67-(0))+(('Historical Inputs'!$N$9*(1+(D237))^1)*('Assumptions'!E67+(0))))*'DCF'!F12/(1+(G237))^'DCF'!F13,(('Historical Inputs'!$N$9*(1+(D237))^3)*(('Assumptions'!G37+(E237))*(1-'Assumptions'!G42-(0))+'Assumptions'!G47-'Assumptions'!G52*(F237)+'Assumptions'!G57-'Assumptions'!G62*(1)-'Assumptions'!G67-(0))+(('Historical Inputs'!$N$9*(1+(D237))^2)*('Assumptions'!F67+(0))))*'DCF'!G12/(1+(G237))^'DCF'!G13,(('Historical Inputs'!$N$9*(1+(D237))^4)*(('Assumptions'!H37+(E237))*(1-'Assumptions'!H42-(0))+'Assumptions'!H47-'Assumptions'!H52*(F237)+'Assumptions'!H57-'Assumptions'!H62*(1)-'Assumptions'!H67-(0))+(('Historical Inputs'!$N$9*(1+(D237))^3)*('Assumptions'!G67+(0))))*'DCF'!H12/(1+(G237))^'DCF'!H13,(('Historical Inputs'!$N$9*(1+(D237))^5)*(('Assumptions'!I37+(E237))*(1-'Assumptions'!I42-(0))+'Assumptions'!I47-'Assumptions'!I52*(F237)+'Assumptions'!I57-'Assumptions'!I62*(1)-'Assumptions'!I67-(0))+(('Historical Inputs'!$N$9*(1+(D237))^4)*('Assumptions'!H67+(0))))*'DCF'!I12/(1+(G237))^'DCF'!I13)+('Historical Inputs'!$N$9*(1+(D237))^5)*(1+(H237))*('Terminal Value'!$E$10+(E237))*(1-'Assumptions'!$E$15-(0))*(1-(H237)/('Terminal Value'!$E$12))/((G237)-(H237))/(1+(G237))^'DCF'!$E$19)+'Equity Bridge'!$E$17)/'Equity Bridge'!$E$20</x:f>
        <x:v>205.43322614123713</x:v>
      </x:c>
      <x:c r="X237" s="255" t="n">
        <x:v>0.2900297188443077</x:v>
      </x:c>
      <x:c r="Y237" s="255" t="n">
        <x:v>0.13672706235810417</x:v>
      </x:c>
      <x:c r="Z237" s="255" t="n">
        <x:v>0.6171708853363884</x:v>
      </x:c>
      <x:c r="AA237" s="255" t="n">
        <x:v>0.9802172670995161</x:v>
      </x:c>
      <x:c r="AB237" s="255" t="n">
        <x:v>0.15270633226413188</x:v>
      </x:c>
    </x:row>
    <x:row r="238" ht="24" customHeight="1">
      <x:c r="C238" s="256" t="n">
        <x:f>207</x:f>
        <x:v>207</x:v>
      </x:c>
      <x:c r="D238" s="258" t="n">
        <x:f>IF(X238&lt;($E$12-$D$12)/($F$12-$D$12),$D$12+SQRT(X238*($F$12-$D$12)*($E$12-$D$12)),$F$12-SQRT((1-X238)*($F$12-$D$12)*($F$12-$E$12)))</x:f>
        <x:v>0.1337402991034249</x:v>
      </x:c>
      <x:c r="E238" s="258" t="n">
        <x:f>IF(Y238&lt;($E$13-$D$13)/($F$13-$D$13),$D$13+SQRT(Y238*($F$13-$D$13)*($E$13-$D$13)),$F$13-SQRT((1-Y238)*($F$13-$D$13)*($F$13-$E$13)))</x:f>
        <x:v>0.012723126106806058</x:v>
      </x:c>
      <x:c r="F238" s="260" t="n">
        <x:f>IF(Z238&lt;($E$14-$D$14)/($F$14-$D$14),$D$14+SQRT(Z238*($F$14-$D$14)*($E$14-$D$14)),$F$14-SQRT((1-Z238)*($F$14-$D$14)*($F$14-$E$14)))</x:f>
        <x:v>1.1087394282088536</x:v>
      </x:c>
      <x:c r="G238" s="258" t="n">
        <x:f>IF(AA238&lt;($E$15-$D$15)/($F$15-$D$15),$D$15+SQRT(AA238*($F$15-$D$15)*($E$15-$D$15)),$F$15-SQRT((1-AA238)*($F$15-$D$15)*($F$15-$E$15)))</x:f>
        <x:v>0.09341796004516949</x:v>
      </x:c>
      <x:c r="H238" s="258" t="n">
        <x:f>IF(AB238&lt;($E$16-$D$16)/($F$16-$D$16),$D$16+SQRT(AB238*($F$16-$D$16)*($E$16-$D$16)),$F$16-SQRT((1-AB238)*($F$16-$D$16)*($F$16-$E$16)))</x:f>
        <x:v>0.030873136260492644</x:v>
      </x:c>
      <x:c r="I238" s="262" t="n">
        <x:f>'Historical Inputs'!$N$9*(1+D238)^5</x:f>
        <x:v>621577.586870256</x:v>
      </x:c>
      <x:c r="J238" s="262" t="n">
        <x:f>I238*(1+H238)*('Terminal Value'!$E$10+E238)*(1-'Assumptions'!$E$15)*(1-H238/'Terminal Value'!$E$12)</x:f>
        <x:v>178908.9058221869</x:v>
      </x:c>
      <x:c r="K238" s="264" t="n">
        <x:f>((SUM((('Historical Inputs'!$N$9*(1+(D238))^1)*(('Assumptions'!E37+(E238))*(1-'Assumptions'!E42-(0))+'Assumptions'!E47-'Assumptions'!E52*(F238)+'Assumptions'!E57-'Assumptions'!E62*(1)-'Assumptions'!E67-(0))+('Working Capital'!$E$6))*'DCF'!E12/(1+(G238))^'DCF'!E13,(('Historical Inputs'!$N$9*(1+(D238))^2)*(('Assumptions'!F37+(E238))*(1-'Assumptions'!F42-(0))+'Assumptions'!F47-'Assumptions'!F52*(F238)+'Assumptions'!F57-'Assumptions'!F62*(1)-'Assumptions'!F67-(0))+(('Historical Inputs'!$N$9*(1+(D238))^1)*('Assumptions'!E67+(0))))*'DCF'!F12/(1+(G238))^'DCF'!F13,(('Historical Inputs'!$N$9*(1+(D238))^3)*(('Assumptions'!G37+(E238))*(1-'Assumptions'!G42-(0))+'Assumptions'!G47-'Assumptions'!G52*(F238)+'Assumptions'!G57-'Assumptions'!G62*(1)-'Assumptions'!G67-(0))+(('Historical Inputs'!$N$9*(1+(D238))^2)*('Assumptions'!F67+(0))))*'DCF'!G12/(1+(G238))^'DCF'!G13,(('Historical Inputs'!$N$9*(1+(D238))^4)*(('Assumptions'!H37+(E238))*(1-'Assumptions'!H42-(0))+'Assumptions'!H47-'Assumptions'!H52*(F238)+'Assumptions'!H57-'Assumptions'!H62*(1)-'Assumptions'!H67-(0))+(('Historical Inputs'!$N$9*(1+(D238))^3)*('Assumptions'!G67+(0))))*'DCF'!H12/(1+(G238))^'DCF'!H13,(('Historical Inputs'!$N$9*(1+(D238))^5)*(('Assumptions'!I37+(E238))*(1-'Assumptions'!I42-(0))+'Assumptions'!I47-'Assumptions'!I52*(F238)+'Assumptions'!I57-'Assumptions'!I62*(1)-'Assumptions'!I67-(0))+(('Historical Inputs'!$N$9*(1+(D238))^4)*('Assumptions'!H67+(0))))*'DCF'!I12/(1+(G238))^'DCF'!I13)+('Historical Inputs'!$N$9*(1+(D238))^5)*(1+(H238))*('Terminal Value'!$E$10+(E238))*(1-'Assumptions'!$E$15-(0))*(1-(H238)/('Terminal Value'!$E$12))/((G238)-(H238))/(1+(G238))^'DCF'!$E$19)+'Equity Bridge'!$E$17)/'Equity Bridge'!$E$20</x:f>
        <x:v>302.22908477964285</x:v>
      </x:c>
      <x:c r="X238" s="255" t="n">
        <x:v>0.32777914782324435</x:v>
      </x:c>
      <x:c r="Y238" s="255" t="n">
        <x:v>0.7220869345501831</x:v>
      </x:c>
      <x:c r="Z238" s="255" t="n">
        <x:v>0.881021543376472</x:v>
      </x:c>
      <x:c r="AA238" s="255" t="n">
        <x:v>0.2347308260214428</x:v>
      </x:c>
      <x:c r="AB238" s="255" t="n">
        <x:v>0.5835017914023293</x:v>
      </x:c>
    </x:row>
    <x:row r="239" ht="24" customHeight="1">
      <x:c r="C239" s="256" t="n">
        <x:f>208</x:f>
        <x:v>208</x:v>
      </x:c>
      <x:c r="D239" s="258" t="n">
        <x:f>IF(X239&lt;($E$12-$D$12)/($F$12-$D$12),$D$12+SQRT(X239*($F$12-$D$12)*($E$12-$D$12)),$F$12-SQRT((1-X239)*($F$12-$D$12)*($F$12-$E$12)))</x:f>
        <x:v>0.15785664217710393</x:v>
      </x:c>
      <x:c r="E239" s="258" t="n">
        <x:f>IF(Y239&lt;($E$13-$D$13)/($F$13-$D$13),$D$13+SQRT(Y239*($F$13-$D$13)*($E$13-$D$13)),$F$13-SQRT((1-Y239)*($F$13-$D$13)*($F$13-$E$13)))</x:f>
        <x:v>0.024646101252854564</x:v>
      </x:c>
      <x:c r="F239" s="260" t="n">
        <x:f>IF(Z239&lt;($E$14-$D$14)/($F$14-$D$14),$D$14+SQRT(Z239*($F$14-$D$14)*($E$14-$D$14)),$F$14-SQRT((1-Z239)*($F$14-$D$14)*($F$14-$E$14)))</x:f>
        <x:v>0.9107490305569599</x:v>
      </x:c>
      <x:c r="G239" s="258" t="n">
        <x:f>IF(AA239&lt;($E$15-$D$15)/($F$15-$D$15),$D$15+SQRT(AA239*($F$15-$D$15)*($E$15-$D$15)),$F$15-SQRT((1-AA239)*($F$15-$D$15)*($F$15-$E$15)))</x:f>
        <x:v>0.09215112872422918</x:v>
      </x:c>
      <x:c r="H239" s="258" t="n">
        <x:f>IF(AB239&lt;($E$16-$D$16)/($F$16-$D$16),$D$16+SQRT(AB239*($F$16-$D$16)*($E$16-$D$16)),$F$16-SQRT((1-AB239)*($F$16-$D$16)*($F$16-$E$16)))</x:f>
        <x:v>0.0312472132051664</x:v>
      </x:c>
      <x:c r="I239" s="262" t="n">
        <x:f>'Historical Inputs'!$N$9*(1+D239)^5</x:f>
        <x:v>690559.9430080503</x:v>
      </x:c>
      <x:c r="J239" s="262" t="n">
        <x:f>I239*(1+H239)*('Terminal Value'!$E$10+E239)*(1-'Assumptions'!$E$15)*(1-H239/'Terminal Value'!$E$12)</x:f>
        <x:v>204127.8478366463</x:v>
      </x:c>
      <x:c r="K239" s="264" t="n">
        <x:f>((SUM((('Historical Inputs'!$N$9*(1+(D239))^1)*(('Assumptions'!E37+(E239))*(1-'Assumptions'!E42-(0))+'Assumptions'!E47-'Assumptions'!E52*(F239)+'Assumptions'!E57-'Assumptions'!E62*(1)-'Assumptions'!E67-(0))+('Working Capital'!$E$6))*'DCF'!E12/(1+(G239))^'DCF'!E13,(('Historical Inputs'!$N$9*(1+(D239))^2)*(('Assumptions'!F37+(E239))*(1-'Assumptions'!F42-(0))+'Assumptions'!F47-'Assumptions'!F52*(F239)+'Assumptions'!F57-'Assumptions'!F62*(1)-'Assumptions'!F67-(0))+(('Historical Inputs'!$N$9*(1+(D239))^1)*('Assumptions'!E67+(0))))*'DCF'!F12/(1+(G239))^'DCF'!F13,(('Historical Inputs'!$N$9*(1+(D239))^3)*(('Assumptions'!G37+(E239))*(1-'Assumptions'!G42-(0))+'Assumptions'!G47-'Assumptions'!G52*(F239)+'Assumptions'!G57-'Assumptions'!G62*(1)-'Assumptions'!G67-(0))+(('Historical Inputs'!$N$9*(1+(D239))^2)*('Assumptions'!F67+(0))))*'DCF'!G12/(1+(G239))^'DCF'!G13,(('Historical Inputs'!$N$9*(1+(D239))^4)*(('Assumptions'!H37+(E239))*(1-'Assumptions'!H42-(0))+'Assumptions'!H47-'Assumptions'!H52*(F239)+'Assumptions'!H57-'Assumptions'!H62*(1)-'Assumptions'!H67-(0))+(('Historical Inputs'!$N$9*(1+(D239))^3)*('Assumptions'!G67+(0))))*'DCF'!H12/(1+(G239))^'DCF'!H13,(('Historical Inputs'!$N$9*(1+(D239))^5)*(('Assumptions'!I37+(E239))*(1-'Assumptions'!I42-(0))+'Assumptions'!I47-'Assumptions'!I52*(F239)+'Assumptions'!I57-'Assumptions'!I62*(1)-'Assumptions'!I67-(0))+(('Historical Inputs'!$N$9*(1+(D239))^4)*('Assumptions'!H67+(0))))*'DCF'!I12/(1+(G239))^'DCF'!I13)+('Historical Inputs'!$N$9*(1+(D239))^5)*(1+(H239))*('Terminal Value'!$E$10+(E239))*(1-'Assumptions'!$E$15-(0))*(1-(H239)/('Terminal Value'!$E$12))/((G239)-(H239))/(1+(G239))^'DCF'!$E$19)+'Equity Bridge'!$E$17)/'Equity Bridge'!$E$20</x:f>
        <x:v>367.2043304864188</x:v>
      </x:c>
      <x:c r="X239" s="255" t="n">
        <x:v>0.7493626241419925</x:v>
      </x:c>
      <x:c r="Y239" s="255" t="n">
        <x:v>0.8714359636638994</x:v>
      </x:c>
      <x:c r="Z239" s="255" t="n">
        <x:v>0.07029418502115148</x:v>
      </x:c>
      <x:c r="AA239" s="255" t="n">
        <x:v>0.18043063458456476</x:v>
      </x:c>
      <x:c r="AB239" s="255" t="n">
        <x:v>0.616943616620933</x:v>
      </x:c>
    </x:row>
    <x:row r="240" ht="24" customHeight="1">
      <x:c r="C240" s="256" t="n">
        <x:f>209</x:f>
        <x:v>209</x:v>
      </x:c>
      <x:c r="D240" s="258" t="n">
        <x:f>IF(X240&lt;($E$12-$D$12)/($F$12-$D$12),$D$12+SQRT(X240*($F$12-$D$12)*($E$12-$D$12)),$F$12-SQRT((1-X240)*($F$12-$D$12)*($F$12-$E$12)))</x:f>
        <x:v>0.12051986955388502</x:v>
      </x:c>
      <x:c r="E240" s="258" t="n">
        <x:f>IF(Y240&lt;($E$13-$D$13)/($F$13-$D$13),$D$13+SQRT(Y240*($F$13-$D$13)*($E$13-$D$13)),$F$13-SQRT((1-Y240)*($F$13-$D$13)*($F$13-$E$13)))</x:f>
        <x:v>-0.022352491231464777</x:v>
      </x:c>
      <x:c r="F240" s="260" t="n">
        <x:f>IF(Z240&lt;($E$14-$D$14)/($F$14-$D$14),$D$14+SQRT(Z240*($F$14-$D$14)*($E$14-$D$14)),$F$14-SQRT((1-Z240)*($F$14-$D$14)*($F$14-$E$14)))</x:f>
        <x:v>0.9808423929984288</x:v>
      </x:c>
      <x:c r="G240" s="258" t="n">
        <x:f>IF(AA240&lt;($E$15-$D$15)/($F$15-$D$15),$D$15+SQRT(AA240*($F$15-$D$15)*($E$15-$D$15)),$F$15-SQRT((1-AA240)*($F$15-$D$15)*($F$15-$E$15)))</x:f>
        <x:v>0.0904046905353859</x:v>
      </x:c>
      <x:c r="H240" s="258" t="n">
        <x:f>IF(AB240&lt;($E$16-$D$16)/($F$16-$D$16),$D$16+SQRT(AB240*($F$16-$D$16)*($E$16-$D$16)),$F$16-SQRT((1-AB240)*($F$16-$D$16)*($F$16-$E$16)))</x:f>
        <x:v>0.02796087767977315</x:v>
      </x:c>
      <x:c r="I240" s="262" t="n">
        <x:f>'Historical Inputs'!$N$9*(1+D240)^5</x:f>
        <x:v>586172.2250664032</x:v>
      </x:c>
      <x:c r="J240" s="262" t="n">
        <x:f>I240*(1+H240)*('Terminal Value'!$E$10+E240)*(1-'Assumptions'!$E$15)*(1-H240/'Terminal Value'!$E$12)</x:f>
        <x:v>156594.19422111998</x:v>
      </x:c>
      <x:c r="K240" s="264" t="n">
        <x:f>((SUM((('Historical Inputs'!$N$9*(1+(D240))^1)*(('Assumptions'!E37+(E240))*(1-'Assumptions'!E42-(0))+'Assumptions'!E47-'Assumptions'!E52*(F240)+'Assumptions'!E57-'Assumptions'!E62*(1)-'Assumptions'!E67-(0))+('Working Capital'!$E$6))*'DCF'!E12/(1+(G240))^'DCF'!E13,(('Historical Inputs'!$N$9*(1+(D240))^2)*(('Assumptions'!F37+(E240))*(1-'Assumptions'!F42-(0))+'Assumptions'!F47-'Assumptions'!F52*(F240)+'Assumptions'!F57-'Assumptions'!F62*(1)-'Assumptions'!F67-(0))+(('Historical Inputs'!$N$9*(1+(D240))^1)*('Assumptions'!E67+(0))))*'DCF'!F12/(1+(G240))^'DCF'!F13,(('Historical Inputs'!$N$9*(1+(D240))^3)*(('Assumptions'!G37+(E240))*(1-'Assumptions'!G42-(0))+'Assumptions'!G47-'Assumptions'!G52*(F240)+'Assumptions'!G57-'Assumptions'!G62*(1)-'Assumptions'!G67-(0))+(('Historical Inputs'!$N$9*(1+(D240))^2)*('Assumptions'!F67+(0))))*'DCF'!G12/(1+(G240))^'DCF'!G13,(('Historical Inputs'!$N$9*(1+(D240))^4)*(('Assumptions'!H37+(E240))*(1-'Assumptions'!H42-(0))+'Assumptions'!H47-'Assumptions'!H52*(F240)+'Assumptions'!H57-'Assumptions'!H62*(1)-'Assumptions'!H67-(0))+(('Historical Inputs'!$N$9*(1+(D240))^3)*('Assumptions'!G67+(0))))*'DCF'!H12/(1+(G240))^'DCF'!H13,(('Historical Inputs'!$N$9*(1+(D240))^5)*(('Assumptions'!I37+(E240))*(1-'Assumptions'!I42-(0))+'Assumptions'!I47-'Assumptions'!I52*(F240)+'Assumptions'!I57-'Assumptions'!I62*(1)-'Assumptions'!I67-(0))+(('Historical Inputs'!$N$9*(1+(D240))^4)*('Assumptions'!H67+(0))))*'DCF'!I12/(1+(G240))^'DCF'!I13)+('Historical Inputs'!$N$9*(1+(D240))^5)*(1+(H240))*('Terminal Value'!$E$10+(E240))*(1-'Assumptions'!$E$15-(0))*(1-(H240)/('Terminal Value'!$E$12))/((G240)-(H240))/(1+(G240))^'DCF'!$E$19)+'Equity Bridge'!$E$17)/'Equity Bridge'!$E$20</x:f>
        <x:v>273.238845565944</x:v>
      </x:c>
      <x:c r="X240" s="255" t="n">
        <x:v>0.14865257324614345</x:v>
      </x:c>
      <x:c r="Y240" s="255" t="n">
        <x:v>0.15287694822124642</x:v>
      </x:c>
      <x:c r="Z240" s="255" t="n">
        <x:v>0.3260901296296246</x:v>
      </x:c>
      <x:c r="AA240" s="255" t="n">
        <x:v>0.11726747364723078</x:v>
      </x:c>
      <x:c r="AB240" s="255" t="n">
        <x:v>0.31687786716155175</x:v>
      </x:c>
    </x:row>
    <x:row r="241" ht="24" customHeight="1">
      <x:c r="C241" s="256" t="n">
        <x:f>210</x:f>
        <x:v>210</x:v>
      </x:c>
      <x:c r="D241" s="258" t="n">
        <x:f>IF(X241&lt;($E$12-$D$12)/($F$12-$D$12),$D$12+SQRT(X241*($F$12-$D$12)*($E$12-$D$12)),$F$12-SQRT((1-X241)*($F$12-$D$12)*($F$12-$E$12)))</x:f>
        <x:v>0.17041374645165946</x:v>
      </x:c>
      <x:c r="E241" s="258" t="n">
        <x:f>IF(Y241&lt;($E$13-$D$13)/($F$13-$D$13),$D$13+SQRT(Y241*($F$13-$D$13)*($E$13-$D$13)),$F$13-SQRT((1-Y241)*($F$13-$D$13)*($F$13-$E$13)))</x:f>
        <x:v>-0.005927396251683717</x:v>
      </x:c>
      <x:c r="F241" s="260" t="n">
        <x:f>IF(Z241&lt;($E$14-$D$14)/($F$14-$D$14),$D$14+SQRT(Z241*($F$14-$D$14)*($E$14-$D$14)),$F$14-SQRT((1-Z241)*($F$14-$D$14)*($F$14-$E$14)))</x:f>
        <x:v>1.0047553969888716</x:v>
      </x:c>
      <x:c r="G241" s="258" t="n">
        <x:f>IF(AA241&lt;($E$15-$D$15)/($F$15-$D$15),$D$15+SQRT(AA241*($F$15-$D$15)*($E$15-$D$15)),$F$15-SQRT((1-AA241)*($F$15-$D$15)*($F$15-$E$15)))</x:f>
        <x:v>0.10293088693613518</x:v>
      </x:c>
      <x:c r="H241" s="258" t="n">
        <x:f>IF(AB241&lt;($E$16-$D$16)/($F$16-$D$16),$D$16+SQRT(AB241*($F$16-$D$16)*($E$16-$D$16)),$F$16-SQRT((1-AB241)*($F$16-$D$16)*($F$16-$E$16)))</x:f>
        <x:v>0.023901095109095934</x:v>
      </x:c>
      <x:c r="I241" s="262" t="n">
        <x:f>'Historical Inputs'!$N$9*(1+D241)^5</x:f>
        <x:v>728827.0712738937</x:v>
      </x:c>
      <x:c r="J241" s="262" t="n">
        <x:f>I241*(1+H241)*('Terminal Value'!$E$10+E241)*(1-'Assumptions'!$E$15)*(1-H241/'Terminal Value'!$E$12)</x:f>
        <x:v>207145.44743785844</x:v>
      </x:c>
      <x:c r="K241" s="264" t="n">
        <x:f>((SUM((('Historical Inputs'!$N$9*(1+(D241))^1)*(('Assumptions'!E37+(E241))*(1-'Assumptions'!E42-(0))+'Assumptions'!E47-'Assumptions'!E52*(F241)+'Assumptions'!E57-'Assumptions'!E62*(1)-'Assumptions'!E67-(0))+('Working Capital'!$E$6))*'DCF'!E12/(1+(G241))^'DCF'!E13,(('Historical Inputs'!$N$9*(1+(D241))^2)*(('Assumptions'!F37+(E241))*(1-'Assumptions'!F42-(0))+'Assumptions'!F47-'Assumptions'!F52*(F241)+'Assumptions'!F57-'Assumptions'!F62*(1)-'Assumptions'!F67-(0))+(('Historical Inputs'!$N$9*(1+(D241))^1)*('Assumptions'!E67+(0))))*'DCF'!F12/(1+(G241))^'DCF'!F13,(('Historical Inputs'!$N$9*(1+(D241))^3)*(('Assumptions'!G37+(E241))*(1-'Assumptions'!G42-(0))+'Assumptions'!G47-'Assumptions'!G52*(F241)+'Assumptions'!G57-'Assumptions'!G62*(1)-'Assumptions'!G67-(0))+(('Historical Inputs'!$N$9*(1+(D241))^2)*('Assumptions'!F67+(0))))*'DCF'!G12/(1+(G241))^'DCF'!G13,(('Historical Inputs'!$N$9*(1+(D241))^4)*(('Assumptions'!H37+(E241))*(1-'Assumptions'!H42-(0))+'Assumptions'!H47-'Assumptions'!H52*(F241)+'Assumptions'!H57-'Assumptions'!H62*(1)-'Assumptions'!H67-(0))+(('Historical Inputs'!$N$9*(1+(D241))^3)*('Assumptions'!G67+(0))))*'DCF'!H12/(1+(G241))^'DCF'!H13,(('Historical Inputs'!$N$9*(1+(D241))^5)*(('Assumptions'!I37+(E241))*(1-'Assumptions'!I42-(0))+'Assumptions'!I47-'Assumptions'!I52*(F241)+'Assumptions'!I57-'Assumptions'!I62*(1)-'Assumptions'!I67-(0))+(('Historical Inputs'!$N$9*(1+(D241))^4)*('Assumptions'!H67+(0))))*'DCF'!I12/(1+(G241))^'DCF'!I13)+('Historical Inputs'!$N$9*(1+(D241))^5)*(1+(H241))*('Terminal Value'!$E$10+(E241))*(1-'Assumptions'!$E$15-(0))*(1-(H241)/('Terminal Value'!$E$12))/((G241)-(H241))/(1+(G241))^'DCF'!$E$19)+'Equity Bridge'!$E$17)/'Equity Bridge'!$E$20</x:f>
        <x:v>279.7676835965165</x:v>
      </x:c>
      <x:c r="X241" s="255" t="n">
        <x:v>0.8956369540338853</x:v>
      </x:c>
      <x:c r="Y241" s="255" t="n">
        <x:v>0.38847888023122057</x:v>
      </x:c>
      <x:c r="Z241" s="255" t="n">
        <x:v>0.4554220713575272</x:v>
      </x:c>
      <x:c r="AA241" s="255" t="n">
        <x:v>0.7683699334337035</x:v>
      </x:c>
      <x:c r="AB241" s="255" t="n">
        <x:v>0.0760927152510612</x:v>
      </x:c>
    </x:row>
    <x:row r="242" ht="24" customHeight="1">
      <x:c r="C242" s="256" t="n">
        <x:f>211</x:f>
        <x:v>211</x:v>
      </x:c>
      <x:c r="D242" s="258" t="n">
        <x:f>IF(X242&lt;($E$12-$D$12)/($F$12-$D$12),$D$12+SQRT(X242*($F$12-$D$12)*($E$12-$D$12)),$F$12-SQRT((1-X242)*($F$12-$D$12)*($F$12-$E$12)))</x:f>
        <x:v>0.1253261863899753</x:v>
      </x:c>
      <x:c r="E242" s="258" t="n">
        <x:f>IF(Y242&lt;($E$13-$D$13)/($F$13-$D$13),$D$13+SQRT(Y242*($F$13-$D$13)*($E$13-$D$13)),$F$13-SQRT((1-Y242)*($F$13-$D$13)*($F$13-$E$13)))</x:f>
        <x:v>0.0394620512323416</x:v>
      </x:c>
      <x:c r="F242" s="260" t="n">
        <x:f>IF(Z242&lt;($E$14-$D$14)/($F$14-$D$14),$D$14+SQRT(Z242*($F$14-$D$14)*($E$14-$D$14)),$F$14-SQRT((1-Z242)*($F$14-$D$14)*($F$14-$E$14)))</x:f>
        <x:v>1.1707158367971415</x:v>
      </x:c>
      <x:c r="G242" s="258" t="n">
        <x:f>IF(AA242&lt;($E$15-$D$15)/($F$15-$D$15),$D$15+SQRT(AA242*($F$15-$D$15)*($E$15-$D$15)),$F$15-SQRT((1-AA242)*($F$15-$D$15)*($F$15-$E$15)))</x:f>
        <x:v>0.09345517658545624</x:v>
      </x:c>
      <x:c r="H242" s="258" t="n">
        <x:f>IF(AB242&lt;($E$16-$D$16)/($F$16-$D$16),$D$16+SQRT(AB242*($F$16-$D$16)*($E$16-$D$16)),$F$16-SQRT((1-AB242)*($F$16-$D$16)*($F$16-$E$16)))</x:f>
        <x:v>0.027414116569148387</x:v>
      </x:c>
      <x:c r="I242" s="262" t="n">
        <x:f>'Historical Inputs'!$N$9*(1+D242)^5</x:f>
        <x:v>598852.0645903837</x:v>
      </x:c>
      <x:c r="J242" s="262" t="n">
        <x:f>I242*(1+H242)*('Terminal Value'!$E$10+E242)*(1-'Assumptions'!$E$15)*(1-H242/'Terminal Value'!$E$12)</x:f>
        <x:v>186660.19686244644</x:v>
      </x:c>
      <x:c r="K242" s="264" t="n">
        <x:f>((SUM((('Historical Inputs'!$N$9*(1+(D242))^1)*(('Assumptions'!E37+(E242))*(1-'Assumptions'!E42-(0))+'Assumptions'!E47-'Assumptions'!E52*(F242)+'Assumptions'!E57-'Assumptions'!E62*(1)-'Assumptions'!E67-(0))+('Working Capital'!$E$6))*'DCF'!E12/(1+(G242))^'DCF'!E13,(('Historical Inputs'!$N$9*(1+(D242))^2)*(('Assumptions'!F37+(E242))*(1-'Assumptions'!F42-(0))+'Assumptions'!F47-'Assumptions'!F52*(F242)+'Assumptions'!F57-'Assumptions'!F62*(1)-'Assumptions'!F67-(0))+(('Historical Inputs'!$N$9*(1+(D242))^1)*('Assumptions'!E67+(0))))*'DCF'!F12/(1+(G242))^'DCF'!F13,(('Historical Inputs'!$N$9*(1+(D242))^3)*(('Assumptions'!G37+(E242))*(1-'Assumptions'!G42-(0))+'Assumptions'!G47-'Assumptions'!G52*(F242)+'Assumptions'!G57-'Assumptions'!G62*(1)-'Assumptions'!G67-(0))+(('Historical Inputs'!$N$9*(1+(D242))^2)*('Assumptions'!F67+(0))))*'DCF'!G12/(1+(G242))^'DCF'!G13,(('Historical Inputs'!$N$9*(1+(D242))^4)*(('Assumptions'!H37+(E242))*(1-'Assumptions'!H42-(0))+'Assumptions'!H47-'Assumptions'!H52*(F242)+'Assumptions'!H57-'Assumptions'!H62*(1)-'Assumptions'!H67-(0))+(('Historical Inputs'!$N$9*(1+(D242))^3)*('Assumptions'!G67+(0))))*'DCF'!H12/(1+(G242))^'DCF'!H13,(('Historical Inputs'!$N$9*(1+(D242))^5)*(('Assumptions'!I37+(E242))*(1-'Assumptions'!I42-(0))+'Assumptions'!I47-'Assumptions'!I52*(F242)+'Assumptions'!I57-'Assumptions'!I62*(1)-'Assumptions'!I67-(0))+(('Historical Inputs'!$N$9*(1+(D242))^4)*('Assumptions'!H67+(0))))*'DCF'!I12/(1+(G242))^'DCF'!I13)+('Historical Inputs'!$N$9*(1+(D242))^5)*(1+(H242))*('Terminal Value'!$E$10+(E242))*(1-'Assumptions'!$E$15-(0))*(1-(H242)/('Terminal Value'!$E$12))/((G242)-(H242))/(1+(G242))^'DCF'!$E$19)+'Equity Bridge'!$E$17)/'Equity Bridge'!$E$20</x:f>
        <x:v>299.28770078771237</x:v>
      </x:c>
      <x:c r="X242" s="255" t="n">
        <x:v>0.20568626316552996</x:v>
      </x:c>
      <x:c r="Y242" s="255" t="n">
        <x:v>0.9777903271540413</x:v>
      </x:c>
      <x:c r="Z242" s="255" t="n">
        <x:v>0.9877491112215478</x:v>
      </x:c>
      <x:c r="AA242" s="255" t="n">
        <x:v>0.23643388782494412</x:v>
      </x:c>
      <x:c r="AB242" s="255" t="n">
        <x:v>0.2748456225046034</x:v>
      </x:c>
    </x:row>
    <x:row r="243" ht="24" customHeight="1">
      <x:c r="C243" s="256" t="n">
        <x:f>212</x:f>
        <x:v>212</x:v>
      </x:c>
      <x:c r="D243" s="258" t="n">
        <x:f>IF(X243&lt;($E$12-$D$12)/($F$12-$D$12),$D$12+SQRT(X243*($F$12-$D$12)*($E$12-$D$12)),$F$12-SQRT((1-X243)*($F$12-$D$12)*($F$12-$E$12)))</x:f>
        <x:v>0.13414166659782045</x:v>
      </x:c>
      <x:c r="E243" s="258" t="n">
        <x:f>IF(Y243&lt;($E$13-$D$13)/($F$13-$D$13),$D$13+SQRT(Y243*($F$13-$D$13)*($E$13-$D$13)),$F$13-SQRT((1-Y243)*($F$13-$D$13)*($F$13-$E$13)))</x:f>
        <x:v>0.006892703708717772</x:v>
      </x:c>
      <x:c r="F243" s="260" t="n">
        <x:f>IF(Z243&lt;($E$14-$D$14)/($F$14-$D$14),$D$14+SQRT(Z243*($F$14-$D$14)*($E$14-$D$14)),$F$14-SQRT((1-Z243)*($F$14-$D$14)*($F$14-$E$14)))</x:f>
        <x:v>0.9667632702767525</x:v>
      </x:c>
      <x:c r="G243" s="258" t="n">
        <x:f>IF(AA243&lt;($E$15-$D$15)/($F$15-$D$15),$D$15+SQRT(AA243*($F$15-$D$15)*($E$15-$D$15)),$F$15-SQRT((1-AA243)*($F$15-$D$15)*($F$15-$E$15)))</x:f>
        <x:v>0.11120889124328621</x:v>
      </x:c>
      <x:c r="H243" s="258" t="n">
        <x:f>IF(AB243&lt;($E$16-$D$16)/($F$16-$D$16),$D$16+SQRT(AB243*($F$16-$D$16)*($E$16-$D$16)),$F$16-SQRT((1-AB243)*($F$16-$D$16)*($F$16-$E$16)))</x:f>
        <x:v>0.0290308877587573</x:v>
      </x:c>
      <x:c r="I243" s="262" t="n">
        <x:f>'Historical Inputs'!$N$9*(1+D243)^5</x:f>
        <x:v>622678.6227258424</x:v>
      </x:c>
      <x:c r="J243" s="262" t="n">
        <x:f>I243*(1+H243)*('Terminal Value'!$E$10+E243)*(1-'Assumptions'!$E$15)*(1-H243/'Terminal Value'!$E$12)</x:f>
        <x:v>178299.41459156107</x:v>
      </x:c>
      <x:c r="K243" s="264" t="n">
        <x:f>((SUM((('Historical Inputs'!$N$9*(1+(D243))^1)*(('Assumptions'!E37+(E243))*(1-'Assumptions'!E42-(0))+'Assumptions'!E47-'Assumptions'!E52*(F243)+'Assumptions'!E57-'Assumptions'!E62*(1)-'Assumptions'!E67-(0))+('Working Capital'!$E$6))*'DCF'!E12/(1+(G243))^'DCF'!E13,(('Historical Inputs'!$N$9*(1+(D243))^2)*(('Assumptions'!F37+(E243))*(1-'Assumptions'!F42-(0))+'Assumptions'!F47-'Assumptions'!F52*(F243)+'Assumptions'!F57-'Assumptions'!F62*(1)-'Assumptions'!F67-(0))+(('Historical Inputs'!$N$9*(1+(D243))^1)*('Assumptions'!E67+(0))))*'DCF'!F12/(1+(G243))^'DCF'!F13,(('Historical Inputs'!$N$9*(1+(D243))^3)*(('Assumptions'!G37+(E243))*(1-'Assumptions'!G42-(0))+'Assumptions'!G47-'Assumptions'!G52*(F243)+'Assumptions'!G57-'Assumptions'!G62*(1)-'Assumptions'!G67-(0))+(('Historical Inputs'!$N$9*(1+(D243))^2)*('Assumptions'!F67+(0))))*'DCF'!G12/(1+(G243))^'DCF'!G13,(('Historical Inputs'!$N$9*(1+(D243))^4)*(('Assumptions'!H37+(E243))*(1-'Assumptions'!H42-(0))+'Assumptions'!H47-'Assumptions'!H52*(F243)+'Assumptions'!H57-'Assumptions'!H62*(1)-'Assumptions'!H67-(0))+(('Historical Inputs'!$N$9*(1+(D243))^3)*('Assumptions'!G67+(0))))*'DCF'!H12/(1+(G243))^'DCF'!H13,(('Historical Inputs'!$N$9*(1+(D243))^5)*(('Assumptions'!I37+(E243))*(1-'Assumptions'!I42-(0))+'Assumptions'!I47-'Assumptions'!I52*(F243)+'Assumptions'!I57-'Assumptions'!I62*(1)-'Assumptions'!I67-(0))+(('Historical Inputs'!$N$9*(1+(D243))^4)*('Assumptions'!H67+(0))))*'DCF'!I12/(1+(G243))^'DCF'!I13)+('Historical Inputs'!$N$9*(1+(D243))^5)*(1+(H243))*('Terminal Value'!$E$10+(E243))*(1-'Assumptions'!$E$15-(0))*(1-(H243)/('Terminal Value'!$E$12))/((G243)-(H243))/(1+(G243))^'DCF'!$E$19)+'Equity Bridge'!$E$17)/'Equity Bridge'!$E$20</x:f>
        <x:v>232.58355947617824</x:v>
      </x:c>
      <x:c r="X243" s="255" t="n">
        <x:v>0.33431083562265096</x:v>
      </x:c>
      <x:c r="Y243" s="255" t="n">
        <x:v>0.6283522012911211</x:v>
      </x:c>
      <x:c r="Z243" s="255" t="n">
        <x:v>0.25968878639470394</x:v>
      </x:c>
      <x:c r="AA243" s="255" t="n">
        <x:v>0.9917097612246624</x:v>
      </x:c>
      <x:c r="AB243" s="255" t="n">
        <x:v>0.4077846685563621</x:v>
      </x:c>
    </x:row>
    <x:row r="244" ht="24" customHeight="1">
      <x:c r="C244" s="256" t="n">
        <x:f>213</x:f>
        <x:v>213</x:v>
      </x:c>
      <x:c r="D244" s="258" t="n">
        <x:f>IF(X244&lt;($E$12-$D$12)/($F$12-$D$12),$D$12+SQRT(X244*($F$12-$D$12)*($E$12-$D$12)),$F$12-SQRT((1-X244)*($F$12-$D$12)*($F$12-$E$12)))</x:f>
        <x:v>0.1428939783754561</x:v>
      </x:c>
      <x:c r="E244" s="258" t="n">
        <x:f>IF(Y244&lt;($E$13-$D$13)/($F$13-$D$13),$D$13+SQRT(Y244*($F$13-$D$13)*($E$13-$D$13)),$F$13-SQRT((1-Y244)*($F$13-$D$13)*($F$13-$E$13)))</x:f>
        <x:v>0.007448181256331329</x:v>
      </x:c>
      <x:c r="F244" s="260" t="n">
        <x:f>IF(Z244&lt;($E$14-$D$14)/($F$14-$D$14),$D$14+SQRT(Z244*($F$14-$D$14)*($E$14-$D$14)),$F$14-SQRT((1-Z244)*($F$14-$D$14)*($F$14-$E$14)))</x:f>
        <x:v>0.8928278951639939</x:v>
      </x:c>
      <x:c r="G244" s="258" t="n">
        <x:f>IF(AA244&lt;($E$15-$D$15)/($F$15-$D$15),$D$15+SQRT(AA244*($F$15-$D$15)*($E$15-$D$15)),$F$15-SQRT((1-AA244)*($F$15-$D$15)*($F$15-$E$15)))</x:f>
        <x:v>0.10081487620625586</x:v>
      </x:c>
      <x:c r="H244" s="258" t="n">
        <x:f>IF(AB244&lt;($E$16-$D$16)/($F$16-$D$16),$D$16+SQRT(AB244*($F$16-$D$16)*($E$16-$D$16)),$F$16-SQRT((1-AB244)*($F$16-$D$16)*($F$16-$E$16)))</x:f>
        <x:v>0.029995205535767195</x:v>
      </x:c>
      <x:c r="I244" s="262" t="n">
        <x:f>'Historical Inputs'!$N$9*(1+D244)^5</x:f>
        <x:v>647078.766014977</x:v>
      </x:c>
      <x:c r="J244" s="262" t="n">
        <x:f>I244*(1+H244)*('Terminal Value'!$E$10+E244)*(1-'Assumptions'!$E$15)*(1-H244/'Terminal Value'!$E$12)</x:f>
        <x:v>184665.55522766028</x:v>
      </x:c>
      <x:c r="K244" s="264" t="n">
        <x:f>((SUM((('Historical Inputs'!$N$9*(1+(D244))^1)*(('Assumptions'!E37+(E244))*(1-'Assumptions'!E42-(0))+'Assumptions'!E47-'Assumptions'!E52*(F244)+'Assumptions'!E57-'Assumptions'!E62*(1)-'Assumptions'!E67-(0))+('Working Capital'!$E$6))*'DCF'!E12/(1+(G244))^'DCF'!E13,(('Historical Inputs'!$N$9*(1+(D244))^2)*(('Assumptions'!F37+(E244))*(1-'Assumptions'!F42-(0))+'Assumptions'!F47-'Assumptions'!F52*(F244)+'Assumptions'!F57-'Assumptions'!F62*(1)-'Assumptions'!F67-(0))+(('Historical Inputs'!$N$9*(1+(D244))^1)*('Assumptions'!E67+(0))))*'DCF'!F12/(1+(G244))^'DCF'!F13,(('Historical Inputs'!$N$9*(1+(D244))^3)*(('Assumptions'!G37+(E244))*(1-'Assumptions'!G42-(0))+'Assumptions'!G47-'Assumptions'!G52*(F244)+'Assumptions'!G57-'Assumptions'!G62*(1)-'Assumptions'!G67-(0))+(('Historical Inputs'!$N$9*(1+(D244))^2)*('Assumptions'!F67+(0))))*'DCF'!G12/(1+(G244))^'DCF'!G13,(('Historical Inputs'!$N$9*(1+(D244))^4)*(('Assumptions'!H37+(E244))*(1-'Assumptions'!H42-(0))+'Assumptions'!H47-'Assumptions'!H52*(F244)+'Assumptions'!H57-'Assumptions'!H62*(1)-'Assumptions'!H67-(0))+(('Historical Inputs'!$N$9*(1+(D244))^3)*('Assumptions'!G67+(0))))*'DCF'!H12/(1+(G244))^'DCF'!H13,(('Historical Inputs'!$N$9*(1+(D244))^5)*(('Assumptions'!I37+(E244))*(1-'Assumptions'!I42-(0))+'Assumptions'!I47-'Assumptions'!I52*(F244)+'Assumptions'!I57-'Assumptions'!I62*(1)-'Assumptions'!I67-(0))+(('Historical Inputs'!$N$9*(1+(D244))^4)*('Assumptions'!H67+(0))))*'DCF'!I12/(1+(G244))^'DCF'!I13)+('Historical Inputs'!$N$9*(1+(D244))^5)*(1+(H244))*('Terminal Value'!$E$10+(E244))*(1-'Assumptions'!$E$15-(0))*(1-(H244)/('Terminal Value'!$E$12))/((G244)-(H244))/(1+(G244))^'DCF'!$E$19)+'Equity Bridge'!$E$17)/'Equity Bridge'!$E$20</x:f>
        <x:v>285.8402399616152</x:v>
      </x:c>
      <x:c r="X244" s="255" t="n">
        <x:v>0.4927654910973792</x:v>
      </x:c>
      <x:c r="Y244" s="255" t="n">
        <x:v>0.6378685443211936</x:v>
      </x:c>
      <x:c r="Z244" s="255" t="n">
        <x:v>0.03493768769862948</x:v>
      </x:c>
      <x:c r="AA244" s="255" t="n">
        <x:v>0.6624049338161677</x:v>
      </x:c>
      <x:c r="AB244" s="255" t="n">
        <x:v>0.49952066851115595</x:v>
      </x:c>
    </x:row>
    <x:row r="245" ht="24" customHeight="1">
      <x:c r="C245" s="256" t="n">
        <x:f>214</x:f>
        <x:v>214</x:v>
      </x:c>
      <x:c r="D245" s="258" t="n">
        <x:f>IF(X245&lt;($E$12-$D$12)/($F$12-$D$12),$D$12+SQRT(X245*($F$12-$D$12)*($E$12-$D$12)),$F$12-SQRT((1-X245)*($F$12-$D$12)*($F$12-$E$12)))</x:f>
        <x:v>0.1609445973960031</x:v>
      </x:c>
      <x:c r="E245" s="258" t="n">
        <x:f>IF(Y245&lt;($E$13-$D$13)/($F$13-$D$13),$D$13+SQRT(Y245*($F$13-$D$13)*($E$13-$D$13)),$F$13-SQRT((1-Y245)*($F$13-$D$13)*($F$13-$E$13)))</x:f>
        <x:v>0.024465841032745954</x:v>
      </x:c>
      <x:c r="F245" s="260" t="n">
        <x:f>IF(Z245&lt;($E$14-$D$14)/($F$14-$D$14),$D$14+SQRT(Z245*($F$14-$D$14)*($E$14-$D$14)),$F$14-SQRT((1-Z245)*($F$14-$D$14)*($F$14-$E$14)))</x:f>
        <x:v>1.0722326648531755</x:v>
      </x:c>
      <x:c r="G245" s="258" t="n">
        <x:f>IF(AA245&lt;($E$15-$D$15)/($F$15-$D$15),$D$15+SQRT(AA245*($F$15-$D$15)*($E$15-$D$15)),$F$15-SQRT((1-AA245)*($F$15-$D$15)*($F$15-$E$15)))</x:f>
        <x:v>0.09633980154458399</x:v>
      </x:c>
      <x:c r="H245" s="258" t="n">
        <x:f>IF(AB245&lt;($E$16-$D$16)/($F$16-$D$16),$D$16+SQRT(AB245*($F$16-$D$16)*($E$16-$D$16)),$F$16-SQRT((1-AB245)*($F$16-$D$16)*($F$16-$E$16)))</x:f>
        <x:v>0.026837305334409953</x:v>
      </x:c>
      <x:c r="I245" s="262" t="n">
        <x:f>'Historical Inputs'!$N$9*(1+D245)^5</x:f>
        <x:v>699817.6637691384</x:v>
      </x:c>
      <x:c r="J245" s="262" t="n">
        <x:f>I245*(1+H245)*('Terminal Value'!$E$10+E245)*(1-'Assumptions'!$E$15)*(1-H245/'Terminal Value'!$E$12)</x:f>
        <x:v>211272.81130267875</x:v>
      </x:c>
      <x:c r="K245" s="264" t="n">
        <x:f>((SUM((('Historical Inputs'!$N$9*(1+(D245))^1)*(('Assumptions'!E37+(E245))*(1-'Assumptions'!E42-(0))+'Assumptions'!E47-'Assumptions'!E52*(F245)+'Assumptions'!E57-'Assumptions'!E62*(1)-'Assumptions'!E67-(0))+('Working Capital'!$E$6))*'DCF'!E12/(1+(G245))^'DCF'!E13,(('Historical Inputs'!$N$9*(1+(D245))^2)*(('Assumptions'!F37+(E245))*(1-'Assumptions'!F42-(0))+'Assumptions'!F47-'Assumptions'!F52*(F245)+'Assumptions'!F57-'Assumptions'!F62*(1)-'Assumptions'!F67-(0))+(('Historical Inputs'!$N$9*(1+(D245))^1)*('Assumptions'!E67+(0))))*'DCF'!F12/(1+(G245))^'DCF'!F13,(('Historical Inputs'!$N$9*(1+(D245))^3)*(('Assumptions'!G37+(E245))*(1-'Assumptions'!G42-(0))+'Assumptions'!G47-'Assumptions'!G52*(F245)+'Assumptions'!G57-'Assumptions'!G62*(1)-'Assumptions'!G67-(0))+(('Historical Inputs'!$N$9*(1+(D245))^2)*('Assumptions'!F67+(0))))*'DCF'!G12/(1+(G245))^'DCF'!G13,(('Historical Inputs'!$N$9*(1+(D245))^4)*(('Assumptions'!H37+(E245))*(1-'Assumptions'!H42-(0))+'Assumptions'!H47-'Assumptions'!H52*(F245)+'Assumptions'!H57-'Assumptions'!H62*(1)-'Assumptions'!H67-(0))+(('Historical Inputs'!$N$9*(1+(D245))^3)*('Assumptions'!G67+(0))))*'DCF'!H12/(1+(G245))^'DCF'!H13,(('Historical Inputs'!$N$9*(1+(D245))^5)*(('Assumptions'!I37+(E245))*(1-'Assumptions'!I42-(0))+'Assumptions'!I47-'Assumptions'!I52*(F245)+'Assumptions'!I57-'Assumptions'!I62*(1)-'Assumptions'!I67-(0))+(('Historical Inputs'!$N$9*(1+(D245))^4)*('Assumptions'!H67+(0))))*'DCF'!I12/(1+(G245))^'DCF'!I13)+('Historical Inputs'!$N$9*(1+(D245))^5)*(1+(H245))*('Terminal Value'!$E$10+(E245))*(1-'Assumptions'!$E$15-(0))*(1-(H245)/('Terminal Value'!$E$12))/((G245)-(H245))/(1+(G245))^'DCF'!$E$19)+'Equity Bridge'!$E$17)/'Equity Bridge'!$E$20</x:f>
        <x:v>323.86778080173883</x:v>
      </x:c>
      <x:c r="X245" s="255" t="n">
        <x:v>0.7911814454904063</x:v>
      </x:c>
      <x:c r="Y245" s="255" t="n">
        <x:v>0.8696013451669999</x:v>
      </x:c>
      <x:c r="Z245" s="255" t="n">
        <x:v>0.766792972421129</x:v>
      </x:c>
      <x:c r="AA245" s="255" t="n">
        <x:v>0.38716669292501926</x:v>
      </x:c>
      <x:c r="AB245" s="255" t="n">
        <x:v>0.23374372117975417</x:v>
      </x:c>
    </x:row>
    <x:row r="246" ht="24" customHeight="1">
      <x:c r="C246" s="256" t="n">
        <x:f>215</x:f>
        <x:v>215</x:v>
      </x:c>
      <x:c r="D246" s="258" t="n">
        <x:f>IF(X246&lt;($E$12-$D$12)/($F$12-$D$12),$D$12+SQRT(X246*($F$12-$D$12)*($E$12-$D$12)),$F$12-SQRT((1-X246)*($F$12-$D$12)*($F$12-$E$12)))</x:f>
        <x:v>0.15922208953711203</x:v>
      </x:c>
      <x:c r="E246" s="258" t="n">
        <x:f>IF(Y246&lt;($E$13-$D$13)/($F$13-$D$13),$D$13+SQRT(Y246*($F$13-$D$13)*($E$13-$D$13)),$F$13-SQRT((1-Y246)*($F$13-$D$13)*($F$13-$E$13)))</x:f>
        <x:v>-0.019671877532114954</x:v>
      </x:c>
      <x:c r="F246" s="260" t="n">
        <x:f>IF(Z246&lt;($E$14-$D$14)/($F$14-$D$14),$D$14+SQRT(Z246*($F$14-$D$14)*($E$14-$D$14)),$F$14-SQRT((1-Z246)*($F$14-$D$14)*($F$14-$E$14)))</x:f>
        <x:v>0.9448830552624204</x:v>
      </x:c>
      <x:c r="G246" s="258" t="n">
        <x:f>IF(AA246&lt;($E$15-$D$15)/($F$15-$D$15),$D$15+SQRT(AA246*($F$15-$D$15)*($E$15-$D$15)),$F$15-SQRT((1-AA246)*($F$15-$D$15)*($F$15-$E$15)))</x:f>
        <x:v>0.10894817680395029</x:v>
      </x:c>
      <x:c r="H246" s="258" t="n">
        <x:f>IF(AB246&lt;($E$16-$D$16)/($F$16-$D$16),$D$16+SQRT(AB246*($F$16-$D$16)*($E$16-$D$16)),$F$16-SQRT((1-AB246)*($F$16-$D$16)*($F$16-$E$16)))</x:f>
        <x:v>0.02602617978427502</x:v>
      </x:c>
      <x:c r="I246" s="262" t="n">
        <x:f>'Historical Inputs'!$N$9*(1+D246)^5</x:f>
        <x:v>694641.4061121866</x:v>
      </x:c>
      <x:c r="J246" s="262" t="n">
        <x:f>I246*(1+H246)*('Terminal Value'!$E$10+E246)*(1-'Assumptions'!$E$15)*(1-H246/'Terminal Value'!$E$12)</x:f>
        <x:v>188634.63681639536</x:v>
      </x:c>
      <x:c r="K246" s="264" t="n">
        <x:f>((SUM((('Historical Inputs'!$N$9*(1+(D246))^1)*(('Assumptions'!E37+(E246))*(1-'Assumptions'!E42-(0))+'Assumptions'!E47-'Assumptions'!E52*(F246)+'Assumptions'!E57-'Assumptions'!E62*(1)-'Assumptions'!E67-(0))+('Working Capital'!$E$6))*'DCF'!E12/(1+(G246))^'DCF'!E13,(('Historical Inputs'!$N$9*(1+(D246))^2)*(('Assumptions'!F37+(E246))*(1-'Assumptions'!F42-(0))+'Assumptions'!F47-'Assumptions'!F52*(F246)+'Assumptions'!F57-'Assumptions'!F62*(1)-'Assumptions'!F67-(0))+(('Historical Inputs'!$N$9*(1+(D246))^1)*('Assumptions'!E67+(0))))*'DCF'!F12/(1+(G246))^'DCF'!F13,(('Historical Inputs'!$N$9*(1+(D246))^3)*(('Assumptions'!G37+(E246))*(1-'Assumptions'!G42-(0))+'Assumptions'!G47-'Assumptions'!G52*(F246)+'Assumptions'!G57-'Assumptions'!G62*(1)-'Assumptions'!G67-(0))+(('Historical Inputs'!$N$9*(1+(D246))^2)*('Assumptions'!F67+(0))))*'DCF'!G12/(1+(G246))^'DCF'!G13,(('Historical Inputs'!$N$9*(1+(D246))^4)*(('Assumptions'!H37+(E246))*(1-'Assumptions'!H42-(0))+'Assumptions'!H47-'Assumptions'!H52*(F246)+'Assumptions'!H57-'Assumptions'!H62*(1)-'Assumptions'!H67-(0))+(('Historical Inputs'!$N$9*(1+(D246))^3)*('Assumptions'!G67+(0))))*'DCF'!H12/(1+(G246))^'DCF'!H13,(('Historical Inputs'!$N$9*(1+(D246))^5)*(('Assumptions'!I37+(E246))*(1-'Assumptions'!I42-(0))+'Assumptions'!I47-'Assumptions'!I52*(F246)+'Assumptions'!I57-'Assumptions'!I62*(1)-'Assumptions'!I67-(0))+(('Historical Inputs'!$N$9*(1+(D246))^4)*('Assumptions'!H67+(0))))*'DCF'!I12/(1+(G246))^'DCF'!I13)+('Historical Inputs'!$N$9*(1+(D246))^5)*(1+(H246))*('Terminal Value'!$E$10+(E246))*(1-'Assumptions'!$E$15-(0))*(1-(H246)/('Terminal Value'!$E$12))/((G246)-(H246))/(1+(G246))^'DCF'!$E$19)+'Equity Bridge'!$E$17)/'Equity Bridge'!$E$20</x:f>
        <x:v>243.72417495904213</x:v>
      </x:c>
      <x:c r="X246" s="255" t="n">
        <x:v>0.7683246768173814</x:v>
      </x:c>
      <x:c r="Y246" s="255" t="n">
        <x:v>0.18395900248540675</x:v>
      </x:c>
      <x:c r="Z246" s="255" t="n">
        <x:v>0.17148179382726725</x:v>
      </x:c>
      <x:c r="AA246" s="255" t="n">
        <x:v>0.9609456047806739</x:v>
      </x:c>
      <x:c r="AB246" s="255" t="n">
        <x:v>0.18157421396202467</x:v>
      </x:c>
    </x:row>
    <x:row r="247" ht="24" customHeight="1">
      <x:c r="C247" s="256" t="n">
        <x:f>216</x:f>
        <x:v>216</x:v>
      </x:c>
      <x:c r="D247" s="258" t="n">
        <x:f>IF(X247&lt;($E$12-$D$12)/($F$12-$D$12),$D$12+SQRT(X247*($F$12-$D$12)*($E$12-$D$12)),$F$12-SQRT((1-X247)*($F$12-$D$12)*($F$12-$E$12)))</x:f>
        <x:v>0.122839143335322</x:v>
      </x:c>
      <x:c r="E247" s="258" t="n">
        <x:f>IF(Y247&lt;($E$13-$D$13)/($F$13-$D$13),$D$13+SQRT(Y247*($F$13-$D$13)*($E$13-$D$13)),$F$13-SQRT((1-Y247)*($F$13-$D$13)*($F$13-$E$13)))</x:f>
        <x:v>0.014712147947782729</x:v>
      </x:c>
      <x:c r="F247" s="260" t="n">
        <x:f>IF(Z247&lt;($E$14-$D$14)/($F$14-$D$14),$D$14+SQRT(Z247*($F$14-$D$14)*($E$14-$D$14)),$F$14-SQRT((1-Z247)*($F$14-$D$14)*($F$14-$E$14)))</x:f>
        <x:v>1.0115513859845264</x:v>
      </x:c>
      <x:c r="G247" s="258" t="n">
        <x:f>IF(AA247&lt;($E$15-$D$15)/($F$15-$D$15),$D$15+SQRT(AA247*($F$15-$D$15)*($E$15-$D$15)),$F$15-SQRT((1-AA247)*($F$15-$D$15)*($F$15-$E$15)))</x:f>
        <x:v>0.10951924469031675</x:v>
      </x:c>
      <x:c r="H247" s="258" t="n">
        <x:f>IF(AB247&lt;($E$16-$D$16)/($F$16-$D$16),$D$16+SQRT(AB247*($F$16-$D$16)*($E$16-$D$16)),$F$16-SQRT((1-AB247)*($F$16-$D$16)*($F$16-$E$16)))</x:f>
        <x:v>0.033846849659390346</x:v>
      </x:c>
      <x:c r="I247" s="262" t="n">
        <x:f>'Historical Inputs'!$N$9*(1+D247)^5</x:f>
        <x:v>592263.7428714014</x:v>
      </x:c>
      <x:c r="J247" s="262" t="n">
        <x:f>I247*(1+H247)*('Terminal Value'!$E$10+E247)*(1-'Assumptions'!$E$15)*(1-H247/'Terminal Value'!$E$12)</x:f>
        <x:v>168766.67112220824</x:v>
      </x:c>
      <x:c r="K247" s="264" t="n">
        <x:f>((SUM((('Historical Inputs'!$N$9*(1+(D247))^1)*(('Assumptions'!E37+(E247))*(1-'Assumptions'!E42-(0))+'Assumptions'!E47-'Assumptions'!E52*(F247)+'Assumptions'!E57-'Assumptions'!E62*(1)-'Assumptions'!E67-(0))+('Working Capital'!$E$6))*'DCF'!E12/(1+(G247))^'DCF'!E13,(('Historical Inputs'!$N$9*(1+(D247))^2)*(('Assumptions'!F37+(E247))*(1-'Assumptions'!F42-(0))+'Assumptions'!F47-'Assumptions'!F52*(F247)+'Assumptions'!F57-'Assumptions'!F62*(1)-'Assumptions'!F67-(0))+(('Historical Inputs'!$N$9*(1+(D247))^1)*('Assumptions'!E67+(0))))*'DCF'!F12/(1+(G247))^'DCF'!F13,(('Historical Inputs'!$N$9*(1+(D247))^3)*(('Assumptions'!G37+(E247))*(1-'Assumptions'!G42-(0))+'Assumptions'!G47-'Assumptions'!G52*(F247)+'Assumptions'!G57-'Assumptions'!G62*(1)-'Assumptions'!G67-(0))+(('Historical Inputs'!$N$9*(1+(D247))^2)*('Assumptions'!F67+(0))))*'DCF'!G12/(1+(G247))^'DCF'!G13,(('Historical Inputs'!$N$9*(1+(D247))^4)*(('Assumptions'!H37+(E247))*(1-'Assumptions'!H42-(0))+'Assumptions'!H47-'Assumptions'!H52*(F247)+'Assumptions'!H57-'Assumptions'!H62*(1)-'Assumptions'!H67-(0))+(('Historical Inputs'!$N$9*(1+(D247))^3)*('Assumptions'!G67+(0))))*'DCF'!H12/(1+(G247))^'DCF'!H13,(('Historical Inputs'!$N$9*(1+(D247))^5)*(('Assumptions'!I37+(E247))*(1-'Assumptions'!I42-(0))+'Assumptions'!I47-'Assumptions'!I52*(F247)+'Assumptions'!I57-'Assumptions'!I62*(1)-'Assumptions'!I67-(0))+(('Historical Inputs'!$N$9*(1+(D247))^4)*('Assumptions'!H67+(0))))*'DCF'!I12/(1+(G247))^'DCF'!I13)+('Historical Inputs'!$N$9*(1+(D247))^5)*(1+(H247))*('Terminal Value'!$E$10+(E247))*(1-'Assumptions'!$E$15-(0))*(1-(H247)/('Terminal Value'!$E$12))/((G247)-(H247))/(1+(G247))^'DCF'!$E$19)+'Equity Bridge'!$E$17)/'Equity Bridge'!$E$20</x:f>
        <x:v>235.9432343621907</x:v>
      </x:c>
      <x:c r="X247" s="255" t="n">
        <x:v>0.17502038259777952</x:v>
      </x:c>
      <x:c r="Y247" s="255" t="n">
        <x:v>0.750953499508165</x:v>
      </x:c>
      <x:c r="Z247" s="255" t="n">
        <x:v>0.49267314108067173</x:v>
      </x:c>
      <x:c r="AA247" s="255" t="n">
        <x:v>0.9708610147247466</x:v>
      </x:c>
      <x:c r="AB247" s="255" t="n">
        <x:v>0.8106937044292766</x:v>
      </x:c>
    </x:row>
    <x:row r="248" ht="24" customHeight="1">
      <x:c r="C248" s="256" t="n">
        <x:f>217</x:f>
        <x:v>217</x:v>
      </x:c>
      <x:c r="D248" s="258" t="n">
        <x:f>IF(X248&lt;($E$12-$D$12)/($F$12-$D$12),$D$12+SQRT(X248*($F$12-$D$12)*($E$12-$D$12)),$F$12-SQRT((1-X248)*($F$12-$D$12)*($F$12-$E$12)))</x:f>
        <x:v>0.14713179419098216</x:v>
      </x:c>
      <x:c r="E248" s="258" t="n">
        <x:f>IF(Y248&lt;($E$13-$D$13)/($F$13-$D$13),$D$13+SQRT(Y248*($F$13-$D$13)*($E$13-$D$13)),$F$13-SQRT((1-Y248)*($F$13-$D$13)*($F$13-$E$13)))</x:f>
        <x:v>0.002648413834869634</x:v>
      </x:c>
      <x:c r="F248" s="260" t="n">
        <x:f>IF(Z248&lt;($E$14-$D$14)/($F$14-$D$14),$D$14+SQRT(Z248*($F$14-$D$14)*($E$14-$D$14)),$F$14-SQRT((1-Z248)*($F$14-$D$14)*($F$14-$E$14)))</x:f>
        <x:v>1.070355800853888</x:v>
      </x:c>
      <x:c r="G248" s="258" t="n">
        <x:f>IF(AA248&lt;($E$15-$D$15)/($F$15-$D$15),$D$15+SQRT(AA248*($F$15-$D$15)*($E$15-$D$15)),$F$15-SQRT((1-AA248)*($F$15-$D$15)*($F$15-$E$15)))</x:f>
        <x:v>0.08944983926629473</x:v>
      </x:c>
      <x:c r="H248" s="258" t="n">
        <x:f>IF(AB248&lt;($E$16-$D$16)/($F$16-$D$16),$D$16+SQRT(AB248*($F$16-$D$16)*($E$16-$D$16)),$F$16-SQRT((1-AB248)*($F$16-$D$16)*($F$16-$E$16)))</x:f>
        <x:v>0.031938610036117095</x:v>
      </x:c>
      <x:c r="I248" s="262" t="n">
        <x:f>'Historical Inputs'!$N$9*(1+D248)^5</x:f>
        <x:v>659164.8046920282</x:v>
      </x:c>
      <x:c r="J248" s="262" t="n">
        <x:f>I248*(1+H248)*('Terminal Value'!$E$10+E248)*(1-'Assumptions'!$E$15)*(1-H248/'Terminal Value'!$E$12)</x:f>
        <x:v>184120.35670567217</x:v>
      </x:c>
      <x:c r="K248" s="264" t="n">
        <x:f>((SUM((('Historical Inputs'!$N$9*(1+(D248))^1)*(('Assumptions'!E37+(E248))*(1-'Assumptions'!E42-(0))+'Assumptions'!E47-'Assumptions'!E52*(F248)+'Assumptions'!E57-'Assumptions'!E62*(1)-'Assumptions'!E67-(0))+('Working Capital'!$E$6))*'DCF'!E12/(1+(G248))^'DCF'!E13,(('Historical Inputs'!$N$9*(1+(D248))^2)*(('Assumptions'!F37+(E248))*(1-'Assumptions'!F42-(0))+'Assumptions'!F47-'Assumptions'!F52*(F248)+'Assumptions'!F57-'Assumptions'!F62*(1)-'Assumptions'!F67-(0))+(('Historical Inputs'!$N$9*(1+(D248))^1)*('Assumptions'!E67+(0))))*'DCF'!F12/(1+(G248))^'DCF'!F13,(('Historical Inputs'!$N$9*(1+(D248))^3)*(('Assumptions'!G37+(E248))*(1-'Assumptions'!G42-(0))+'Assumptions'!G47-'Assumptions'!G52*(F248)+'Assumptions'!G57-'Assumptions'!G62*(1)-'Assumptions'!G67-(0))+(('Historical Inputs'!$N$9*(1+(D248))^2)*('Assumptions'!F67+(0))))*'DCF'!G12/(1+(G248))^'DCF'!G13,(('Historical Inputs'!$N$9*(1+(D248))^4)*(('Assumptions'!H37+(E248))*(1-'Assumptions'!H42-(0))+'Assumptions'!H47-'Assumptions'!H52*(F248)+'Assumptions'!H57-'Assumptions'!H62*(1)-'Assumptions'!H67-(0))+(('Historical Inputs'!$N$9*(1+(D248))^3)*('Assumptions'!G67+(0))))*'DCF'!H12/(1+(G248))^'DCF'!H13,(('Historical Inputs'!$N$9*(1+(D248))^5)*(('Assumptions'!I37+(E248))*(1-'Assumptions'!I42-(0))+'Assumptions'!I47-'Assumptions'!I52*(F248)+'Assumptions'!I57-'Assumptions'!I62*(1)-'Assumptions'!I67-(0))+(('Historical Inputs'!$N$9*(1+(D248))^4)*('Assumptions'!H67+(0))))*'DCF'!I12/(1+(G248))^'DCF'!I13)+('Historical Inputs'!$N$9*(1+(D248))^5)*(1+(H248))*('Terminal Value'!$E$10+(E248))*(1-'Assumptions'!$E$15-(0))*(1-(H248)/('Terminal Value'!$E$12))/((G248)-(H248))/(1+(G248))^'DCF'!$E$19)+'Equity Bridge'!$E$17)/'Equity Bridge'!$E$20</x:f>
        <x:v>340.32712552436806</x:v>
      </x:c>
      <x:c r="X248" s="255" t="n">
        <x:v>0.5744926751224987</x:v>
      </x:c>
      <x:c r="Y248" s="255" t="n">
        <x:v>0.5515654575292469</x:v>
      </x:c>
      <x:c r="Z248" s="255" t="n">
        <x:v>0.7598911661109041</x:v>
      </x:c>
      <x:c r="AA248" s="255" t="n">
        <x:v>0.08846535859736349</x:v>
      </x:c>
      <x:c r="AB248" s="255" t="n">
        <x:v>0.67506995925104</x:v>
      </x:c>
    </x:row>
    <x:row r="249" ht="24" customHeight="1">
      <x:c r="C249" s="256" t="n">
        <x:f>218</x:f>
        <x:v>218</x:v>
      </x:c>
      <x:c r="D249" s="258" t="n">
        <x:f>IF(X249&lt;($E$12-$D$12)/($F$12-$D$12),$D$12+SQRT(X249*($F$12-$D$12)*($E$12-$D$12)),$F$12-SQRT((1-X249)*($F$12-$D$12)*($F$12-$E$12)))</x:f>
        <x:v>0.14385933535847487</x:v>
      </x:c>
      <x:c r="E249" s="258" t="n">
        <x:f>IF(Y249&lt;($E$13-$D$13)/($F$13-$D$13),$D$13+SQRT(Y249*($F$13-$D$13)*($E$13-$D$13)),$F$13-SQRT((1-Y249)*($F$13-$D$13)*($F$13-$E$13)))</x:f>
        <x:v>-0.0007685231415259022</x:v>
      </x:c>
      <x:c r="F249" s="260" t="n">
        <x:f>IF(Z249&lt;($E$14-$D$14)/($F$14-$D$14),$D$14+SQRT(Z249*($F$14-$D$14)*($E$14-$D$14)),$F$14-SQRT((1-Z249)*($F$14-$D$14)*($F$14-$E$14)))</x:f>
        <x:v>1.0038849886077914</x:v>
      </x:c>
      <x:c r="G249" s="258" t="n">
        <x:f>IF(AA249&lt;($E$15-$D$15)/($F$15-$D$15),$D$15+SQRT(AA249*($F$15-$D$15)*($E$15-$D$15)),$F$15-SQRT((1-AA249)*($F$15-$D$15)*($F$15-$E$15)))</x:f>
        <x:v>0.0901486933667659</x:v>
      </x:c>
      <x:c r="H249" s="258" t="n">
        <x:f>IF(AB249&lt;($E$16-$D$16)/($F$16-$D$16),$D$16+SQRT(AB249*($F$16-$D$16)*($E$16-$D$16)),$F$16-SQRT((1-AB249)*($F$16-$D$16)*($F$16-$E$16)))</x:f>
        <x:v>0.03440665203724737</x:v>
      </x:c>
      <x:c r="I249" s="262" t="n">
        <x:f>'Historical Inputs'!$N$9*(1+D249)^5</x:f>
        <x:v>649816.194696338</x:v>
      </x:c>
      <x:c r="J249" s="262" t="n">
        <x:f>I249*(1+H249)*('Terminal Value'!$E$10+E249)*(1-'Assumptions'!$E$15)*(1-H249/'Terminal Value'!$E$12)</x:f>
        <x:v>177749.9506328964</x:v>
      </x:c>
      <x:c r="K249" s="264" t="n">
        <x:f>((SUM((('Historical Inputs'!$N$9*(1+(D249))^1)*(('Assumptions'!E37+(E249))*(1-'Assumptions'!E42-(0))+'Assumptions'!E47-'Assumptions'!E52*(F249)+'Assumptions'!E57-'Assumptions'!E62*(1)-'Assumptions'!E67-(0))+('Working Capital'!$E$6))*'DCF'!E12/(1+(G249))^'DCF'!E13,(('Historical Inputs'!$N$9*(1+(D249))^2)*(('Assumptions'!F37+(E249))*(1-'Assumptions'!F42-(0))+'Assumptions'!F47-'Assumptions'!F52*(F249)+'Assumptions'!F57-'Assumptions'!F62*(1)-'Assumptions'!F67-(0))+(('Historical Inputs'!$N$9*(1+(D249))^1)*('Assumptions'!E67+(0))))*'DCF'!F12/(1+(G249))^'DCF'!F13,(('Historical Inputs'!$N$9*(1+(D249))^3)*(('Assumptions'!G37+(E249))*(1-'Assumptions'!G42-(0))+'Assumptions'!G47-'Assumptions'!G52*(F249)+'Assumptions'!G57-'Assumptions'!G62*(1)-'Assumptions'!G67-(0))+(('Historical Inputs'!$N$9*(1+(D249))^2)*('Assumptions'!F67+(0))))*'DCF'!G12/(1+(G249))^'DCF'!G13,(('Historical Inputs'!$N$9*(1+(D249))^4)*(('Assumptions'!H37+(E249))*(1-'Assumptions'!H42-(0))+'Assumptions'!H47-'Assumptions'!H52*(F249)+'Assumptions'!H57-'Assumptions'!H62*(1)-'Assumptions'!H67-(0))+(('Historical Inputs'!$N$9*(1+(D249))^3)*('Assumptions'!G67+(0))))*'DCF'!H12/(1+(G249))^'DCF'!H13,(('Historical Inputs'!$N$9*(1+(D249))^5)*(('Assumptions'!I37+(E249))*(1-'Assumptions'!I42-(0))+'Assumptions'!I47-'Assumptions'!I52*(F249)+'Assumptions'!I57-'Assumptions'!I62*(1)-'Assumptions'!I67-(0))+(('Historical Inputs'!$N$9*(1+(D249))^4)*('Assumptions'!H67+(0))))*'DCF'!I12/(1+(G249))^'DCF'!I13)+('Historical Inputs'!$N$9*(1+(D249))^5)*(1+(H249))*('Terminal Value'!$E$10+(E249))*(1-'Assumptions'!$E$15-(0))*(1-(H249)/('Terminal Value'!$E$12))/((G249)-(H249))/(1+(G249))^'DCF'!$E$19)+'Equity Bridge'!$E$17)/'Equity Bridge'!$E$20</x:f>
        <x:v>341.2480123441389</x:v>
      </x:c>
      <x:c r="X249" s="255" t="n">
        <x:v>0.5119737143300832</x:v>
      </x:c>
      <x:c r="Y249" s="255" t="n">
        <x:v>0.48474766273329406</x:v>
      </x:c>
      <x:c r="Z249" s="255" t="n">
        <x:v>0.4505557472376278</x:v>
      </x:c>
      <x:c r="AA249" s="255" t="n">
        <x:v>0.10914801411242436</x:v>
      </x:c>
      <x:c r="AB249" s="255" t="n">
        <x:v>0.843572292837855</x:v>
      </x:c>
    </x:row>
    <x:row r="250" ht="24" customHeight="1">
      <x:c r="C250" s="256" t="n">
        <x:f>219</x:f>
        <x:v>219</x:v>
      </x:c>
      <x:c r="D250" s="258" t="n">
        <x:f>IF(X250&lt;($E$12-$D$12)/($F$12-$D$12),$D$12+SQRT(X250*($F$12-$D$12)*($E$12-$D$12)),$F$12-SQRT((1-X250)*($F$12-$D$12)*($F$12-$E$12)))</x:f>
        <x:v>0.15586840113981706</x:v>
      </x:c>
      <x:c r="E250" s="258" t="n">
        <x:f>IF(Y250&lt;($E$13-$D$13)/($F$13-$D$13),$D$13+SQRT(Y250*($F$13-$D$13)*($E$13-$D$13)),$F$13-SQRT((1-Y250)*($F$13-$D$13)*($F$13-$E$13)))</x:f>
        <x:v>-0.0032847747715974707</x:v>
      </x:c>
      <x:c r="F250" s="260" t="n">
        <x:f>IF(Z250&lt;($E$14-$D$14)/($F$14-$D$14),$D$14+SQRT(Z250*($F$14-$D$14)*($E$14-$D$14)),$F$14-SQRT((1-Z250)*($F$14-$D$14)*($F$14-$E$14)))</x:f>
        <x:v>0.9986769370921769</x:v>
      </x:c>
      <x:c r="G250" s="258" t="n">
        <x:f>IF(AA250&lt;($E$15-$D$15)/($F$15-$D$15),$D$15+SQRT(AA250*($F$15-$D$15)*($E$15-$D$15)),$F$15-SQRT((1-AA250)*($F$15-$D$15)*($F$15-$E$15)))</x:f>
        <x:v>0.09591720292808222</x:v>
      </x:c>
      <x:c r="H250" s="258" t="n">
        <x:f>IF(AB250&lt;($E$16-$D$16)/($F$16-$D$16),$D$16+SQRT(AB250*($F$16-$D$16)*($E$16-$D$16)),$F$16-SQRT((1-AB250)*($F$16-$D$16)*($F$16-$E$16)))</x:f>
        <x:v>0.029463727334938287</x:v>
      </x:c>
      <x:c r="I250" s="262" t="n">
        <x:f>'Historical Inputs'!$N$9*(1+D250)^5</x:f>
        <x:v>684651.2134647028</x:v>
      </x:c>
      <x:c r="J250" s="262" t="n">
        <x:f>I250*(1+H250)*('Terminal Value'!$E$10+E250)*(1-'Assumptions'!$E$15)*(1-H250/'Terminal Value'!$E$12)</x:f>
        <x:v>190737.48744396152</x:v>
      </x:c>
      <x:c r="K250" s="264" t="n">
        <x:f>((SUM((('Historical Inputs'!$N$9*(1+(D250))^1)*(('Assumptions'!E37+(E250))*(1-'Assumptions'!E42-(0))+'Assumptions'!E47-'Assumptions'!E52*(F250)+'Assumptions'!E57-'Assumptions'!E62*(1)-'Assumptions'!E67-(0))+('Working Capital'!$E$6))*'DCF'!E12/(1+(G250))^'DCF'!E13,(('Historical Inputs'!$N$9*(1+(D250))^2)*(('Assumptions'!F37+(E250))*(1-'Assumptions'!F42-(0))+'Assumptions'!F47-'Assumptions'!F52*(F250)+'Assumptions'!F57-'Assumptions'!F62*(1)-'Assumptions'!F67-(0))+(('Historical Inputs'!$N$9*(1+(D250))^1)*('Assumptions'!E67+(0))))*'DCF'!F12/(1+(G250))^'DCF'!F13,(('Historical Inputs'!$N$9*(1+(D250))^3)*(('Assumptions'!G37+(E250))*(1-'Assumptions'!G42-(0))+'Assumptions'!G47-'Assumptions'!G52*(F250)+'Assumptions'!G57-'Assumptions'!G62*(1)-'Assumptions'!G67-(0))+(('Historical Inputs'!$N$9*(1+(D250))^2)*('Assumptions'!F67+(0))))*'DCF'!G12/(1+(G250))^'DCF'!G13,(('Historical Inputs'!$N$9*(1+(D250))^4)*(('Assumptions'!H37+(E250))*(1-'Assumptions'!H42-(0))+'Assumptions'!H47-'Assumptions'!H52*(F250)+'Assumptions'!H57-'Assumptions'!H62*(1)-'Assumptions'!H67-(0))+(('Historical Inputs'!$N$9*(1+(D250))^3)*('Assumptions'!G67+(0))))*'DCF'!H12/(1+(G250))^'DCF'!H13,(('Historical Inputs'!$N$9*(1+(D250))^5)*(('Assumptions'!I37+(E250))*(1-'Assumptions'!I42-(0))+'Assumptions'!I47-'Assumptions'!I52*(F250)+'Assumptions'!I57-'Assumptions'!I62*(1)-'Assumptions'!I67-(0))+(('Historical Inputs'!$N$9*(1+(D250))^4)*('Assumptions'!H67+(0))))*'DCF'!I12/(1+(G250))^'DCF'!I13)+('Historical Inputs'!$N$9*(1+(D250))^5)*(1+(H250))*('Terminal Value'!$E$10+(E250))*(1-'Assumptions'!$E$15-(0))*(1-(H250)/('Terminal Value'!$E$12))/((G250)-(H250))/(1+(G250))^'DCF'!$E$19)+'Equity Bridge'!$E$17)/'Equity Bridge'!$E$20</x:f>
        <x:v>307.6222507197828</x:v>
      </x:c>
      <x:c r="X250" s="255" t="n">
        <x:v>0.7204182086360887</x:v>
      </x:c>
      <x:c r="Y250" s="255" t="n">
        <x:v>0.43646245362807534</x:v>
      </x:c>
      <x:c r="Z250" s="255" t="n">
        <x:v>0.42104441186878294</x:v>
      </x:c>
      <x:c r="AA250" s="255" t="n">
        <x:v>0.3627721728644512</x:v>
      </x:c>
      <x:c r="AB250" s="255" t="n">
        <x:v>0.44781067535029095</x:v>
      </x:c>
    </x:row>
    <x:row r="251" ht="24" customHeight="1">
      <x:c r="C251" s="256" t="n">
        <x:f>220</x:f>
        <x:v>220</x:v>
      </x:c>
      <x:c r="D251" s="258" t="n">
        <x:f>IF(X251&lt;($E$12-$D$12)/($F$12-$D$12),$D$12+SQRT(X251*($F$12-$D$12)*($E$12-$D$12)),$F$12-SQRT((1-X251)*($F$12-$D$12)*($F$12-$E$12)))</x:f>
        <x:v>0.14246933699381364</x:v>
      </x:c>
      <x:c r="E251" s="258" t="n">
        <x:f>IF(Y251&lt;($E$13-$D$13)/($F$13-$D$13),$D$13+SQRT(Y251*($F$13-$D$13)*($E$13-$D$13)),$F$13-SQRT((1-Y251)*($F$13-$D$13)*($F$13-$E$13)))</x:f>
        <x:v>-0.028328139637953775</x:v>
      </x:c>
      <x:c r="F251" s="260" t="n">
        <x:f>IF(Z251&lt;($E$14-$D$14)/($F$14-$D$14),$D$14+SQRT(Z251*($F$14-$D$14)*($E$14-$D$14)),$F$14-SQRT((1-Z251)*($F$14-$D$14)*($F$14-$E$14)))</x:f>
        <x:v>1.0155038194513042</x:v>
      </x:c>
      <x:c r="G251" s="258" t="n">
        <x:f>IF(AA251&lt;($E$15-$D$15)/($F$15-$D$15),$D$15+SQRT(AA251*($F$15-$D$15)*($E$15-$D$15)),$F$15-SQRT((1-AA251)*($F$15-$D$15)*($F$15-$E$15)))</x:f>
        <x:v>0.11023653781004371</x:v>
      </x:c>
      <x:c r="H251" s="258" t="n">
        <x:f>IF(AB251&lt;($E$16-$D$16)/($F$16-$D$16),$D$16+SQRT(AB251*($F$16-$D$16)*($E$16-$D$16)),$F$16-SQRT((1-AB251)*($F$16-$D$16)*($F$16-$E$16)))</x:f>
        <x:v>0.03057804307405313</x:v>
      </x:c>
      <x:c r="I251" s="262" t="n">
        <x:f>'Historical Inputs'!$N$9*(1+D251)^5</x:f>
        <x:v>645877.5508701741</x:v>
      </x:c>
      <x:c r="J251" s="262" t="n">
        <x:f>I251*(1+H251)*('Terminal Value'!$E$10+E251)*(1-'Assumptions'!$E$15)*(1-H251/'Terminal Value'!$E$12)</x:f>
        <x:v>167656.51783653558</x:v>
      </x:c>
      <x:c r="K251" s="264" t="n">
        <x:f>((SUM((('Historical Inputs'!$N$9*(1+(D251))^1)*(('Assumptions'!E37+(E251))*(1-'Assumptions'!E42-(0))+'Assumptions'!E47-'Assumptions'!E52*(F251)+'Assumptions'!E57-'Assumptions'!E62*(1)-'Assumptions'!E67-(0))+('Working Capital'!$E$6))*'DCF'!E12/(1+(G251))^'DCF'!E13,(('Historical Inputs'!$N$9*(1+(D251))^2)*(('Assumptions'!F37+(E251))*(1-'Assumptions'!F42-(0))+'Assumptions'!F47-'Assumptions'!F52*(F251)+'Assumptions'!F57-'Assumptions'!F62*(1)-'Assumptions'!F67-(0))+(('Historical Inputs'!$N$9*(1+(D251))^1)*('Assumptions'!E67+(0))))*'DCF'!F12/(1+(G251))^'DCF'!F13,(('Historical Inputs'!$N$9*(1+(D251))^3)*(('Assumptions'!G37+(E251))*(1-'Assumptions'!G42-(0))+'Assumptions'!G47-'Assumptions'!G52*(F251)+'Assumptions'!G57-'Assumptions'!G62*(1)-'Assumptions'!G67-(0))+(('Historical Inputs'!$N$9*(1+(D251))^2)*('Assumptions'!F67+(0))))*'DCF'!G12/(1+(G251))^'DCF'!G13,(('Historical Inputs'!$N$9*(1+(D251))^4)*(('Assumptions'!H37+(E251))*(1-'Assumptions'!H42-(0))+'Assumptions'!H47-'Assumptions'!H52*(F251)+'Assumptions'!H57-'Assumptions'!H62*(1)-'Assumptions'!H67-(0))+(('Historical Inputs'!$N$9*(1+(D251))^3)*('Assumptions'!G67+(0))))*'DCF'!H12/(1+(G251))^'DCF'!H13,(('Historical Inputs'!$N$9*(1+(D251))^5)*(('Assumptions'!I37+(E251))*(1-'Assumptions'!I42-(0))+'Assumptions'!I47-'Assumptions'!I52*(F251)+'Assumptions'!I57-'Assumptions'!I62*(1)-'Assumptions'!I67-(0))+(('Historical Inputs'!$N$9*(1+(D251))^4)*('Assumptions'!H67+(0))))*'DCF'!I12/(1+(G251))^'DCF'!I13)+('Historical Inputs'!$N$9*(1+(D251))^5)*(1+(H251))*('Terminal Value'!$E$10+(E251))*(1-'Assumptions'!$E$15-(0))*(1-(H251)/('Terminal Value'!$E$12))/((G251)-(H251))/(1+(G251))^'DCF'!$E$19)+'Equity Bridge'!$E$17)/'Equity Bridge'!$E$20</x:f>
        <x:v>219.5790155804665</x:v>
      </x:c>
      <x:c r="X251" s="255" t="n">
        <x:v>0.48437039283411465</x:v>
      </x:c>
      <x:c r="Y251" s="255" t="n">
        <x:v>0.0939339063104061</x:v>
      </x:c>
      <x:c r="Z251" s="255" t="n">
        <x:v>0.5137308480420432</x:v>
      </x:c>
      <x:c r="AA251" s="255" t="n">
        <x:v>0.9812616949556763</x:v>
      </x:c>
      <x:c r="AB251" s="255" t="n">
        <x:v>0.5561336384280094</x:v>
      </x:c>
    </x:row>
    <x:row r="252" ht="24" customHeight="1">
      <x:c r="C252" s="256" t="n">
        <x:f>221</x:f>
        <x:v>221</x:v>
      </x:c>
      <x:c r="D252" s="258" t="n">
        <x:f>IF(X252&lt;($E$12-$D$12)/($F$12-$D$12),$D$12+SQRT(X252*($F$12-$D$12)*($E$12-$D$12)),$F$12-SQRT((1-X252)*($F$12-$D$12)*($F$12-$E$12)))</x:f>
        <x:v>0.1887505992169743</x:v>
      </x:c>
      <x:c r="E252" s="258" t="n">
        <x:f>IF(Y252&lt;($E$13-$D$13)/($F$13-$D$13),$D$13+SQRT(Y252*($F$13-$D$13)*($E$13-$D$13)),$F$13-SQRT((1-Y252)*($F$13-$D$13)*($F$13-$E$13)))</x:f>
        <x:v>-0.004161727176927026</x:v>
      </x:c>
      <x:c r="F252" s="260" t="n">
        <x:f>IF(Z252&lt;($E$14-$D$14)/($F$14-$D$14),$D$14+SQRT(Z252*($F$14-$D$14)*($E$14-$D$14)),$F$14-SQRT((1-Z252)*($F$14-$D$14)*($F$14-$E$14)))</x:f>
        <x:v>0.9948844841242208</x:v>
      </x:c>
      <x:c r="G252" s="258" t="n">
        <x:f>IF(AA252&lt;($E$15-$D$15)/($F$15-$D$15),$D$15+SQRT(AA252*($F$15-$D$15)*($E$15-$D$15)),$F$15-SQRT((1-AA252)*($F$15-$D$15)*($F$15-$E$15)))</x:f>
        <x:v>0.1068255109926779</x:v>
      </x:c>
      <x:c r="H252" s="258" t="n">
        <x:f>IF(AB252&lt;($E$16-$D$16)/($F$16-$D$16),$D$16+SQRT(AB252*($F$16-$D$16)*($E$16-$D$16)),$F$16-SQRT((1-AB252)*($F$16-$D$16)*($F$16-$E$16)))</x:f>
        <x:v>0.034176597619172286</x:v>
      </x:c>
      <x:c r="I252" s="262" t="n">
        <x:f>'Historical Inputs'!$N$9*(1+D252)^5</x:f>
        <x:v>787736.8648912883</x:v>
      </x:c>
      <x:c r="J252" s="262" t="n">
        <x:f>I252*(1+H252)*('Terminal Value'!$E$10+E252)*(1-'Assumptions'!$E$15)*(1-H252/'Terminal Value'!$E$12)</x:f>
        <x:v>213894.4285045329</x:v>
      </x:c>
      <x:c r="K252" s="264" t="n">
        <x:f>((SUM((('Historical Inputs'!$N$9*(1+(D252))^1)*(('Assumptions'!E37+(E252))*(1-'Assumptions'!E42-(0))+'Assumptions'!E47-'Assumptions'!E52*(F252)+'Assumptions'!E57-'Assumptions'!E62*(1)-'Assumptions'!E67-(0))+('Working Capital'!$E$6))*'DCF'!E12/(1+(G252))^'DCF'!E13,(('Historical Inputs'!$N$9*(1+(D252))^2)*(('Assumptions'!F37+(E252))*(1-'Assumptions'!F42-(0))+'Assumptions'!F47-'Assumptions'!F52*(F252)+'Assumptions'!F57-'Assumptions'!F62*(1)-'Assumptions'!F67-(0))+(('Historical Inputs'!$N$9*(1+(D252))^1)*('Assumptions'!E67+(0))))*'DCF'!F12/(1+(G252))^'DCF'!F13,(('Historical Inputs'!$N$9*(1+(D252))^3)*(('Assumptions'!G37+(E252))*(1-'Assumptions'!G42-(0))+'Assumptions'!G47-'Assumptions'!G52*(F252)+'Assumptions'!G57-'Assumptions'!G62*(1)-'Assumptions'!G67-(0))+(('Historical Inputs'!$N$9*(1+(D252))^2)*('Assumptions'!F67+(0))))*'DCF'!G12/(1+(G252))^'DCF'!G13,(('Historical Inputs'!$N$9*(1+(D252))^4)*(('Assumptions'!H37+(E252))*(1-'Assumptions'!H42-(0))+'Assumptions'!H47-'Assumptions'!H52*(F252)+'Assumptions'!H57-'Assumptions'!H62*(1)-'Assumptions'!H67-(0))+(('Historical Inputs'!$N$9*(1+(D252))^3)*('Assumptions'!G67+(0))))*'DCF'!H12/(1+(G252))^'DCF'!H13,(('Historical Inputs'!$N$9*(1+(D252))^5)*(('Assumptions'!I37+(E252))*(1-'Assumptions'!I42-(0))+'Assumptions'!I47-'Assumptions'!I52*(F252)+'Assumptions'!I57-'Assumptions'!I62*(1)-'Assumptions'!I67-(0))+(('Historical Inputs'!$N$9*(1+(D252))^4)*('Assumptions'!H67+(0))))*'DCF'!I12/(1+(G252))^'DCF'!I13)+('Historical Inputs'!$N$9*(1+(D252))^5)*(1+(H252))*('Terminal Value'!$E$10+(E252))*(1-'Assumptions'!$E$15-(0))*(1-(H252)/('Terminal Value'!$E$12))/((G252)-(H252))/(1+(G252))^'DCF'!$E$19)+'Equity Bridge'!$E$17)/'Equity Bridge'!$E$20</x:f>
        <x:v>306.87169943805003</x:v>
      </x:c>
      <x:c r="X252" s="255" t="n">
        <x:v>0.995938431053669</x:v>
      </x:c>
      <x:c r="Y252" s="255" t="n">
        <x:v>0.42022945108049403</x:v>
      </x:c>
      <x:c r="Z252" s="255" t="n">
        <x:v>0.39983835695126857</x:v>
      </x:c>
      <x:c r="AA252" s="255" t="n">
        <x:v>0.9113834770484003</x:v>
      </x:c>
      <x:c r="AB252" s="255" t="n">
        <x:v>0.8304399235548507</x:v>
      </x:c>
    </x:row>
    <x:row r="253" ht="24" customHeight="1">
      <x:c r="C253" s="256" t="n">
        <x:f>222</x:f>
        <x:v>222</x:v>
      </x:c>
      <x:c r="D253" s="258" t="n">
        <x:f>IF(X253&lt;($E$12-$D$12)/($F$12-$D$12),$D$12+SQRT(X253*($F$12-$D$12)*($E$12-$D$12)),$F$12-SQRT((1-X253)*($F$12-$D$12)*($F$12-$E$12)))</x:f>
        <x:v>0.11487369678380839</x:v>
      </x:c>
      <x:c r="E253" s="258" t="n">
        <x:f>IF(Y253&lt;($E$13-$D$13)/($F$13-$D$13),$D$13+SQRT(Y253*($F$13-$D$13)*($E$13-$D$13)),$F$13-SQRT((1-Y253)*($F$13-$D$13)*($F$13-$E$13)))</x:f>
        <x:v>-0.008301935484469163</x:v>
      </x:c>
      <x:c r="F253" s="260" t="n">
        <x:f>IF(Z253&lt;($E$14-$D$14)/($F$14-$D$14),$D$14+SQRT(Z253*($F$14-$D$14)*($E$14-$D$14)),$F$14-SQRT((1-Z253)*($F$14-$D$14)*($F$14-$E$14)))</x:f>
        <x:v>0.9095224167564963</x:v>
      </x:c>
      <x:c r="G253" s="258" t="n">
        <x:f>IF(AA253&lt;($E$15-$D$15)/($F$15-$D$15),$D$15+SQRT(AA253*($F$15-$D$15)*($E$15-$D$15)),$F$15-SQRT((1-AA253)*($F$15-$D$15)*($F$15-$E$15)))</x:f>
        <x:v>0.1074839535984449</x:v>
      </x:c>
      <x:c r="H253" s="258" t="n">
        <x:f>IF(AB253&lt;($E$16-$D$16)/($F$16-$D$16),$D$16+SQRT(AB253*($F$16-$D$16)*($E$16-$D$16)),$F$16-SQRT((1-AB253)*($F$16-$D$16)*($F$16-$E$16)))</x:f>
        <x:v>0.03264151833290155</x:v>
      </x:c>
      <x:c r="I253" s="262" t="n">
        <x:f>'Historical Inputs'!$N$9*(1+D253)^5</x:f>
        <x:v>571552.0309539962</x:v>
      </x:c>
      <x:c r="J253" s="262" t="n">
        <x:f>I253*(1+H253)*('Terminal Value'!$E$10+E253)*(1-'Assumptions'!$E$15)*(1-H253/'Terminal Value'!$E$12)</x:f>
        <x:v>154762.05885108875</x:v>
      </x:c>
      <x:c r="K253" s="264" t="n">
        <x:f>((SUM((('Historical Inputs'!$N$9*(1+(D253))^1)*(('Assumptions'!E37+(E253))*(1-'Assumptions'!E42-(0))+'Assumptions'!E47-'Assumptions'!E52*(F253)+'Assumptions'!E57-'Assumptions'!E62*(1)-'Assumptions'!E67-(0))+('Working Capital'!$E$6))*'DCF'!E12/(1+(G253))^'DCF'!E13,(('Historical Inputs'!$N$9*(1+(D253))^2)*(('Assumptions'!F37+(E253))*(1-'Assumptions'!F42-(0))+'Assumptions'!F47-'Assumptions'!F52*(F253)+'Assumptions'!F57-'Assumptions'!F62*(1)-'Assumptions'!F67-(0))+(('Historical Inputs'!$N$9*(1+(D253))^1)*('Assumptions'!E67+(0))))*'DCF'!F12/(1+(G253))^'DCF'!F13,(('Historical Inputs'!$N$9*(1+(D253))^3)*(('Assumptions'!G37+(E253))*(1-'Assumptions'!G42-(0))+'Assumptions'!G47-'Assumptions'!G52*(F253)+'Assumptions'!G57-'Assumptions'!G62*(1)-'Assumptions'!G67-(0))+(('Historical Inputs'!$N$9*(1+(D253))^2)*('Assumptions'!F67+(0))))*'DCF'!G12/(1+(G253))^'DCF'!G13,(('Historical Inputs'!$N$9*(1+(D253))^4)*(('Assumptions'!H37+(E253))*(1-'Assumptions'!H42-(0))+'Assumptions'!H47-'Assumptions'!H52*(F253)+'Assumptions'!H57-'Assumptions'!H62*(1)-'Assumptions'!H67-(0))+(('Historical Inputs'!$N$9*(1+(D253))^3)*('Assumptions'!G67+(0))))*'DCF'!H12/(1+(G253))^'DCF'!H13,(('Historical Inputs'!$N$9*(1+(D253))^5)*(('Assumptions'!I37+(E253))*(1-'Assumptions'!I42-(0))+'Assumptions'!I47-'Assumptions'!I52*(F253)+'Assumptions'!I57-'Assumptions'!I62*(1)-'Assumptions'!I67-(0))+(('Historical Inputs'!$N$9*(1+(D253))^4)*('Assumptions'!H67+(0))))*'DCF'!I12/(1+(G253))^'DCF'!I13)+('Historical Inputs'!$N$9*(1+(D253))^5)*(1+(H253))*('Terminal Value'!$E$10+(E253))*(1-'Assumptions'!$E$15-(0))*(1-(H253)/('Terminal Value'!$E$12))/((G253)-(H253))/(1+(G253))^'DCF'!$E$19)+'Equity Bridge'!$E$17)/'Equity Bridge'!$E$20</x:f>
        <x:v>224.659107145834</x:v>
      </x:c>
      <x:c r="X253" s="255" t="n">
        <x:v>0.09345612724581198</x:v>
      </x:c>
      <x:c r="Y253" s="255" t="n">
        <x:v>0.3477457168682744</x:v>
      </x:c>
      <x:c r="Z253" s="255" t="n">
        <x:v>0.06748415421969578</x:v>
      </x:c>
      <x:c r="AA253" s="255" t="n">
        <x:v>0.928899914472708</x:v>
      </x:c>
      <x:c r="AB253" s="255" t="n">
        <x:v>0.7292637377748797</x:v>
      </x:c>
    </x:row>
    <x:row r="254" ht="24" customHeight="1">
      <x:c r="C254" s="256" t="n">
        <x:f>223</x:f>
        <x:v>223</x:v>
      </x:c>
      <x:c r="D254" s="258" t="n">
        <x:f>IF(X254&lt;($E$12-$D$12)/($F$12-$D$12),$D$12+SQRT(X254*($F$12-$D$12)*($E$12-$D$12)),$F$12-SQRT((1-X254)*($F$12-$D$12)*($F$12-$E$12)))</x:f>
        <x:v>0.13928846560326325</x:v>
      </x:c>
      <x:c r="E254" s="258" t="n">
        <x:f>IF(Y254&lt;($E$13-$D$13)/($F$13-$D$13),$D$13+SQRT(Y254*($F$13-$D$13)*($E$13-$D$13)),$F$13-SQRT((1-Y254)*($F$13-$D$13)*($F$13-$E$13)))</x:f>
        <x:v>-0.0041048449809596085</x:v>
      </x:c>
      <x:c r="F254" s="260" t="n">
        <x:f>IF(Z254&lt;($E$14-$D$14)/($F$14-$D$14),$D$14+SQRT(Z254*($F$14-$D$14)*($E$14-$D$14)),$F$14-SQRT((1-Z254)*($F$14-$D$14)*($F$14-$E$14)))</x:f>
        <x:v>0.9292806565503763</x:v>
      </x:c>
      <x:c r="G254" s="258" t="n">
        <x:f>IF(AA254&lt;($E$15-$D$15)/($F$15-$D$15),$D$15+SQRT(AA254*($F$15-$D$15)*($E$15-$D$15)),$F$15-SQRT((1-AA254)*($F$15-$D$15)*($F$15-$E$15)))</x:f>
        <x:v>0.0993867654062611</x:v>
      </x:c>
      <x:c r="H254" s="258" t="n">
        <x:f>IF(AB254&lt;($E$16-$D$16)/($F$16-$D$16),$D$16+SQRT(AB254*($F$16-$D$16)*($E$16-$D$16)),$F$16-SQRT((1-AB254)*($F$16-$D$16)*($F$16-$E$16)))</x:f>
        <x:v>0.03218886957264845</x:v>
      </x:c>
      <x:c r="I254" s="262" t="n">
        <x:f>'Historical Inputs'!$N$9*(1+D254)^5</x:f>
        <x:v>636936.194125634</x:v>
      </x:c>
      <x:c r="J254" s="262" t="n">
        <x:f>I254*(1+H254)*('Terminal Value'!$E$10+E254)*(1-'Assumptions'!$E$15)*(1-H254/'Terminal Value'!$E$12)</x:f>
        <x:v>174709.3070967082</x:v>
      </x:c>
      <x:c r="K254" s="264" t="n">
        <x:f>((SUM((('Historical Inputs'!$N$9*(1+(D254))^1)*(('Assumptions'!E37+(E254))*(1-'Assumptions'!E42-(0))+'Assumptions'!E47-'Assumptions'!E52*(F254)+'Assumptions'!E57-'Assumptions'!E62*(1)-'Assumptions'!E67-(0))+('Working Capital'!$E$6))*'DCF'!E12/(1+(G254))^'DCF'!E13,(('Historical Inputs'!$N$9*(1+(D254))^2)*(('Assumptions'!F37+(E254))*(1-'Assumptions'!F42-(0))+'Assumptions'!F47-'Assumptions'!F52*(F254)+'Assumptions'!F57-'Assumptions'!F62*(1)-'Assumptions'!F67-(0))+(('Historical Inputs'!$N$9*(1+(D254))^1)*('Assumptions'!E67+(0))))*'DCF'!F12/(1+(G254))^'DCF'!F13,(('Historical Inputs'!$N$9*(1+(D254))^3)*(('Assumptions'!G37+(E254))*(1-'Assumptions'!G42-(0))+'Assumptions'!G47-'Assumptions'!G52*(F254)+'Assumptions'!G57-'Assumptions'!G62*(1)-'Assumptions'!G67-(0))+(('Historical Inputs'!$N$9*(1+(D254))^2)*('Assumptions'!F67+(0))))*'DCF'!G12/(1+(G254))^'DCF'!G13,(('Historical Inputs'!$N$9*(1+(D254))^4)*(('Assumptions'!H37+(E254))*(1-'Assumptions'!H42-(0))+'Assumptions'!H47-'Assumptions'!H52*(F254)+'Assumptions'!H57-'Assumptions'!H62*(1)-'Assumptions'!H67-(0))+(('Historical Inputs'!$N$9*(1+(D254))^3)*('Assumptions'!G67+(0))))*'DCF'!H12/(1+(G254))^'DCF'!H13,(('Historical Inputs'!$N$9*(1+(D254))^5)*(('Assumptions'!I37+(E254))*(1-'Assumptions'!I42-(0))+'Assumptions'!I47-'Assumptions'!I52*(F254)+'Assumptions'!I57-'Assumptions'!I62*(1)-'Assumptions'!I67-(0))+(('Historical Inputs'!$N$9*(1+(D254))^4)*('Assumptions'!H67+(0))))*'DCF'!I12/(1+(G254))^'DCF'!I13)+('Historical Inputs'!$N$9*(1+(D254))^5)*(1+(H254))*('Terminal Value'!$E$10+(E254))*(1-'Assumptions'!$E$15-(0))*(1-(H254)/('Terminal Value'!$E$12))/((G254)-(H254))/(1+(G254))^'DCF'!$E$19)+'Equity Bridge'!$E$17)/'Equity Bridge'!$E$20</x:f>
        <x:v>281.4455506509924</x:v>
      </x:c>
      <x:c r="X254" s="255" t="n">
        <x:v>0.42377876324281283</x:v>
      </x:c>
      <x:c r="Y254" s="255" t="n">
        <x:v>0.42127305084434974</x:v>
      </x:c>
      <x:c r="Z254" s="255" t="n">
        <x:v>0.11972233339159466</x:v>
      </x:c>
      <x:c r="AA254" s="255" t="n">
        <x:v>0.579640844846602</x:v>
      </x:c>
      <x:c r="AB254" s="255" t="n">
        <x:v>0.6949312072345144</x:v>
      </x:c>
    </x:row>
    <x:row r="255" ht="24" customHeight="1">
      <x:c r="C255" s="256" t="n">
        <x:f>224</x:f>
        <x:v>224</x:v>
      </x:c>
      <x:c r="D255" s="258" t="n">
        <x:f>IF(X255&lt;($E$12-$D$12)/($F$12-$D$12),$D$12+SQRT(X255*($F$12-$D$12)*($E$12-$D$12)),$F$12-SQRT((1-X255)*($F$12-$D$12)*($F$12-$E$12)))</x:f>
        <x:v>0.18128952721495947</x:v>
      </x:c>
      <x:c r="E255" s="258" t="n">
        <x:f>IF(Y255&lt;($E$13-$D$13)/($F$13-$D$13),$D$13+SQRT(Y255*($F$13-$D$13)*($E$13-$D$13)),$F$13-SQRT((1-Y255)*($F$13-$D$13)*($F$13-$E$13)))</x:f>
        <x:v>0.03178587040371886</x:v>
      </x:c>
      <x:c r="F255" s="260" t="n">
        <x:f>IF(Z255&lt;($E$14-$D$14)/($F$14-$D$14),$D$14+SQRT(Z255*($F$14-$D$14)*($E$14-$D$14)),$F$14-SQRT((1-Z255)*($F$14-$D$14)*($F$14-$E$14)))</x:f>
        <x:v>1.079303191988699</x:v>
      </x:c>
      <x:c r="G255" s="258" t="n">
        <x:f>IF(AA255&lt;($E$15-$D$15)/($F$15-$D$15),$D$15+SQRT(AA255*($F$15-$D$15)*($E$15-$D$15)),$F$15-SQRT((1-AA255)*($F$15-$D$15)*($F$15-$E$15)))</x:f>
        <x:v>0.09215212611925704</x:v>
      </x:c>
      <x:c r="H255" s="258" t="n">
        <x:f>IF(AB255&lt;($E$16-$D$16)/($F$16-$D$16),$D$16+SQRT(AB255*($F$16-$D$16)*($E$16-$D$16)),$F$16-SQRT((1-AB255)*($F$16-$D$16)*($F$16-$E$16)))</x:f>
        <x:v>0.0293877078684052</x:v>
      </x:c>
      <x:c r="I255" s="262" t="n">
        <x:f>'Historical Inputs'!$N$9*(1+D255)^5</x:f>
        <x:v>763324.4870753577</x:v>
      </x:c>
      <x:c r="J255" s="262" t="n">
        <x:f>I255*(1+H255)*('Terminal Value'!$E$10+E255)*(1-'Assumptions'!$E$15)*(1-H255/'Terminal Value'!$E$12)</x:f>
        <x:v>231540.46866541824</x:v>
      </x:c>
      <x:c r="K255" s="264" t="n">
        <x:f>((SUM((('Historical Inputs'!$N$9*(1+(D255))^1)*(('Assumptions'!E37+(E255))*(1-'Assumptions'!E42-(0))+'Assumptions'!E47-'Assumptions'!E52*(F255)+'Assumptions'!E57-'Assumptions'!E62*(1)-'Assumptions'!E67-(0))+('Working Capital'!$E$6))*'DCF'!E12/(1+(G255))^'DCF'!E13,(('Historical Inputs'!$N$9*(1+(D255))^2)*(('Assumptions'!F37+(E255))*(1-'Assumptions'!F42-(0))+'Assumptions'!F47-'Assumptions'!F52*(F255)+'Assumptions'!F57-'Assumptions'!F62*(1)-'Assumptions'!F67-(0))+(('Historical Inputs'!$N$9*(1+(D255))^1)*('Assumptions'!E67+(0))))*'DCF'!F12/(1+(G255))^'DCF'!F13,(('Historical Inputs'!$N$9*(1+(D255))^3)*(('Assumptions'!G37+(E255))*(1-'Assumptions'!G42-(0))+'Assumptions'!G47-'Assumptions'!G52*(F255)+'Assumptions'!G57-'Assumptions'!G62*(1)-'Assumptions'!G67-(0))+(('Historical Inputs'!$N$9*(1+(D255))^2)*('Assumptions'!F67+(0))))*'DCF'!G12/(1+(G255))^'DCF'!G13,(('Historical Inputs'!$N$9*(1+(D255))^4)*(('Assumptions'!H37+(E255))*(1-'Assumptions'!H42-(0))+'Assumptions'!H47-'Assumptions'!H52*(F255)+'Assumptions'!H57-'Assumptions'!H62*(1)-'Assumptions'!H67-(0))+(('Historical Inputs'!$N$9*(1+(D255))^3)*('Assumptions'!G67+(0))))*'DCF'!H12/(1+(G255))^'DCF'!H13,(('Historical Inputs'!$N$9*(1+(D255))^5)*(('Assumptions'!I37+(E255))*(1-'Assumptions'!I42-(0))+'Assumptions'!I47-'Assumptions'!I52*(F255)+'Assumptions'!I57-'Assumptions'!I62*(1)-'Assumptions'!I67-(0))+(('Historical Inputs'!$N$9*(1+(D255))^4)*('Assumptions'!H67+(0))))*'DCF'!I12/(1+(G255))^'DCF'!I13)+('Historical Inputs'!$N$9*(1+(D255))^5)*(1+(H255))*('Terminal Value'!$E$10+(E255))*(1-'Assumptions'!$E$15-(0))*(1-(H255)/('Terminal Value'!$E$12))/((G255)-(H255))/(1+(G255))^'DCF'!$E$19)+'Equity Bridge'!$E$17)/'Equity Bridge'!$E$20</x:f>
        <x:v>392.0237694998315</x:v>
      </x:c>
      <x:c r="X255" s="255" t="n">
        <x:v>0.9713558145466686</x:v>
      </x:c>
      <x:c r="Y255" s="255" t="n">
        <x:v>0.9336490966099751</x:v>
      </x:c>
      <x:c r="Z255" s="255" t="n">
        <x:v>0.7918897219411882</x:v>
      </x:c>
      <x:c r="AA255" s="255" t="n">
        <x:v>0.18047058029147311</x:v>
      </x:c>
      <x:c r="AB255" s="255" t="n">
        <x:v>0.4406452951125849</x:v>
      </x:c>
    </x:row>
    <x:row r="256" ht="24" customHeight="1">
      <x:c r="C256" s="256" t="n">
        <x:f>225</x:f>
        <x:v>225</x:v>
      </x:c>
      <x:c r="D256" s="258" t="n">
        <x:f>IF(X256&lt;($E$12-$D$12)/($F$12-$D$12),$D$12+SQRT(X256*($F$12-$D$12)*($E$12-$D$12)),$F$12-SQRT((1-X256)*($F$12-$D$12)*($F$12-$E$12)))</x:f>
        <x:v>0.12444684015387189</x:v>
      </x:c>
      <x:c r="E256" s="258" t="n">
        <x:f>IF(Y256&lt;($E$13-$D$13)/($F$13-$D$13),$D$13+SQRT(Y256*($F$13-$D$13)*($E$13-$D$13)),$F$13-SQRT((1-Y256)*($F$13-$D$13)*($F$13-$E$13)))</x:f>
        <x:v>0.00708705946210559</x:v>
      </x:c>
      <x:c r="F256" s="260" t="n">
        <x:f>IF(Z256&lt;($E$14-$D$14)/($F$14-$D$14),$D$14+SQRT(Z256*($F$14-$D$14)*($E$14-$D$14)),$F$14-SQRT((1-Z256)*($F$14-$D$14)*($F$14-$E$14)))</x:f>
        <x:v>0.9002241511502884</x:v>
      </x:c>
      <x:c r="G256" s="258" t="n">
        <x:f>IF(AA256&lt;($E$15-$D$15)/($F$15-$D$15),$D$15+SQRT(AA256*($F$15-$D$15)*($E$15-$D$15)),$F$15-SQRT((1-AA256)*($F$15-$D$15)*($F$15-$E$15)))</x:f>
        <x:v>0.09862193107007262</x:v>
      </x:c>
      <x:c r="H256" s="258" t="n">
        <x:f>IF(AB256&lt;($E$16-$D$16)/($F$16-$D$16),$D$16+SQRT(AB256*($F$16-$D$16)*($E$16-$D$16)),$F$16-SQRT((1-AB256)*($F$16-$D$16)*($F$16-$E$16)))</x:f>
        <x:v>0.03653558913957173</x:v>
      </x:c>
      <x:c r="I256" s="262" t="n">
        <x:f>'Historical Inputs'!$N$9*(1+D256)^5</x:f>
        <x:v>596515.9598456622</x:v>
      </x:c>
      <x:c r="J256" s="262" t="n">
        <x:f>I256*(1+H256)*('Terminal Value'!$E$10+E256)*(1-'Assumptions'!$E$15)*(1-H256/'Terminal Value'!$E$12)</x:f>
        <x:v>164579.89764876317</x:v>
      </x:c>
      <x:c r="K256" s="264" t="n">
        <x:f>((SUM((('Historical Inputs'!$N$9*(1+(D256))^1)*(('Assumptions'!E37+(E256))*(1-'Assumptions'!E42-(0))+'Assumptions'!E47-'Assumptions'!E52*(F256)+'Assumptions'!E57-'Assumptions'!E62*(1)-'Assumptions'!E67-(0))+('Working Capital'!$E$6))*'DCF'!E12/(1+(G256))^'DCF'!E13,(('Historical Inputs'!$N$9*(1+(D256))^2)*(('Assumptions'!F37+(E256))*(1-'Assumptions'!F42-(0))+'Assumptions'!F47-'Assumptions'!F52*(F256)+'Assumptions'!F57-'Assumptions'!F62*(1)-'Assumptions'!F67-(0))+(('Historical Inputs'!$N$9*(1+(D256))^1)*('Assumptions'!E67+(0))))*'DCF'!F12/(1+(G256))^'DCF'!F13,(('Historical Inputs'!$N$9*(1+(D256))^3)*(('Assumptions'!G37+(E256))*(1-'Assumptions'!G42-(0))+'Assumptions'!G47-'Assumptions'!G52*(F256)+'Assumptions'!G57-'Assumptions'!G62*(1)-'Assumptions'!G67-(0))+(('Historical Inputs'!$N$9*(1+(D256))^2)*('Assumptions'!F67+(0))))*'DCF'!G12/(1+(G256))^'DCF'!G13,(('Historical Inputs'!$N$9*(1+(D256))^4)*(('Assumptions'!H37+(E256))*(1-'Assumptions'!H42-(0))+'Assumptions'!H47-'Assumptions'!H52*(F256)+'Assumptions'!H57-'Assumptions'!H62*(1)-'Assumptions'!H67-(0))+(('Historical Inputs'!$N$9*(1+(D256))^3)*('Assumptions'!G67+(0))))*'DCF'!H12/(1+(G256))^'DCF'!H13,(('Historical Inputs'!$N$9*(1+(D256))^5)*(('Assumptions'!I37+(E256))*(1-'Assumptions'!I42-(0))+'Assumptions'!I47-'Assumptions'!I52*(F256)+'Assumptions'!I57-'Assumptions'!I62*(1)-'Assumptions'!I67-(0))+(('Historical Inputs'!$N$9*(1+(D256))^4)*('Assumptions'!H67+(0))))*'DCF'!I12/(1+(G256))^'DCF'!I13)+('Historical Inputs'!$N$9*(1+(D256))^5)*(1+(H256))*('Terminal Value'!$E$10+(E256))*(1-'Assumptions'!$E$15-(0))*(1-(H256)/('Terminal Value'!$E$12))/((G256)-(H256))/(1+(G256))^'DCF'!$E$19)+'Equity Bridge'!$E$17)/'Equity Bridge'!$E$20</x:f>
        <x:v>287.9168085603928</x:v>
      </x:c>
      <x:c r="X256" s="255" t="n">
        <x:v>0.19456095346441493</x:v>
      </x:c>
      <x:c r="Y256" s="255" t="n">
        <x:v>0.6316959068782276</x:v>
      </x:c>
      <x:c r="Z256" s="255" t="n">
        <x:v>0.048046959214609886</x:v>
      </x:c>
      <x:c r="AA256" s="255" t="n">
        <x:v>0.5315887813874468</x:v>
      </x:c>
      <x:c r="AB256" s="255" t="n">
        <x:v>0.9399892869507332</x:v>
      </x:c>
    </x:row>
    <x:row r="257" ht="24" customHeight="1">
      <x:c r="C257" s="256" t="n">
        <x:f>226</x:f>
        <x:v>226</x:v>
      </x:c>
      <x:c r="D257" s="258" t="n">
        <x:f>IF(X257&lt;($E$12-$D$12)/($F$12-$D$12),$D$12+SQRT(X257*($F$12-$D$12)*($E$12-$D$12)),$F$12-SQRT((1-X257)*($F$12-$D$12)*($F$12-$E$12)))</x:f>
        <x:v>0.13925240848830445</x:v>
      </x:c>
      <x:c r="E257" s="258" t="n">
        <x:f>IF(Y257&lt;($E$13-$D$13)/($F$13-$D$13),$D$13+SQRT(Y257*($F$13-$D$13)*($E$13-$D$13)),$F$13-SQRT((1-Y257)*($F$13-$D$13)*($F$13-$E$13)))</x:f>
        <x:v>0.010687794750387954</x:v>
      </x:c>
      <x:c r="F257" s="260" t="n">
        <x:f>IF(Z257&lt;($E$14-$D$14)/($F$14-$D$14),$D$14+SQRT(Z257*($F$14-$D$14)*($E$14-$D$14)),$F$14-SQRT((1-Z257)*($F$14-$D$14)*($F$14-$E$14)))</x:f>
        <x:v>0.9882561327660464</x:v>
      </x:c>
      <x:c r="G257" s="258" t="n">
        <x:f>IF(AA257&lt;($E$15-$D$15)/($F$15-$D$15),$D$15+SQRT(AA257*($F$15-$D$15)*($E$15-$D$15)),$F$15-SQRT((1-AA257)*($F$15-$D$15)*($F$15-$E$15)))</x:f>
        <x:v>0.09750994886068096</x:v>
      </x:c>
      <x:c r="H257" s="258" t="n">
        <x:f>IF(AB257&lt;($E$16-$D$16)/($F$16-$D$16),$D$16+SQRT(AB257*($F$16-$D$16)*($E$16-$D$16)),$F$16-SQRT((1-AB257)*($F$16-$D$16)*($F$16-$E$16)))</x:f>
        <x:v>0.02963340767261579</x:v>
      </x:c>
      <x:c r="I257" s="262" t="n">
        <x:f>'Historical Inputs'!$N$9*(1+D257)^5</x:f>
        <x:v>636835.4091681173</x:v>
      </x:c>
      <x:c r="J257" s="262" t="n">
        <x:f>I257*(1+H257)*('Terminal Value'!$E$10+E257)*(1-'Assumptions'!$E$15)*(1-H257/'Terminal Value'!$E$12)</x:f>
        <x:v>183512.66939067375</x:v>
      </x:c>
      <x:c r="K257" s="264" t="n">
        <x:f>((SUM((('Historical Inputs'!$N$9*(1+(D257))^1)*(('Assumptions'!E37+(E257))*(1-'Assumptions'!E42-(0))+'Assumptions'!E47-'Assumptions'!E52*(F257)+'Assumptions'!E57-'Assumptions'!E62*(1)-'Assumptions'!E67-(0))+('Working Capital'!$E$6))*'DCF'!E12/(1+(G257))^'DCF'!E13,(('Historical Inputs'!$N$9*(1+(D257))^2)*(('Assumptions'!F37+(E257))*(1-'Assumptions'!F42-(0))+'Assumptions'!F47-'Assumptions'!F52*(F257)+'Assumptions'!F57-'Assumptions'!F62*(1)-'Assumptions'!F67-(0))+(('Historical Inputs'!$N$9*(1+(D257))^1)*('Assumptions'!E67+(0))))*'DCF'!F12/(1+(G257))^'DCF'!F13,(('Historical Inputs'!$N$9*(1+(D257))^3)*(('Assumptions'!G37+(E257))*(1-'Assumptions'!G42-(0))+'Assumptions'!G47-'Assumptions'!G52*(F257)+'Assumptions'!G57-'Assumptions'!G62*(1)-'Assumptions'!G67-(0))+(('Historical Inputs'!$N$9*(1+(D257))^2)*('Assumptions'!F67+(0))))*'DCF'!G12/(1+(G257))^'DCF'!G13,(('Historical Inputs'!$N$9*(1+(D257))^4)*(('Assumptions'!H37+(E257))*(1-'Assumptions'!H42-(0))+'Assumptions'!H47-'Assumptions'!H52*(F257)+'Assumptions'!H57-'Assumptions'!H62*(1)-'Assumptions'!H67-(0))+(('Historical Inputs'!$N$9*(1+(D257))^3)*('Assumptions'!G67+(0))))*'DCF'!H12/(1+(G257))^'DCF'!H13,(('Historical Inputs'!$N$9*(1+(D257))^5)*(('Assumptions'!I37+(E257))*(1-'Assumptions'!I42-(0))+'Assumptions'!I47-'Assumptions'!I52*(F257)+'Assumptions'!I57-'Assumptions'!I62*(1)-'Assumptions'!I67-(0))+(('Historical Inputs'!$N$9*(1+(D257))^4)*('Assumptions'!H67+(0))))*'DCF'!I12/(1+(G257))^'DCF'!I13)+('Historical Inputs'!$N$9*(1+(D257))^5)*(1+(H257))*('Terminal Value'!$E$10+(E257))*(1-'Assumptions'!$E$15-(0))*(1-(H257)/('Terminal Value'!$E$12))/((G257)-(H257))/(1+(G257))^'DCF'!$E$19)+'Equity Bridge'!$E$17)/'Equity Bridge'!$E$20</x:f>
        <x:v>291.78951914815394</x:v>
      </x:c>
      <x:c r="X257" s="255" t="n">
        <x:v>0.42311511884192343</x:v>
      </x:c>
      <x:c r="Y257" s="255" t="n">
        <x:v>0.690910103682475</x:v>
      </x:c>
      <x:c r="Z257" s="255" t="n">
        <x:v>0.36409063328424107</x:v>
      </x:c>
      <x:c r="AA257" s="255" t="n">
        <x:v>0.45885514890807977</x:v>
      </x:c>
      <x:c r="AB257" s="255" t="n">
        <x:v>0.4640127169340642</x:v>
      </x:c>
    </x:row>
    <x:row r="258" ht="24" customHeight="1">
      <x:c r="C258" s="256" t="n">
        <x:f>227</x:f>
        <x:v>227</x:v>
      </x:c>
      <x:c r="D258" s="258" t="n">
        <x:f>IF(X258&lt;($E$12-$D$12)/($F$12-$D$12),$D$12+SQRT(X258*($F$12-$D$12)*($E$12-$D$12)),$F$12-SQRT((1-X258)*($F$12-$D$12)*($F$12-$E$12)))</x:f>
        <x:v>0.12146906736646668</x:v>
      </x:c>
      <x:c r="E258" s="258" t="n">
        <x:f>IF(Y258&lt;($E$13-$D$13)/($F$13-$D$13),$D$13+SQRT(Y258*($F$13-$D$13)*($E$13-$D$13)),$F$13-SQRT((1-Y258)*($F$13-$D$13)*($F$13-$E$13)))</x:f>
        <x:v>0.004669584235542555</x:v>
      </x:c>
      <x:c r="F258" s="260" t="n">
        <x:f>IF(Z258&lt;($E$14-$D$14)/($F$14-$D$14),$D$14+SQRT(Z258*($F$14-$D$14)*($E$14-$D$14)),$F$14-SQRT((1-Z258)*($F$14-$D$14)*($F$14-$E$14)))</x:f>
        <x:v>1.0225664537175674</x:v>
      </x:c>
      <x:c r="G258" s="258" t="n">
        <x:f>IF(AA258&lt;($E$15-$D$15)/($F$15-$D$15),$D$15+SQRT(AA258*($F$15-$D$15)*($E$15-$D$15)),$F$15-SQRT((1-AA258)*($F$15-$D$15)*($F$15-$E$15)))</x:f>
        <x:v>0.08652841479989044</x:v>
      </x:c>
      <x:c r="H258" s="258" t="n">
        <x:f>IF(AB258&lt;($E$16-$D$16)/($F$16-$D$16),$D$16+SQRT(AB258*($F$16-$D$16)*($E$16-$D$16)),$F$16-SQRT((1-AB258)*($F$16-$D$16)*($F$16-$E$16)))</x:f>
        <x:v>0.03092859546176861</x:v>
      </x:c>
      <x:c r="I258" s="262" t="n">
        <x:f>'Historical Inputs'!$N$9*(1+D258)^5</x:f>
        <x:v>588659.1815895021</x:v>
      </x:c>
      <x:c r="J258" s="262" t="n">
        <x:f>I258*(1+H258)*('Terminal Value'!$E$10+E258)*(1-'Assumptions'!$E$15)*(1-H258/'Terminal Value'!$E$12)</x:f>
        <x:v>166082.25137122872</x:v>
      </x:c>
      <x:c r="K258" s="264" t="n">
        <x:f>((SUM((('Historical Inputs'!$N$9*(1+(D258))^1)*(('Assumptions'!E37+(E258))*(1-'Assumptions'!E42-(0))+'Assumptions'!E47-'Assumptions'!E52*(F258)+'Assumptions'!E57-'Assumptions'!E62*(1)-'Assumptions'!E67-(0))+('Working Capital'!$E$6))*'DCF'!E12/(1+(G258))^'DCF'!E13,(('Historical Inputs'!$N$9*(1+(D258))^2)*(('Assumptions'!F37+(E258))*(1-'Assumptions'!F42-(0))+'Assumptions'!F47-'Assumptions'!F52*(F258)+'Assumptions'!F57-'Assumptions'!F62*(1)-'Assumptions'!F67-(0))+(('Historical Inputs'!$N$9*(1+(D258))^1)*('Assumptions'!E67+(0))))*'DCF'!F12/(1+(G258))^'DCF'!F13,(('Historical Inputs'!$N$9*(1+(D258))^3)*(('Assumptions'!G37+(E258))*(1-'Assumptions'!G42-(0))+'Assumptions'!G47-'Assumptions'!G52*(F258)+'Assumptions'!G57-'Assumptions'!G62*(1)-'Assumptions'!G67-(0))+(('Historical Inputs'!$N$9*(1+(D258))^2)*('Assumptions'!F67+(0))))*'DCF'!G12/(1+(G258))^'DCF'!G13,(('Historical Inputs'!$N$9*(1+(D258))^4)*(('Assumptions'!H37+(E258))*(1-'Assumptions'!H42-(0))+'Assumptions'!H47-'Assumptions'!H52*(F258)+'Assumptions'!H57-'Assumptions'!H62*(1)-'Assumptions'!H67-(0))+(('Historical Inputs'!$N$9*(1+(D258))^3)*('Assumptions'!G67+(0))))*'DCF'!H12/(1+(G258))^'DCF'!H13,(('Historical Inputs'!$N$9*(1+(D258))^5)*(('Assumptions'!I37+(E258))*(1-'Assumptions'!I42-(0))+'Assumptions'!I47-'Assumptions'!I52*(F258)+'Assumptions'!I57-'Assumptions'!I62*(1)-'Assumptions'!I67-(0))+(('Historical Inputs'!$N$9*(1+(D258))^4)*('Assumptions'!H67+(0))))*'DCF'!I12/(1+(G258))^'DCF'!I13)+('Historical Inputs'!$N$9*(1+(D258))^5)*(1+(H258))*('Terminal Value'!$E$10+(E258))*(1-'Assumptions'!$E$15-(0))*(1-(H258)/('Terminal Value'!$E$12))/((G258)-(H258))/(1+(G258))^'DCF'!$E$19)+'Equity Bridge'!$E$17)/'Equity Bridge'!$E$20</x:f>
        <x:v>323.9600422944797</x:v>
      </x:c>
      <x:c r="X258" s="255" t="n">
        <x:v>0.15918390271482574</x:v>
      </x:c>
      <x:c r="Y258" s="255" t="n">
        <x:v>0.5890306813242856</x:v>
      </x:c>
      <x:c r="Z258" s="255" t="n">
        <x:v>0.5502476664805694</x:v>
      </x:c>
      <x:c r="AA258" s="255" t="n">
        <x:v>0.025508560822520843</x:v>
      </x:c>
      <x:c r="AB258" s="255" t="n">
        <x:v>0.5885480985187747</x:v>
      </x:c>
    </x:row>
    <x:row r="259" ht="24" customHeight="1">
      <x:c r="C259" s="256" t="n">
        <x:f>228</x:f>
        <x:v>228</x:v>
      </x:c>
      <x:c r="D259" s="258" t="n">
        <x:f>IF(X259&lt;($E$12-$D$12)/($F$12-$D$12),$D$12+SQRT(X259*($F$12-$D$12)*($E$12-$D$12)),$F$12-SQRT((1-X259)*($F$12-$D$12)*($F$12-$E$12)))</x:f>
        <x:v>0.1371186441953451</x:v>
      </x:c>
      <x:c r="E259" s="258" t="n">
        <x:f>IF(Y259&lt;($E$13-$D$13)/($F$13-$D$13),$D$13+SQRT(Y259*($F$13-$D$13)*($E$13-$D$13)),$F$13-SQRT((1-Y259)*($F$13-$D$13)*($F$13-$E$13)))</x:f>
        <x:v>0.008916585863598295</x:v>
      </x:c>
      <x:c r="F259" s="260" t="n">
        <x:f>IF(Z259&lt;($E$14-$D$14)/($F$14-$D$14),$D$14+SQRT(Z259*($F$14-$D$14)*($E$14-$D$14)),$F$14-SQRT((1-Z259)*($F$14-$D$14)*($F$14-$E$14)))</x:f>
        <x:v>1.0643824236545116</x:v>
      </x:c>
      <x:c r="G259" s="258" t="n">
        <x:f>IF(AA259&lt;($E$15-$D$15)/($F$15-$D$15),$D$15+SQRT(AA259*($F$15-$D$15)*($E$15-$D$15)),$F$15-SQRT((1-AA259)*($F$15-$D$15)*($F$15-$E$15)))</x:f>
        <x:v>0.09990562832634464</x:v>
      </x:c>
      <x:c r="H259" s="258" t="n">
        <x:f>IF(AB259&lt;($E$16-$D$16)/($F$16-$D$16),$D$16+SQRT(AB259*($F$16-$D$16)*($E$16-$D$16)),$F$16-SQRT((1-AB259)*($F$16-$D$16)*($F$16-$E$16)))</x:f>
        <x:v>0.03188745907471907</x:v>
      </x:c>
      <x:c r="I259" s="262" t="n">
        <x:f>'Historical Inputs'!$N$9*(1+D259)^5</x:f>
        <x:v>630893.8986369919</x:v>
      </x:c>
      <x:c r="J259" s="262" t="n">
        <x:f>I259*(1+H259)*('Terminal Value'!$E$10+E259)*(1-'Assumptions'!$E$15)*(1-H259/'Terminal Value'!$E$12)</x:f>
        <x:v>179012.55511982137</x:v>
      </x:c>
      <x:c r="K259" s="264" t="n">
        <x:f>((SUM((('Historical Inputs'!$N$9*(1+(D259))^1)*(('Assumptions'!E37+(E259))*(1-'Assumptions'!E42-(0))+'Assumptions'!E47-'Assumptions'!E52*(F259)+'Assumptions'!E57-'Assumptions'!E62*(1)-'Assumptions'!E67-(0))+('Working Capital'!$E$6))*'DCF'!E12/(1+(G259))^'DCF'!E13,(('Historical Inputs'!$N$9*(1+(D259))^2)*(('Assumptions'!F37+(E259))*(1-'Assumptions'!F42-(0))+'Assumptions'!F47-'Assumptions'!F52*(F259)+'Assumptions'!F57-'Assumptions'!F62*(1)-'Assumptions'!F67-(0))+(('Historical Inputs'!$N$9*(1+(D259))^1)*('Assumptions'!E67+(0))))*'DCF'!F12/(1+(G259))^'DCF'!F13,(('Historical Inputs'!$N$9*(1+(D259))^3)*(('Assumptions'!G37+(E259))*(1-'Assumptions'!G42-(0))+'Assumptions'!G47-'Assumptions'!G52*(F259)+'Assumptions'!G57-'Assumptions'!G62*(1)-'Assumptions'!G67-(0))+(('Historical Inputs'!$N$9*(1+(D259))^2)*('Assumptions'!F67+(0))))*'DCF'!G12/(1+(G259))^'DCF'!G13,(('Historical Inputs'!$N$9*(1+(D259))^4)*(('Assumptions'!H37+(E259))*(1-'Assumptions'!H42-(0))+'Assumptions'!H47-'Assumptions'!H52*(F259)+'Assumptions'!H57-'Assumptions'!H62*(1)-'Assumptions'!H67-(0))+(('Historical Inputs'!$N$9*(1+(D259))^3)*('Assumptions'!G67+(0))))*'DCF'!H12/(1+(G259))^'DCF'!H13,(('Historical Inputs'!$N$9*(1+(D259))^5)*(('Assumptions'!I37+(E259))*(1-'Assumptions'!I42-(0))+'Assumptions'!I47-'Assumptions'!I52*(F259)+'Assumptions'!I57-'Assumptions'!I62*(1)-'Assumptions'!I67-(0))+(('Historical Inputs'!$N$9*(1+(D259))^4)*('Assumptions'!H67+(0))))*'DCF'!I12/(1+(G259))^'DCF'!I13)+('Historical Inputs'!$N$9*(1+(D259))^5)*(1+(H259))*('Terminal Value'!$E$10+(E259))*(1-'Assumptions'!$E$15-(0))*(1-(H259)/('Terminal Value'!$E$12))/((G259)-(H259))/(1+(G259))^'DCF'!$E$19)+'Equity Bridge'!$E$17)/'Equity Bridge'!$E$20</x:f>
        <x:v>277.39715185930896</x:v>
      </x:c>
      <x:c r="X259" s="255" t="n">
        <x:v>0.3847683833732005</x:v>
      </x:c>
      <x:c r="Y259" s="255" t="n">
        <x:v>0.6624306165793817</x:v>
      </x:c>
      <x:c r="Z259" s="255" t="n">
        <x:v>0.7372553283739375</x:v>
      </x:c>
      <x:c r="AA259" s="255" t="n">
        <x:v>0.6107591813283924</x:v>
      </x:c>
      <x:c r="AB259" s="255" t="n">
        <x:v>0.6709333986782106</x:v>
      </x:c>
    </x:row>
    <x:row r="260" ht="24" customHeight="1">
      <x:c r="C260" s="256" t="n">
        <x:f>229</x:f>
        <x:v>229</x:v>
      </x:c>
      <x:c r="D260" s="258" t="n">
        <x:f>IF(X260&lt;($E$12-$D$12)/($F$12-$D$12),$D$12+SQRT(X260*($F$12-$D$12)*($E$12-$D$12)),$F$12-SQRT((1-X260)*($F$12-$D$12)*($F$12-$E$12)))</x:f>
        <x:v>0.15834233082814106</x:v>
      </x:c>
      <x:c r="E260" s="258" t="n">
        <x:f>IF(Y260&lt;($E$13-$D$13)/($F$13-$D$13),$D$13+SQRT(Y260*($F$13-$D$13)*($E$13-$D$13)),$F$13-SQRT((1-Y260)*($F$13-$D$13)*($F$13-$E$13)))</x:f>
        <x:v>0.02393851572196554</x:v>
      </x:c>
      <x:c r="F260" s="260" t="n">
        <x:f>IF(Z260&lt;($E$14-$D$14)/($F$14-$D$14),$D$14+SQRT(Z260*($F$14-$D$14)*($E$14-$D$14)),$F$14-SQRT((1-Z260)*($F$14-$D$14)*($F$14-$E$14)))</x:f>
        <x:v>1.023052271428252</x:v>
      </x:c>
      <x:c r="G260" s="258" t="n">
        <x:f>IF(AA260&lt;($E$15-$D$15)/($F$15-$D$15),$D$15+SQRT(AA260*($F$15-$D$15)*($E$15-$D$15)),$F$15-SQRT((1-AA260)*($F$15-$D$15)*($F$15-$E$15)))</x:f>
        <x:v>0.09071632817471192</x:v>
      </x:c>
      <x:c r="H260" s="258" t="n">
        <x:f>IF(AB260&lt;($E$16-$D$16)/($F$16-$D$16),$D$16+SQRT(AB260*($F$16-$D$16)*($E$16-$D$16)),$F$16-SQRT((1-AB260)*($F$16-$D$16)*($F$16-$E$16)))</x:f>
        <x:v>0.029655930206701146</x:v>
      </x:c>
      <x:c r="I260" s="262" t="n">
        <x:f>'Historical Inputs'!$N$9*(1+D260)^5</x:f>
        <x:v>692009.5120329914</x:v>
      </x:c>
      <x:c r="J260" s="262" t="n">
        <x:f>I260*(1+H260)*('Terminal Value'!$E$10+E260)*(1-'Assumptions'!$E$15)*(1-H260/'Terminal Value'!$E$12)</x:f>
        <x:v>205823.08079985337</x:v>
      </x:c>
      <x:c r="K260" s="264" t="n">
        <x:f>((SUM((('Historical Inputs'!$N$9*(1+(D260))^1)*(('Assumptions'!E37+(E260))*(1-'Assumptions'!E42-(0))+'Assumptions'!E47-'Assumptions'!E52*(F260)+'Assumptions'!E57-'Assumptions'!E62*(1)-'Assumptions'!E67-(0))+('Working Capital'!$E$6))*'DCF'!E12/(1+(G260))^'DCF'!E13,(('Historical Inputs'!$N$9*(1+(D260))^2)*(('Assumptions'!F37+(E260))*(1-'Assumptions'!F42-(0))+'Assumptions'!F47-'Assumptions'!F52*(F260)+'Assumptions'!F57-'Assumptions'!F62*(1)-'Assumptions'!F67-(0))+(('Historical Inputs'!$N$9*(1+(D260))^1)*('Assumptions'!E67+(0))))*'DCF'!F12/(1+(G260))^'DCF'!F13,(('Historical Inputs'!$N$9*(1+(D260))^3)*(('Assumptions'!G37+(E260))*(1-'Assumptions'!G42-(0))+'Assumptions'!G47-'Assumptions'!G52*(F260)+'Assumptions'!G57-'Assumptions'!G62*(1)-'Assumptions'!G67-(0))+(('Historical Inputs'!$N$9*(1+(D260))^2)*('Assumptions'!F67+(0))))*'DCF'!G12/(1+(G260))^'DCF'!G13,(('Historical Inputs'!$N$9*(1+(D260))^4)*(('Assumptions'!H37+(E260))*(1-'Assumptions'!H42-(0))+'Assumptions'!H47-'Assumptions'!H52*(F260)+'Assumptions'!H57-'Assumptions'!H62*(1)-'Assumptions'!H67-(0))+(('Historical Inputs'!$N$9*(1+(D260))^3)*('Assumptions'!G67+(0))))*'DCF'!H12/(1+(G260))^'DCF'!H13,(('Historical Inputs'!$N$9*(1+(D260))^5)*(('Assumptions'!I37+(E260))*(1-'Assumptions'!I42-(0))+'Assumptions'!I47-'Assumptions'!I52*(F260)+'Assumptions'!I57-'Assumptions'!I62*(1)-'Assumptions'!I67-(0))+(('Historical Inputs'!$N$9*(1+(D260))^4)*('Assumptions'!H67+(0))))*'DCF'!I12/(1+(G260))^'DCF'!I13)+('Historical Inputs'!$N$9*(1+(D260))^5)*(1+(H260))*('Terminal Value'!$E$10+(E260))*(1-'Assumptions'!$E$15-(0))*(1-(H260)/('Terminal Value'!$E$12))/((G260)-(H260))/(1+(G260))^'DCF'!$E$19)+'Equity Bridge'!$E$17)/'Equity Bridge'!$E$20</x:f>
        <x:v>363.4363452108419</x:v>
      </x:c>
      <x:c r="X260" s="255" t="n">
        <x:v>0.7561928705040043</x:v>
      </x:c>
      <x:c r="Y260" s="255" t="n">
        <x:v>0.8641598074451525</x:v>
      </x:c>
      <x:c r="Z260" s="255" t="n">
        <x:v>0.5527071621899851</x:v>
      </x:c>
      <x:c r="AA260" s="255" t="n">
        <x:v>0.1275447844606551</x:v>
      </x:c>
      <x:c r="AB260" s="255" t="n">
        <x:v>0.46618494078341843</x:v>
      </x:c>
    </x:row>
    <x:row r="261" ht="24" customHeight="1">
      <x:c r="C261" s="256" t="n">
        <x:f>230</x:f>
        <x:v>230</x:v>
      </x:c>
      <x:c r="D261" s="258" t="n">
        <x:f>IF(X261&lt;($E$12-$D$12)/($F$12-$D$12),$D$12+SQRT(X261*($F$12-$D$12)*($E$12-$D$12)),$F$12-SQRT((1-X261)*($F$12-$D$12)*($F$12-$E$12)))</x:f>
        <x:v>0.16017600580871208</x:v>
      </x:c>
      <x:c r="E261" s="258" t="n">
        <x:f>IF(Y261&lt;($E$13-$D$13)/($F$13-$D$13),$D$13+SQRT(Y261*($F$13-$D$13)*($E$13-$D$13)),$F$13-SQRT((1-Y261)*($F$13-$D$13)*($F$13-$E$13)))</x:f>
        <x:v>-0.006296442527420336</x:v>
      </x:c>
      <x:c r="F261" s="260" t="n">
        <x:f>IF(Z261&lt;($E$14-$D$14)/($F$14-$D$14),$D$14+SQRT(Z261*($F$14-$D$14)*($E$14-$D$14)),$F$14-SQRT((1-Z261)*($F$14-$D$14)*($F$14-$E$14)))</x:f>
        <x:v>0.9297395637153374</x:v>
      </x:c>
      <x:c r="G261" s="258" t="n">
        <x:f>IF(AA261&lt;($E$15-$D$15)/($F$15-$D$15),$D$15+SQRT(AA261*($F$15-$D$15)*($E$15-$D$15)),$F$15-SQRT((1-AA261)*($F$15-$D$15)*($F$15-$E$15)))</x:f>
        <x:v>0.09964007492369403</x:v>
      </x:c>
      <x:c r="H261" s="258" t="n">
        <x:f>IF(AB261&lt;($E$16-$D$16)/($F$16-$D$16),$D$16+SQRT(AB261*($F$16-$D$16)*($E$16-$D$16)),$F$16-SQRT((1-AB261)*($F$16-$D$16)*($F$16-$E$16)))</x:f>
        <x:v>0.030260778235207536</x:v>
      </x:c>
      <x:c r="I261" s="262" t="n">
        <x:f>'Historical Inputs'!$N$9*(1+D261)^5</x:f>
        <x:v>697504.1931110527</x:v>
      </x:c>
      <x:c r="J261" s="262" t="n">
        <x:f>I261*(1+H261)*('Terminal Value'!$E$10+E261)*(1-'Assumptions'!$E$15)*(1-H261/'Terminal Value'!$E$12)</x:f>
        <x:v>192090.34053434717</x:v>
      </x:c>
      <x:c r="K261" s="264" t="n">
        <x:f>((SUM((('Historical Inputs'!$N$9*(1+(D261))^1)*(('Assumptions'!E37+(E261))*(1-'Assumptions'!E42-(0))+'Assumptions'!E47-'Assumptions'!E52*(F261)+'Assumptions'!E57-'Assumptions'!E62*(1)-'Assumptions'!E67-(0))+('Working Capital'!$E$6))*'DCF'!E12/(1+(G261))^'DCF'!E13,(('Historical Inputs'!$N$9*(1+(D261))^2)*(('Assumptions'!F37+(E261))*(1-'Assumptions'!F42-(0))+'Assumptions'!F47-'Assumptions'!F52*(F261)+'Assumptions'!F57-'Assumptions'!F62*(1)-'Assumptions'!F67-(0))+(('Historical Inputs'!$N$9*(1+(D261))^1)*('Assumptions'!E67+(0))))*'DCF'!F12/(1+(G261))^'DCF'!F13,(('Historical Inputs'!$N$9*(1+(D261))^3)*(('Assumptions'!G37+(E261))*(1-'Assumptions'!G42-(0))+'Assumptions'!G47-'Assumptions'!G52*(F261)+'Assumptions'!G57-'Assumptions'!G62*(1)-'Assumptions'!G67-(0))+(('Historical Inputs'!$N$9*(1+(D261))^2)*('Assumptions'!F67+(0))))*'DCF'!G12/(1+(G261))^'DCF'!G13,(('Historical Inputs'!$N$9*(1+(D261))^4)*(('Assumptions'!H37+(E261))*(1-'Assumptions'!H42-(0))+'Assumptions'!H47-'Assumptions'!H52*(F261)+'Assumptions'!H57-'Assumptions'!H62*(1)-'Assumptions'!H67-(0))+(('Historical Inputs'!$N$9*(1+(D261))^3)*('Assumptions'!G67+(0))))*'DCF'!H12/(1+(G261))^'DCF'!H13,(('Historical Inputs'!$N$9*(1+(D261))^5)*(('Assumptions'!I37+(E261))*(1-'Assumptions'!I42-(0))+'Assumptions'!I47-'Assumptions'!I52*(F261)+'Assumptions'!I57-'Assumptions'!I62*(1)-'Assumptions'!I67-(0))+(('Historical Inputs'!$N$9*(1+(D261))^4)*('Assumptions'!H67+(0))))*'DCF'!I12/(1+(G261))^'DCF'!I13)+('Historical Inputs'!$N$9*(1+(D261))^5)*(1+(H261))*('Terminal Value'!$E$10+(E261))*(1-'Assumptions'!$E$15-(0))*(1-(H261)/('Terminal Value'!$E$12))/((G261)-(H261))/(1+(G261))^'DCF'!$E$19)+'Equity Bridge'!$E$17)/'Equity Bridge'!$E$20</x:f>
        <x:v>299.08774026686916</x:v>
      </x:c>
      <x:c r="X261" s="255" t="n">
        <x:v>0.781129275852029</x:v>
      </x:c>
      <x:c r="Y261" s="255" t="n">
        <x:v>0.3820001871518147</x:v>
      </x:c>
      <x:c r="Z261" s="255" t="n">
        <x:v>0.12111234326690201</x:v>
      </x:c>
      <x:c r="AA261" s="255" t="n">
        <x:v>0.594982337767503</x:v>
      </x:c>
      <x:c r="AB261" s="255" t="n">
        <x:v>0.5257377970809638</x:v>
      </x:c>
    </x:row>
    <x:row r="262" ht="24" customHeight="1">
      <x:c r="C262" s="256" t="n">
        <x:f>231</x:f>
        <x:v>231</x:v>
      </x:c>
      <x:c r="D262" s="258" t="n">
        <x:f>IF(X262&lt;($E$12-$D$12)/($F$12-$D$12),$D$12+SQRT(X262*($F$12-$D$12)*($E$12-$D$12)),$F$12-SQRT((1-X262)*($F$12-$D$12)*($F$12-$E$12)))</x:f>
        <x:v>0.14987560350225193</x:v>
      </x:c>
      <x:c r="E262" s="258" t="n">
        <x:f>IF(Y262&lt;($E$13-$D$13)/($F$13-$D$13),$D$13+SQRT(Y262*($F$13-$D$13)*($E$13-$D$13)),$F$13-SQRT((1-Y262)*($F$13-$D$13)*($F$13-$E$13)))</x:f>
        <x:v>-0.02458023343662336</x:v>
      </x:c>
      <x:c r="F262" s="260" t="n">
        <x:f>IF(Z262&lt;($E$14-$D$14)/($F$14-$D$14),$D$14+SQRT(Z262*($F$14-$D$14)*($E$14-$D$14)),$F$14-SQRT((1-Z262)*($F$14-$D$14)*($F$14-$E$14)))</x:f>
        <x:v>1.07866979673688</x:v>
      </x:c>
      <x:c r="G262" s="258" t="n">
        <x:f>IF(AA262&lt;($E$15-$D$15)/($F$15-$D$15),$D$15+SQRT(AA262*($F$15-$D$15)*($E$15-$D$15)),$F$15-SQRT((1-AA262)*($F$15-$D$15)*($F$15-$E$15)))</x:f>
        <x:v>0.09770943466707187</x:v>
      </x:c>
      <x:c r="H262" s="258" t="n">
        <x:f>IF(AB262&lt;($E$16-$D$16)/($F$16-$D$16),$D$16+SQRT(AB262*($F$16-$D$16)*($E$16-$D$16)),$F$16-SQRT((1-AB262)*($F$16-$D$16)*($F$16-$E$16)))</x:f>
        <x:v>0.03558749865709415</x:v>
      </x:c>
      <x:c r="I262" s="262" t="n">
        <x:f>'Historical Inputs'!$N$9*(1+D262)^5</x:f>
        <x:v>667085.8443575545</x:v>
      </x:c>
      <x:c r="J262" s="262" t="n">
        <x:f>I262*(1+H262)*('Terminal Value'!$E$10+E262)*(1-'Assumptions'!$E$15)*(1-H262/'Terminal Value'!$E$12)</x:f>
        <x:v>170561.29602649016</x:v>
      </x:c>
      <x:c r="K262" s="264" t="n">
        <x:f>((SUM((('Historical Inputs'!$N$9*(1+(D262))^1)*(('Assumptions'!E37+(E262))*(1-'Assumptions'!E42-(0))+'Assumptions'!E47-'Assumptions'!E52*(F262)+'Assumptions'!E57-'Assumptions'!E62*(1)-'Assumptions'!E67-(0))+('Working Capital'!$E$6))*'DCF'!E12/(1+(G262))^'DCF'!E13,(('Historical Inputs'!$N$9*(1+(D262))^2)*(('Assumptions'!F37+(E262))*(1-'Assumptions'!F42-(0))+'Assumptions'!F47-'Assumptions'!F52*(F262)+'Assumptions'!F57-'Assumptions'!F62*(1)-'Assumptions'!F67-(0))+(('Historical Inputs'!$N$9*(1+(D262))^1)*('Assumptions'!E67+(0))))*'DCF'!F12/(1+(G262))^'DCF'!F13,(('Historical Inputs'!$N$9*(1+(D262))^3)*(('Assumptions'!G37+(E262))*(1-'Assumptions'!G42-(0))+'Assumptions'!G47-'Assumptions'!G52*(F262)+'Assumptions'!G57-'Assumptions'!G62*(1)-'Assumptions'!G67-(0))+(('Historical Inputs'!$N$9*(1+(D262))^2)*('Assumptions'!F67+(0))))*'DCF'!G12/(1+(G262))^'DCF'!G13,(('Historical Inputs'!$N$9*(1+(D262))^4)*(('Assumptions'!H37+(E262))*(1-'Assumptions'!H42-(0))+'Assumptions'!H47-'Assumptions'!H52*(F262)+'Assumptions'!H57-'Assumptions'!H62*(1)-'Assumptions'!H67-(0))+(('Historical Inputs'!$N$9*(1+(D262))^3)*('Assumptions'!G67+(0))))*'DCF'!H12/(1+(G262))^'DCF'!H13,(('Historical Inputs'!$N$9*(1+(D262))^5)*(('Assumptions'!I37+(E262))*(1-'Assumptions'!I42-(0))+'Assumptions'!I47-'Assumptions'!I52*(F262)+'Assumptions'!I57-'Assumptions'!I62*(1)-'Assumptions'!I67-(0))+(('Historical Inputs'!$N$9*(1+(D262))^4)*('Assumptions'!H67+(0))))*'DCF'!I12/(1+(G262))^'DCF'!I13)+('Historical Inputs'!$N$9*(1+(D262))^5)*(1+(H262))*('Terminal Value'!$E$10+(E262))*(1-'Assumptions'!$E$15-(0))*(1-(H262)/('Terminal Value'!$E$12))/((G262)-(H262))/(1+(G262))^'DCF'!$E$19)+'Equity Bridge'!$E$17)/'Equity Bridge'!$E$20</x:f>
        <x:v>283.9372391883974</x:v>
      </x:c>
      <x:c r="X262" s="255" t="n">
        <x:v>0.6236105088429995</x:v>
      </x:c>
      <x:c r="Y262" s="255" t="n">
        <x:v>0.12923290642731222</x:v>
      </x:c>
      <x:c r="Z262" s="255" t="n">
        <x:v>0.7896997396589994</x:v>
      </x:c>
      <x:c r="AA262" s="255" t="n">
        <x:v>0.4716837020699758</x:v>
      </x:c>
      <x:c r="AB262" s="255" t="n">
        <x:v>0.9026491594942704</x:v>
      </x:c>
    </x:row>
    <x:row r="263" ht="24" customHeight="1">
      <x:c r="C263" s="256" t="n">
        <x:f>232</x:f>
        <x:v>232</x:v>
      </x:c>
      <x:c r="D263" s="258" t="n">
        <x:f>IF(X263&lt;($E$12-$D$12)/($F$12-$D$12),$D$12+SQRT(X263*($F$12-$D$12)*($E$12-$D$12)),$F$12-SQRT((1-X263)*($F$12-$D$12)*($F$12-$E$12)))</x:f>
        <x:v>0.11819271705515685</x:v>
      </x:c>
      <x:c r="E263" s="258" t="n">
        <x:f>IF(Y263&lt;($E$13-$D$13)/($F$13-$D$13),$D$13+SQRT(Y263*($F$13-$D$13)*($E$13-$D$13)),$F$13-SQRT((1-Y263)*($F$13-$D$13)*($F$13-$E$13)))</x:f>
        <x:v>0.038112316997831304</x:v>
      </x:c>
      <x:c r="F263" s="260" t="n">
        <x:f>IF(Z263&lt;($E$14-$D$14)/($F$14-$D$14),$D$14+SQRT(Z263*($F$14-$D$14)*($E$14-$D$14)),$F$14-SQRT((1-Z263)*($F$14-$D$14)*($F$14-$E$14)))</x:f>
        <x:v>1.0039710797854413</x:v>
      </x:c>
      <x:c r="G263" s="258" t="n">
        <x:f>IF(AA263&lt;($E$15-$D$15)/($F$15-$D$15),$D$15+SQRT(AA263*($F$15-$D$15)*($E$15-$D$15)),$F$15-SQRT((1-AA263)*($F$15-$D$15)*($F$15-$E$15)))</x:f>
        <x:v>0.10354096609829627</x:v>
      </x:c>
      <x:c r="H263" s="258" t="n">
        <x:f>IF(AB263&lt;($E$16-$D$16)/($F$16-$D$16),$D$16+SQRT(AB263*($F$16-$D$16)*($E$16-$D$16)),$F$16-SQRT((1-AB263)*($F$16-$D$16)*($F$16-$E$16)))</x:f>
        <x:v>0.034275414281385454</x:v>
      </x:c>
      <x:c r="I263" s="262" t="n">
        <x:f>'Historical Inputs'!$N$9*(1+D263)^5</x:f>
        <x:v>580110.4949892272</x:v>
      </x:c>
      <x:c r="J263" s="262" t="n">
        <x:f>I263*(1+H263)*('Terminal Value'!$E$10+E263)*(1-'Assumptions'!$E$15)*(1-H263/'Terminal Value'!$E$12)</x:f>
        <x:v>174252.62135927935</x:v>
      </x:c>
      <x:c r="K263" s="264" t="n">
        <x:f>((SUM((('Historical Inputs'!$N$9*(1+(D263))^1)*(('Assumptions'!E37+(E263))*(1-'Assumptions'!E42-(0))+'Assumptions'!E47-'Assumptions'!E52*(F263)+'Assumptions'!E57-'Assumptions'!E62*(1)-'Assumptions'!E67-(0))+('Working Capital'!$E$6))*'DCF'!E12/(1+(G263))^'DCF'!E13,(('Historical Inputs'!$N$9*(1+(D263))^2)*(('Assumptions'!F37+(E263))*(1-'Assumptions'!F42-(0))+'Assumptions'!F47-'Assumptions'!F52*(F263)+'Assumptions'!F57-'Assumptions'!F62*(1)-'Assumptions'!F67-(0))+(('Historical Inputs'!$N$9*(1+(D263))^1)*('Assumptions'!E67+(0))))*'DCF'!F12/(1+(G263))^'DCF'!F13,(('Historical Inputs'!$N$9*(1+(D263))^3)*(('Assumptions'!G37+(E263))*(1-'Assumptions'!G42-(0))+'Assumptions'!G47-'Assumptions'!G52*(F263)+'Assumptions'!G57-'Assumptions'!G62*(1)-'Assumptions'!G67-(0))+(('Historical Inputs'!$N$9*(1+(D263))^2)*('Assumptions'!F67+(0))))*'DCF'!G12/(1+(G263))^'DCF'!G13,(('Historical Inputs'!$N$9*(1+(D263))^4)*(('Assumptions'!H37+(E263))*(1-'Assumptions'!H42-(0))+'Assumptions'!H47-'Assumptions'!H52*(F263)+'Assumptions'!H57-'Assumptions'!H62*(1)-'Assumptions'!H67-(0))+(('Historical Inputs'!$N$9*(1+(D263))^3)*('Assumptions'!G67+(0))))*'DCF'!H12/(1+(G263))^'DCF'!H13,(('Historical Inputs'!$N$9*(1+(D263))^5)*(('Assumptions'!I37+(E263))*(1-'Assumptions'!I42-(0))+'Assumptions'!I47-'Assumptions'!I52*(F263)+'Assumptions'!I57-'Assumptions'!I62*(1)-'Assumptions'!I67-(0))+(('Historical Inputs'!$N$9*(1+(D263))^4)*('Assumptions'!H67+(0))))*'DCF'!I12/(1+(G263))^'DCF'!I13)+('Historical Inputs'!$N$9*(1+(D263))^5)*(1+(H263))*('Terminal Value'!$E$10+(E263))*(1-'Assumptions'!$E$15-(0))*(1-(H263)/('Terminal Value'!$E$12))/((G263)-(H263))/(1+(G263))^'DCF'!$E$19)+'Equity Bridge'!$E$17)/'Equity Bridge'!$E$20</x:f>
        <x:v>269.628029129931</x:v>
      </x:c>
      <x:c r="X263" s="255" t="n">
        <x:v>0.12435777931170688</x:v>
      </x:c>
      <x:c r="Y263" s="255" t="n">
        <x:v>0.9717365985679899</x:v>
      </x:c>
      <x:c r="Z263" s="255" t="n">
        <x:v>0.45103803485020266</x:v>
      </x:c>
      <x:c r="AA263" s="255" t="n">
        <x:v>0.7952254629853429</x:v>
      </x:c>
      <x:c r="AB263" s="255" t="n">
        <x:v>0.8361455917511721</x:v>
      </x:c>
    </x:row>
    <x:row r="264" ht="24" customHeight="1">
      <x:c r="C264" s="256" t="n">
        <x:f>233</x:f>
        <x:v>233</x:v>
      </x:c>
      <x:c r="D264" s="258" t="n">
        <x:f>IF(X264&lt;($E$12-$D$12)/($F$12-$D$12),$D$12+SQRT(X264*($F$12-$D$12)*($E$12-$D$12)),$F$12-SQRT((1-X264)*($F$12-$D$12)*($F$12-$E$12)))</x:f>
        <x:v>0.14761385775054583</x:v>
      </x:c>
      <x:c r="E264" s="258" t="n">
        <x:f>IF(Y264&lt;($E$13-$D$13)/($F$13-$D$13),$D$13+SQRT(Y264*($F$13-$D$13)*($E$13-$D$13)),$F$13-SQRT((1-Y264)*($F$13-$D$13)*($F$13-$E$13)))</x:f>
        <x:v>-0.0322626303242009</x:v>
      </x:c>
      <x:c r="F264" s="260" t="n">
        <x:f>IF(Z264&lt;($E$14-$D$14)/($F$14-$D$14),$D$14+SQRT(Z264*($F$14-$D$14)*($E$14-$D$14)),$F$14-SQRT((1-Z264)*($F$14-$D$14)*($F$14-$E$14)))</x:f>
        <x:v>1.1419805791868975</x:v>
      </x:c>
      <x:c r="G264" s="258" t="n">
        <x:f>IF(AA264&lt;($E$15-$D$15)/($F$15-$D$15),$D$15+SQRT(AA264*($F$15-$D$15)*($E$15-$D$15)),$F$15-SQRT((1-AA264)*($F$15-$D$15)*($F$15-$E$15)))</x:f>
        <x:v>0.11013165289298554</x:v>
      </x:c>
      <x:c r="H264" s="258" t="n">
        <x:f>IF(AB264&lt;($E$16-$D$16)/($F$16-$D$16),$D$16+SQRT(AB264*($F$16-$D$16)*($E$16-$D$16)),$F$16-SQRT((1-AB264)*($F$16-$D$16)*($F$16-$E$16)))</x:f>
        <x:v>0.024141599824548245</x:v>
      </x:c>
      <x:c r="I264" s="262" t="n">
        <x:f>'Historical Inputs'!$N$9*(1+D264)^5</x:f>
        <x:v>660550.9859154073</x:v>
      </x:c>
      <x:c r="J264" s="262" t="n">
        <x:f>I264*(1+H264)*('Terminal Value'!$E$10+E264)*(1-'Assumptions'!$E$15)*(1-H264/'Terminal Value'!$E$12)</x:f>
        <x:v>174995.63941241108</x:v>
      </x:c>
      <x:c r="K264" s="264" t="n">
        <x:f>((SUM((('Historical Inputs'!$N$9*(1+(D264))^1)*(('Assumptions'!E37+(E264))*(1-'Assumptions'!E42-(0))+'Assumptions'!E47-'Assumptions'!E52*(F264)+'Assumptions'!E57-'Assumptions'!E62*(1)-'Assumptions'!E67-(0))+('Working Capital'!$E$6))*'DCF'!E12/(1+(G264))^'DCF'!E13,(('Historical Inputs'!$N$9*(1+(D264))^2)*(('Assumptions'!F37+(E264))*(1-'Assumptions'!F42-(0))+'Assumptions'!F47-'Assumptions'!F52*(F264)+'Assumptions'!F57-'Assumptions'!F62*(1)-'Assumptions'!F67-(0))+(('Historical Inputs'!$N$9*(1+(D264))^1)*('Assumptions'!E67+(0))))*'DCF'!F12/(1+(G264))^'DCF'!F13,(('Historical Inputs'!$N$9*(1+(D264))^3)*(('Assumptions'!G37+(E264))*(1-'Assumptions'!G42-(0))+'Assumptions'!G47-'Assumptions'!G52*(F264)+'Assumptions'!G57-'Assumptions'!G62*(1)-'Assumptions'!G67-(0))+(('Historical Inputs'!$N$9*(1+(D264))^2)*('Assumptions'!F67+(0))))*'DCF'!G12/(1+(G264))^'DCF'!G13,(('Historical Inputs'!$N$9*(1+(D264))^4)*(('Assumptions'!H37+(E264))*(1-'Assumptions'!H42-(0))+'Assumptions'!H47-'Assumptions'!H52*(F264)+'Assumptions'!H57-'Assumptions'!H62*(1)-'Assumptions'!H67-(0))+(('Historical Inputs'!$N$9*(1+(D264))^3)*('Assumptions'!G67+(0))))*'DCF'!H12/(1+(G264))^'DCF'!H13,(('Historical Inputs'!$N$9*(1+(D264))^5)*(('Assumptions'!I37+(E264))*(1-'Assumptions'!I42-(0))+'Assumptions'!I47-'Assumptions'!I52*(F264)+'Assumptions'!I57-'Assumptions'!I62*(1)-'Assumptions'!I67-(0))+(('Historical Inputs'!$N$9*(1+(D264))^4)*('Assumptions'!H67+(0))))*'DCF'!I12/(1+(G264))^'DCF'!I13)+('Historical Inputs'!$N$9*(1+(D264))^5)*(1+(H264))*('Terminal Value'!$E$10+(E264))*(1-'Assumptions'!$E$15-(0))*(1-(H264)/('Terminal Value'!$E$12))/((G264)-(H264))/(1+(G264))^'DCF'!$E$19)+'Equity Bridge'!$E$17)/'Equity Bridge'!$E$20</x:f>
        <x:v>206.02454545106468</x:v>
      </x:c>
      <x:c r="X264" s="255" t="n">
        <x:v>0.5833403146351869</x:v>
      </x:c>
      <x:c r="Y264" s="255" t="n">
        <x:v>0.06292285660319152</x:v>
      </x:c>
      <x:c r="Z264" s="255" t="n">
        <x:v>0.9519106686930304</x:v>
      </x:c>
      <x:c r="AA264" s="255" t="n">
        <x:v>0.9798836125248013</x:v>
      </x:c>
      <x:c r="AB264" s="255" t="n">
        <x:v>0.08576424553349038</x:v>
      </x:c>
    </x:row>
    <x:row r="265" ht="24" customHeight="1">
      <x:c r="C265" s="256" t="n">
        <x:f>234</x:f>
        <x:v>234</x:v>
      </x:c>
      <x:c r="D265" s="258" t="n">
        <x:f>IF(X265&lt;($E$12-$D$12)/($F$12-$D$12),$D$12+SQRT(X265*($F$12-$D$12)*($E$12-$D$12)),$F$12-SQRT((1-X265)*($F$12-$D$12)*($F$12-$E$12)))</x:f>
        <x:v>0.15124781945242355</x:v>
      </x:c>
      <x:c r="E265" s="258" t="n">
        <x:f>IF(Y265&lt;($E$13-$D$13)/($F$13-$D$13),$D$13+SQRT(Y265*($F$13-$D$13)*($E$13-$D$13)),$F$13-SQRT((1-Y265)*($F$13-$D$13)*($F$13-$E$13)))</x:f>
        <x:v>0.03731380615860229</x:v>
      </x:c>
      <x:c r="F265" s="260" t="n">
        <x:f>IF(Z265&lt;($E$14-$D$14)/($F$14-$D$14),$D$14+SQRT(Z265*($F$14-$D$14)*($E$14-$D$14)),$F$14-SQRT((1-Z265)*($F$14-$D$14)*($F$14-$E$14)))</x:f>
        <x:v>1.0436548457302104</x:v>
      </x:c>
      <x:c r="G265" s="258" t="n">
        <x:f>IF(AA265&lt;($E$15-$D$15)/($F$15-$D$15),$D$15+SQRT(AA265*($F$15-$D$15)*($E$15-$D$15)),$F$15-SQRT((1-AA265)*($F$15-$D$15)*($F$15-$E$15)))</x:f>
        <x:v>0.08727401808411905</x:v>
      </x:c>
      <x:c r="H265" s="258" t="n">
        <x:f>IF(AB265&lt;($E$16-$D$16)/($F$16-$D$16),$D$16+SQRT(AB265*($F$16-$D$16)*($E$16-$D$16)),$F$16-SQRT((1-AB265)*($F$16-$D$16)*($F$16-$E$16)))</x:f>
        <x:v>0.031340935749712494</x:v>
      </x:c>
      <x:c r="I265" s="262" t="n">
        <x:f>'Historical Inputs'!$N$9*(1+D265)^5</x:f>
        <x:v>671075.7247066092</x:v>
      </x:c>
      <x:c r="J265" s="262" t="n">
        <x:f>I265*(1+H265)*('Terminal Value'!$E$10+E265)*(1-'Assumptions'!$E$15)*(1-H265/'Terminal Value'!$E$12)</x:f>
        <x:v>204191.02595782708</x:v>
      </x:c>
      <x:c r="K265" s="264" t="n">
        <x:f>((SUM((('Historical Inputs'!$N$9*(1+(D265))^1)*(('Assumptions'!E37+(E265))*(1-'Assumptions'!E42-(0))+'Assumptions'!E47-'Assumptions'!E52*(F265)+'Assumptions'!E57-'Assumptions'!E62*(1)-'Assumptions'!E67-(0))+('Working Capital'!$E$6))*'DCF'!E12/(1+(G265))^'DCF'!E13,(('Historical Inputs'!$N$9*(1+(D265))^2)*(('Assumptions'!F37+(E265))*(1-'Assumptions'!F42-(0))+'Assumptions'!F47-'Assumptions'!F52*(F265)+'Assumptions'!F57-'Assumptions'!F62*(1)-'Assumptions'!F67-(0))+(('Historical Inputs'!$N$9*(1+(D265))^1)*('Assumptions'!E67+(0))))*'DCF'!F12/(1+(G265))^'DCF'!F13,(('Historical Inputs'!$N$9*(1+(D265))^3)*(('Assumptions'!G37+(E265))*(1-'Assumptions'!G42-(0))+'Assumptions'!G47-'Assumptions'!G52*(F265)+'Assumptions'!G57-'Assumptions'!G62*(1)-'Assumptions'!G67-(0))+(('Historical Inputs'!$N$9*(1+(D265))^2)*('Assumptions'!F67+(0))))*'DCF'!G12/(1+(G265))^'DCF'!G13,(('Historical Inputs'!$N$9*(1+(D265))^4)*(('Assumptions'!H37+(E265))*(1-'Assumptions'!H42-(0))+'Assumptions'!H47-'Assumptions'!H52*(F265)+'Assumptions'!H57-'Assumptions'!H62*(1)-'Assumptions'!H67-(0))+(('Historical Inputs'!$N$9*(1+(D265))^3)*('Assumptions'!G67+(0))))*'DCF'!H12/(1+(G265))^'DCF'!H13,(('Historical Inputs'!$N$9*(1+(D265))^5)*(('Assumptions'!I37+(E265))*(1-'Assumptions'!I42-(0))+'Assumptions'!I47-'Assumptions'!I52*(F265)+'Assumptions'!I57-'Assumptions'!I62*(1)-'Assumptions'!I67-(0))+(('Historical Inputs'!$N$9*(1+(D265))^4)*('Assumptions'!H67+(0))))*'DCF'!I12/(1+(G265))^'DCF'!I13)+('Historical Inputs'!$N$9*(1+(D265))^5)*(1+(H265))*('Terminal Value'!$E$10+(E265))*(1-'Assumptions'!$E$15-(0))*(1-(H265)/('Terminal Value'!$E$12))/((G265)-(H265))/(1+(G265))^'DCF'!$E$19)+'Equity Bridge'!$E$17)/'Equity Bridge'!$E$20</x:f>
        <x:v>393.91872073496125</x:v>
      </x:c>
      <x:c r="X265" s="255" t="n">
        <x:v>0.647045383186216</x:v>
      </x:c>
      <x:c r="Y265" s="255" t="n">
        <x:v>0.9678120971636965</x:v>
      </x:c>
      <x:c r="Z265" s="255" t="n">
        <x:v>0.6508027533765094</x:v>
      </x:c>
      <x:c r="AA265" s="255" t="n">
        <x:v>0.03797122743252679</x:v>
      </x:c>
      <x:c r="AB265" s="255" t="n">
        <x:v>0.6251030315469644</x:v>
      </x:c>
    </x:row>
    <x:row r="266" ht="24" customHeight="1">
      <x:c r="C266" s="256" t="n">
        <x:f>235</x:f>
        <x:v>235</x:v>
      </x:c>
      <x:c r="D266" s="258" t="n">
        <x:f>IF(X266&lt;($E$12-$D$12)/($F$12-$D$12),$D$12+SQRT(X266*($F$12-$D$12)*($E$12-$D$12)),$F$12-SQRT((1-X266)*($F$12-$D$12)*($F$12-$E$12)))</x:f>
        <x:v>0.12735575067566013</x:v>
      </x:c>
      <x:c r="E266" s="258" t="n">
        <x:f>IF(Y266&lt;($E$13-$D$13)/($F$13-$D$13),$D$13+SQRT(Y266*($F$13-$D$13)*($E$13-$D$13)),$F$13-SQRT((1-Y266)*($F$13-$D$13)*($F$13-$E$13)))</x:f>
        <x:v>-0.01110431048019999</x:v>
      </x:c>
      <x:c r="F266" s="260" t="n">
        <x:f>IF(Z266&lt;($E$14-$D$14)/($F$14-$D$14),$D$14+SQRT(Z266*($F$14-$D$14)*($E$14-$D$14)),$F$14-SQRT((1-Z266)*($F$14-$D$14)*($F$14-$E$14)))</x:f>
        <x:v>1.1024022893770955</x:v>
      </x:c>
      <x:c r="G266" s="258" t="n">
        <x:f>IF(AA266&lt;($E$15-$D$15)/($F$15-$D$15),$D$15+SQRT(AA266*($F$15-$D$15)*($E$15-$D$15)),$F$15-SQRT((1-AA266)*($F$15-$D$15)*($F$15-$E$15)))</x:f>
        <x:v>0.08867729369003778</x:v>
      </x:c>
      <x:c r="H266" s="258" t="n">
        <x:f>IF(AB266&lt;($E$16-$D$16)/($F$16-$D$16),$D$16+SQRT(AB266*($F$16-$D$16)*($E$16-$D$16)),$F$16-SQRT((1-AB266)*($F$16-$D$16)*($F$16-$E$16)))</x:f>
        <x:v>0.02727860021935108</x:v>
      </x:c>
      <x:c r="I266" s="262" t="n">
        <x:f>'Historical Inputs'!$N$9*(1+D266)^5</x:f>
        <x:v>604271.8297837244</x:v>
      </x:c>
      <x:c r="J266" s="262" t="n">
        <x:f>I266*(1+H266)*('Terminal Value'!$E$10+E266)*(1-'Assumptions'!$E$15)*(1-H266/'Terminal Value'!$E$12)</x:f>
        <x:v>166786.10230247857</x:v>
      </x:c>
      <x:c r="K266" s="264" t="n">
        <x:f>((SUM((('Historical Inputs'!$N$9*(1+(D266))^1)*(('Assumptions'!E37+(E266))*(1-'Assumptions'!E42-(0))+'Assumptions'!E47-'Assumptions'!E52*(F266)+'Assumptions'!E57-'Assumptions'!E62*(1)-'Assumptions'!E67-(0))+('Working Capital'!$E$6))*'DCF'!E12/(1+(G266))^'DCF'!E13,(('Historical Inputs'!$N$9*(1+(D266))^2)*(('Assumptions'!F37+(E266))*(1-'Assumptions'!F42-(0))+'Assumptions'!F47-'Assumptions'!F52*(F266)+'Assumptions'!F57-'Assumptions'!F62*(1)-'Assumptions'!F67-(0))+(('Historical Inputs'!$N$9*(1+(D266))^1)*('Assumptions'!E67+(0))))*'DCF'!F12/(1+(G266))^'DCF'!F13,(('Historical Inputs'!$N$9*(1+(D266))^3)*(('Assumptions'!G37+(E266))*(1-'Assumptions'!G42-(0))+'Assumptions'!G47-'Assumptions'!G52*(F266)+'Assumptions'!G57-'Assumptions'!G62*(1)-'Assumptions'!G67-(0))+(('Historical Inputs'!$N$9*(1+(D266))^2)*('Assumptions'!F67+(0))))*'DCF'!G12/(1+(G266))^'DCF'!G13,(('Historical Inputs'!$N$9*(1+(D266))^4)*(('Assumptions'!H37+(E266))*(1-'Assumptions'!H42-(0))+'Assumptions'!H47-'Assumptions'!H52*(F266)+'Assumptions'!H57-'Assumptions'!H62*(1)-'Assumptions'!H67-(0))+(('Historical Inputs'!$N$9*(1+(D266))^3)*('Assumptions'!G67+(0))))*'DCF'!H12/(1+(G266))^'DCF'!H13,(('Historical Inputs'!$N$9*(1+(D266))^5)*(('Assumptions'!I37+(E266))*(1-'Assumptions'!I42-(0))+'Assumptions'!I47-'Assumptions'!I52*(F266)+'Assumptions'!I57-'Assumptions'!I62*(1)-'Assumptions'!I67-(0))+(('Historical Inputs'!$N$9*(1+(D266))^4)*('Assumptions'!H67+(0))))*'DCF'!I12/(1+(G266))^'DCF'!I13)+('Historical Inputs'!$N$9*(1+(D266))^5)*(1+(H266))*('Terminal Value'!$E$10+(E266))*(1-'Assumptions'!$E$15-(0))*(1-(H266)/('Terminal Value'!$E$12))/((G266)-(H266))/(1+(G266))^'DCF'!$E$19)+'Equity Bridge'!$E$17)/'Equity Bridge'!$E$20</x:f>
        <x:v>289.71813241582277</x:v>
      </x:c>
      <x:c r="X266" s="255" t="n">
        <x:v>0.23254466183174627</x:v>
      </x:c>
      <x:c r="Y266" s="255" t="n">
        <x:v>0.30257493264413604</x:v>
      </x:c>
      <x:c r="Z266" s="255" t="n">
        <x:v>0.8639240983023972</x:v>
      </x:c>
      <x:c r="AA266" s="255" t="n">
        <x:v>0.0681278484452632</x:v>
      </x:c>
      <x:c r="AB266" s="255" t="n">
        <x:v>0.26489010576568794</x:v>
      </x:c>
    </x:row>
    <x:row r="267" ht="24" customHeight="1">
      <x:c r="C267" s="256" t="n">
        <x:f>236</x:f>
        <x:v>236</x:v>
      </x:c>
      <x:c r="D267" s="258" t="n">
        <x:f>IF(X267&lt;($E$12-$D$12)/($F$12-$D$12),$D$12+SQRT(X267*($F$12-$D$12)*($E$12-$D$12)),$F$12-SQRT((1-X267)*($F$12-$D$12)*($F$12-$E$12)))</x:f>
        <x:v>0.1722852093116126</x:v>
      </x:c>
      <x:c r="E267" s="258" t="n">
        <x:f>IF(Y267&lt;($E$13-$D$13)/($F$13-$D$13),$D$13+SQRT(Y267*($F$13-$D$13)*($E$13-$D$13)),$F$13-SQRT((1-Y267)*($F$13-$D$13)*($F$13-$E$13)))</x:f>
        <x:v>-0.03102135361100767</x:v>
      </x:c>
      <x:c r="F267" s="260" t="n">
        <x:f>IF(Z267&lt;($E$14-$D$14)/($F$14-$D$14),$D$14+SQRT(Z267*($F$14-$D$14)*($E$14-$D$14)),$F$14-SQRT((1-Z267)*($F$14-$D$14)*($F$14-$E$14)))</x:f>
        <x:v>1.031848095368441</x:v>
      </x:c>
      <x:c r="G267" s="258" t="n">
        <x:f>IF(AA267&lt;($E$15-$D$15)/($F$15-$D$15),$D$15+SQRT(AA267*($F$15-$D$15)*($E$15-$D$15)),$F$15-SQRT((1-AA267)*($F$15-$D$15)*($F$15-$E$15)))</x:f>
        <x:v>0.08878433428889945</x:v>
      </x:c>
      <x:c r="H267" s="258" t="n">
        <x:f>IF(AB267&lt;($E$16-$D$16)/($F$16-$D$16),$D$16+SQRT(AB267*($F$16-$D$16)*($E$16-$D$16)),$F$16-SQRT((1-AB267)*($F$16-$D$16)*($F$16-$E$16)))</x:f>
        <x:v>0.028746510429489662</x:v>
      </x:c>
      <x:c r="I267" s="262" t="n">
        <x:f>'Historical Inputs'!$N$9*(1+D267)^5</x:f>
        <x:v>734672.6181909649</x:v>
      </x:c>
      <x:c r="J267" s="262" t="n">
        <x:f>I267*(1+H267)*('Terminal Value'!$E$10+E267)*(1-'Assumptions'!$E$15)*(1-H267/'Terminal Value'!$E$12)</x:f>
        <x:v>191030.5750742264</x:v>
      </x:c>
      <x:c r="K267" s="264" t="n">
        <x:f>((SUM((('Historical Inputs'!$N$9*(1+(D267))^1)*(('Assumptions'!E37+(E267))*(1-'Assumptions'!E42-(0))+'Assumptions'!E47-'Assumptions'!E52*(F267)+'Assumptions'!E57-'Assumptions'!E62*(1)-'Assumptions'!E67-(0))+('Working Capital'!$E$6))*'DCF'!E12/(1+(G267))^'DCF'!E13,(('Historical Inputs'!$N$9*(1+(D267))^2)*(('Assumptions'!F37+(E267))*(1-'Assumptions'!F42-(0))+'Assumptions'!F47-'Assumptions'!F52*(F267)+'Assumptions'!F57-'Assumptions'!F62*(1)-'Assumptions'!F67-(0))+(('Historical Inputs'!$N$9*(1+(D267))^1)*('Assumptions'!E67+(0))))*'DCF'!F12/(1+(G267))^'DCF'!F13,(('Historical Inputs'!$N$9*(1+(D267))^3)*(('Assumptions'!G37+(E267))*(1-'Assumptions'!G42-(0))+'Assumptions'!G47-'Assumptions'!G52*(F267)+'Assumptions'!G57-'Assumptions'!G62*(1)-'Assumptions'!G67-(0))+(('Historical Inputs'!$N$9*(1+(D267))^2)*('Assumptions'!F67+(0))))*'DCF'!G12/(1+(G267))^'DCF'!G13,(('Historical Inputs'!$N$9*(1+(D267))^4)*(('Assumptions'!H37+(E267))*(1-'Assumptions'!H42-(0))+'Assumptions'!H47-'Assumptions'!H52*(F267)+'Assumptions'!H57-'Assumptions'!H62*(1)-'Assumptions'!H67-(0))+(('Historical Inputs'!$N$9*(1+(D267))^3)*('Assumptions'!G67+(0))))*'DCF'!H12/(1+(G267))^'DCF'!H13,(('Historical Inputs'!$N$9*(1+(D267))^5)*(('Assumptions'!I37+(E267))*(1-'Assumptions'!I42-(0))+'Assumptions'!I47-'Assumptions'!I52*(F267)+'Assumptions'!I57-'Assumptions'!I62*(1)-'Assumptions'!I67-(0))+(('Historical Inputs'!$N$9*(1+(D267))^4)*('Assumptions'!H67+(0))))*'DCF'!I12/(1+(G267))^'DCF'!I13)+('Historical Inputs'!$N$9*(1+(D267))^5)*(1+(H267))*('Terminal Value'!$E$10+(E267))*(1-'Assumptions'!$E$15-(0))*(1-(H267)/('Terminal Value'!$E$12))/((G267)-(H267))/(1+(G267))^'DCF'!$E$19)+'Equity Bridge'!$E$17)/'Equity Bridge'!$E$20</x:f>
        <x:v>339.06640144621025</x:v>
      </x:c>
      <x:c r="X267" s="255" t="n">
        <x:v>0.9120366159717955</x:v>
      </x:c>
      <x:c r="Y267" s="255" t="n">
        <x:v>0.07203780375168234</x:v>
      </x:c>
      <x:c r="Z267" s="255" t="n">
        <x:v>0.5960705281254156</x:v>
      </x:c>
      <x:c r="AA267" s="255" t="n">
        <x:v>0.07078742421603812</x:v>
      </x:c>
      <x:c r="AB267" s="255" t="n">
        <x:v>0.3825072234658572</x:v>
      </x:c>
    </x:row>
    <x:row r="268" ht="24" customHeight="1">
      <x:c r="C268" s="256" t="n">
        <x:f>237</x:f>
        <x:v>237</x:v>
      </x:c>
      <x:c r="D268" s="258" t="n">
        <x:f>IF(X268&lt;($E$12-$D$12)/($F$12-$D$12),$D$12+SQRT(X268*($F$12-$D$12)*($E$12-$D$12)),$F$12-SQRT((1-X268)*($F$12-$D$12)*($F$12-$E$12)))</x:f>
        <x:v>0.15444413826453815</x:v>
      </x:c>
      <x:c r="E268" s="258" t="n">
        <x:f>IF(Y268&lt;($E$13-$D$13)/($F$13-$D$13),$D$13+SQRT(Y268*($F$13-$D$13)*($E$13-$D$13)),$F$13-SQRT((1-Y268)*($F$13-$D$13)*($F$13-$E$13)))</x:f>
        <x:v>0.01826281939916452</x:v>
      </x:c>
      <x:c r="F268" s="260" t="n">
        <x:f>IF(Z268&lt;($E$14-$D$14)/($F$14-$D$14),$D$14+SQRT(Z268*($F$14-$D$14)*($E$14-$D$14)),$F$14-SQRT((1-Z268)*($F$14-$D$14)*($F$14-$E$14)))</x:f>
        <x:v>1.0193450384237024</x:v>
      </x:c>
      <x:c r="G268" s="258" t="n">
        <x:f>IF(AA268&lt;($E$15-$D$15)/($F$15-$D$15),$D$15+SQRT(AA268*($F$15-$D$15)*($E$15-$D$15)),$F$15-SQRT((1-AA268)*($F$15-$D$15)*($F$15-$E$15)))</x:f>
        <x:v>0.10521015734699991</x:v>
      </x:c>
      <x:c r="H268" s="258" t="n">
        <x:f>IF(AB268&lt;($E$16-$D$16)/($F$16-$D$16),$D$16+SQRT(AB268*($F$16-$D$16)*($E$16-$D$16)),$F$16-SQRT((1-AB268)*($F$16-$D$16)*($F$16-$E$16)))</x:f>
        <x:v>0.03208413684886956</x:v>
      </x:c>
      <x:c r="I268" s="262" t="n">
        <x:f>'Historical Inputs'!$N$9*(1+D268)^5</x:f>
        <x:v>680443.4543149403</x:v>
      </x:c>
      <x:c r="J268" s="262" t="n">
        <x:f>I268*(1+H268)*('Terminal Value'!$E$10+E268)*(1-'Assumptions'!$E$15)*(1-H268/'Terminal Value'!$E$12)</x:f>
        <x:v>197291.38508321575</x:v>
      </x:c>
      <x:c r="K268" s="264" t="n">
        <x:f>((SUM((('Historical Inputs'!$N$9*(1+(D268))^1)*(('Assumptions'!E37+(E268))*(1-'Assumptions'!E42-(0))+'Assumptions'!E47-'Assumptions'!E52*(F268)+'Assumptions'!E57-'Assumptions'!E62*(1)-'Assumptions'!E67-(0))+('Working Capital'!$E$6))*'DCF'!E12/(1+(G268))^'DCF'!E13,(('Historical Inputs'!$N$9*(1+(D268))^2)*(('Assumptions'!F37+(E268))*(1-'Assumptions'!F42-(0))+'Assumptions'!F47-'Assumptions'!F52*(F268)+'Assumptions'!F57-'Assumptions'!F62*(1)-'Assumptions'!F67-(0))+(('Historical Inputs'!$N$9*(1+(D268))^1)*('Assumptions'!E67+(0))))*'DCF'!F12/(1+(G268))^'DCF'!F13,(('Historical Inputs'!$N$9*(1+(D268))^3)*(('Assumptions'!G37+(E268))*(1-'Assumptions'!G42-(0))+'Assumptions'!G47-'Assumptions'!G52*(F268)+'Assumptions'!G57-'Assumptions'!G62*(1)-'Assumptions'!G67-(0))+(('Historical Inputs'!$N$9*(1+(D268))^2)*('Assumptions'!F67+(0))))*'DCF'!G12/(1+(G268))^'DCF'!G13,(('Historical Inputs'!$N$9*(1+(D268))^4)*(('Assumptions'!H37+(E268))*(1-'Assumptions'!H42-(0))+'Assumptions'!H47-'Assumptions'!H52*(F268)+'Assumptions'!H57-'Assumptions'!H62*(1)-'Assumptions'!H67-(0))+(('Historical Inputs'!$N$9*(1+(D268))^3)*('Assumptions'!G67+(0))))*'DCF'!H12/(1+(G268))^'DCF'!H13,(('Historical Inputs'!$N$9*(1+(D268))^5)*(('Assumptions'!I37+(E268))*(1-'Assumptions'!I42-(0))+'Assumptions'!I47-'Assumptions'!I52*(F268)+'Assumptions'!I57-'Assumptions'!I62*(1)-'Assumptions'!I67-(0))+(('Historical Inputs'!$N$9*(1+(D268))^4)*('Assumptions'!H67+(0))))*'DCF'!I12/(1+(G268))^'DCF'!I13)+('Historical Inputs'!$N$9*(1+(D268))^5)*(1+(H268))*('Terminal Value'!$E$10+(E268))*(1-'Assumptions'!$E$15-(0))*(1-(H268)/('Terminal Value'!$E$12))/((G268)-(H268))/(1+(G268))^'DCF'!$E$19)+'Equity Bridge'!$E$17)/'Equity Bridge'!$E$20</x:f>
        <x:v>284.9396098170096</x:v>
      </x:c>
      <x:c r="X268" s="255" t="n">
        <x:v>0.6987120139279901</x:v>
      </x:c>
      <x:c r="Y268" s="255" t="n">
        <x:v>0.7985502735019904</x:v>
      </x:c>
      <x:c r="Z268" s="255" t="n">
        <x:v>0.5337683551123774</x:v>
      </x:c>
      <x:c r="AA268" s="255" t="n">
        <x:v>0.8602483078284909</x:v>
      </x:c>
      <x:c r="AB268" s="255" t="n">
        <x:v>0.6866955528628764</x:v>
      </x:c>
    </x:row>
    <x:row r="269" ht="24" customHeight="1">
      <x:c r="C269" s="256" t="n">
        <x:f>238</x:f>
        <x:v>238</x:v>
      </x:c>
      <x:c r="D269" s="258" t="n">
        <x:f>IF(X269&lt;($E$12-$D$12)/($F$12-$D$12),$D$12+SQRT(X269*($F$12-$D$12)*($E$12-$D$12)),$F$12-SQRT((1-X269)*($F$12-$D$12)*($F$12-$E$12)))</x:f>
        <x:v>0.12877400504820596</x:v>
      </x:c>
      <x:c r="E269" s="258" t="n">
        <x:f>IF(Y269&lt;($E$13-$D$13)/($F$13-$D$13),$D$13+SQRT(Y269*($F$13-$D$13)*($E$13-$D$13)),$F$13-SQRT((1-Y269)*($F$13-$D$13)*($F$13-$E$13)))</x:f>
        <x:v>0.04249669265596341</x:v>
      </x:c>
      <x:c r="F269" s="260" t="n">
        <x:f>IF(Z269&lt;($E$14-$D$14)/($F$14-$D$14),$D$14+SQRT(Z269*($F$14-$D$14)*($E$14-$D$14)),$F$14-SQRT((1-Z269)*($F$14-$D$14)*($F$14-$E$14)))</x:f>
        <x:v>1.1473241634227755</x:v>
      </x:c>
      <x:c r="G269" s="258" t="n">
        <x:f>IF(AA269&lt;($E$15-$D$15)/($F$15-$D$15),$D$15+SQRT(AA269*($F$15-$D$15)*($E$15-$D$15)),$F$15-SQRT((1-AA269)*($F$15-$D$15)*($F$15-$E$15)))</x:f>
        <x:v>0.09984411887082897</x:v>
      </x:c>
      <x:c r="H269" s="258" t="n">
        <x:f>IF(AB269&lt;($E$16-$D$16)/($F$16-$D$16),$D$16+SQRT(AB269*($F$16-$D$16)*($E$16-$D$16)),$F$16-SQRT((1-AB269)*($F$16-$D$16)*($F$16-$E$16)))</x:f>
        <x:v>0.03339446281767369</x:v>
      </x:c>
      <x:c r="I269" s="262" t="n">
        <x:f>'Historical Inputs'!$N$9*(1+D269)^5</x:f>
        <x:v>608082.3846191249</x:v>
      </x:c>
      <x:c r="J269" s="262" t="n">
        <x:f>I269*(1+H269)*('Terminal Value'!$E$10+E269)*(1-'Assumptions'!$E$15)*(1-H269/'Terminal Value'!$E$12)</x:f>
        <x:v>185305.3697147757</x:v>
      </x:c>
      <x:c r="K269" s="264" t="n">
        <x:f>((SUM((('Historical Inputs'!$N$9*(1+(D269))^1)*(('Assumptions'!E37+(E269))*(1-'Assumptions'!E42-(0))+'Assumptions'!E47-'Assumptions'!E52*(F269)+'Assumptions'!E57-'Assumptions'!E62*(1)-'Assumptions'!E67-(0))+('Working Capital'!$E$6))*'DCF'!E12/(1+(G269))^'DCF'!E13,(('Historical Inputs'!$N$9*(1+(D269))^2)*(('Assumptions'!F37+(E269))*(1-'Assumptions'!F42-(0))+'Assumptions'!F47-'Assumptions'!F52*(F269)+'Assumptions'!F57-'Assumptions'!F62*(1)-'Assumptions'!F67-(0))+(('Historical Inputs'!$N$9*(1+(D269))^1)*('Assumptions'!E67+(0))))*'DCF'!F12/(1+(G269))^'DCF'!F13,(('Historical Inputs'!$N$9*(1+(D269))^3)*(('Assumptions'!G37+(E269))*(1-'Assumptions'!G42-(0))+'Assumptions'!G47-'Assumptions'!G52*(F269)+'Assumptions'!G57-'Assumptions'!G62*(1)-'Assumptions'!G67-(0))+(('Historical Inputs'!$N$9*(1+(D269))^2)*('Assumptions'!F67+(0))))*'DCF'!G12/(1+(G269))^'DCF'!G13,(('Historical Inputs'!$N$9*(1+(D269))^4)*(('Assumptions'!H37+(E269))*(1-'Assumptions'!H42-(0))+'Assumptions'!H47-'Assumptions'!H52*(F269)+'Assumptions'!H57-'Assumptions'!H62*(1)-'Assumptions'!H67-(0))+(('Historical Inputs'!$N$9*(1+(D269))^3)*('Assumptions'!G67+(0))))*'DCF'!H12/(1+(G269))^'DCF'!H13,(('Historical Inputs'!$N$9*(1+(D269))^5)*(('Assumptions'!I37+(E269))*(1-'Assumptions'!I42-(0))+'Assumptions'!I47-'Assumptions'!I52*(F269)+'Assumptions'!I57-'Assumptions'!I62*(1)-'Assumptions'!I67-(0))+(('Historical Inputs'!$N$9*(1+(D269))^4)*('Assumptions'!H67+(0))))*'DCF'!I12/(1+(G269))^'DCF'!I13)+('Historical Inputs'!$N$9*(1+(D269))^5)*(1+(H269))*('Terminal Value'!$E$10+(E269))*(1-'Assumptions'!$E$15-(0))*(1-(H269)/('Terminal Value'!$E$12))/((G269)-(H269))/(1+(G269))^'DCF'!$E$19)+'Equity Bridge'!$E$17)/'Equity Bridge'!$E$20</x:f>
        <x:v>291.03150093390906</x:v>
      </x:c>
      <x:c r="X269" s="255" t="n">
        <x:v>0.2522912194404767</x:v>
      </x:c>
      <x:c r="Y269" s="255" t="n">
        <x:v>0.9887400757801853</x:v>
      </x:c>
      <x:c r="Z269" s="255" t="n">
        <x:v>0.9603608034412792</x:v>
      </x:c>
      <x:c r="AA269" s="255" t="n">
        <x:v>0.6071327216964486</x:v>
      </x:c>
      <x:c r="AB269" s="255" t="n">
        <x:v>0.7818343926645229</x:v>
      </x:c>
    </x:row>
    <x:row r="270" ht="24" customHeight="1">
      <x:c r="C270" s="256" t="n">
        <x:f>239</x:f>
        <x:v>239</x:v>
      </x:c>
      <x:c r="D270" s="258" t="n">
        <x:f>IF(X270&lt;($E$12-$D$12)/($F$12-$D$12),$D$12+SQRT(X270*($F$12-$D$12)*($E$12-$D$12)),$F$12-SQRT((1-X270)*($F$12-$D$12)*($F$12-$E$12)))</x:f>
        <x:v>0.11934284538566456</x:v>
      </x:c>
      <x:c r="E270" s="258" t="n">
        <x:f>IF(Y270&lt;($E$13-$D$13)/($F$13-$D$13),$D$13+SQRT(Y270*($F$13-$D$13)*($E$13-$D$13)),$F$13-SQRT((1-Y270)*($F$13-$D$13)*($F$13-$E$13)))</x:f>
        <x:v>-0.028710341100169283</x:v>
      </x:c>
      <x:c r="F270" s="260" t="n">
        <x:f>IF(Z270&lt;($E$14-$D$14)/($F$14-$D$14),$D$14+SQRT(Z270*($F$14-$D$14)*($E$14-$D$14)),$F$14-SQRT((1-Z270)*($F$14-$D$14)*($F$14-$E$14)))</x:f>
        <x:v>1.0152423441690086</x:v>
      </x:c>
      <x:c r="G270" s="258" t="n">
        <x:f>IF(AA270&lt;($E$15-$D$15)/($F$15-$D$15),$D$15+SQRT(AA270*($F$15-$D$15)*($E$15-$D$15)),$F$15-SQRT((1-AA270)*($F$15-$D$15)*($F$15-$E$15)))</x:f>
        <x:v>0.09019626409141963</x:v>
      </x:c>
      <x:c r="H270" s="258" t="n">
        <x:f>IF(AB270&lt;($E$16-$D$16)/($F$16-$D$16),$D$16+SQRT(AB270*($F$16-$D$16)*($E$16-$D$16)),$F$16-SQRT((1-AB270)*($F$16-$D$16)*($F$16-$E$16)))</x:f>
        <x:v>0.023703809792803475</x:v>
      </x:c>
      <x:c r="I270" s="262" t="n">
        <x:f>'Historical Inputs'!$N$9*(1+D270)^5</x:f>
        <x:v>583100.0308311679</x:v>
      </x:c>
      <x:c r="J270" s="262" t="n">
        <x:f>I270*(1+H270)*('Terminal Value'!$E$10+E270)*(1-'Assumptions'!$E$15)*(1-H270/'Terminal Value'!$E$12)</x:f>
        <x:v>156290.70707598847</x:v>
      </x:c>
      <x:c r="K270" s="264" t="n">
        <x:f>((SUM((('Historical Inputs'!$N$9*(1+(D270))^1)*(('Assumptions'!E37+(E270))*(1-'Assumptions'!E42-(0))+'Assumptions'!E47-'Assumptions'!E52*(F270)+'Assumptions'!E57-'Assumptions'!E62*(1)-'Assumptions'!E67-(0))+('Working Capital'!$E$6))*'DCF'!E12/(1+(G270))^'DCF'!E13,(('Historical Inputs'!$N$9*(1+(D270))^2)*(('Assumptions'!F37+(E270))*(1-'Assumptions'!F42-(0))+'Assumptions'!F47-'Assumptions'!F52*(F270)+'Assumptions'!F57-'Assumptions'!F62*(1)-'Assumptions'!F67-(0))+(('Historical Inputs'!$N$9*(1+(D270))^1)*('Assumptions'!E67+(0))))*'DCF'!F12/(1+(G270))^'DCF'!F13,(('Historical Inputs'!$N$9*(1+(D270))^3)*(('Assumptions'!G37+(E270))*(1-'Assumptions'!G42-(0))+'Assumptions'!G47-'Assumptions'!G52*(F270)+'Assumptions'!G57-'Assumptions'!G62*(1)-'Assumptions'!G67-(0))+(('Historical Inputs'!$N$9*(1+(D270))^2)*('Assumptions'!F67+(0))))*'DCF'!G12/(1+(G270))^'DCF'!G13,(('Historical Inputs'!$N$9*(1+(D270))^4)*(('Assumptions'!H37+(E270))*(1-'Assumptions'!H42-(0))+'Assumptions'!H47-'Assumptions'!H52*(F270)+'Assumptions'!H57-'Assumptions'!H62*(1)-'Assumptions'!H67-(0))+(('Historical Inputs'!$N$9*(1+(D270))^3)*('Assumptions'!G67+(0))))*'DCF'!H12/(1+(G270))^'DCF'!H13,(('Historical Inputs'!$N$9*(1+(D270))^5)*(('Assumptions'!I37+(E270))*(1-'Assumptions'!I42-(0))+'Assumptions'!I47-'Assumptions'!I52*(F270)+'Assumptions'!I57-'Assumptions'!I62*(1)-'Assumptions'!I67-(0))+(('Historical Inputs'!$N$9*(1+(D270))^4)*('Assumptions'!H67+(0))))*'DCF'!I12/(1+(G270))^'DCF'!I13)+('Historical Inputs'!$N$9*(1+(D270))^5)*(1+(H270))*('Terminal Value'!$E$10+(E270))*(1-'Assumptions'!$E$15-(0))*(1-(H270)/('Terminal Value'!$E$12))/((G270)-(H270))/(1+(G270))^'DCF'!$E$19)+'Equity Bridge'!$E$17)/'Equity Bridge'!$E$20</x:f>
        <x:v>255.91312782539052</x:v>
      </x:c>
      <x:c r="X270" s="255" t="n">
        <x:v>0.1360940381565915</x:v>
      </x:c>
      <x:c r="Y270" s="255" t="n">
        <x:v>0.09064991521422827</x:v>
      </x:c>
      <x:c r="Z270" s="255" t="n">
        <x:v>0.5123515515976701</x:v>
      </x:c>
      <x:c r="AA270" s="255" t="n">
        <x:v>0.11063478096492774</x:v>
      </x:c>
      <x:c r="AB270" s="255" t="n">
        <x:v>0.06859103490633467</x:v>
      </x:c>
    </x:row>
    <x:row r="271" ht="24" customHeight="1">
      <x:c r="C271" s="256" t="n">
        <x:f>240</x:f>
        <x:v>240</x:v>
      </x:c>
      <x:c r="D271" s="258" t="n">
        <x:f>IF(X271&lt;($E$12-$D$12)/($F$12-$D$12),$D$12+SQRT(X271*($F$12-$D$12)*($E$12-$D$12)),$F$12-SQRT((1-X271)*($F$12-$D$12)*($F$12-$E$12)))</x:f>
        <x:v>0.11915264322100266</x:v>
      </x:c>
      <x:c r="E271" s="258" t="n">
        <x:f>IF(Y271&lt;($E$13-$D$13)/($F$13-$D$13),$D$13+SQRT(Y271*($F$13-$D$13)*($E$13-$D$13)),$F$13-SQRT((1-Y271)*($F$13-$D$13)*($F$13-$E$13)))</x:f>
        <x:v>-0.00816926361518773</x:v>
      </x:c>
      <x:c r="F271" s="260" t="n">
        <x:f>IF(Z271&lt;($E$14-$D$14)/($F$14-$D$14),$D$14+SQRT(Z271*($F$14-$D$14)*($E$14-$D$14)),$F$14-SQRT((1-Z271)*($F$14-$D$14)*($F$14-$E$14)))</x:f>
        <x:v>1.0934114595347608</x:v>
      </x:c>
      <x:c r="G271" s="258" t="n">
        <x:f>IF(AA271&lt;($E$15-$D$15)/($F$15-$D$15),$D$15+SQRT(AA271*($F$15-$D$15)*($E$15-$D$15)),$F$15-SQRT((1-AA271)*($F$15-$D$15)*($F$15-$E$15)))</x:f>
        <x:v>0.09932645009252777</x:v>
      </x:c>
      <x:c r="H271" s="258" t="n">
        <x:f>IF(AB271&lt;($E$16-$D$16)/($F$16-$D$16),$D$16+SQRT(AB271*($F$16-$D$16)*($E$16-$D$16)),$F$16-SQRT((1-AB271)*($F$16-$D$16)*($F$16-$E$16)))</x:f>
        <x:v>0.02941771404631896</x:v>
      </x:c>
      <x:c r="I271" s="262" t="n">
        <x:f>'Historical Inputs'!$N$9*(1+D271)^5</x:f>
        <x:v>582604.7884500535</x:v>
      </x:c>
      <x:c r="J271" s="262" t="n">
        <x:f>I271*(1+H271)*('Terminal Value'!$E$10+E271)*(1-'Assumptions'!$E$15)*(1-H271/'Terminal Value'!$E$12)</x:f>
        <x:v>160345.9919892249</x:v>
      </x:c>
      <x:c r="K271" s="264" t="n">
        <x:f>((SUM((('Historical Inputs'!$N$9*(1+(D271))^1)*(('Assumptions'!E37+(E271))*(1-'Assumptions'!E42-(0))+'Assumptions'!E47-'Assumptions'!E52*(F271)+'Assumptions'!E57-'Assumptions'!E62*(1)-'Assumptions'!E67-(0))+('Working Capital'!$E$6))*'DCF'!E12/(1+(G271))^'DCF'!E13,(('Historical Inputs'!$N$9*(1+(D271))^2)*(('Assumptions'!F37+(E271))*(1-'Assumptions'!F42-(0))+'Assumptions'!F47-'Assumptions'!F52*(F271)+'Assumptions'!F57-'Assumptions'!F62*(1)-'Assumptions'!F67-(0))+(('Historical Inputs'!$N$9*(1+(D271))^1)*('Assumptions'!E67+(0))))*'DCF'!F12/(1+(G271))^'DCF'!F13,(('Historical Inputs'!$N$9*(1+(D271))^3)*(('Assumptions'!G37+(E271))*(1-'Assumptions'!G42-(0))+'Assumptions'!G47-'Assumptions'!G52*(F271)+'Assumptions'!G57-'Assumptions'!G62*(1)-'Assumptions'!G67-(0))+(('Historical Inputs'!$N$9*(1+(D271))^2)*('Assumptions'!F67+(0))))*'DCF'!G12/(1+(G271))^'DCF'!G13,(('Historical Inputs'!$N$9*(1+(D271))^4)*(('Assumptions'!H37+(E271))*(1-'Assumptions'!H42-(0))+'Assumptions'!H47-'Assumptions'!H52*(F271)+'Assumptions'!H57-'Assumptions'!H62*(1)-'Assumptions'!H67-(0))+(('Historical Inputs'!$N$9*(1+(D271))^3)*('Assumptions'!G67+(0))))*'DCF'!H12/(1+(G271))^'DCF'!H13,(('Historical Inputs'!$N$9*(1+(D271))^5)*(('Assumptions'!I37+(E271))*(1-'Assumptions'!I42-(0))+'Assumptions'!I47-'Assumptions'!I52*(F271)+'Assumptions'!I57-'Assumptions'!I62*(1)-'Assumptions'!I67-(0))+(('Historical Inputs'!$N$9*(1+(D271))^4)*('Assumptions'!H67+(0))))*'DCF'!I12/(1+(G271))^'DCF'!I13)+('Historical Inputs'!$N$9*(1+(D271))^5)*(1+(H271))*('Terminal Value'!$E$10+(E271))*(1-'Assumptions'!$E$15-(0))*(1-(H271)/('Terminal Value'!$E$12))/((G271)-(H271))/(1+(G271))^'DCF'!$E$19)+'Equity Bridge'!$E$17)/'Equity Bridge'!$E$20</x:f>
        <x:v>241.06036908243328</x:v>
      </x:c>
      <x:c r="X271" s="255" t="n">
        <x:v>0.13411664148606972</x:v>
      </x:c>
      <x:c r="Y271" s="255" t="n">
        <x:v>0.3499621012991314</x:v>
      </x:c>
      <x:c r="Z271" s="255" t="n">
        <x:v>0.8376983291641439</x:v>
      </x:c>
      <x:c r="AA271" s="255" t="n">
        <x:v>0.575945858616341</x:v>
      </x:c>
      <x:c r="AB271" s="255" t="n">
        <x:v>0.44346668929116717</x:v>
      </x:c>
    </x:row>
    <x:row r="272" ht="24" customHeight="1">
      <x:c r="C272" s="256" t="n">
        <x:f>241</x:f>
        <x:v>241</x:v>
      </x:c>
      <x:c r="D272" s="258" t="n">
        <x:f>IF(X272&lt;($E$12-$D$12)/($F$12-$D$12),$D$12+SQRT(X272*($F$12-$D$12)*($E$12-$D$12)),$F$12-SQRT((1-X272)*($F$12-$D$12)*($F$12-$E$12)))</x:f>
        <x:v>0.14047246182998027</x:v>
      </x:c>
      <x:c r="E272" s="258" t="n">
        <x:f>IF(Y272&lt;($E$13-$D$13)/($F$13-$D$13),$D$13+SQRT(Y272*($F$13-$D$13)*($E$13-$D$13)),$F$13-SQRT((1-Y272)*($F$13-$D$13)*($F$13-$E$13)))</x:f>
        <x:v>0.014575818789209848</x:v>
      </x:c>
      <x:c r="F272" s="260" t="n">
        <x:f>IF(Z272&lt;($E$14-$D$14)/($F$14-$D$14),$D$14+SQRT(Z272*($F$14-$D$14)*($E$14-$D$14)),$F$14-SQRT((1-Z272)*($F$14-$D$14)*($F$14-$E$14)))</x:f>
        <x:v>0.9012781255217698</x:v>
      </x:c>
      <x:c r="G272" s="258" t="n">
        <x:f>IF(AA272&lt;($E$15-$D$15)/($F$15-$D$15),$D$15+SQRT(AA272*($F$15-$D$15)*($E$15-$D$15)),$F$15-SQRT((1-AA272)*($F$15-$D$15)*($F$15-$E$15)))</x:f>
        <x:v>0.10780191089308062</x:v>
      </x:c>
      <x:c r="H272" s="258" t="n">
        <x:f>IF(AB272&lt;($E$16-$D$16)/($F$16-$D$16),$D$16+SQRT(AB272*($F$16-$D$16)*($E$16-$D$16)),$F$16-SQRT((1-AB272)*($F$16-$D$16)*($F$16-$E$16)))</x:f>
        <x:v>0.028798937104379724</x:v>
      </x:c>
      <x:c r="I272" s="262" t="n">
        <x:f>'Historical Inputs'!$N$9*(1+D272)^5</x:f>
        <x:v>640252.7340104231</x:v>
      </x:c>
      <x:c r="J272" s="262" t="n">
        <x:f>I272*(1+H272)*('Terminal Value'!$E$10+E272)*(1-'Assumptions'!$E$15)*(1-H272/'Terminal Value'!$E$12)</x:f>
        <x:v>187004.63190748624</x:v>
      </x:c>
      <x:c r="K272" s="264" t="n">
        <x:f>((SUM((('Historical Inputs'!$N$9*(1+(D272))^1)*(('Assumptions'!E37+(E272))*(1-'Assumptions'!E42-(0))+'Assumptions'!E47-'Assumptions'!E52*(F272)+'Assumptions'!E57-'Assumptions'!E62*(1)-'Assumptions'!E67-(0))+('Working Capital'!$E$6))*'DCF'!E12/(1+(G272))^'DCF'!E13,(('Historical Inputs'!$N$9*(1+(D272))^2)*(('Assumptions'!F37+(E272))*(1-'Assumptions'!F42-(0))+'Assumptions'!F47-'Assumptions'!F52*(F272)+'Assumptions'!F57-'Assumptions'!F62*(1)-'Assumptions'!F67-(0))+(('Historical Inputs'!$N$9*(1+(D272))^1)*('Assumptions'!E67+(0))))*'DCF'!F12/(1+(G272))^'DCF'!F13,(('Historical Inputs'!$N$9*(1+(D272))^3)*(('Assumptions'!G37+(E272))*(1-'Assumptions'!G42-(0))+'Assumptions'!G47-'Assumptions'!G52*(F272)+'Assumptions'!G57-'Assumptions'!G62*(1)-'Assumptions'!G67-(0))+(('Historical Inputs'!$N$9*(1+(D272))^2)*('Assumptions'!F67+(0))))*'DCF'!G12/(1+(G272))^'DCF'!G13,(('Historical Inputs'!$N$9*(1+(D272))^4)*(('Assumptions'!H37+(E272))*(1-'Assumptions'!H42-(0))+'Assumptions'!H47-'Assumptions'!H52*(F272)+'Assumptions'!H57-'Assumptions'!H62*(1)-'Assumptions'!H67-(0))+(('Historical Inputs'!$N$9*(1+(D272))^3)*('Assumptions'!G67+(0))))*'DCF'!H12/(1+(G272))^'DCF'!H13,(('Historical Inputs'!$N$9*(1+(D272))^5)*(('Assumptions'!I37+(E272))*(1-'Assumptions'!I42-(0))+'Assumptions'!I47-'Assumptions'!I52*(F272)+'Assumptions'!I57-'Assumptions'!I62*(1)-'Assumptions'!I67-(0))+(('Historical Inputs'!$N$9*(1+(D272))^4)*('Assumptions'!H67+(0))))*'DCF'!I12/(1+(G272))^'DCF'!I13)+('Historical Inputs'!$N$9*(1+(D272))^5)*(1+(H272))*('Terminal Value'!$E$10+(E272))*(1-'Assumptions'!$E$15-(0))*(1-(H272)/('Terminal Value'!$E$12))/((G272)-(H272))/(1+(G272))^'DCF'!$E$19)+'Equity Bridge'!$E$17)/'Equity Bridge'!$E$20</x:f>
        <x:v>258.70758072520044</x:v>
      </x:c>
      <x:c r="X272" s="255" t="n">
        <x:v>0.4458595549528087</x:v>
      </x:c>
      <x:c r="Y272" s="255" t="n">
        <x:v>0.7490254771090203</x:v>
      </x:c>
      <x:c r="Z272" s="255" t="n">
        <x:v>0.05008468870526439</x:v>
      </x:c>
      <x:c r="AA272" s="255" t="n">
        <x:v>0.9366685820742291</x:v>
      </x:c>
      <x:c r="AB272" s="255" t="n">
        <x:v>0.3871064708341515</x:v>
      </x:c>
    </x:row>
    <x:row r="273" ht="24" customHeight="1">
      <x:c r="C273" s="256" t="n">
        <x:f>242</x:f>
        <x:v>242</x:v>
      </x:c>
      <x:c r="D273" s="258" t="n">
        <x:f>IF(X273&lt;($E$12-$D$12)/($F$12-$D$12),$D$12+SQRT(X273*($F$12-$D$12)*($E$12-$D$12)),$F$12-SQRT((1-X273)*($F$12-$D$12)*($F$12-$E$12)))</x:f>
        <x:v>0.1442584601534915</x:v>
      </x:c>
      <x:c r="E273" s="258" t="n">
        <x:f>IF(Y273&lt;($E$13-$D$13)/($F$13-$D$13),$D$13+SQRT(Y273*($F$13-$D$13)*($E$13-$D$13)),$F$13-SQRT((1-Y273)*($F$13-$D$13)*($F$13-$E$13)))</x:f>
        <x:v>-0.00747532001174054</x:v>
      </x:c>
      <x:c r="F273" s="260" t="n">
        <x:f>IF(Z273&lt;($E$14-$D$14)/($F$14-$D$14),$D$14+SQRT(Z273*($F$14-$D$14)*($E$14-$D$14)),$F$14-SQRT((1-Z273)*($F$14-$D$14)*($F$14-$E$14)))</x:f>
        <x:v>1.124493288203557</x:v>
      </x:c>
      <x:c r="G273" s="258" t="n">
        <x:f>IF(AA273&lt;($E$15-$D$15)/($F$15-$D$15),$D$15+SQRT(AA273*($F$15-$D$15)*($E$15-$D$15)),$F$15-SQRT((1-AA273)*($F$15-$D$15)*($F$15-$E$15)))</x:f>
        <x:v>0.09385393583439297</x:v>
      </x:c>
      <x:c r="H273" s="258" t="n">
        <x:f>IF(AB273&lt;($E$16-$D$16)/($F$16-$D$16),$D$16+SQRT(AB273*($F$16-$D$16)*($E$16-$D$16)),$F$16-SQRT((1-AB273)*($F$16-$D$16)*($F$16-$E$16)))</x:f>
        <x:v>0.030517515717271196</x:v>
      </x:c>
      <x:c r="I273" s="262" t="n">
        <x:f>'Historical Inputs'!$N$9*(1+D273)^5</x:f>
        <x:v>650950.6821508957</x:v>
      </x:c>
      <x:c r="J273" s="262" t="n">
        <x:f>I273*(1+H273)*('Terminal Value'!$E$10+E273)*(1-'Assumptions'!$E$15)*(1-H273/'Terminal Value'!$E$12)</x:f>
        <x:v>178506.99748461053</x:v>
      </x:c>
      <x:c r="K273" s="264" t="n">
        <x:f>((SUM((('Historical Inputs'!$N$9*(1+(D273))^1)*(('Assumptions'!E37+(E273))*(1-'Assumptions'!E42-(0))+'Assumptions'!E47-'Assumptions'!E52*(F273)+'Assumptions'!E57-'Assumptions'!E62*(1)-'Assumptions'!E67-(0))+('Working Capital'!$E$6))*'DCF'!E12/(1+(G273))^'DCF'!E13,(('Historical Inputs'!$N$9*(1+(D273))^2)*(('Assumptions'!F37+(E273))*(1-'Assumptions'!F42-(0))+'Assumptions'!F47-'Assumptions'!F52*(F273)+'Assumptions'!F57-'Assumptions'!F62*(1)-'Assumptions'!F67-(0))+(('Historical Inputs'!$N$9*(1+(D273))^1)*('Assumptions'!E67+(0))))*'DCF'!F12/(1+(G273))^'DCF'!F13,(('Historical Inputs'!$N$9*(1+(D273))^3)*(('Assumptions'!G37+(E273))*(1-'Assumptions'!G42-(0))+'Assumptions'!G47-'Assumptions'!G52*(F273)+'Assumptions'!G57-'Assumptions'!G62*(1)-'Assumptions'!G67-(0))+(('Historical Inputs'!$N$9*(1+(D273))^2)*('Assumptions'!F67+(0))))*'DCF'!G12/(1+(G273))^'DCF'!G13,(('Historical Inputs'!$N$9*(1+(D273))^4)*(('Assumptions'!H37+(E273))*(1-'Assumptions'!H42-(0))+'Assumptions'!H47-'Assumptions'!H52*(F273)+'Assumptions'!H57-'Assumptions'!H62*(1)-'Assumptions'!H67-(0))+(('Historical Inputs'!$N$9*(1+(D273))^3)*('Assumptions'!G67+(0))))*'DCF'!H12/(1+(G273))^'DCF'!H13,(('Historical Inputs'!$N$9*(1+(D273))^5)*(('Assumptions'!I37+(E273))*(1-'Assumptions'!I42-(0))+'Assumptions'!I47-'Assumptions'!I52*(F273)+'Assumptions'!I57-'Assumptions'!I62*(1)-'Assumptions'!I67-(0))+(('Historical Inputs'!$N$9*(1+(D273))^4)*('Assumptions'!H67+(0))))*'DCF'!I12/(1+(G273))^'DCF'!I13)+('Historical Inputs'!$N$9*(1+(D273))^5)*(1+(H273))*('Terminal Value'!$E$10+(E273))*(1-'Assumptions'!$E$15-(0))*(1-(H273)/('Terminal Value'!$E$12))/((G273)-(H273))/(1+(G273))^'DCF'!$E$19)+'Equity Bridge'!$E$17)/'Equity Bridge'!$E$20</x:f>
        <x:v>294.54951462478886</x:v>
      </x:c>
      <x:c r="X273" s="255" t="n">
        <x:v>0.519828190803952</x:v>
      </x:c>
      <x:c r="Y273" s="255" t="n">
        <x:v>0.36166968162077495</x:v>
      </x:c>
      <x:c r="Z273" s="255" t="n">
        <x:v>0.9185533781955558</x:v>
      </x:c>
      <x:c r="AA273" s="255" t="n">
        <x:v>0.2550677957314341</x:v>
      </x:c>
      <x:c r="AB273" s="255" t="n">
        <x:v>0.550412459139006</x:v>
      </x:c>
    </x:row>
    <x:row r="274" ht="24" customHeight="1">
      <x:c r="C274" s="256" t="n">
        <x:f>243</x:f>
        <x:v>243</x:v>
      </x:c>
      <x:c r="D274" s="258" t="n">
        <x:f>IF(X274&lt;($E$12-$D$12)/($F$12-$D$12),$D$12+SQRT(X274*($F$12-$D$12)*($E$12-$D$12)),$F$12-SQRT((1-X274)*($F$12-$D$12)*($F$12-$E$12)))</x:f>
        <x:v>0.14938562400329483</x:v>
      </x:c>
      <x:c r="E274" s="258" t="n">
        <x:f>IF(Y274&lt;($E$13-$D$13)/($F$13-$D$13),$D$13+SQRT(Y274*($F$13-$D$13)*($E$13-$D$13)),$F$13-SQRT((1-Y274)*($F$13-$D$13)*($F$13-$E$13)))</x:f>
        <x:v>-0.009803939952448867</x:v>
      </x:c>
      <x:c r="F274" s="260" t="n">
        <x:f>IF(Z274&lt;($E$14-$D$14)/($F$14-$D$14),$D$14+SQRT(Z274*($F$14-$D$14)*($E$14-$D$14)),$F$14-SQRT((1-Z274)*($F$14-$D$14)*($F$14-$E$14)))</x:f>
        <x:v>0.9344804189567558</x:v>
      </x:c>
      <x:c r="G274" s="258" t="n">
        <x:f>IF(AA274&lt;($E$15-$D$15)/($F$15-$D$15),$D$15+SQRT(AA274*($F$15-$D$15)*($E$15-$D$15)),$F$15-SQRT((1-AA274)*($F$15-$D$15)*($F$15-$E$15)))</x:f>
        <x:v>0.1031737604035723</x:v>
      </x:c>
      <x:c r="H274" s="258" t="n">
        <x:f>IF(AB274&lt;($E$16-$D$16)/($F$16-$D$16),$D$16+SQRT(AB274*($F$16-$D$16)*($E$16-$D$16)),$F$16-SQRT((1-AB274)*($F$16-$D$16)*($F$16-$E$16)))</x:f>
        <x:v>0.028700827792368867</x:v>
      </x:c>
      <x:c r="I274" s="262" t="n">
        <x:f>'Historical Inputs'!$N$9*(1+D274)^5</x:f>
        <x:v>665665.7779312893</x:v>
      </x:c>
      <x:c r="J274" s="262" t="n">
        <x:f>I274*(1+H274)*('Terminal Value'!$E$10+E274)*(1-'Assumptions'!$E$15)*(1-H274/'Terminal Value'!$E$12)</x:f>
        <x:v>183081.07553271687</x:v>
      </x:c>
      <x:c r="K274" s="264" t="n">
        <x:f>((SUM((('Historical Inputs'!$N$9*(1+(D274))^1)*(('Assumptions'!E37+(E274))*(1-'Assumptions'!E42-(0))+'Assumptions'!E47-'Assumptions'!E52*(F274)+'Assumptions'!E57-'Assumptions'!E62*(1)-'Assumptions'!E67-(0))+('Working Capital'!$E$6))*'DCF'!E12/(1+(G274))^'DCF'!E13,(('Historical Inputs'!$N$9*(1+(D274))^2)*(('Assumptions'!F37+(E274))*(1-'Assumptions'!F42-(0))+'Assumptions'!F47-'Assumptions'!F52*(F274)+'Assumptions'!F57-'Assumptions'!F62*(1)-'Assumptions'!F67-(0))+(('Historical Inputs'!$N$9*(1+(D274))^1)*('Assumptions'!E67+(0))))*'DCF'!F12/(1+(G274))^'DCF'!F13,(('Historical Inputs'!$N$9*(1+(D274))^3)*(('Assumptions'!G37+(E274))*(1-'Assumptions'!G42-(0))+'Assumptions'!G47-'Assumptions'!G52*(F274)+'Assumptions'!G57-'Assumptions'!G62*(1)-'Assumptions'!G67-(0))+(('Historical Inputs'!$N$9*(1+(D274))^2)*('Assumptions'!F67+(0))))*'DCF'!G12/(1+(G274))^'DCF'!G13,(('Historical Inputs'!$N$9*(1+(D274))^4)*(('Assumptions'!H37+(E274))*(1-'Assumptions'!H42-(0))+'Assumptions'!H47-'Assumptions'!H52*(F274)+'Assumptions'!H57-'Assumptions'!H62*(1)-'Assumptions'!H67-(0))+(('Historical Inputs'!$N$9*(1+(D274))^3)*('Assumptions'!G67+(0))))*'DCF'!H12/(1+(G274))^'DCF'!H13,(('Historical Inputs'!$N$9*(1+(D274))^5)*(('Assumptions'!I37+(E274))*(1-'Assumptions'!I42-(0))+'Assumptions'!I47-'Assumptions'!I52*(F274)+'Assumptions'!I57-'Assumptions'!I62*(1)-'Assumptions'!I67-(0))+(('Historical Inputs'!$N$9*(1+(D274))^4)*('Assumptions'!H67+(0))))*'DCF'!I12/(1+(G274))^'DCF'!I13)+('Historical Inputs'!$N$9*(1+(D274))^5)*(1+(H274))*('Terminal Value'!$E$10+(E274))*(1-'Assumptions'!$E$15-(0))*(1-(H274)/('Terminal Value'!$E$12))/((G274)-(H274))/(1+(G274))^'DCF'!$E$19)+'Equity Bridge'!$E$17)/'Equity Bridge'!$E$20</x:f>
        <x:v>265.69582790256584</x:v>
      </x:c>
      <x:c r="X274" s="255" t="n">
        <x:v>0.6150600906153812</x:v>
      </x:c>
      <x:c r="Y274" s="255" t="n">
        <x:v>0.3231446486692673</x:v>
      </x:c>
      <x:c r="Z274" s="255" t="n">
        <x:v>0.13594173689731426</x:v>
      </x:c>
      <x:c r="AA274" s="255" t="n">
        <x:v>0.7792593495211615</x:v>
      </x:c>
      <x:c r="AB274" s="255" t="n">
        <x:v>0.3785220213622926</x:v>
      </x:c>
    </x:row>
    <x:row r="275" ht="24" customHeight="1">
      <x:c r="C275" s="256" t="n">
        <x:f>244</x:f>
        <x:v>244</x:v>
      </x:c>
      <x:c r="D275" s="258" t="n">
        <x:f>IF(X275&lt;($E$12-$D$12)/($F$12-$D$12),$D$12+SQRT(X275*($F$12-$D$12)*($E$12-$D$12)),$F$12-SQRT((1-X275)*($F$12-$D$12)*($F$12-$E$12)))</x:f>
        <x:v>0.14796826464642715</x:v>
      </x:c>
      <x:c r="E275" s="258" t="n">
        <x:f>IF(Y275&lt;($E$13-$D$13)/($F$13-$D$13),$D$13+SQRT(Y275*($F$13-$D$13)*($E$13-$D$13)),$F$13-SQRT((1-Y275)*($F$13-$D$13)*($F$13-$E$13)))</x:f>
        <x:v>-0.0013501509636492728</x:v>
      </x:c>
      <x:c r="F275" s="260" t="n">
        <x:f>IF(Z275&lt;($E$14-$D$14)/($F$14-$D$14),$D$14+SQRT(Z275*($F$14-$D$14)*($E$14-$D$14)),$F$14-SQRT((1-Z275)*($F$14-$D$14)*($F$14-$E$14)))</x:f>
        <x:v>0.9991793503885857</x:v>
      </x:c>
      <x:c r="G275" s="258" t="n">
        <x:f>IF(AA275&lt;($E$15-$D$15)/($F$15-$D$15),$D$15+SQRT(AA275*($F$15-$D$15)*($E$15-$D$15)),$F$15-SQRT((1-AA275)*($F$15-$D$15)*($F$15-$E$15)))</x:f>
        <x:v>0.10282173216080309</x:v>
      </x:c>
      <x:c r="H275" s="258" t="n">
        <x:f>IF(AB275&lt;($E$16-$D$16)/($F$16-$D$16),$D$16+SQRT(AB275*($F$16-$D$16)*($E$16-$D$16)),$F$16-SQRT((1-AB275)*($F$16-$D$16)*($F$16-$E$16)))</x:f>
        <x:v>0.025509594900993443</x:v>
      </x:c>
      <x:c r="I275" s="262" t="n">
        <x:f>'Historical Inputs'!$N$9*(1+D275)^5</x:f>
        <x:v>661571.5751134795</x:v>
      </x:c>
      <x:c r="J275" s="262" t="n">
        <x:f>I275*(1+H275)*('Terminal Value'!$E$10+E275)*(1-'Assumptions'!$E$15)*(1-H275/'Terminal Value'!$E$12)</x:f>
        <x:v>188772.92773099005</x:v>
      </x:c>
      <x:c r="K275" s="264" t="n">
        <x:f>((SUM((('Historical Inputs'!$N$9*(1+(D275))^1)*(('Assumptions'!E37+(E275))*(1-'Assumptions'!E42-(0))+'Assumptions'!E47-'Assumptions'!E52*(F275)+'Assumptions'!E57-'Assumptions'!E62*(1)-'Assumptions'!E67-(0))+('Working Capital'!$E$6))*'DCF'!E12/(1+(G275))^'DCF'!E13,(('Historical Inputs'!$N$9*(1+(D275))^2)*(('Assumptions'!F37+(E275))*(1-'Assumptions'!F42-(0))+'Assumptions'!F47-'Assumptions'!F52*(F275)+'Assumptions'!F57-'Assumptions'!F62*(1)-'Assumptions'!F67-(0))+(('Historical Inputs'!$N$9*(1+(D275))^1)*('Assumptions'!E67+(0))))*'DCF'!F12/(1+(G275))^'DCF'!F13,(('Historical Inputs'!$N$9*(1+(D275))^3)*(('Assumptions'!G37+(E275))*(1-'Assumptions'!G42-(0))+'Assumptions'!G47-'Assumptions'!G52*(F275)+'Assumptions'!G57-'Assumptions'!G62*(1)-'Assumptions'!G67-(0))+(('Historical Inputs'!$N$9*(1+(D275))^2)*('Assumptions'!F67+(0))))*'DCF'!G12/(1+(G275))^'DCF'!G13,(('Historical Inputs'!$N$9*(1+(D275))^4)*(('Assumptions'!H37+(E275))*(1-'Assumptions'!H42-(0))+'Assumptions'!H47-'Assumptions'!H52*(F275)+'Assumptions'!H57-'Assumptions'!H62*(1)-'Assumptions'!H67-(0))+(('Historical Inputs'!$N$9*(1+(D275))^3)*('Assumptions'!G67+(0))))*'DCF'!H12/(1+(G275))^'DCF'!H13,(('Historical Inputs'!$N$9*(1+(D275))^5)*(('Assumptions'!I37+(E275))*(1-'Assumptions'!I42-(0))+'Assumptions'!I47-'Assumptions'!I52*(F275)+'Assumptions'!I57-'Assumptions'!I62*(1)-'Assumptions'!I67-(0))+(('Historical Inputs'!$N$9*(1+(D275))^4)*('Assumptions'!H67+(0))))*'DCF'!I12/(1+(G275))^'DCF'!I13)+('Historical Inputs'!$N$9*(1+(D275))^5)*(1+(H275))*('Terminal Value'!$E$10+(E275))*(1-'Assumptions'!$E$15-(0))*(1-(H275)/('Terminal Value'!$E$12))/((G275)-(H275))/(1+(G275))^'DCF'!$E$19)+'Equity Bridge'!$E$17)/'Equity Bridge'!$E$20</x:f>
        <x:v>262.0094392236761</x:v>
      </x:c>
      <x:c r="X275" s="255" t="n">
        <x:v>0.5897856946248987</x:v>
      </x:c>
      <x:c r="Y275" s="255" t="n">
        <x:v>0.47336156225194326</x:v>
      </x:c>
      <x:c r="Z275" s="255" t="n">
        <x:v>0.4238948301401986</x:v>
      </x:c>
      <x:c r="AA275" s="255" t="n">
        <x:v>0.7633905061661744</x:v>
      </x:c>
      <x:c r="AB275" s="255" t="n">
        <x:v>0.15177817986526498</x:v>
      </x:c>
    </x:row>
    <x:row r="276" ht="24" customHeight="1">
      <x:c r="C276" s="256" t="n">
        <x:f>245</x:f>
        <x:v>245</x:v>
      </x:c>
      <x:c r="D276" s="258" t="n">
        <x:f>IF(X276&lt;($E$12-$D$12)/($F$12-$D$12),$D$12+SQRT(X276*($F$12-$D$12)*($E$12-$D$12)),$F$12-SQRT((1-X276)*($F$12-$D$12)*($F$12-$E$12)))</x:f>
        <x:v>0.18137934538280576</x:v>
      </x:c>
      <x:c r="E276" s="258" t="n">
        <x:f>IF(Y276&lt;($E$13-$D$13)/($F$13-$D$13),$D$13+SQRT(Y276*($F$13-$D$13)*($E$13-$D$13)),$F$13-SQRT((1-Y276)*($F$13-$D$13)*($F$13-$E$13)))</x:f>
        <x:v>-0.031608120926932354</x:v>
      </x:c>
      <x:c r="F276" s="260" t="n">
        <x:f>IF(Z276&lt;($E$14-$D$14)/($F$14-$D$14),$D$14+SQRT(Z276*($F$14-$D$14)*($E$14-$D$14)),$F$14-SQRT((1-Z276)*($F$14-$D$14)*($F$14-$E$14)))</x:f>
        <x:v>0.9574900144037896</x:v>
      </x:c>
      <x:c r="G276" s="258" t="n">
        <x:f>IF(AA276&lt;($E$15-$D$15)/($F$15-$D$15),$D$15+SQRT(AA276*($F$15-$D$15)*($E$15-$D$15)),$F$15-SQRT((1-AA276)*($F$15-$D$15)*($F$15-$E$15)))</x:f>
        <x:v>0.10545412097341296</x:v>
      </x:c>
      <x:c r="H276" s="258" t="n">
        <x:f>IF(AB276&lt;($E$16-$D$16)/($F$16-$D$16),$D$16+SQRT(AB276*($F$16-$D$16)*($E$16-$D$16)),$F$16-SQRT((1-AB276)*($F$16-$D$16)*($F$16-$E$16)))</x:f>
        <x:v>0.027266092674721746</x:v>
      </x:c>
      <x:c r="I276" s="262" t="n">
        <x:f>'Historical Inputs'!$N$9*(1+D276)^5</x:f>
        <x:v>763614.7242778307</x:v>
      </x:c>
      <x:c r="J276" s="262" t="n">
        <x:f>I276*(1+H276)*('Terminal Value'!$E$10+E276)*(1-'Assumptions'!$E$15)*(1-H276/'Terminal Value'!$E$12)</x:f>
        <x:v>199666.35225920953</x:v>
      </x:c>
      <x:c r="K276" s="264" t="n">
        <x:f>((SUM((('Historical Inputs'!$N$9*(1+(D276))^1)*(('Assumptions'!E37+(E276))*(1-'Assumptions'!E42-(0))+'Assumptions'!E47-'Assumptions'!E52*(F276)+'Assumptions'!E57-'Assumptions'!E62*(1)-'Assumptions'!E67-(0))+('Working Capital'!$E$6))*'DCF'!E12/(1+(G276))^'DCF'!E13,(('Historical Inputs'!$N$9*(1+(D276))^2)*(('Assumptions'!F37+(E276))*(1-'Assumptions'!F42-(0))+'Assumptions'!F47-'Assumptions'!F52*(F276)+'Assumptions'!F57-'Assumptions'!F62*(1)-'Assumptions'!F67-(0))+(('Historical Inputs'!$N$9*(1+(D276))^1)*('Assumptions'!E67+(0))))*'DCF'!F12/(1+(G276))^'DCF'!F13,(('Historical Inputs'!$N$9*(1+(D276))^3)*(('Assumptions'!G37+(E276))*(1-'Assumptions'!G42-(0))+'Assumptions'!G47-'Assumptions'!G52*(F276)+'Assumptions'!G57-'Assumptions'!G62*(1)-'Assumptions'!G67-(0))+(('Historical Inputs'!$N$9*(1+(D276))^2)*('Assumptions'!F67+(0))))*'DCF'!G12/(1+(G276))^'DCF'!G13,(('Historical Inputs'!$N$9*(1+(D276))^4)*(('Assumptions'!H37+(E276))*(1-'Assumptions'!H42-(0))+'Assumptions'!H47-'Assumptions'!H52*(F276)+'Assumptions'!H57-'Assumptions'!H62*(1)-'Assumptions'!H67-(0))+(('Historical Inputs'!$N$9*(1+(D276))^3)*('Assumptions'!G67+(0))))*'DCF'!H12/(1+(G276))^'DCF'!H13,(('Historical Inputs'!$N$9*(1+(D276))^5)*(('Assumptions'!I37+(E276))*(1-'Assumptions'!I42-(0))+'Assumptions'!I47-'Assumptions'!I52*(F276)+'Assumptions'!I57-'Assumptions'!I62*(1)-'Assumptions'!I67-(0))+(('Historical Inputs'!$N$9*(1+(D276))^4)*('Assumptions'!H67+(0))))*'DCF'!I12/(1+(G276))^'DCF'!I13)+('Historical Inputs'!$N$9*(1+(D276))^5)*(1+(H276))*('Terminal Value'!$E$10+(E276))*(1-'Assumptions'!$E$15-(0))*(1-(H276)/('Terminal Value'!$E$12))/((G276)-(H276))/(1+(G276))^'DCF'!$E$19)+'Equity Bridge'!$E$17)/'Equity Bridge'!$E$20</x:f>
        <x:v>270.90035104750547</x:v>
      </x:c>
      <x:c r="X276" s="255" t="n">
        <x:v>0.9717841604618852</x:v>
      </x:c>
      <x:c r="Y276" s="255" t="n">
        <x:v>0.06765224316766871</x:v>
      </x:c>
      <x:c r="Z276" s="255" t="n">
        <x:v>0.2200781561243218</x:v>
      </x:c>
      <x:c r="AA276" s="255" t="n">
        <x:v>0.8687146373333019</x:v>
      </x:c>
      <x:c r="AB276" s="255" t="n">
        <x:v>0.2639805137882252</x:v>
      </x:c>
    </x:row>
    <x:row r="277" ht="24" customHeight="1">
      <x:c r="C277" s="256" t="n">
        <x:f>246</x:f>
        <x:v>246</x:v>
      </x:c>
      <x:c r="D277" s="258" t="n">
        <x:f>IF(X277&lt;($E$12-$D$12)/($F$12-$D$12),$D$12+SQRT(X277*($F$12-$D$12)*($E$12-$D$12)),$F$12-SQRT((1-X277)*($F$12-$D$12)*($F$12-$E$12)))</x:f>
        <x:v>0.1553018449635134</x:v>
      </x:c>
      <x:c r="E277" s="258" t="n">
        <x:f>IF(Y277&lt;($E$13-$D$13)/($F$13-$D$13),$D$13+SQRT(Y277*($F$13-$D$13)*($E$13-$D$13)),$F$13-SQRT((1-Y277)*($F$13-$D$13)*($F$13-$E$13)))</x:f>
        <x:v>-0.01876155814769172</x:v>
      </x:c>
      <x:c r="F277" s="260" t="n">
        <x:f>IF(Z277&lt;($E$14-$D$14)/($F$14-$D$14),$D$14+SQRT(Z277*($F$14-$D$14)*($E$14-$D$14)),$F$14-SQRT((1-Z277)*($F$14-$D$14)*($F$14-$E$14)))</x:f>
        <x:v>0.9408561765380978</x:v>
      </x:c>
      <x:c r="G277" s="258" t="n">
        <x:f>IF(AA277&lt;($E$15-$D$15)/($F$15-$D$15),$D$15+SQRT(AA277*($F$15-$D$15)*($E$15-$D$15)),$F$15-SQRT((1-AA277)*($F$15-$D$15)*($F$15-$E$15)))</x:f>
        <x:v>0.0865183210441852</x:v>
      </x:c>
      <x:c r="H277" s="258" t="n">
        <x:f>IF(AB277&lt;($E$16-$D$16)/($F$16-$D$16),$D$16+SQRT(AB277*($F$16-$D$16)*($E$16-$D$16)),$F$16-SQRT((1-AB277)*($F$16-$D$16)*($F$16-$E$16)))</x:f>
        <x:v>0.029027156077918732</x:v>
      </x:c>
      <x:c r="I277" s="262" t="n">
        <x:f>'Historical Inputs'!$N$9*(1+D277)^5</x:f>
        <x:v>682974.9270345193</x:v>
      </x:c>
      <x:c r="J277" s="262" t="n">
        <x:f>I277*(1+H277)*('Terminal Value'!$E$10+E277)*(1-'Assumptions'!$E$15)*(1-H277/'Terminal Value'!$E$12)</x:f>
        <x:v>183237.9436298401</x:v>
      </x:c>
      <x:c r="K277" s="264" t="n">
        <x:f>((SUM((('Historical Inputs'!$N$9*(1+(D277))^1)*(('Assumptions'!E37+(E277))*(1-'Assumptions'!E42-(0))+'Assumptions'!E47-'Assumptions'!E52*(F277)+'Assumptions'!E57-'Assumptions'!E62*(1)-'Assumptions'!E67-(0))+('Working Capital'!$E$6))*'DCF'!E12/(1+(G277))^'DCF'!E13,(('Historical Inputs'!$N$9*(1+(D277))^2)*(('Assumptions'!F37+(E277))*(1-'Assumptions'!F42-(0))+'Assumptions'!F47-'Assumptions'!F52*(F277)+'Assumptions'!F57-'Assumptions'!F62*(1)-'Assumptions'!F67-(0))+(('Historical Inputs'!$N$9*(1+(D277))^1)*('Assumptions'!E67+(0))))*'DCF'!F12/(1+(G277))^'DCF'!F13,(('Historical Inputs'!$N$9*(1+(D277))^3)*(('Assumptions'!G37+(E277))*(1-'Assumptions'!G42-(0))+'Assumptions'!G47-'Assumptions'!G52*(F277)+'Assumptions'!G57-'Assumptions'!G62*(1)-'Assumptions'!G67-(0))+(('Historical Inputs'!$N$9*(1+(D277))^2)*('Assumptions'!F67+(0))))*'DCF'!G12/(1+(G277))^'DCF'!G13,(('Historical Inputs'!$N$9*(1+(D277))^4)*(('Assumptions'!H37+(E277))*(1-'Assumptions'!H42-(0))+'Assumptions'!H47-'Assumptions'!H52*(F277)+'Assumptions'!H57-'Assumptions'!H62*(1)-'Assumptions'!H67-(0))+(('Historical Inputs'!$N$9*(1+(D277))^3)*('Assumptions'!G67+(0))))*'DCF'!H12/(1+(G277))^'DCF'!H13,(('Historical Inputs'!$N$9*(1+(D277))^5)*(('Assumptions'!I37+(E277))*(1-'Assumptions'!I42-(0))+'Assumptions'!I47-'Assumptions'!I52*(F277)+'Assumptions'!I57-'Assumptions'!I62*(1)-'Assumptions'!I67-(0))+(('Historical Inputs'!$N$9*(1+(D277))^4)*('Assumptions'!H67+(0))))*'DCF'!I12/(1+(G277))^'DCF'!I13)+('Historical Inputs'!$N$9*(1+(D277))^5)*(1+(H277))*('Terminal Value'!$E$10+(E277))*(1-'Assumptions'!$E$15-(0))*(1-(H277)/('Terminal Value'!$E$12))/((G277)-(H277))/(1+(G277))^'DCF'!$E$19)+'Equity Bridge'!$E$17)/'Equity Bridge'!$E$20</x:f>
        <x:v>348.6248752253556</x:v>
      </x:c>
      <x:c r="X277" s="255" t="n">
        <x:v>0.7118809098666012</x:v>
      </x:c>
      <x:c r="Y277" s="255" t="n">
        <x:v>0.1951680498720091</x:v>
      </x:c>
      <x:c r="Z277" s="255" t="n">
        <x:v>0.15723513933565714</x:v>
      </x:c>
      <x:c r="AA277" s="255" t="n">
        <x:v>0.025356795659264852</x:v>
      </x:c>
      <x:c r="AB277" s="255" t="n">
        <x:v>0.4074477342755257</x:v>
      </x:c>
    </x:row>
    <x:row r="278" ht="24" customHeight="1">
      <x:c r="C278" s="256" t="n">
        <x:f>247</x:f>
        <x:v>247</x:v>
      </x:c>
      <x:c r="D278" s="258" t="n">
        <x:f>IF(X278&lt;($E$12-$D$12)/($F$12-$D$12),$D$12+SQRT(X278*($F$12-$D$12)*($E$12-$D$12)),$F$12-SQRT((1-X278)*($F$12-$D$12)*($F$12-$E$12)))</x:f>
        <x:v>0.13929088167805484</x:v>
      </x:c>
      <x:c r="E278" s="258" t="n">
        <x:f>IF(Y278&lt;($E$13-$D$13)/($F$13-$D$13),$D$13+SQRT(Y278*($F$13-$D$13)*($E$13-$D$13)),$F$13-SQRT((1-Y278)*($F$13-$D$13)*($F$13-$E$13)))</x:f>
        <x:v>0.002410701322768216</x:v>
      </x:c>
      <x:c r="F278" s="260" t="n">
        <x:f>IF(Z278&lt;($E$14-$D$14)/($F$14-$D$14),$D$14+SQRT(Z278*($F$14-$D$14)*($E$14-$D$14)),$F$14-SQRT((1-Z278)*($F$14-$D$14)*($F$14-$E$14)))</x:f>
        <x:v>0.9872592020199795</x:v>
      </x:c>
      <x:c r="G278" s="258" t="n">
        <x:f>IF(AA278&lt;($E$15-$D$15)/($F$15-$D$15),$D$15+SQRT(AA278*($F$15-$D$15)*($E$15-$D$15)),$F$15-SQRT((1-AA278)*($F$15-$D$15)*($F$15-$E$15)))</x:f>
        <x:v>0.09827835262900715</x:v>
      </x:c>
      <x:c r="H278" s="258" t="n">
        <x:f>IF(AB278&lt;($E$16-$D$16)/($F$16-$D$16),$D$16+SQRT(AB278*($F$16-$D$16)*($E$16-$D$16)),$F$16-SQRT((1-AB278)*($F$16-$D$16)*($F$16-$E$16)))</x:f>
        <x:v>0.028968914655341318</x:v>
      </x:c>
      <x:c r="I278" s="262" t="n">
        <x:f>'Historical Inputs'!$N$9*(1+D278)^5</x:f>
        <x:v>636942.94786736</x:v>
      </x:c>
      <x:c r="J278" s="262" t="n">
        <x:f>I278*(1+H278)*('Terminal Value'!$E$10+E278)*(1-'Assumptions'!$E$15)*(1-H278/'Terminal Value'!$E$12)</x:f>
        <x:v>180429.41990553474</x:v>
      </x:c>
      <x:c r="K278" s="264" t="n">
        <x:f>((SUM((('Historical Inputs'!$N$9*(1+(D278))^1)*(('Assumptions'!E37+(E278))*(1-'Assumptions'!E42-(0))+'Assumptions'!E47-'Assumptions'!E52*(F278)+'Assumptions'!E57-'Assumptions'!E62*(1)-'Assumptions'!E67-(0))+('Working Capital'!$E$6))*'DCF'!E12/(1+(G278))^'DCF'!E13,(('Historical Inputs'!$N$9*(1+(D278))^2)*(('Assumptions'!F37+(E278))*(1-'Assumptions'!F42-(0))+'Assumptions'!F47-'Assumptions'!F52*(F278)+'Assumptions'!F57-'Assumptions'!F62*(1)-'Assumptions'!F67-(0))+(('Historical Inputs'!$N$9*(1+(D278))^1)*('Assumptions'!E67+(0))))*'DCF'!F12/(1+(G278))^'DCF'!F13,(('Historical Inputs'!$N$9*(1+(D278))^3)*(('Assumptions'!G37+(E278))*(1-'Assumptions'!G42-(0))+'Assumptions'!G47-'Assumptions'!G52*(F278)+'Assumptions'!G57-'Assumptions'!G62*(1)-'Assumptions'!G67-(0))+(('Historical Inputs'!$N$9*(1+(D278))^2)*('Assumptions'!F67+(0))))*'DCF'!G12/(1+(G278))^'DCF'!G13,(('Historical Inputs'!$N$9*(1+(D278))^4)*(('Assumptions'!H37+(E278))*(1-'Assumptions'!H42-(0))+'Assumptions'!H47-'Assumptions'!H52*(F278)+'Assumptions'!H57-'Assumptions'!H62*(1)-'Assumptions'!H67-(0))+(('Historical Inputs'!$N$9*(1+(D278))^3)*('Assumptions'!G67+(0))))*'DCF'!H12/(1+(G278))^'DCF'!H13,(('Historical Inputs'!$N$9*(1+(D278))^5)*(('Assumptions'!I37+(E278))*(1-'Assumptions'!I42-(0))+'Assumptions'!I47-'Assumptions'!I52*(F278)+'Assumptions'!I57-'Assumptions'!I62*(1)-'Assumptions'!I67-(0))+(('Historical Inputs'!$N$9*(1+(D278))^4)*('Assumptions'!H67+(0))))*'DCF'!I12/(1+(G278))^'DCF'!I13)+('Historical Inputs'!$N$9*(1+(D278))^5)*(1+(H278))*('Terminal Value'!$E$10+(E278))*(1-'Assumptions'!$E$15-(0))*(1-(H278)/('Terminal Value'!$E$12))/((G278)-(H278))/(1+(G278))^'DCF'!$E$19)+'Equity Bridge'!$E$17)/'Equity Bridge'!$E$20</x:f>
        <x:v>280.64033147778804</x:v>
      </x:c>
      <x:c r="X278" s="255" t="n">
        <x:v>0.42382325057466885</x:v>
      </x:c>
      <x:c r="Y278" s="255" t="n">
        <x:v>0.547051730281845</x:v>
      </x:c>
      <x:c r="Z278" s="255" t="n">
        <x:v>0.3588588293173627</x:v>
      </x:c>
      <x:c r="AA278" s="255" t="n">
        <x:v>0.5091565794174769</x:v>
      </x:c>
      <x:c r="AB278" s="255" t="n">
        <x:v>0.40220715047398137</x:v>
      </x:c>
    </x:row>
    <x:row r="279" ht="24" customHeight="1">
      <x:c r="C279" s="256" t="n">
        <x:f>248</x:f>
        <x:v>248</x:v>
      </x:c>
      <x:c r="D279" s="258" t="n">
        <x:f>IF(X279&lt;($E$12-$D$12)/($F$12-$D$12),$D$12+SQRT(X279*($F$12-$D$12)*($E$12-$D$12)),$F$12-SQRT((1-X279)*($F$12-$D$12)*($F$12-$E$12)))</x:f>
        <x:v>0.13144496028499386</x:v>
      </x:c>
      <x:c r="E279" s="258" t="n">
        <x:f>IF(Y279&lt;($E$13-$D$13)/($F$13-$D$13),$D$13+SQRT(Y279*($F$13-$D$13)*($E$13-$D$13)),$F$13-SQRT((1-Y279)*($F$13-$D$13)*($F$13-$E$13)))</x:f>
        <x:v>0.02902640264999516</x:v>
      </x:c>
      <x:c r="F279" s="260" t="n">
        <x:f>IF(Z279&lt;($E$14-$D$14)/($F$14-$D$14),$D$14+SQRT(Z279*($F$14-$D$14)*($E$14-$D$14)),$F$14-SQRT((1-Z279)*($F$14-$D$14)*($F$14-$E$14)))</x:f>
        <x:v>1.078428360532795</x:v>
      </x:c>
      <x:c r="G279" s="258" t="n">
        <x:f>IF(AA279&lt;($E$15-$D$15)/($F$15-$D$15),$D$15+SQRT(AA279*($F$15-$D$15)*($E$15-$D$15)),$F$15-SQRT((1-AA279)*($F$15-$D$15)*($F$15-$E$15)))</x:f>
        <x:v>0.08929288935168037</x:v>
      </x:c>
      <x:c r="H279" s="258" t="n">
        <x:f>IF(AB279&lt;($E$16-$D$16)/($F$16-$D$16),$D$16+SQRT(AB279*($F$16-$D$16)*($E$16-$D$16)),$F$16-SQRT((1-AB279)*($F$16-$D$16)*($F$16-$E$16)))</x:f>
        <x:v>0.03396304748359884</x:v>
      </x:c>
      <x:c r="I279" s="262" t="n">
        <x:f>'Historical Inputs'!$N$9*(1+D279)^5</x:f>
        <x:v>615310.8703686162</x:v>
      </x:c>
      <x:c r="J279" s="262" t="n">
        <x:f>I279*(1+H279)*('Terminal Value'!$E$10+E279)*(1-'Assumptions'!$E$15)*(1-H279/'Terminal Value'!$E$12)</x:f>
        <x:v>181279.36461939247</x:v>
      </x:c>
      <x:c r="K279" s="264" t="n">
        <x:f>((SUM((('Historical Inputs'!$N$9*(1+(D279))^1)*(('Assumptions'!E37+(E279))*(1-'Assumptions'!E42-(0))+'Assumptions'!E47-'Assumptions'!E52*(F279)+'Assumptions'!E57-'Assumptions'!E62*(1)-'Assumptions'!E67-(0))+('Working Capital'!$E$6))*'DCF'!E12/(1+(G279))^'DCF'!E13,(('Historical Inputs'!$N$9*(1+(D279))^2)*(('Assumptions'!F37+(E279))*(1-'Assumptions'!F42-(0))+'Assumptions'!F47-'Assumptions'!F52*(F279)+'Assumptions'!F57-'Assumptions'!F62*(1)-'Assumptions'!F67-(0))+(('Historical Inputs'!$N$9*(1+(D279))^1)*('Assumptions'!E67+(0))))*'DCF'!F12/(1+(G279))^'DCF'!F13,(('Historical Inputs'!$N$9*(1+(D279))^3)*(('Assumptions'!G37+(E279))*(1-'Assumptions'!G42-(0))+'Assumptions'!G47-'Assumptions'!G52*(F279)+'Assumptions'!G57-'Assumptions'!G62*(1)-'Assumptions'!G67-(0))+(('Historical Inputs'!$N$9*(1+(D279))^2)*('Assumptions'!F67+(0))))*'DCF'!G12/(1+(G279))^'DCF'!G13,(('Historical Inputs'!$N$9*(1+(D279))^4)*(('Assumptions'!H37+(E279))*(1-'Assumptions'!H42-(0))+'Assumptions'!H47-'Assumptions'!H52*(F279)+'Assumptions'!H57-'Assumptions'!H62*(1)-'Assumptions'!H67-(0))+(('Historical Inputs'!$N$9*(1+(D279))^3)*('Assumptions'!G67+(0))))*'DCF'!H12/(1+(G279))^'DCF'!H13,(('Historical Inputs'!$N$9*(1+(D279))^5)*(('Assumptions'!I37+(E279))*(1-'Assumptions'!I42-(0))+'Assumptions'!I47-'Assumptions'!I52*(F279)+'Assumptions'!I57-'Assumptions'!I62*(1)-'Assumptions'!I67-(0))+(('Historical Inputs'!$N$9*(1+(D279))^4)*('Assumptions'!H67+(0))))*'DCF'!I12/(1+(G279))^'DCF'!I13)+('Historical Inputs'!$N$9*(1+(D279))^5)*(1+(H279))*('Terminal Value'!$E$10+(E279))*(1-'Assumptions'!$E$15-(0))*(1-(H279)/('Terminal Value'!$E$12))/((G279)-(H279))/(1+(G279))^'DCF'!$E$19)+'Equity Bridge'!$E$17)/'Equity Bridge'!$E$20</x:f>
        <x:v>349.413856060415</x:v>
      </x:c>
      <x:c r="X279" s="255" t="n">
        <x:v>0.29166372874870405</x:v>
      </x:c>
      <x:c r="Y279" s="255" t="n">
        <x:v>0.912021642839974</x:v>
      </x:c>
      <x:c r="Z279" s="255" t="n">
        <x:v>0.7888619496750842</x:v>
      </x:c>
      <x:c r="AA279" s="255" t="n">
        <x:v>0.08411889577055676</x:v>
      </x:c>
      <x:c r="AB279" s="255" t="n">
        <x:v>0.8177760215735883</x:v>
      </x:c>
    </x:row>
    <x:row r="280" ht="24" customHeight="1">
      <x:c r="C280" s="256" t="n">
        <x:f>249</x:f>
        <x:v>249</x:v>
      </x:c>
      <x:c r="D280" s="258" t="n">
        <x:f>IF(X280&lt;($E$12-$D$12)/($F$12-$D$12),$D$12+SQRT(X280*($F$12-$D$12)*($E$12-$D$12)),$F$12-SQRT((1-X280)*($F$12-$D$12)*($F$12-$E$12)))</x:f>
        <x:v>0.12843285136888963</x:v>
      </x:c>
      <x:c r="E280" s="258" t="n">
        <x:f>IF(Y280&lt;($E$13-$D$13)/($F$13-$D$13),$D$13+SQRT(Y280*($F$13-$D$13)*($E$13-$D$13)),$F$13-SQRT((1-Y280)*($F$13-$D$13)*($F$13-$E$13)))</x:f>
        <x:v>0.00943512275886333</x:v>
      </x:c>
      <x:c r="F280" s="260" t="n">
        <x:f>IF(Z280&lt;($E$14-$D$14)/($F$14-$D$14),$D$14+SQRT(Z280*($F$14-$D$14)*($E$14-$D$14)),$F$14-SQRT((1-Z280)*($F$14-$D$14)*($F$14-$E$14)))</x:f>
        <x:v>0.9608720722173157</x:v>
      </x:c>
      <x:c r="G280" s="258" t="n">
        <x:f>IF(AA280&lt;($E$15-$D$15)/($F$15-$D$15),$D$15+SQRT(AA280*($F$15-$D$15)*($E$15-$D$15)),$F$15-SQRT((1-AA280)*($F$15-$D$15)*($F$15-$E$15)))</x:f>
        <x:v>0.10185287257051034</x:v>
      </x:c>
      <x:c r="H280" s="258" t="n">
        <x:f>IF(AB280&lt;($E$16-$D$16)/($F$16-$D$16),$D$16+SQRT(AB280*($F$16-$D$16)*($E$16-$D$16)),$F$16-SQRT((1-AB280)*($F$16-$D$16)*($F$16-$E$16)))</x:f>
        <x:v>0.027083913623951947</x:v>
      </x:c>
      <x:c r="I280" s="262" t="n">
        <x:f>'Historical Inputs'!$N$9*(1+D280)^5</x:f>
        <x:v>607164.0245963441</x:v>
      </x:c>
      <x:c r="J280" s="262" t="n">
        <x:f>I280*(1+H280)*('Terminal Value'!$E$10+E280)*(1-'Assumptions'!$E$15)*(1-H280/'Terminal Value'!$E$12)</x:f>
        <x:v>176600.7088289082</x:v>
      </x:c>
      <x:c r="K280" s="264" t="n">
        <x:f>((SUM((('Historical Inputs'!$N$9*(1+(D280))^1)*(('Assumptions'!E37+(E280))*(1-'Assumptions'!E42-(0))+'Assumptions'!E47-'Assumptions'!E52*(F280)+'Assumptions'!E57-'Assumptions'!E62*(1)-'Assumptions'!E67-(0))+('Working Capital'!$E$6))*'DCF'!E12/(1+(G280))^'DCF'!E13,(('Historical Inputs'!$N$9*(1+(D280))^2)*(('Assumptions'!F37+(E280))*(1-'Assumptions'!F42-(0))+'Assumptions'!F47-'Assumptions'!F52*(F280)+'Assumptions'!F57-'Assumptions'!F62*(1)-'Assumptions'!F67-(0))+(('Historical Inputs'!$N$9*(1+(D280))^1)*('Assumptions'!E67+(0))))*'DCF'!F12/(1+(G280))^'DCF'!F13,(('Historical Inputs'!$N$9*(1+(D280))^3)*(('Assumptions'!G37+(E280))*(1-'Assumptions'!G42-(0))+'Assumptions'!G47-'Assumptions'!G52*(F280)+'Assumptions'!G57-'Assumptions'!G62*(1)-'Assumptions'!G67-(0))+(('Historical Inputs'!$N$9*(1+(D280))^2)*('Assumptions'!F67+(0))))*'DCF'!G12/(1+(G280))^'DCF'!G13,(('Historical Inputs'!$N$9*(1+(D280))^4)*(('Assumptions'!H37+(E280))*(1-'Assumptions'!H42-(0))+'Assumptions'!H47-'Assumptions'!H52*(F280)+'Assumptions'!H57-'Assumptions'!H62*(1)-'Assumptions'!H67-(0))+(('Historical Inputs'!$N$9*(1+(D280))^3)*('Assumptions'!G67+(0))))*'DCF'!H12/(1+(G280))^'DCF'!H13,(('Historical Inputs'!$N$9*(1+(D280))^5)*(('Assumptions'!I37+(E280))*(1-'Assumptions'!I42-(0))+'Assumptions'!I47-'Assumptions'!I52*(F280)+'Assumptions'!I57-'Assumptions'!I62*(1)-'Assumptions'!I67-(0))+(('Historical Inputs'!$N$9*(1+(D280))^4)*('Assumptions'!H67+(0))))*'DCF'!I12/(1+(G280))^'DCF'!I13)+('Historical Inputs'!$N$9*(1+(D280))^5)*(1+(H280))*('Terminal Value'!$E$10+(E280))*(1-'Assumptions'!$E$15-(0))*(1-(H280)/('Terminal Value'!$E$12))/((G280)-(H280))/(1+(G280))^'DCF'!$E$19)+'Equity Bridge'!$E$17)/'Equity Bridge'!$E$20</x:f>
        <x:v>257.29304150368614</x:v>
      </x:c>
      <x:c r="X280" s="255" t="n">
        <x:v>0.24746779680527808</x:v>
      </x:c>
      <x:c r="Y280" s="255" t="n">
        <x:v>0.6708981468823025</x:v>
      </x:c>
      <x:c r="Z280" s="255" t="n">
        <x:v>0.23414507424307984</x:v>
      </x:c>
      <x:c r="AA280" s="255" t="n">
        <x:v>0.716872039520758</x:v>
      </x:c>
      <x:c r="AB280" s="255" t="n">
        <x:v>0.25090916115806006</x:v>
      </x:c>
    </x:row>
    <x:row r="281" ht="24" customHeight="1">
      <x:c r="C281" s="256" t="n">
        <x:f>250</x:f>
        <x:v>250</x:v>
      </x:c>
      <x:c r="D281" s="258" t="n">
        <x:f>IF(X281&lt;($E$12-$D$12)/($F$12-$D$12),$D$12+SQRT(X281*($F$12-$D$12)*($E$12-$D$12)),$F$12-SQRT((1-X281)*($F$12-$D$12)*($F$12-$E$12)))</x:f>
        <x:v>0.14793482026640847</x:v>
      </x:c>
      <x:c r="E281" s="258" t="n">
        <x:f>IF(Y281&lt;($E$13-$D$13)/($F$13-$D$13),$D$13+SQRT(Y281*($F$13-$D$13)*($E$13-$D$13)),$F$13-SQRT((1-Y281)*($F$13-$D$13)*($F$13-$E$13)))</x:f>
        <x:v>0.025576318048466534</x:v>
      </x:c>
      <x:c r="F281" s="260" t="n">
        <x:f>IF(Z281&lt;($E$14-$D$14)/($F$14-$D$14),$D$14+SQRT(Z281*($F$14-$D$14)*($E$14-$D$14)),$F$14-SQRT((1-Z281)*($F$14-$D$14)*($F$14-$E$14)))</x:f>
        <x:v>0.978976258958137</x:v>
      </x:c>
      <x:c r="G281" s="258" t="n">
        <x:f>IF(AA281&lt;($E$15-$D$15)/($F$15-$D$15),$D$15+SQRT(AA281*($F$15-$D$15)*($E$15-$D$15)),$F$15-SQRT((1-AA281)*($F$15-$D$15)*($F$15-$E$15)))</x:f>
        <x:v>0.09696164998642624</x:v>
      </x:c>
      <x:c r="H281" s="258" t="n">
        <x:f>IF(AB281&lt;($E$16-$D$16)/($F$16-$D$16),$D$16+SQRT(AB281*($F$16-$D$16)*($E$16-$D$16)),$F$16-SQRT((1-AB281)*($F$16-$D$16)*($F$16-$E$16)))</x:f>
        <x:v>0.02860076786962953</x:v>
      </x:c>
      <x:c r="I281" s="262" t="n">
        <x:f>'Historical Inputs'!$N$9*(1+D281)^5</x:f>
        <x:v>661475.2111168525</x:v>
      </x:c>
      <x:c r="J281" s="262" t="n">
        <x:f>I281*(1+H281)*('Terminal Value'!$E$10+E281)*(1-'Assumptions'!$E$15)*(1-H281/'Terminal Value'!$E$12)</x:f>
        <x:v>198521.12787159186</x:v>
      </x:c>
      <x:c r="K281" s="264" t="n">
        <x:f>((SUM((('Historical Inputs'!$N$9*(1+(D281))^1)*(('Assumptions'!E37+(E281))*(1-'Assumptions'!E42-(0))+'Assumptions'!E47-'Assumptions'!E52*(F281)+'Assumptions'!E57-'Assumptions'!E62*(1)-'Assumptions'!E67-(0))+('Working Capital'!$E$6))*'DCF'!E12/(1+(G281))^'DCF'!E13,(('Historical Inputs'!$N$9*(1+(D281))^2)*(('Assumptions'!F37+(E281))*(1-'Assumptions'!F42-(0))+'Assumptions'!F47-'Assumptions'!F52*(F281)+'Assumptions'!F57-'Assumptions'!F62*(1)-'Assumptions'!F67-(0))+(('Historical Inputs'!$N$9*(1+(D281))^1)*('Assumptions'!E67+(0))))*'DCF'!F12/(1+(G281))^'DCF'!F13,(('Historical Inputs'!$N$9*(1+(D281))^3)*(('Assumptions'!G37+(E281))*(1-'Assumptions'!G42-(0))+'Assumptions'!G47-'Assumptions'!G52*(F281)+'Assumptions'!G57-'Assumptions'!G62*(1)-'Assumptions'!G67-(0))+(('Historical Inputs'!$N$9*(1+(D281))^2)*('Assumptions'!F67+(0))))*'DCF'!G12/(1+(G281))^'DCF'!G13,(('Historical Inputs'!$N$9*(1+(D281))^4)*(('Assumptions'!H37+(E281))*(1-'Assumptions'!H42-(0))+'Assumptions'!H47-'Assumptions'!H52*(F281)+'Assumptions'!H57-'Assumptions'!H62*(1)-'Assumptions'!H67-(0))+(('Historical Inputs'!$N$9*(1+(D281))^3)*('Assumptions'!G67+(0))))*'DCF'!H12/(1+(G281))^'DCF'!H13,(('Historical Inputs'!$N$9*(1+(D281))^5)*(('Assumptions'!I37+(E281))*(1-'Assumptions'!I42-(0))+'Assumptions'!I47-'Assumptions'!I52*(F281)+'Assumptions'!I57-'Assumptions'!I62*(1)-'Assumptions'!I67-(0))+(('Historical Inputs'!$N$9*(1+(D281))^4)*('Assumptions'!H67+(0))))*'DCF'!I12/(1+(G281))^'DCF'!I13)+('Historical Inputs'!$N$9*(1+(D281))^5)*(1+(H281))*('Terminal Value'!$E$10+(E281))*(1-'Assumptions'!$E$15-(0))*(1-(H281)/('Terminal Value'!$E$12))/((G281)-(H281))/(1+(G281))^'DCF'!$E$19)+'Equity Bridge'!$E$17)/'Equity Bridge'!$E$20</x:f>
        <x:v>315.1194774210099</x:v>
      </x:c>
      <x:c r="X281" s="255" t="n">
        <x:v>0.589179609157312</x:v>
      </x:c>
      <x:c r="Y281" s="255" t="n">
        <x:v>0.8806967519860677</x:v>
      </x:c>
      <x:c r="Z281" s="255" t="n">
        <x:v>0.3168547690445034</x:v>
      </x:c>
      <x:c r="AA281" s="255" t="n">
        <x:v>0.4245062223578545</x:v>
      </x:c>
      <x:c r="AB281" s="255" t="n">
        <x:v>0.36986603973625864</x:v>
      </x:c>
    </x:row>
    <x:row r="282" ht="24" customHeight="1">
      <x:c r="C282" s="256" t="n">
        <x:f>251</x:f>
        <x:v>251</x:v>
      </x:c>
      <x:c r="D282" s="258" t="n">
        <x:f>IF(X282&lt;($E$12-$D$12)/($F$12-$D$12),$D$12+SQRT(X282*($F$12-$D$12)*($E$12-$D$12)),$F$12-SQRT((1-X282)*($F$12-$D$12)*($F$12-$E$12)))</x:f>
        <x:v>0.1568484967226027</x:v>
      </x:c>
      <x:c r="E282" s="258" t="n">
        <x:f>IF(Y282&lt;($E$13-$D$13)/($F$13-$D$13),$D$13+SQRT(Y282*($F$13-$D$13)*($E$13-$D$13)),$F$13-SQRT((1-Y282)*($F$13-$D$13)*($F$13-$E$13)))</x:f>
        <x:v>0.004061530020302809</x:v>
      </x:c>
      <x:c r="F282" s="260" t="n">
        <x:f>IF(Z282&lt;($E$14-$D$14)/($F$14-$D$14),$D$14+SQRT(Z282*($F$14-$D$14)*($E$14-$D$14)),$F$14-SQRT((1-Z282)*($F$14-$D$14)*($F$14-$E$14)))</x:f>
        <x:v>1.0572787630040164</x:v>
      </x:c>
      <x:c r="G282" s="258" t="n">
        <x:f>IF(AA282&lt;($E$15-$D$15)/($F$15-$D$15),$D$15+SQRT(AA282*($F$15-$D$15)*($E$15-$D$15)),$F$15-SQRT((1-AA282)*($F$15-$D$15)*($F$15-$E$15)))</x:f>
        <x:v>0.10605721141915192</x:v>
      </x:c>
      <x:c r="H282" s="258" t="n">
        <x:f>IF(AB282&lt;($E$16-$D$16)/($F$16-$D$16),$D$16+SQRT(AB282*($F$16-$D$16)*($E$16-$D$16)),$F$16-SQRT((1-AB282)*($F$16-$D$16)*($F$16-$E$16)))</x:f>
        <x:v>0.029531933966204325</x:v>
      </x:c>
      <x:c r="I282" s="262" t="n">
        <x:f>'Historical Inputs'!$N$9*(1+D282)^5</x:f>
        <x:v>687558.821964777</x:v>
      </x:c>
      <x:c r="J282" s="262" t="n">
        <x:f>I282*(1+H282)*('Terminal Value'!$E$10+E282)*(1-'Assumptions'!$E$15)*(1-H282/'Terminal Value'!$E$12)</x:f>
        <x:v>195029.45642742747</x:v>
      </x:c>
      <x:c r="K282" s="264" t="n">
        <x:f>((SUM((('Historical Inputs'!$N$9*(1+(D282))^1)*(('Assumptions'!E37+(E282))*(1-'Assumptions'!E42-(0))+'Assumptions'!E47-'Assumptions'!E52*(F282)+'Assumptions'!E57-'Assumptions'!E62*(1)-'Assumptions'!E67-(0))+('Working Capital'!$E$6))*'DCF'!E12/(1+(G282))^'DCF'!E13,(('Historical Inputs'!$N$9*(1+(D282))^2)*(('Assumptions'!F37+(E282))*(1-'Assumptions'!F42-(0))+'Assumptions'!F47-'Assumptions'!F52*(F282)+'Assumptions'!F57-'Assumptions'!F62*(1)-'Assumptions'!F67-(0))+(('Historical Inputs'!$N$9*(1+(D282))^1)*('Assumptions'!E67+(0))))*'DCF'!F12/(1+(G282))^'DCF'!F13,(('Historical Inputs'!$N$9*(1+(D282))^3)*(('Assumptions'!G37+(E282))*(1-'Assumptions'!G42-(0))+'Assumptions'!G47-'Assumptions'!G52*(F282)+'Assumptions'!G57-'Assumptions'!G62*(1)-'Assumptions'!G67-(0))+(('Historical Inputs'!$N$9*(1+(D282))^2)*('Assumptions'!F67+(0))))*'DCF'!G12/(1+(G282))^'DCF'!G13,(('Historical Inputs'!$N$9*(1+(D282))^4)*(('Assumptions'!H37+(E282))*(1-'Assumptions'!H42-(0))+'Assumptions'!H47-'Assumptions'!H52*(F282)+'Assumptions'!H57-'Assumptions'!H62*(1)-'Assumptions'!H67-(0))+(('Historical Inputs'!$N$9*(1+(D282))^3)*('Assumptions'!G67+(0))))*'DCF'!H12/(1+(G282))^'DCF'!H13,(('Historical Inputs'!$N$9*(1+(D282))^5)*(('Assumptions'!I37+(E282))*(1-'Assumptions'!I42-(0))+'Assumptions'!I47-'Assumptions'!I52*(F282)+'Assumptions'!I57-'Assumptions'!I62*(1)-'Assumptions'!I67-(0))+(('Historical Inputs'!$N$9*(1+(D282))^4)*('Assumptions'!H67+(0))))*'DCF'!I12/(1+(G282))^'DCF'!I13)+('Historical Inputs'!$N$9*(1+(D282))^5)*(1+(H282))*('Terminal Value'!$E$10+(E282))*(1-'Assumptions'!$E$15-(0))*(1-(H282)/('Terminal Value'!$E$12))/((G282)-(H282))/(1+(G282))^'DCF'!$E$19)+'Equity Bridge'!$E$17)/'Equity Bridge'!$E$20</x:f>
        <x:v>266.5560719797658</x:v>
      </x:c>
      <x:c r="X282" s="255" t="n">
        <x:v>0.7348838599582225</x:v>
      </x:c>
      <x:c r="Y282" s="255" t="n">
        <x:v>0.577931395184892</x:v>
      </x:c>
      <x:c r="Z282" s="255" t="n">
        <x:v>0.7090092644333755</x:v>
      </x:c>
      <x:c r="AA282" s="255" t="n">
        <x:v>0.8885086101380081</x:v>
      </x:c>
      <x:c r="AB282" s="255" t="n">
        <x:v>0.45428882568039863</x:v>
      </x:c>
    </x:row>
    <x:row r="283" ht="24" customHeight="1">
      <x:c r="C283" s="256" t="n">
        <x:f>252</x:f>
        <x:v>252</x:v>
      </x:c>
      <x:c r="D283" s="258" t="n">
        <x:f>IF(X283&lt;($E$12-$D$12)/($F$12-$D$12),$D$12+SQRT(X283*($F$12-$D$12)*($E$12-$D$12)),$F$12-SQRT((1-X283)*($F$12-$D$12)*($F$12-$E$12)))</x:f>
        <x:v>0.1199034522775451</x:v>
      </x:c>
      <x:c r="E283" s="258" t="n">
        <x:f>IF(Y283&lt;($E$13-$D$13)/($F$13-$D$13),$D$13+SQRT(Y283*($F$13-$D$13)*($E$13-$D$13)),$F$13-SQRT((1-Y283)*($F$13-$D$13)*($F$13-$E$13)))</x:f>
        <x:v>0.014899319224350324</x:v>
      </x:c>
      <x:c r="F283" s="260" t="n">
        <x:f>IF(Z283&lt;($E$14-$D$14)/($F$14-$D$14),$D$14+SQRT(Z283*($F$14-$D$14)*($E$14-$D$14)),$F$14-SQRT((1-Z283)*($F$14-$D$14)*($F$14-$E$14)))</x:f>
        <x:v>1.0147442701314304</x:v>
      </x:c>
      <x:c r="G283" s="258" t="n">
        <x:f>IF(AA283&lt;($E$15-$D$15)/($F$15-$D$15),$D$15+SQRT(AA283*($F$15-$D$15)*($E$15-$D$15)),$F$15-SQRT((1-AA283)*($F$15-$D$15)*($F$15-$E$15)))</x:f>
        <x:v>0.09631663076107513</x:v>
      </x:c>
      <x:c r="H283" s="258" t="n">
        <x:f>IF(AB283&lt;($E$16-$D$16)/($F$16-$D$16),$D$16+SQRT(AB283*($F$16-$D$16)*($E$16-$D$16)),$F$16-SQRT((1-AB283)*($F$16-$D$16)*($F$16-$E$16)))</x:f>
        <x:v>0.035987431837575405</x:v>
      </x:c>
      <x:c r="I283" s="262" t="n">
        <x:f>'Historical Inputs'!$N$9*(1+D283)^5</x:f>
        <x:v>584561.6808412663</x:v>
      </x:c>
      <x:c r="J283" s="262" t="n">
        <x:f>I283*(1+H283)*('Terminal Value'!$E$10+E283)*(1-'Assumptions'!$E$15)*(1-H283/'Terminal Value'!$E$12)</x:f>
        <x:v>164840.78438240764</x:v>
      </x:c>
      <x:c r="K283" s="264" t="n">
        <x:f>((SUM((('Historical Inputs'!$N$9*(1+(D283))^1)*(('Assumptions'!E37+(E283))*(1-'Assumptions'!E42-(0))+'Assumptions'!E47-'Assumptions'!E52*(F283)+'Assumptions'!E57-'Assumptions'!E62*(1)-'Assumptions'!E67-(0))+('Working Capital'!$E$6))*'DCF'!E12/(1+(G283))^'DCF'!E13,(('Historical Inputs'!$N$9*(1+(D283))^2)*(('Assumptions'!F37+(E283))*(1-'Assumptions'!F42-(0))+'Assumptions'!F47-'Assumptions'!F52*(F283)+'Assumptions'!F57-'Assumptions'!F62*(1)-'Assumptions'!F67-(0))+(('Historical Inputs'!$N$9*(1+(D283))^1)*('Assumptions'!E67+(0))))*'DCF'!F12/(1+(G283))^'DCF'!F13,(('Historical Inputs'!$N$9*(1+(D283))^3)*(('Assumptions'!G37+(E283))*(1-'Assumptions'!G42-(0))+'Assumptions'!G47-'Assumptions'!G52*(F283)+'Assumptions'!G57-'Assumptions'!G62*(1)-'Assumptions'!G67-(0))+(('Historical Inputs'!$N$9*(1+(D283))^2)*('Assumptions'!F67+(0))))*'DCF'!G12/(1+(G283))^'DCF'!G13,(('Historical Inputs'!$N$9*(1+(D283))^4)*(('Assumptions'!H37+(E283))*(1-'Assumptions'!H42-(0))+'Assumptions'!H47-'Assumptions'!H52*(F283)+'Assumptions'!H57-'Assumptions'!H62*(1)-'Assumptions'!H67-(0))+(('Historical Inputs'!$N$9*(1+(D283))^3)*('Assumptions'!G67+(0))))*'DCF'!H12/(1+(G283))^'DCF'!H13,(('Historical Inputs'!$N$9*(1+(D283))^5)*(('Assumptions'!I37+(E283))*(1-'Assumptions'!I42-(0))+'Assumptions'!I47-'Assumptions'!I52*(F283)+'Assumptions'!I57-'Assumptions'!I62*(1)-'Assumptions'!I67-(0))+(('Historical Inputs'!$N$9*(1+(D283))^4)*('Assumptions'!H67+(0))))*'DCF'!I12/(1+(G283))^'DCF'!I13)+('Historical Inputs'!$N$9*(1+(D283))^5)*(1+(H283))*('Terminal Value'!$E$10+(E283))*(1-'Assumptions'!$E$15-(0))*(1-(H283)/('Terminal Value'!$E$12))/((G283)-(H283))/(1+(G283))^'DCF'!$E$19)+'Equity Bridge'!$E$17)/'Equity Bridge'!$E$20</x:f>
        <x:v>291.40588106512706</x:v>
      </x:c>
      <x:c r="X283" s="255" t="n">
        <x:v>0.1420064511611946</x:v>
      </x:c>
      <x:c r="Y283" s="255" t="n">
        <x:v>0.7535884418171874</x:v>
      </x:c>
      <x:c r="Z283" s="255" t="n">
        <x:v>0.509718779298051</x:v>
      </x:c>
      <x:c r="AA283" s="255" t="n">
        <x:v>0.38580859183798466</x:v>
      </x:c>
      <x:c r="AB283" s="255" t="n">
        <x:v>0.9194964837094824</x:v>
      </x:c>
    </x:row>
    <x:row r="284" ht="24" customHeight="1">
      <x:c r="C284" s="256" t="n">
        <x:f>253</x:f>
        <x:v>253</x:v>
      </x:c>
      <x:c r="D284" s="258" t="n">
        <x:f>IF(X284&lt;($E$12-$D$12)/($F$12-$D$12),$D$12+SQRT(X284*($F$12-$D$12)*($E$12-$D$12)),$F$12-SQRT((1-X284)*($F$12-$D$12)*($F$12-$E$12)))</x:f>
        <x:v>0.17398766084860268</x:v>
      </x:c>
      <x:c r="E284" s="258" t="n">
        <x:f>IF(Y284&lt;($E$13-$D$13)/($F$13-$D$13),$D$13+SQRT(Y284*($F$13-$D$13)*($E$13-$D$13)),$F$13-SQRT((1-Y284)*($F$13-$D$13)*($F$13-$E$13)))</x:f>
        <x:v>-0.01564136112831397</x:v>
      </x:c>
      <x:c r="F284" s="260" t="n">
        <x:f>IF(Z284&lt;($E$14-$D$14)/($F$14-$D$14),$D$14+SQRT(Z284*($F$14-$D$14)*($E$14-$D$14)),$F$14-SQRT((1-Z284)*($F$14-$D$14)*($F$14-$E$14)))</x:f>
        <x:v>1.0560233431434456</x:v>
      </x:c>
      <x:c r="G284" s="258" t="n">
        <x:f>IF(AA284&lt;($E$15-$D$15)/($F$15-$D$15),$D$15+SQRT(AA284*($F$15-$D$15)*($E$15-$D$15)),$F$15-SQRT((1-AA284)*($F$15-$D$15)*($F$15-$E$15)))</x:f>
        <x:v>0.11246846614450928</x:v>
      </x:c>
      <x:c r="H284" s="258" t="n">
        <x:f>IF(AB284&lt;($E$16-$D$16)/($F$16-$D$16),$D$16+SQRT(AB284*($F$16-$D$16)*($E$16-$D$16)),$F$16-SQRT((1-AB284)*($F$16-$D$16)*($F$16-$E$16)))</x:f>
        <x:v>0.029774595920362915</x:v>
      </x:c>
      <x:c r="I284" s="262" t="n">
        <x:f>'Historical Inputs'!$N$9*(1+D284)^5</x:f>
        <x:v>740022.7778015301</x:v>
      </x:c>
      <x:c r="J284" s="262" t="n">
        <x:f>I284*(1+H284)*('Terminal Value'!$E$10+E284)*(1-'Assumptions'!$E$15)*(1-H284/'Terminal Value'!$E$12)</x:f>
        <x:v>199438.1665843224</x:v>
      </x:c>
      <x:c r="K284" s="264" t="n">
        <x:f>((SUM((('Historical Inputs'!$N$9*(1+(D284))^1)*(('Assumptions'!E37+(E284))*(1-'Assumptions'!E42-(0))+'Assumptions'!E47-'Assumptions'!E52*(F284)+'Assumptions'!E57-'Assumptions'!E62*(1)-'Assumptions'!E67-(0))+('Working Capital'!$E$6))*'DCF'!E12/(1+(G284))^'DCF'!E13,(('Historical Inputs'!$N$9*(1+(D284))^2)*(('Assumptions'!F37+(E284))*(1-'Assumptions'!F42-(0))+'Assumptions'!F47-'Assumptions'!F52*(F284)+'Assumptions'!F57-'Assumptions'!F62*(1)-'Assumptions'!F67-(0))+(('Historical Inputs'!$N$9*(1+(D284))^1)*('Assumptions'!E67+(0))))*'DCF'!F12/(1+(G284))^'DCF'!F13,(('Historical Inputs'!$N$9*(1+(D284))^3)*(('Assumptions'!G37+(E284))*(1-'Assumptions'!G42-(0))+'Assumptions'!G47-'Assumptions'!G52*(F284)+'Assumptions'!G57-'Assumptions'!G62*(1)-'Assumptions'!G67-(0))+(('Historical Inputs'!$N$9*(1+(D284))^2)*('Assumptions'!F67+(0))))*'DCF'!G12/(1+(G284))^'DCF'!G13,(('Historical Inputs'!$N$9*(1+(D284))^4)*(('Assumptions'!H37+(E284))*(1-'Assumptions'!H42-(0))+'Assumptions'!H47-'Assumptions'!H52*(F284)+'Assumptions'!H57-'Assumptions'!H62*(1)-'Assumptions'!H67-(0))+(('Historical Inputs'!$N$9*(1+(D284))^3)*('Assumptions'!G67+(0))))*'DCF'!H12/(1+(G284))^'DCF'!H13,(('Historical Inputs'!$N$9*(1+(D284))^5)*(('Assumptions'!I37+(E284))*(1-'Assumptions'!I42-(0))+'Assumptions'!I47-'Assumptions'!I52*(F284)+'Assumptions'!I57-'Assumptions'!I62*(1)-'Assumptions'!I67-(0))+(('Historical Inputs'!$N$9*(1+(D284))^4)*('Assumptions'!H67+(0))))*'DCF'!I12/(1+(G284))^'DCF'!I13)+('Historical Inputs'!$N$9*(1+(D284))^5)*(1+(H284))*('Terminal Value'!$E$10+(E284))*(1-'Assumptions'!$E$15-(0))*(1-(H284)/('Terminal Value'!$E$12))/((G284)-(H284))/(1+(G284))^'DCF'!$E$19)+'Equity Bridge'!$E$17)/'Equity Bridge'!$E$20</x:f>
        <x:v>247.6218142927523</x:v>
      </x:c>
      <x:c r="X284" s="255" t="n">
        <x:v>0.9257383455041094</x:v>
      </x:c>
      <x:c r="Y284" s="255" t="n">
        <x:v>0.23610321302298687</x:v>
      </x:c>
      <x:c r="Z284" s="255" t="n">
        <x:v>0.7038674611487138</x:v>
      </x:c>
      <x:c r="AA284" s="255" t="n">
        <x:v>0.9989967692482233</x:v>
      </x:c>
      <x:c r="AB284" s="255" t="n">
        <x:v>0.4777136270318768</x:v>
      </x:c>
    </x:row>
    <x:row r="285" ht="24" customHeight="1">
      <x:c r="C285" s="256" t="n">
        <x:f>254</x:f>
        <x:v>254</x:v>
      </x:c>
      <x:c r="D285" s="258" t="n">
        <x:f>IF(X285&lt;($E$12-$D$12)/($F$12-$D$12),$D$12+SQRT(X285*($F$12-$D$12)*($E$12-$D$12)),$F$12-SQRT((1-X285)*($F$12-$D$12)*($F$12-$E$12)))</x:f>
        <x:v>0.13830696141824628</x:v>
      </x:c>
      <x:c r="E285" s="258" t="n">
        <x:f>IF(Y285&lt;($E$13-$D$13)/($F$13-$D$13),$D$13+SQRT(Y285*($F$13-$D$13)*($E$13-$D$13)),$F$13-SQRT((1-Y285)*($F$13-$D$13)*($F$13-$E$13)))</x:f>
        <x:v>0.000666647439930064</x:v>
      </x:c>
      <x:c r="F285" s="260" t="n">
        <x:f>IF(Z285&lt;($E$14-$D$14)/($F$14-$D$14),$D$14+SQRT(Z285*($F$14-$D$14)*($E$14-$D$14)),$F$14-SQRT((1-Z285)*($F$14-$D$14)*($F$14-$E$14)))</x:f>
        <x:v>0.9595949064289134</x:v>
      </x:c>
      <x:c r="G285" s="258" t="n">
        <x:f>IF(AA285&lt;($E$15-$D$15)/($F$15-$D$15),$D$15+SQRT(AA285*($F$15-$D$15)*($E$15-$D$15)),$F$15-SQRT((1-AA285)*($F$15-$D$15)*($F$15-$E$15)))</x:f>
        <x:v>0.10316083817902728</x:v>
      </x:c>
      <x:c r="H285" s="258" t="n">
        <x:f>IF(AB285&lt;($E$16-$D$16)/($F$16-$D$16),$D$16+SQRT(AB285*($F$16-$D$16)*($E$16-$D$16)),$F$16-SQRT((1-AB285)*($F$16-$D$16)*($F$16-$E$16)))</x:f>
        <x:v>0.028397359826289083</x:v>
      </x:c>
      <x:c r="I285" s="262" t="n">
        <x:f>'Historical Inputs'!$N$9*(1+D285)^5</x:f>
        <x:v>634197.2946472712</x:v>
      </x:c>
      <x:c r="J285" s="262" t="n">
        <x:f>I285*(1+H285)*('Terminal Value'!$E$10+E285)*(1-'Assumptions'!$E$15)*(1-H285/'Terminal Value'!$E$12)</x:f>
        <x:v>179371.10636903098</x:v>
      </x:c>
      <x:c r="K285" s="264" t="n">
        <x:f>((SUM((('Historical Inputs'!$N$9*(1+(D285))^1)*(('Assumptions'!E37+(E285))*(1-'Assumptions'!E42-(0))+'Assumptions'!E47-'Assumptions'!E52*(F285)+'Assumptions'!E57-'Assumptions'!E62*(1)-'Assumptions'!E67-(0))+('Working Capital'!$E$6))*'DCF'!E12/(1+(G285))^'DCF'!E13,(('Historical Inputs'!$N$9*(1+(D285))^2)*(('Assumptions'!F37+(E285))*(1-'Assumptions'!F42-(0))+'Assumptions'!F47-'Assumptions'!F52*(F285)+'Assumptions'!F57-'Assumptions'!F62*(1)-'Assumptions'!F67-(0))+(('Historical Inputs'!$N$9*(1+(D285))^1)*('Assumptions'!E67+(0))))*'DCF'!F12/(1+(G285))^'DCF'!F13,(('Historical Inputs'!$N$9*(1+(D285))^3)*(('Assumptions'!G37+(E285))*(1-'Assumptions'!G42-(0))+'Assumptions'!G47-'Assumptions'!G52*(F285)+'Assumptions'!G57-'Assumptions'!G62*(1)-'Assumptions'!G67-(0))+(('Historical Inputs'!$N$9*(1+(D285))^2)*('Assumptions'!F67+(0))))*'DCF'!G12/(1+(G285))^'DCF'!G13,(('Historical Inputs'!$N$9*(1+(D285))^4)*(('Assumptions'!H37+(E285))*(1-'Assumptions'!H42-(0))+'Assumptions'!H47-'Assumptions'!H52*(F285)+'Assumptions'!H57-'Assumptions'!H62*(1)-'Assumptions'!H67-(0))+(('Historical Inputs'!$N$9*(1+(D285))^3)*('Assumptions'!G67+(0))))*'DCF'!H12/(1+(G285))^'DCF'!H13,(('Historical Inputs'!$N$9*(1+(D285))^5)*(('Assumptions'!I37+(E285))*(1-'Assumptions'!I42-(0))+'Assumptions'!I47-'Assumptions'!I52*(F285)+'Assumptions'!I57-'Assumptions'!I62*(1)-'Assumptions'!I67-(0))+(('Historical Inputs'!$N$9*(1+(D285))^4)*('Assumptions'!H67+(0))))*'DCF'!I12/(1+(G285))^'DCF'!I13)+('Historical Inputs'!$N$9*(1+(D285))^5)*(1+(H285))*('Terminal Value'!$E$10+(E285))*(1-'Assumptions'!$E$15-(0))*(1-(H285)/('Terminal Value'!$E$12))/((G285)-(H285))/(1+(G285))^'DCF'!$E$19)+'Equity Bridge'!$E$17)/'Equity Bridge'!$E$20</x:f>
        <x:v>259.2479765981721</x:v>
      </x:c>
      <x:c r="X285" s="255" t="n">
        <x:v>0.4058994114519737</x:v>
      </x:c>
      <x:c r="Y285" s="255" t="n">
        <x:v>0.5132440650367682</x:v>
      </x:c>
      <x:c r="Z285" s="255" t="n">
        <x:v>0.22878178124118653</x:v>
      </x:c>
      <x:c r="AA285" s="255" t="n">
        <x:v>0.7786865750769851</x:v>
      </x:c>
      <x:c r="AB285" s="255" t="n">
        <x:v>0.352578260260869</x:v>
      </x:c>
    </x:row>
    <x:row r="286" ht="24" customHeight="1">
      <x:c r="C286" s="256" t="n">
        <x:f>255</x:f>
        <x:v>255</x:v>
      </x:c>
      <x:c r="D286" s="258" t="n">
        <x:f>IF(X286&lt;($E$12-$D$12)/($F$12-$D$12),$D$12+SQRT(X286*($F$12-$D$12)*($E$12-$D$12)),$F$12-SQRT((1-X286)*($F$12-$D$12)*($F$12-$E$12)))</x:f>
        <x:v>0.12463801997108344</x:v>
      </x:c>
      <x:c r="E286" s="258" t="n">
        <x:f>IF(Y286&lt;($E$13-$D$13)/($F$13-$D$13),$D$13+SQRT(Y286*($F$13-$D$13)*($E$13-$D$13)),$F$13-SQRT((1-Y286)*($F$13-$D$13)*($F$13-$E$13)))</x:f>
        <x:v>0.02785164696912444</x:v>
      </x:c>
      <x:c r="F286" s="260" t="n">
        <x:f>IF(Z286&lt;($E$14-$D$14)/($F$14-$D$14),$D$14+SQRT(Z286*($F$14-$D$14)*($E$14-$D$14)),$F$14-SQRT((1-Z286)*($F$14-$D$14)*($F$14-$E$14)))</x:f>
        <x:v>0.9516012961831792</x:v>
      </x:c>
      <x:c r="G286" s="258" t="n">
        <x:f>IF(AA286&lt;($E$15-$D$15)/($F$15-$D$15),$D$15+SQRT(AA286*($F$15-$D$15)*($E$15-$D$15)),$F$15-SQRT((1-AA286)*($F$15-$D$15)*($F$15-$E$15)))</x:f>
        <x:v>0.09253039226708658</x:v>
      </x:c>
      <x:c r="H286" s="258" t="n">
        <x:f>IF(AB286&lt;($E$16-$D$16)/($F$16-$D$16),$D$16+SQRT(AB286*($F$16-$D$16)*($E$16-$D$16)),$F$16-SQRT((1-AB286)*($F$16-$D$16)*($F$16-$E$16)))</x:f>
        <x:v>0.02468599327268786</x:v>
      </x:c>
      <x:c r="I286" s="262" t="n">
        <x:f>'Historical Inputs'!$N$9*(1+D286)^5</x:f>
        <x:v>597023.234150422</x:v>
      </x:c>
      <x:c r="J286" s="262" t="n">
        <x:f>I286*(1+H286)*('Terminal Value'!$E$10+E286)*(1-'Assumptions'!$E$15)*(1-H286/'Terminal Value'!$E$12)</x:f>
        <x:v>183548.92589058736</x:v>
      </x:c>
      <x:c r="K286" s="264" t="n">
        <x:f>((SUM((('Historical Inputs'!$N$9*(1+(D286))^1)*(('Assumptions'!E37+(E286))*(1-'Assumptions'!E42-(0))+'Assumptions'!E47-'Assumptions'!E52*(F286)+'Assumptions'!E57-'Assumptions'!E62*(1)-'Assumptions'!E67-(0))+('Working Capital'!$E$6))*'DCF'!E12/(1+(G286))^'DCF'!E13,(('Historical Inputs'!$N$9*(1+(D286))^2)*(('Assumptions'!F37+(E286))*(1-'Assumptions'!F42-(0))+'Assumptions'!F47-'Assumptions'!F52*(F286)+'Assumptions'!F57-'Assumptions'!F62*(1)-'Assumptions'!F67-(0))+(('Historical Inputs'!$N$9*(1+(D286))^1)*('Assumptions'!E67+(0))))*'DCF'!F12/(1+(G286))^'DCF'!F13,(('Historical Inputs'!$N$9*(1+(D286))^3)*(('Assumptions'!G37+(E286))*(1-'Assumptions'!G42-(0))+'Assumptions'!G47-'Assumptions'!G52*(F286)+'Assumptions'!G57-'Assumptions'!G62*(1)-'Assumptions'!G67-(0))+(('Historical Inputs'!$N$9*(1+(D286))^2)*('Assumptions'!F67+(0))))*'DCF'!G12/(1+(G286))^'DCF'!G13,(('Historical Inputs'!$N$9*(1+(D286))^4)*(('Assumptions'!H37+(E286))*(1-'Assumptions'!H42-(0))+'Assumptions'!H47-'Assumptions'!H52*(F286)+'Assumptions'!H57-'Assumptions'!H62*(1)-'Assumptions'!H67-(0))+(('Historical Inputs'!$N$9*(1+(D286))^3)*('Assumptions'!G67+(0))))*'DCF'!H12/(1+(G286))^'DCF'!H13,(('Historical Inputs'!$N$9*(1+(D286))^5)*(('Assumptions'!I37+(E286))*(1-'Assumptions'!I42-(0))+'Assumptions'!I47-'Assumptions'!I52*(F286)+'Assumptions'!I57-'Assumptions'!I62*(1)-'Assumptions'!I67-(0))+(('Historical Inputs'!$N$9*(1+(D286))^4)*('Assumptions'!H67+(0))))*'DCF'!I12/(1+(G286))^'DCF'!I13)+('Historical Inputs'!$N$9*(1+(D286))^5)*(1+(H286))*('Terminal Value'!$E$10+(E286))*(1-'Assumptions'!$E$15-(0))*(1-(H286)/('Terminal Value'!$E$12))/((G286)-(H286))/(1+(G286))^'DCF'!$E$19)+'Equity Bridge'!$E$17)/'Equity Bridge'!$E$20</x:f>
        <x:v>300.73529206608816</x:v>
      </x:c>
      <x:c r="X286" s="255" t="n">
        <x:v>0.19695340891562596</x:v>
      </x:c>
      <x:c r="Y286" s="255" t="n">
        <x:v>0.9018900916039411</x:v>
      </x:c>
      <x:c r="Z286" s="255" t="n">
        <x:v>0.1966252073543262</x:v>
      </x:c>
      <x:c r="AA286" s="255" t="n">
        <x:v>0.19593895886875434</x:v>
      </x:c>
      <x:c r="AB286" s="255" t="n">
        <x:v>0.10979266475837957</x:v>
      </x:c>
    </x:row>
    <x:row r="287" ht="24" customHeight="1">
      <x:c r="C287" s="256" t="n">
        <x:f>256</x:f>
        <x:v>256</x:v>
      </x:c>
      <x:c r="D287" s="258" t="n">
        <x:f>IF(X287&lt;($E$12-$D$12)/($F$12-$D$12),$D$12+SQRT(X287*($F$12-$D$12)*($E$12-$D$12)),$F$12-SQRT((1-X287)*($F$12-$D$12)*($F$12-$E$12)))</x:f>
        <x:v>0.12566827864835325</x:v>
      </x:c>
      <x:c r="E287" s="258" t="n">
        <x:f>IF(Y287&lt;($E$13-$D$13)/($F$13-$D$13),$D$13+SQRT(Y287*($F$13-$D$13)*($E$13-$D$13)),$F$13-SQRT((1-Y287)*($F$13-$D$13)*($F$13-$E$13)))</x:f>
        <x:v>-0.0426553926192223</x:v>
      </x:c>
      <x:c r="F287" s="260" t="n">
        <x:f>IF(Z287&lt;($E$14-$D$14)/($F$14-$D$14),$D$14+SQRT(Z287*($F$14-$D$14)*($E$14-$D$14)),$F$14-SQRT((1-Z287)*($F$14-$D$14)*($F$14-$E$14)))</x:f>
        <x:v>0.8768165688513844</x:v>
      </x:c>
      <x:c r="G287" s="258" t="n">
        <x:f>IF(AA287&lt;($E$15-$D$15)/($F$15-$D$15),$D$15+SQRT(AA287*($F$15-$D$15)*($E$15-$D$15)),$F$15-SQRT((1-AA287)*($F$15-$D$15)*($F$15-$E$15)))</x:f>
        <x:v>0.10033136424336565</x:v>
      </x:c>
      <x:c r="H287" s="258" t="n">
        <x:f>IF(AB287&lt;($E$16-$D$16)/($F$16-$D$16),$D$16+SQRT(AB287*($F$16-$D$16)*($E$16-$D$16)),$F$16-SQRT((1-AB287)*($F$16-$D$16)*($F$16-$E$16)))</x:f>
        <x:v>0.037697354493946456</x:v>
      </x:c>
      <x:c r="I287" s="262" t="n">
        <x:f>'Historical Inputs'!$N$9*(1+D287)^5</x:f>
        <x:v>599762.85494406</x:v>
      </x:c>
      <x:c r="J287" s="262" t="n">
        <x:f>I287*(1+H287)*('Terminal Value'!$E$10+E287)*(1-'Assumptions'!$E$15)*(1-H287/'Terminal Value'!$E$12)</x:f>
        <x:v>144385.3391933899</x:v>
      </x:c>
      <x:c r="K287" s="264" t="n">
        <x:f>((SUM((('Historical Inputs'!$N$9*(1+(D287))^1)*(('Assumptions'!E37+(E287))*(1-'Assumptions'!E42-(0))+'Assumptions'!E47-'Assumptions'!E52*(F287)+'Assumptions'!E57-'Assumptions'!E62*(1)-'Assumptions'!E67-(0))+('Working Capital'!$E$6))*'DCF'!E12/(1+(G287))^'DCF'!E13,(('Historical Inputs'!$N$9*(1+(D287))^2)*(('Assumptions'!F37+(E287))*(1-'Assumptions'!F42-(0))+'Assumptions'!F47-'Assumptions'!F52*(F287)+'Assumptions'!F57-'Assumptions'!F62*(1)-'Assumptions'!F67-(0))+(('Historical Inputs'!$N$9*(1+(D287))^1)*('Assumptions'!E67+(0))))*'DCF'!F12/(1+(G287))^'DCF'!F13,(('Historical Inputs'!$N$9*(1+(D287))^3)*(('Assumptions'!G37+(E287))*(1-'Assumptions'!G42-(0))+'Assumptions'!G47-'Assumptions'!G52*(F287)+'Assumptions'!G57-'Assumptions'!G62*(1)-'Assumptions'!G67-(0))+(('Historical Inputs'!$N$9*(1+(D287))^2)*('Assumptions'!F67+(0))))*'DCF'!G12/(1+(G287))^'DCF'!G13,(('Historical Inputs'!$N$9*(1+(D287))^4)*(('Assumptions'!H37+(E287))*(1-'Assumptions'!H42-(0))+'Assumptions'!H47-'Assumptions'!H52*(F287)+'Assumptions'!H57-'Assumptions'!H62*(1)-'Assumptions'!H67-(0))+(('Historical Inputs'!$N$9*(1+(D287))^3)*('Assumptions'!G67+(0))))*'DCF'!H12/(1+(G287))^'DCF'!H13,(('Historical Inputs'!$N$9*(1+(D287))^5)*(('Assumptions'!I37+(E287))*(1-'Assumptions'!I42-(0))+'Assumptions'!I47-'Assumptions'!I52*(F287)+'Assumptions'!I57-'Assumptions'!I62*(1)-'Assumptions'!I67-(0))+(('Historical Inputs'!$N$9*(1+(D287))^4)*('Assumptions'!H67+(0))))*'DCF'!I12/(1+(G287))^'DCF'!I13)+('Historical Inputs'!$N$9*(1+(D287))^5)*(1+(H287))*('Terminal Value'!$E$10+(E287))*(1-'Assumptions'!$E$15-(0))*(1-(H287)/('Terminal Value'!$E$12))/((G287)-(H287))/(1+(G287))^'DCF'!$E$19)+'Equity Bridge'!$E$17)/'Equity Bridge'!$E$20</x:f>
        <x:v>248.43721242250618</x:v>
      </x:c>
      <x:c r="X287" s="255" t="n">
        <x:v>0.2100979137601643</x:v>
      </x:c>
      <x:c r="Y287" s="255" t="n">
        <x:v>0.010788651515554859</x:v>
      </x:c>
      <x:c r="Z287" s="255" t="n">
        <x:v>0.013697683142115058</x:v>
      </x:c>
      <x:c r="AA287" s="255" t="n">
        <x:v>0.6353986437533414</x:v>
      </x:c>
      <x:c r="AB287" s="255" t="n">
        <x:v>0.9734891183672572</x:v>
      </x:c>
    </x:row>
    <x:row r="288" ht="24" customHeight="1">
      <x:c r="C288" s="256" t="n">
        <x:f>257</x:f>
        <x:v>257</x:v>
      </x:c>
      <x:c r="D288" s="258" t="n">
        <x:f>IF(X288&lt;($E$12-$D$12)/($F$12-$D$12),$D$12+SQRT(X288*($F$12-$D$12)*($E$12-$D$12)),$F$12-SQRT((1-X288)*($F$12-$D$12)*($F$12-$E$12)))</x:f>
        <x:v>0.1488690295835836</x:v>
      </x:c>
      <x:c r="E288" s="258" t="n">
        <x:f>IF(Y288&lt;($E$13-$D$13)/($F$13-$D$13),$D$13+SQRT(Y288*($F$13-$D$13)*($E$13-$D$13)),$F$13-SQRT((1-Y288)*($F$13-$D$13)*($F$13-$E$13)))</x:f>
        <x:v>0.02914337831230621</x:v>
      </x:c>
      <x:c r="F288" s="260" t="n">
        <x:f>IF(Z288&lt;($E$14-$D$14)/($F$14-$D$14),$D$14+SQRT(Z288*($F$14-$D$14)*($E$14-$D$14)),$F$14-SQRT((1-Z288)*($F$14-$D$14)*($F$14-$E$14)))</x:f>
        <x:v>0.9505912435263102</x:v>
      </x:c>
      <x:c r="G288" s="258" t="n">
        <x:f>IF(AA288&lt;($E$15-$D$15)/($F$15-$D$15),$D$15+SQRT(AA288*($F$15-$D$15)*($E$15-$D$15)),$F$15-SQRT((1-AA288)*($F$15-$D$15)*($F$15-$E$15)))</x:f>
        <x:v>0.10130705381406638</x:v>
      </x:c>
      <x:c r="H288" s="258" t="n">
        <x:f>IF(AB288&lt;($E$16-$D$16)/($F$16-$D$16),$D$16+SQRT(AB288*($F$16-$D$16)*($E$16-$D$16)),$F$16-SQRT((1-AB288)*($F$16-$D$16)*($F$16-$E$16)))</x:f>
        <x:v>0.02289543006281156</x:v>
      </x:c>
      <x:c r="I288" s="262" t="n">
        <x:f>'Historical Inputs'!$N$9*(1+D288)^5</x:f>
        <x:v>664171.1957687134</x:v>
      </x:c>
      <x:c r="J288" s="262" t="n">
        <x:f>I288*(1+H288)*('Terminal Value'!$E$10+E288)*(1-'Assumptions'!$E$15)*(1-H288/'Terminal Value'!$E$12)</x:f>
        <x:v>206539.6563084307</x:v>
      </x:c>
      <x:c r="K288" s="264" t="n">
        <x:f>((SUM((('Historical Inputs'!$N$9*(1+(D288))^1)*(('Assumptions'!E37+(E288))*(1-'Assumptions'!E42-(0))+'Assumptions'!E47-'Assumptions'!E52*(F288)+'Assumptions'!E57-'Assumptions'!E62*(1)-'Assumptions'!E67-(0))+('Working Capital'!$E$6))*'DCF'!E12/(1+(G288))^'DCF'!E13,(('Historical Inputs'!$N$9*(1+(D288))^2)*(('Assumptions'!F37+(E288))*(1-'Assumptions'!F42-(0))+'Assumptions'!F47-'Assumptions'!F52*(F288)+'Assumptions'!F57-'Assumptions'!F62*(1)-'Assumptions'!F67-(0))+(('Historical Inputs'!$N$9*(1+(D288))^1)*('Assumptions'!E67+(0))))*'DCF'!F12/(1+(G288))^'DCF'!F13,(('Historical Inputs'!$N$9*(1+(D288))^3)*(('Assumptions'!G37+(E288))*(1-'Assumptions'!G42-(0))+'Assumptions'!G47-'Assumptions'!G52*(F288)+'Assumptions'!G57-'Assumptions'!G62*(1)-'Assumptions'!G67-(0))+(('Historical Inputs'!$N$9*(1+(D288))^2)*('Assumptions'!F67+(0))))*'DCF'!G12/(1+(G288))^'DCF'!G13,(('Historical Inputs'!$N$9*(1+(D288))^4)*(('Assumptions'!H37+(E288))*(1-'Assumptions'!H42-(0))+'Assumptions'!H47-'Assumptions'!H52*(F288)+'Assumptions'!H57-'Assumptions'!H62*(1)-'Assumptions'!H67-(0))+(('Historical Inputs'!$N$9*(1+(D288))^3)*('Assumptions'!G67+(0))))*'DCF'!H12/(1+(G288))^'DCF'!H13,(('Historical Inputs'!$N$9*(1+(D288))^5)*(('Assumptions'!I37+(E288))*(1-'Assumptions'!I42-(0))+'Assumptions'!I47-'Assumptions'!I52*(F288)+'Assumptions'!I57-'Assumptions'!I62*(1)-'Assumptions'!I67-(0))+(('Historical Inputs'!$N$9*(1+(D288))^4)*('Assumptions'!H67+(0))))*'DCF'!I12/(1+(G288))^'DCF'!I13)+('Historical Inputs'!$N$9*(1+(D288))^5)*(1+(H288))*('Terminal Value'!$E$10+(E288))*(1-'Assumptions'!$E$15-(0))*(1-(H288)/('Terminal Value'!$E$12))/((G288)-(H288))/(1+(G288))^'DCF'!$E$19)+'Equity Bridge'!$E$17)/'Equity Bridge'!$E$20</x:f>
        <x:v>289.5261094846974</x:v>
      </x:c>
      <x:c r="X288" s="255" t="n">
        <x:v>0.605941228936418</x:v>
      </x:c>
      <x:c r="Y288" s="255" t="n">
        <x:v>0.9130002663552842</x:v>
      </x:c>
      <x:c r="Z288" s="255" t="n">
        <x:v>0.19273520522227539</x:v>
      </x:c>
      <x:c r="AA288" s="255" t="n">
        <x:v>0.6888280996060894</x:v>
      </x:c>
      <x:c r="AB288" s="255" t="n">
        <x:v>0.041917576243164834</x:v>
      </x:c>
    </x:row>
    <x:row r="289" ht="24" customHeight="1">
      <x:c r="C289" s="256" t="n">
        <x:f>258</x:f>
        <x:v>258</x:v>
      </x:c>
      <x:c r="D289" s="258" t="n">
        <x:f>IF(X289&lt;($E$12-$D$12)/($F$12-$D$12),$D$12+SQRT(X289*($F$12-$D$12)*($E$12-$D$12)),$F$12-SQRT((1-X289)*($F$12-$D$12)*($F$12-$E$12)))</x:f>
        <x:v>0.17375946516979096</x:v>
      </x:c>
      <x:c r="E289" s="258" t="n">
        <x:f>IF(Y289&lt;($E$13-$D$13)/($F$13-$D$13),$D$13+SQRT(Y289*($F$13-$D$13)*($E$13-$D$13)),$F$13-SQRT((1-Y289)*($F$13-$D$13)*($F$13-$E$13)))</x:f>
        <x:v>-0.00039313906618606426</x:v>
      </x:c>
      <x:c r="F289" s="260" t="n">
        <x:f>IF(Z289&lt;($E$14-$D$14)/($F$14-$D$14),$D$14+SQRT(Z289*($F$14-$D$14)*($E$14-$D$14)),$F$14-SQRT((1-Z289)*($F$14-$D$14)*($F$14-$E$14)))</x:f>
        <x:v>0.9855597177923519</x:v>
      </x:c>
      <x:c r="G289" s="258" t="n">
        <x:f>IF(AA289&lt;($E$15-$D$15)/($F$15-$D$15),$D$15+SQRT(AA289*($F$15-$D$15)*($E$15-$D$15)),$F$15-SQRT((1-AA289)*($F$15-$D$15)*($F$15-$E$15)))</x:f>
        <x:v>0.09717868950311163</x:v>
      </x:c>
      <x:c r="H289" s="258" t="n">
        <x:f>IF(AB289&lt;($E$16-$D$16)/($F$16-$D$16),$D$16+SQRT(AB289*($F$16-$D$16)*($E$16-$D$16)),$F$16-SQRT((1-AB289)*($F$16-$D$16)*($F$16-$E$16)))</x:f>
        <x:v>0.037299014632805196</x:v>
      </x:c>
      <x:c r="I289" s="262" t="n">
        <x:f>'Historical Inputs'!$N$9*(1+D289)^5</x:f>
        <x:v>739303.8419482536</x:v>
      </x:c>
      <x:c r="J289" s="262" t="n">
        <x:f>I289*(1+H289)*('Terminal Value'!$E$10+E289)*(1-'Assumptions'!$E$15)*(1-H289/'Terminal Value'!$E$12)</x:f>
        <x:v>199438.97755951583</x:v>
      </x:c>
      <x:c r="K289" s="264" t="n">
        <x:f>((SUM((('Historical Inputs'!$N$9*(1+(D289))^1)*(('Assumptions'!E37+(E289))*(1-'Assumptions'!E42-(0))+'Assumptions'!E47-'Assumptions'!E52*(F289)+'Assumptions'!E57-'Assumptions'!E62*(1)-'Assumptions'!E67-(0))+('Working Capital'!$E$6))*'DCF'!E12/(1+(G289))^'DCF'!E13,(('Historical Inputs'!$N$9*(1+(D289))^2)*(('Assumptions'!F37+(E289))*(1-'Assumptions'!F42-(0))+'Assumptions'!F47-'Assumptions'!F52*(F289)+'Assumptions'!F57-'Assumptions'!F62*(1)-'Assumptions'!F67-(0))+(('Historical Inputs'!$N$9*(1+(D289))^1)*('Assumptions'!E67+(0))))*'DCF'!F12/(1+(G289))^'DCF'!F13,(('Historical Inputs'!$N$9*(1+(D289))^3)*(('Assumptions'!G37+(E289))*(1-'Assumptions'!G42-(0))+'Assumptions'!G47-'Assumptions'!G52*(F289)+'Assumptions'!G57-'Assumptions'!G62*(1)-'Assumptions'!G67-(0))+(('Historical Inputs'!$N$9*(1+(D289))^2)*('Assumptions'!F67+(0))))*'DCF'!G12/(1+(G289))^'DCF'!G13,(('Historical Inputs'!$N$9*(1+(D289))^4)*(('Assumptions'!H37+(E289))*(1-'Assumptions'!H42-(0))+'Assumptions'!H47-'Assumptions'!H52*(F289)+'Assumptions'!H57-'Assumptions'!H62*(1)-'Assumptions'!H67-(0))+(('Historical Inputs'!$N$9*(1+(D289))^3)*('Assumptions'!G67+(0))))*'DCF'!H12/(1+(G289))^'DCF'!H13,(('Historical Inputs'!$N$9*(1+(D289))^5)*(('Assumptions'!I37+(E289))*(1-'Assumptions'!I42-(0))+'Assumptions'!I47-'Assumptions'!I52*(F289)+'Assumptions'!I57-'Assumptions'!I62*(1)-'Assumptions'!I67-(0))+(('Historical Inputs'!$N$9*(1+(D289))^4)*('Assumptions'!H67+(0))))*'DCF'!I12/(1+(G289))^'DCF'!I13)+('Historical Inputs'!$N$9*(1+(D289))^5)*(1+(H289))*('Terminal Value'!$E$10+(E289))*(1-'Assumptions'!$E$15-(0))*(1-(H289)/('Terminal Value'!$E$12))/((G289)-(H289))/(1+(G289))^'DCF'!$E$19)+'Equity Bridge'!$E$17)/'Equity Bridge'!$E$20</x:f>
        <x:v>350.84654297137325</x:v>
      </x:c>
      <x:c r="X289" s="255" t="n">
        <x:v>0.9239690568871364</x:v>
      </x:c>
      <x:c r="Y289" s="255" t="n">
        <x:v>0.4921681303413511</x:v>
      </x:c>
      <x:c r="Z289" s="255" t="n">
        <x:v>0.3500273731036585</x:v>
      </x:c>
      <x:c r="AA289" s="255" t="n">
        <x:v>0.4379431875045402</x:v>
      </x:c>
      <x:c r="AB289" s="255" t="n">
        <x:v>0.9635233902309978</x:v>
      </x:c>
    </x:row>
    <x:row r="290" ht="24" customHeight="1">
      <x:c r="C290" s="256" t="n">
        <x:f>259</x:f>
        <x:v>259</x:v>
      </x:c>
      <x:c r="D290" s="258" t="n">
        <x:f>IF(X290&lt;($E$12-$D$12)/($F$12-$D$12),$D$12+SQRT(X290*($F$12-$D$12)*($E$12-$D$12)),$F$12-SQRT((1-X290)*($F$12-$D$12)*($F$12-$E$12)))</x:f>
        <x:v>0.14000594845636816</x:v>
      </x:c>
      <x:c r="E290" s="258" t="n">
        <x:f>IF(Y290&lt;($E$13-$D$13)/($F$13-$D$13),$D$13+SQRT(Y290*($F$13-$D$13)*($E$13-$D$13)),$F$13-SQRT((1-Y290)*($F$13-$D$13)*($F$13-$E$13)))</x:f>
        <x:v>0.00165982319542346</x:v>
      </x:c>
      <x:c r="F290" s="260" t="n">
        <x:f>IF(Z290&lt;($E$14-$D$14)/($F$14-$D$14),$D$14+SQRT(Z290*($F$14-$D$14)*($E$14-$D$14)),$F$14-SQRT((1-Z290)*($F$14-$D$14)*($F$14-$E$14)))</x:f>
        <x:v>1.0398235530498363</x:v>
      </x:c>
      <x:c r="G290" s="258" t="n">
        <x:f>IF(AA290&lt;($E$15-$D$15)/($F$15-$D$15),$D$15+SQRT(AA290*($F$15-$D$15)*($E$15-$D$15)),$F$15-SQRT((1-AA290)*($F$15-$D$15)*($F$15-$E$15)))</x:f>
        <x:v>0.09846274396154707</x:v>
      </x:c>
      <x:c r="H290" s="258" t="n">
        <x:f>IF(AB290&lt;($E$16-$D$16)/($F$16-$D$16),$D$16+SQRT(AB290*($F$16-$D$16)*($E$16-$D$16)),$F$16-SQRT((1-AB290)*($F$16-$D$16)*($F$16-$E$16)))</x:f>
        <x:v>0.026332046723664022</x:v>
      </x:c>
      <x:c r="I290" s="262" t="n">
        <x:f>'Historical Inputs'!$N$9*(1+D290)^5</x:f>
        <x:v>638944.3192270566</x:v>
      </x:c>
      <x:c r="J290" s="262" t="n">
        <x:f>I290*(1+H290)*('Terminal Value'!$E$10+E290)*(1-'Assumptions'!$E$15)*(1-H290/'Terminal Value'!$E$12)</x:f>
        <x:v>182973.8276000617</x:v>
      </x:c>
      <x:c r="K290" s="264" t="n">
        <x:f>((SUM((('Historical Inputs'!$N$9*(1+(D290))^1)*(('Assumptions'!E37+(E290))*(1-'Assumptions'!E42-(0))+'Assumptions'!E47-'Assumptions'!E52*(F290)+'Assumptions'!E57-'Assumptions'!E62*(1)-'Assumptions'!E67-(0))+('Working Capital'!$E$6))*'DCF'!E12/(1+(G290))^'DCF'!E13,(('Historical Inputs'!$N$9*(1+(D290))^2)*(('Assumptions'!F37+(E290))*(1-'Assumptions'!F42-(0))+'Assumptions'!F47-'Assumptions'!F52*(F290)+'Assumptions'!F57-'Assumptions'!F62*(1)-'Assumptions'!F67-(0))+(('Historical Inputs'!$N$9*(1+(D290))^1)*('Assumptions'!E67+(0))))*'DCF'!F12/(1+(G290))^'DCF'!F13,(('Historical Inputs'!$N$9*(1+(D290))^3)*(('Assumptions'!G37+(E290))*(1-'Assumptions'!G42-(0))+'Assumptions'!G47-'Assumptions'!G52*(F290)+'Assumptions'!G57-'Assumptions'!G62*(1)-'Assumptions'!G67-(0))+(('Historical Inputs'!$N$9*(1+(D290))^2)*('Assumptions'!F67+(0))))*'DCF'!G12/(1+(G290))^'DCF'!G13,(('Historical Inputs'!$N$9*(1+(D290))^4)*(('Assumptions'!H37+(E290))*(1-'Assumptions'!H42-(0))+'Assumptions'!H47-'Assumptions'!H52*(F290)+'Assumptions'!H57-'Assumptions'!H62*(1)-'Assumptions'!H67-(0))+(('Historical Inputs'!$N$9*(1+(D290))^3)*('Assumptions'!G67+(0))))*'DCF'!H12/(1+(G290))^'DCF'!H13,(('Historical Inputs'!$N$9*(1+(D290))^5)*(('Assumptions'!I37+(E290))*(1-'Assumptions'!I42-(0))+'Assumptions'!I47-'Assumptions'!I52*(F290)+'Assumptions'!I57-'Assumptions'!I62*(1)-'Assumptions'!I67-(0))+(('Historical Inputs'!$N$9*(1+(D290))^4)*('Assumptions'!H67+(0))))*'DCF'!I12/(1+(G290))^'DCF'!I13)+('Historical Inputs'!$N$9*(1+(D290))^5)*(1+(H290))*('Terminal Value'!$E$10+(E290))*(1-'Assumptions'!$E$15-(0))*(1-(H290)/('Terminal Value'!$E$12))/((G290)-(H290))/(1+(G290))^'DCF'!$E$19)+'Equity Bridge'!$E$17)/'Equity Bridge'!$E$20</x:f>
        <x:v>271.36860544233144</x:v>
      </x:c>
      <x:c r="X290" s="255" t="n">
        <x:v>0.43709242821723615</x:v>
      </x:c>
      <x:c r="Y290" s="255" t="n">
        <x:v>0.5326454613004561</x:v>
      </x:c>
      <x:c r="Z290" s="255" t="n">
        <x:v>0.6334786548917343</x:v>
      </x:c>
      <x:c r="AA290" s="255" t="n">
        <x:v>0.5212606993053979</x:v>
      </x:c>
      <x:c r="AB290" s="255" t="n">
        <x:v>0.20047407855332156</x:v>
      </x:c>
    </x:row>
    <x:row r="291" ht="24" customHeight="1">
      <x:c r="C291" s="256" t="n">
        <x:f>260</x:f>
        <x:v>260</x:v>
      </x:c>
      <x:c r="D291" s="258" t="n">
        <x:f>IF(X291&lt;($E$12-$D$12)/($F$12-$D$12),$D$12+SQRT(X291*($F$12-$D$12)*($E$12-$D$12)),$F$12-SQRT((1-X291)*($F$12-$D$12)*($F$12-$E$12)))</x:f>
        <x:v>0.1314732097218449</x:v>
      </x:c>
      <x:c r="E291" s="258" t="n">
        <x:f>IF(Y291&lt;($E$13-$D$13)/($F$13-$D$13),$D$13+SQRT(Y291*($F$13-$D$13)*($E$13-$D$13)),$F$13-SQRT((1-Y291)*($F$13-$D$13)*($F$13-$E$13)))</x:f>
        <x:v>0.004217761112764951</x:v>
      </x:c>
      <x:c r="F291" s="260" t="n">
        <x:f>IF(Z291&lt;($E$14-$D$14)/($F$14-$D$14),$D$14+SQRT(Z291*($F$14-$D$14)*($E$14-$D$14)),$F$14-SQRT((1-Z291)*($F$14-$D$14)*($F$14-$E$14)))</x:f>
        <x:v>0.9710884954794468</x:v>
      </x:c>
      <x:c r="G291" s="258" t="n">
        <x:f>IF(AA291&lt;($E$15-$D$15)/($F$15-$D$15),$D$15+SQRT(AA291*($F$15-$D$15)*($E$15-$D$15)),$F$15-SQRT((1-AA291)*($F$15-$D$15)*($F$15-$E$15)))</x:f>
        <x:v>0.09019627086832653</x:v>
      </x:c>
      <x:c r="H291" s="258" t="n">
        <x:f>IF(AB291&lt;($E$16-$D$16)/($F$16-$D$16),$D$16+SQRT(AB291*($F$16-$D$16)*($E$16-$D$16)),$F$16-SQRT((1-AB291)*($F$16-$D$16)*($F$16-$E$16)))</x:f>
        <x:v>0.029907394329508133</x:v>
      </x:c>
      <x:c r="I291" s="262" t="n">
        <x:f>'Historical Inputs'!$N$9*(1+D291)^5</x:f>
        <x:v>615387.6883058122</x:v>
      </x:c>
      <x:c r="J291" s="262" t="n">
        <x:f>I291*(1+H291)*('Terminal Value'!$E$10+E291)*(1-'Assumptions'!$E$15)*(1-H291/'Terminal Value'!$E$12)</x:f>
        <x:v>174304.17810289172</x:v>
      </x:c>
      <x:c r="K291" s="264" t="n">
        <x:f>((SUM((('Historical Inputs'!$N$9*(1+(D291))^1)*(('Assumptions'!E37+(E291))*(1-'Assumptions'!E42-(0))+'Assumptions'!E47-'Assumptions'!E52*(F291)+'Assumptions'!E57-'Assumptions'!E62*(1)-'Assumptions'!E67-(0))+('Working Capital'!$E$6))*'DCF'!E12/(1+(G291))^'DCF'!E13,(('Historical Inputs'!$N$9*(1+(D291))^2)*(('Assumptions'!F37+(E291))*(1-'Assumptions'!F42-(0))+'Assumptions'!F47-'Assumptions'!F52*(F291)+'Assumptions'!F57-'Assumptions'!F62*(1)-'Assumptions'!F67-(0))+(('Historical Inputs'!$N$9*(1+(D291))^1)*('Assumptions'!E67+(0))))*'DCF'!F12/(1+(G291))^'DCF'!F13,(('Historical Inputs'!$N$9*(1+(D291))^3)*(('Assumptions'!G37+(E291))*(1-'Assumptions'!G42-(0))+'Assumptions'!G47-'Assumptions'!G52*(F291)+'Assumptions'!G57-'Assumptions'!G62*(1)-'Assumptions'!G67-(0))+(('Historical Inputs'!$N$9*(1+(D291))^2)*('Assumptions'!F67+(0))))*'DCF'!G12/(1+(G291))^'DCF'!G13,(('Historical Inputs'!$N$9*(1+(D291))^4)*(('Assumptions'!H37+(E291))*(1-'Assumptions'!H42-(0))+'Assumptions'!H47-'Assumptions'!H52*(F291)+'Assumptions'!H57-'Assumptions'!H62*(1)-'Assumptions'!H67-(0))+(('Historical Inputs'!$N$9*(1+(D291))^3)*('Assumptions'!G67+(0))))*'DCF'!H12/(1+(G291))^'DCF'!H13,(('Historical Inputs'!$N$9*(1+(D291))^5)*(('Assumptions'!I37+(E291))*(1-'Assumptions'!I42-(0))+'Assumptions'!I47-'Assumptions'!I52*(F291)+'Assumptions'!I57-'Assumptions'!I62*(1)-'Assumptions'!I67-(0))+(('Historical Inputs'!$N$9*(1+(D291))^4)*('Assumptions'!H67+(0))))*'DCF'!I12/(1+(G291))^'DCF'!I13)+('Historical Inputs'!$N$9*(1+(D291))^5)*(1+(H291))*('Terminal Value'!$E$10+(E291))*(1-'Assumptions'!$E$15-(0))*(1-(H291)/('Terminal Value'!$E$12))/((G291)-(H291))/(1+(G291))^'DCF'!$E$19)+'Equity Bridge'!$E$17)/'Equity Bridge'!$E$20</x:f>
        <x:v>315.4692372146943</x:v>
      </x:c>
      <x:c r="X291" s="255" t="n">
        <x:v>0.2920954034572273</x:v>
      </x:c>
      <x:c r="Y291" s="255" t="n">
        <x:v>0.5807973204944286</x:v>
      </x:c>
      <x:c r="Z291" s="255" t="n">
        <x:v>0.2792842616662098</x:v>
      </x:c>
      <x:c r="AA291" s="255" t="n">
        <x:v>0.1106349934856613</x:v>
      </x:c>
      <x:c r="AB291" s="255" t="n">
        <x:v>0.49078231200184985</x:v>
      </x:c>
    </x:row>
    <x:row r="292" ht="24" customHeight="1">
      <x:c r="C292" s="256" t="n">
        <x:f>261</x:f>
        <x:v>261</x:v>
      </x:c>
      <x:c r="D292" s="258" t="n">
        <x:f>IF(X292&lt;($E$12-$D$12)/($F$12-$D$12),$D$12+SQRT(X292*($F$12-$D$12)*($E$12-$D$12)),$F$12-SQRT((1-X292)*($F$12-$D$12)*($F$12-$E$12)))</x:f>
        <x:v>0.13879434068070443</x:v>
      </x:c>
      <x:c r="E292" s="258" t="n">
        <x:f>IF(Y292&lt;($E$13-$D$13)/($F$13-$D$13),$D$13+SQRT(Y292*($F$13-$D$13)*($E$13-$D$13)),$F$13-SQRT((1-Y292)*($F$13-$D$13)*($F$13-$E$13)))</x:f>
        <x:v>-0.033178485120916236</x:v>
      </x:c>
      <x:c r="F292" s="260" t="n">
        <x:f>IF(Z292&lt;($E$14-$D$14)/($F$14-$D$14),$D$14+SQRT(Z292*($F$14-$D$14)*($E$14-$D$14)),$F$14-SQRT((1-Z292)*($F$14-$D$14)*($F$14-$E$14)))</x:f>
        <x:v>0.9455238383844224</x:v>
      </x:c>
      <x:c r="G292" s="258" t="n">
        <x:f>IF(AA292&lt;($E$15-$D$15)/($F$15-$D$15),$D$15+SQRT(AA292*($F$15-$D$15)*($E$15-$D$15)),$F$15-SQRT((1-AA292)*($F$15-$D$15)*($F$15-$E$15)))</x:f>
        <x:v>0.10811883094712567</x:v>
      </x:c>
      <x:c r="H292" s="258" t="n">
        <x:f>IF(AB292&lt;($E$16-$D$16)/($F$16-$D$16),$D$16+SQRT(AB292*($F$16-$D$16)*($E$16-$D$16)),$F$16-SQRT((1-AB292)*($F$16-$D$16)*($F$16-$E$16)))</x:f>
        <x:v>0.028605664633310712</x:v>
      </x:c>
      <x:c r="I292" s="262" t="n">
        <x:f>'Historical Inputs'!$N$9*(1+D292)^5</x:f>
        <x:v>635556.152224376</x:v>
      </x:c>
      <x:c r="J292" s="262" t="n">
        <x:f>I292*(1+H292)*('Terminal Value'!$E$10+E292)*(1-'Assumptions'!$E$15)*(1-H292/'Terminal Value'!$E$12)</x:f>
        <x:v>164404.64905919458</x:v>
      </x:c>
      <x:c r="K292" s="264" t="n">
        <x:f>((SUM((('Historical Inputs'!$N$9*(1+(D292))^1)*(('Assumptions'!E37+(E292))*(1-'Assumptions'!E42-(0))+'Assumptions'!E47-'Assumptions'!E52*(F292)+'Assumptions'!E57-'Assumptions'!E62*(1)-'Assumptions'!E67-(0))+('Working Capital'!$E$6))*'DCF'!E12/(1+(G292))^'DCF'!E13,(('Historical Inputs'!$N$9*(1+(D292))^2)*(('Assumptions'!F37+(E292))*(1-'Assumptions'!F42-(0))+'Assumptions'!F47-'Assumptions'!F52*(F292)+'Assumptions'!F57-'Assumptions'!F62*(1)-'Assumptions'!F67-(0))+(('Historical Inputs'!$N$9*(1+(D292))^1)*('Assumptions'!E67+(0))))*'DCF'!F12/(1+(G292))^'DCF'!F13,(('Historical Inputs'!$N$9*(1+(D292))^3)*(('Assumptions'!G37+(E292))*(1-'Assumptions'!G42-(0))+'Assumptions'!G47-'Assumptions'!G52*(F292)+'Assumptions'!G57-'Assumptions'!G62*(1)-'Assumptions'!G67-(0))+(('Historical Inputs'!$N$9*(1+(D292))^2)*('Assumptions'!F67+(0))))*'DCF'!G12/(1+(G292))^'DCF'!G13,(('Historical Inputs'!$N$9*(1+(D292))^4)*(('Assumptions'!H37+(E292))*(1-'Assumptions'!H42-(0))+'Assumptions'!H47-'Assumptions'!H52*(F292)+'Assumptions'!H57-'Assumptions'!H62*(1)-'Assumptions'!H67-(0))+(('Historical Inputs'!$N$9*(1+(D292))^3)*('Assumptions'!G67+(0))))*'DCF'!H12/(1+(G292))^'DCF'!H13,(('Historical Inputs'!$N$9*(1+(D292))^5)*(('Assumptions'!I37+(E292))*(1-'Assumptions'!I42-(0))+'Assumptions'!I47-'Assumptions'!I52*(F292)+'Assumptions'!I57-'Assumptions'!I62*(1)-'Assumptions'!I67-(0))+(('Historical Inputs'!$N$9*(1+(D292))^4)*('Assumptions'!H67+(0))))*'DCF'!I12/(1+(G292))^'DCF'!I13)+('Historical Inputs'!$N$9*(1+(D292))^5)*(1+(H292))*('Terminal Value'!$E$10+(E292))*(1-'Assumptions'!$E$15-(0))*(1-(H292)/('Terminal Value'!$E$12))/((G292)-(H292))/(1+(G292))^'DCF'!$E$19)+'Equity Bridge'!$E$17)/'Equity Bridge'!$E$20</x:f>
        <x:v>221.13026841675665</x:v>
      </x:c>
      <x:c r="X292" s="255" t="n">
        <x:v>0.41472948169395885</x:v>
      </x:c>
      <x:c r="Y292" s="255" t="n">
        <x:v>0.05659267256544731</x:v>
      </x:c>
      <x:c r="Z292" s="255" t="n">
        <x:v>0.17380578475606212</x:v>
      </x:c>
      <x:c r="AA292" s="255" t="n">
        <x:v>0.9439647836905233</x:v>
      </x:c>
      <x:c r="AB292" s="255" t="n">
        <x:v>0.37028731890507427</x:v>
      </x:c>
    </x:row>
    <x:row r="293" ht="24" customHeight="1">
      <x:c r="C293" s="256" t="n">
        <x:f>262</x:f>
        <x:v>262</x:v>
      </x:c>
      <x:c r="D293" s="258" t="n">
        <x:f>IF(X293&lt;($E$12-$D$12)/($F$12-$D$12),$D$12+SQRT(X293*($F$12-$D$12)*($E$12-$D$12)),$F$12-SQRT((1-X293)*($F$12-$D$12)*($F$12-$E$12)))</x:f>
        <x:v>0.18145357192879716</x:v>
      </x:c>
      <x:c r="E293" s="258" t="n">
        <x:f>IF(Y293&lt;($E$13-$D$13)/($F$13-$D$13),$D$13+SQRT(Y293*($F$13-$D$13)*($E$13-$D$13)),$F$13-SQRT((1-Y293)*($F$13-$D$13)*($F$13-$E$13)))</x:f>
        <x:v>-0.008197095817794792</x:v>
      </x:c>
      <x:c r="F293" s="260" t="n">
        <x:f>IF(Z293&lt;($E$14-$D$14)/($F$14-$D$14),$D$14+SQRT(Z293*($F$14-$D$14)*($E$14-$D$14)),$F$14-SQRT((1-Z293)*($F$14-$D$14)*($F$14-$E$14)))</x:f>
        <x:v>1.0442204248075708</x:v>
      </x:c>
      <x:c r="G293" s="258" t="n">
        <x:f>IF(AA293&lt;($E$15-$D$15)/($F$15-$D$15),$D$15+SQRT(AA293*($F$15-$D$15)*($E$15-$D$15)),$F$15-SQRT((1-AA293)*($F$15-$D$15)*($F$15-$E$15)))</x:f>
        <x:v>0.10243565200161636</x:v>
      </x:c>
      <x:c r="H293" s="258" t="n">
        <x:f>IF(AB293&lt;($E$16-$D$16)/($F$16-$D$16),$D$16+SQRT(AB293*($F$16-$D$16)*($E$16-$D$16)),$F$16-SQRT((1-AB293)*($F$16-$D$16)*($F$16-$E$16)))</x:f>
        <x:v>0.027220523019382773</x:v>
      </x:c>
      <x:c r="I293" s="262" t="n">
        <x:f>'Historical Inputs'!$N$9*(1+D293)^5</x:f>
        <x:v>763854.6455471342</x:v>
      </x:c>
      <x:c r="J293" s="262" t="n">
        <x:f>I293*(1+H293)*('Terminal Value'!$E$10+E293)*(1-'Assumptions'!$E$15)*(1-H293/'Terminal Value'!$E$12)</x:f>
        <x:v>212468.33229541476</x:v>
      </x:c>
      <x:c r="K293" s="264" t="n">
        <x:f>((SUM((('Historical Inputs'!$N$9*(1+(D293))^1)*(('Assumptions'!E37+(E293))*(1-'Assumptions'!E42-(0))+'Assumptions'!E47-'Assumptions'!E52*(F293)+'Assumptions'!E57-'Assumptions'!E62*(1)-'Assumptions'!E67-(0))+('Working Capital'!$E$6))*'DCF'!E12/(1+(G293))^'DCF'!E13,(('Historical Inputs'!$N$9*(1+(D293))^2)*(('Assumptions'!F37+(E293))*(1-'Assumptions'!F42-(0))+'Assumptions'!F47-'Assumptions'!F52*(F293)+'Assumptions'!F57-'Assumptions'!F62*(1)-'Assumptions'!F67-(0))+(('Historical Inputs'!$N$9*(1+(D293))^1)*('Assumptions'!E67+(0))))*'DCF'!F12/(1+(G293))^'DCF'!F13,(('Historical Inputs'!$N$9*(1+(D293))^3)*(('Assumptions'!G37+(E293))*(1-'Assumptions'!G42-(0))+'Assumptions'!G47-'Assumptions'!G52*(F293)+'Assumptions'!G57-'Assumptions'!G62*(1)-'Assumptions'!G67-(0))+(('Historical Inputs'!$N$9*(1+(D293))^2)*('Assumptions'!F67+(0))))*'DCF'!G12/(1+(G293))^'DCF'!G13,(('Historical Inputs'!$N$9*(1+(D293))^4)*(('Assumptions'!H37+(E293))*(1-'Assumptions'!H42-(0))+'Assumptions'!H47-'Assumptions'!H52*(F293)+'Assumptions'!H57-'Assumptions'!H62*(1)-'Assumptions'!H67-(0))+(('Historical Inputs'!$N$9*(1+(D293))^3)*('Assumptions'!G67+(0))))*'DCF'!H12/(1+(G293))^'DCF'!H13,(('Historical Inputs'!$N$9*(1+(D293))^5)*(('Assumptions'!I37+(E293))*(1-'Assumptions'!I42-(0))+'Assumptions'!I47-'Assumptions'!I52*(F293)+'Assumptions'!I57-'Assumptions'!I62*(1)-'Assumptions'!I67-(0))+(('Historical Inputs'!$N$9*(1+(D293))^4)*('Assumptions'!H67+(0))))*'DCF'!I12/(1+(G293))^'DCF'!I13)+('Historical Inputs'!$N$9*(1+(D293))^5)*(1+(H293))*('Terminal Value'!$E$10+(E293))*(1-'Assumptions'!$E$15-(0))*(1-(H293)/('Terminal Value'!$E$12))/((G293)-(H293))/(1+(G293))^'DCF'!$E$19)+'Equity Bridge'!$E$17)/'Equity Bridge'!$E$20</x:f>
        <x:v>296.3676716140983</x:v>
      </x:c>
      <x:c r="X293" s="255" t="n">
        <x:v>0.9721357141045737</x:v>
      </x:c>
      <x:c r="Y293" s="255" t="n">
        <x:v>0.34949655961332593</x:v>
      </x:c>
      <x:c r="Z293" s="255" t="n">
        <x:v>0.6533246278980899</x:v>
      </x:c>
      <x:c r="AA293" s="255" t="n">
        <x:v>0.7453533950084614</x:v>
      </x:c>
      <x:c r="AB293" s="255" t="n">
        <x:v>0.2606797633671827</x:v>
      </x:c>
    </x:row>
    <x:row r="294" ht="24" customHeight="1">
      <x:c r="C294" s="256" t="n">
        <x:f>263</x:f>
        <x:v>263</x:v>
      </x:c>
      <x:c r="D294" s="258" t="n">
        <x:f>IF(X294&lt;($E$12-$D$12)/($F$12-$D$12),$D$12+SQRT(X294*($F$12-$D$12)*($E$12-$D$12)),$F$12-SQRT((1-X294)*($F$12-$D$12)*($F$12-$E$12)))</x:f>
        <x:v>0.12342225614807703</x:v>
      </x:c>
      <x:c r="E294" s="258" t="n">
        <x:f>IF(Y294&lt;($E$13-$D$13)/($F$13-$D$13),$D$13+SQRT(Y294*($F$13-$D$13)*($E$13-$D$13)),$F$13-SQRT((1-Y294)*($F$13-$D$13)*($F$13-$E$13)))</x:f>
        <x:v>-0.004355873470376949</x:v>
      </x:c>
      <x:c r="F294" s="260" t="n">
        <x:f>IF(Z294&lt;($E$14-$D$14)/($F$14-$D$14),$D$14+SQRT(Z294*($F$14-$D$14)*($E$14-$D$14)),$F$14-SQRT((1-Z294)*($F$14-$D$14)*($F$14-$E$14)))</x:f>
        <x:v>0.9329176762056182</x:v>
      </x:c>
      <x:c r="G294" s="258" t="n">
        <x:f>IF(AA294&lt;($E$15-$D$15)/($F$15-$D$15),$D$15+SQRT(AA294*($F$15-$D$15)*($E$15-$D$15)),$F$15-SQRT((1-AA294)*($F$15-$D$15)*($F$15-$E$15)))</x:f>
        <x:v>0.08875766110447797</x:v>
      </x:c>
      <x:c r="H294" s="258" t="n">
        <x:f>IF(AB294&lt;($E$16-$D$16)/($F$16-$D$16),$D$16+SQRT(AB294*($F$16-$D$16)*($E$16-$D$16)),$F$16-SQRT((1-AB294)*($F$16-$D$16)*($F$16-$E$16)))</x:f>
        <x:v>0.026168065070241935</x:v>
      </x:c>
      <x:c r="I294" s="262" t="n">
        <x:f>'Historical Inputs'!$N$9*(1+D294)^5</x:f>
        <x:v>593803.2130017757</x:v>
      </x:c>
      <x:c r="J294" s="262" t="n">
        <x:f>I294*(1+H294)*('Terminal Value'!$E$10+E294)*(1-'Assumptions'!$E$15)*(1-H294/'Terminal Value'!$E$12)</x:f>
        <x:v>167631.37863661925</x:v>
      </x:c>
      <x:c r="K294" s="264" t="n">
        <x:f>((SUM((('Historical Inputs'!$N$9*(1+(D294))^1)*(('Assumptions'!E37+(E294))*(1-'Assumptions'!E42-(0))+'Assumptions'!E47-'Assumptions'!E52*(F294)+'Assumptions'!E57-'Assumptions'!E62*(1)-'Assumptions'!E67-(0))+('Working Capital'!$E$6))*'DCF'!E12/(1+(G294))^'DCF'!E13,(('Historical Inputs'!$N$9*(1+(D294))^2)*(('Assumptions'!F37+(E294))*(1-'Assumptions'!F42-(0))+'Assumptions'!F47-'Assumptions'!F52*(F294)+'Assumptions'!F57-'Assumptions'!F62*(1)-'Assumptions'!F67-(0))+(('Historical Inputs'!$N$9*(1+(D294))^1)*('Assumptions'!E67+(0))))*'DCF'!F12/(1+(G294))^'DCF'!F13,(('Historical Inputs'!$N$9*(1+(D294))^3)*(('Assumptions'!G37+(E294))*(1-'Assumptions'!G42-(0))+'Assumptions'!G47-'Assumptions'!G52*(F294)+'Assumptions'!G57-'Assumptions'!G62*(1)-'Assumptions'!G67-(0))+(('Historical Inputs'!$N$9*(1+(D294))^2)*('Assumptions'!F67+(0))))*'DCF'!G12/(1+(G294))^'DCF'!G13,(('Historical Inputs'!$N$9*(1+(D294))^4)*(('Assumptions'!H37+(E294))*(1-'Assumptions'!H42-(0))+'Assumptions'!H47-'Assumptions'!H52*(F294)+'Assumptions'!H57-'Assumptions'!H62*(1)-'Assumptions'!H67-(0))+(('Historical Inputs'!$N$9*(1+(D294))^3)*('Assumptions'!G67+(0))))*'DCF'!H12/(1+(G294))^'DCF'!H13,(('Historical Inputs'!$N$9*(1+(D294))^5)*(('Assumptions'!I37+(E294))*(1-'Assumptions'!I42-(0))+'Assumptions'!I47-'Assumptions'!I52*(F294)+'Assumptions'!I57-'Assumptions'!I62*(1)-'Assumptions'!I67-(0))+(('Historical Inputs'!$N$9*(1+(D294))^4)*('Assumptions'!H67+(0))))*'DCF'!I12/(1+(G294))^'DCF'!I13)+('Historical Inputs'!$N$9*(1+(D294))^5)*(1+(H294))*('Terminal Value'!$E$10+(E294))*(1-'Assumptions'!$E$15-(0))*(1-(H294)/('Terminal Value'!$E$12))/((G294)-(H294))/(1+(G294))^'DCF'!$E$19)+'Equity Bridge'!$E$17)/'Equity Bridge'!$E$20</x:f>
        <x:v>297.36134537351484</x:v>
      </x:c>
      <x:c r="X294" s="255" t="n">
        <x:v>0.18198827234047055</x:v>
      </x:c>
      <x:c r="Y294" s="255" t="n">
        <x:v>0.4166772573304478</x:v>
      </x:c>
      <x:c r="Z294" s="255" t="n">
        <x:v>0.13095887671123319</x:v>
      </x:c>
      <x:c r="AA294" s="255" t="n">
        <x:v>0.07011992737215755</x:v>
      </x:c>
      <x:c r="AB294" s="255" t="n">
        <x:v>0.1902251335536933</x:v>
      </x:c>
    </x:row>
    <x:row r="295" ht="24" customHeight="1">
      <x:c r="C295" s="256" t="n">
        <x:f>264</x:f>
        <x:v>264</x:v>
      </x:c>
      <x:c r="D295" s="258" t="n">
        <x:f>IF(X295&lt;($E$12-$D$12)/($F$12-$D$12),$D$12+SQRT(X295*($F$12-$D$12)*($E$12-$D$12)),$F$12-SQRT((1-X295)*($F$12-$D$12)*($F$12-$E$12)))</x:f>
        <x:v>0.14841265239324153</x:v>
      </x:c>
      <x:c r="E295" s="258" t="n">
        <x:f>IF(Y295&lt;($E$13-$D$13)/($F$13-$D$13),$D$13+SQRT(Y295*($F$13-$D$13)*($E$13-$D$13)),$F$13-SQRT((1-Y295)*($F$13-$D$13)*($F$13-$E$13)))</x:f>
        <x:v>0.00010440525294095476</x:v>
      </x:c>
      <x:c r="F295" s="260" t="n">
        <x:f>IF(Z295&lt;($E$14-$D$14)/($F$14-$D$14),$D$14+SQRT(Z295*($F$14-$D$14)*($E$14-$D$14)),$F$14-SQRT((1-Z295)*($F$14-$D$14)*($F$14-$E$14)))</x:f>
        <x:v>1.134943600261178</x:v>
      </x:c>
      <x:c r="G295" s="258" t="n">
        <x:f>IF(AA295&lt;($E$15-$D$15)/($F$15-$D$15),$D$15+SQRT(AA295*($F$15-$D$15)*($E$15-$D$15)),$F$15-SQRT((1-AA295)*($F$15-$D$15)*($F$15-$E$15)))</x:f>
        <x:v>0.08807901861558935</x:v>
      </x:c>
      <x:c r="H295" s="258" t="n">
        <x:f>IF(AB295&lt;($E$16-$D$16)/($F$16-$D$16),$D$16+SQRT(AB295*($F$16-$D$16)*($E$16-$D$16)),$F$16-SQRT((1-AB295)*($F$16-$D$16)*($F$16-$E$16)))</x:f>
        <x:v>0.02858285823673208</x:v>
      </x:c>
      <x:c r="I295" s="262" t="n">
        <x:f>'Historical Inputs'!$N$9*(1+D295)^5</x:f>
        <x:v>662853.0652640687</x:v>
      </x:c>
      <x:c r="J295" s="262" t="n">
        <x:f>I295*(1+H295)*('Terminal Value'!$E$10+E295)*(1-'Assumptions'!$E$15)*(1-H295/'Terminal Value'!$E$12)</x:f>
        <x:v>187044.1479851212</x:v>
      </x:c>
      <x:c r="K295" s="264" t="n">
        <x:f>((SUM((('Historical Inputs'!$N$9*(1+(D295))^1)*(('Assumptions'!E37+(E295))*(1-'Assumptions'!E42-(0))+'Assumptions'!E47-'Assumptions'!E52*(F295)+'Assumptions'!E57-'Assumptions'!E62*(1)-'Assumptions'!E67-(0))+('Working Capital'!$E$6))*'DCF'!E12/(1+(G295))^'DCF'!E13,(('Historical Inputs'!$N$9*(1+(D295))^2)*(('Assumptions'!F37+(E295))*(1-'Assumptions'!F42-(0))+'Assumptions'!F47-'Assumptions'!F52*(F295)+'Assumptions'!F57-'Assumptions'!F62*(1)-'Assumptions'!F67-(0))+(('Historical Inputs'!$N$9*(1+(D295))^1)*('Assumptions'!E67+(0))))*'DCF'!F12/(1+(G295))^'DCF'!F13,(('Historical Inputs'!$N$9*(1+(D295))^3)*(('Assumptions'!G37+(E295))*(1-'Assumptions'!G42-(0))+'Assumptions'!G47-'Assumptions'!G52*(F295)+'Assumptions'!G57-'Assumptions'!G62*(1)-'Assumptions'!G67-(0))+(('Historical Inputs'!$N$9*(1+(D295))^2)*('Assumptions'!F67+(0))))*'DCF'!G12/(1+(G295))^'DCF'!G13,(('Historical Inputs'!$N$9*(1+(D295))^4)*(('Assumptions'!H37+(E295))*(1-'Assumptions'!H42-(0))+'Assumptions'!H47-'Assumptions'!H52*(F295)+'Assumptions'!H57-'Assumptions'!H62*(1)-'Assumptions'!H67-(0))+(('Historical Inputs'!$N$9*(1+(D295))^3)*('Assumptions'!G67+(0))))*'DCF'!H12/(1+(G295))^'DCF'!H13,(('Historical Inputs'!$N$9*(1+(D295))^5)*(('Assumptions'!I37+(E295))*(1-'Assumptions'!I42-(0))+'Assumptions'!I47-'Assumptions'!I52*(F295)+'Assumptions'!I57-'Assumptions'!I62*(1)-'Assumptions'!I67-(0))+(('Historical Inputs'!$N$9*(1+(D295))^4)*('Assumptions'!H67+(0))))*'DCF'!I12/(1+(G295))^'DCF'!I13)+('Historical Inputs'!$N$9*(1+(D295))^5)*(1+(H295))*('Terminal Value'!$E$10+(E295))*(1-'Assumptions'!$E$15-(0))*(1-(H295)/('Terminal Value'!$E$12))/((G295)-(H295))/(1+(G295))^'DCF'!$E$19)+'Equity Bridge'!$E$17)/'Equity Bridge'!$E$20</x:f>
        <x:v>332.4776292509829</x:v>
      </x:c>
      <x:c r="X295" s="255" t="n">
        <x:v>0.5977965060346265</x:v>
      </x:c>
      <x:c r="Y295" s="255" t="n">
        <x:v>0.5020859249674507</x:v>
      </x:c>
      <x:c r="Z295" s="255" t="n">
        <x:v>0.939538069328894</x:v>
      </x:c>
      <x:c r="AA295" s="255" t="n">
        <x:v>0.05420057144668211</x:v>
      </x:c>
      <x:c r="AB295" s="255" t="n">
        <x:v>0.3683272775591988</x:v>
      </x:c>
    </x:row>
    <x:row r="296" ht="24" customHeight="1">
      <x:c r="C296" s="256" t="n">
        <x:f>265</x:f>
        <x:v>265</x:v>
      </x:c>
      <x:c r="D296" s="258" t="n">
        <x:f>IF(X296&lt;($E$12-$D$12)/($F$12-$D$12),$D$12+SQRT(X296*($F$12-$D$12)*($E$12-$D$12)),$F$12-SQRT((1-X296)*($F$12-$D$12)*($F$12-$E$12)))</x:f>
        <x:v>0.1424284083608121</x:v>
      </x:c>
      <x:c r="E296" s="258" t="n">
        <x:f>IF(Y296&lt;($E$13-$D$13)/($F$13-$D$13),$D$13+SQRT(Y296*($F$13-$D$13)*($E$13-$D$13)),$F$13-SQRT((1-Y296)*($F$13-$D$13)*($F$13-$E$13)))</x:f>
        <x:v>0.01205307224442951</x:v>
      </x:c>
      <x:c r="F296" s="260" t="n">
        <x:f>IF(Z296&lt;($E$14-$D$14)/($F$14-$D$14),$D$14+SQRT(Z296*($F$14-$D$14)*($E$14-$D$14)),$F$14-SQRT((1-Z296)*($F$14-$D$14)*($F$14-$E$14)))</x:f>
        <x:v>1.0388146064498684</x:v>
      </x:c>
      <x:c r="G296" s="258" t="n">
        <x:f>IF(AA296&lt;($E$15-$D$15)/($F$15-$D$15),$D$15+SQRT(AA296*($F$15-$D$15)*($E$15-$D$15)),$F$15-SQRT((1-AA296)*($F$15-$D$15)*($F$15-$E$15)))</x:f>
        <x:v>0.09816903828966586</x:v>
      </x:c>
      <x:c r="H296" s="258" t="n">
        <x:f>IF(AB296&lt;($E$16-$D$16)/($F$16-$D$16),$D$16+SQRT(AB296*($F$16-$D$16)*($E$16-$D$16)),$F$16-SQRT((1-AB296)*($F$16-$D$16)*($F$16-$E$16)))</x:f>
        <x:v>0.02879137018150916</x:v>
      </x:c>
      <x:c r="I296" s="262" t="n">
        <x:f>'Historical Inputs'!$N$9*(1+D296)^5</x:f>
        <x:v>645761.8672784518</x:v>
      </x:c>
      <x:c r="J296" s="262" t="n">
        <x:f>I296*(1+H296)*('Terminal Value'!$E$10+E296)*(1-'Assumptions'!$E$15)*(1-H296/'Terminal Value'!$E$12)</x:f>
        <x:v>187472.90459470093</x:v>
      </x:c>
      <x:c r="K296" s="264" t="n">
        <x:f>((SUM((('Historical Inputs'!$N$9*(1+(D296))^1)*(('Assumptions'!E37+(E296))*(1-'Assumptions'!E42-(0))+'Assumptions'!E47-'Assumptions'!E52*(F296)+'Assumptions'!E57-'Assumptions'!E62*(1)-'Assumptions'!E67-(0))+('Working Capital'!$E$6))*'DCF'!E12/(1+(G296))^'DCF'!E13,(('Historical Inputs'!$N$9*(1+(D296))^2)*(('Assumptions'!F37+(E296))*(1-'Assumptions'!F42-(0))+'Assumptions'!F47-'Assumptions'!F52*(F296)+'Assumptions'!F57-'Assumptions'!F62*(1)-'Assumptions'!F67-(0))+(('Historical Inputs'!$N$9*(1+(D296))^1)*('Assumptions'!E67+(0))))*'DCF'!F12/(1+(G296))^'DCF'!F13,(('Historical Inputs'!$N$9*(1+(D296))^3)*(('Assumptions'!G37+(E296))*(1-'Assumptions'!G42-(0))+'Assumptions'!G47-'Assumptions'!G52*(F296)+'Assumptions'!G57-'Assumptions'!G62*(1)-'Assumptions'!G67-(0))+(('Historical Inputs'!$N$9*(1+(D296))^2)*('Assumptions'!F67+(0))))*'DCF'!G12/(1+(G296))^'DCF'!G13,(('Historical Inputs'!$N$9*(1+(D296))^4)*(('Assumptions'!H37+(E296))*(1-'Assumptions'!H42-(0))+'Assumptions'!H47-'Assumptions'!H52*(F296)+'Assumptions'!H57-'Assumptions'!H62*(1)-'Assumptions'!H67-(0))+(('Historical Inputs'!$N$9*(1+(D296))^3)*('Assumptions'!G67+(0))))*'DCF'!H12/(1+(G296))^'DCF'!H13,(('Historical Inputs'!$N$9*(1+(D296))^5)*(('Assumptions'!I37+(E296))*(1-'Assumptions'!I42-(0))+'Assumptions'!I47-'Assumptions'!I52*(F296)+'Assumptions'!I57-'Assumptions'!I62*(1)-'Assumptions'!I67-(0))+(('Historical Inputs'!$N$9*(1+(D296))^4)*('Assumptions'!H67+(0))))*'DCF'!I12/(1+(G296))^'DCF'!I13)+('Historical Inputs'!$N$9*(1+(D296))^5)*(1+(H296))*('Terminal Value'!$E$10+(E296))*(1-'Assumptions'!$E$15-(0))*(1-(H296)/('Terminal Value'!$E$12))/((G296)-(H296))/(1+(G296))^'DCF'!$E$19)+'Equity Bridge'!$E$17)/'Equity Bridge'!$E$20</x:f>
        <x:v>288.5650314616661</x:v>
      </x:c>
      <x:c r="X296" s="255" t="n">
        <x:v>0.48356505075005174</x:v>
      </x:c>
      <x:c r="Y296" s="255" t="n">
        <x:v>0.7120061347827028</x:v>
      </x:c>
      <x:c r="Z296" s="255" t="n">
        <x:v>0.6288466986584169</x:v>
      </x:c>
      <x:c r="AA296" s="255" t="n">
        <x:v>0.501909440106007</x:v>
      </x:c>
      <x:c r="AB296" s="255" t="n">
        <x:v>0.3864409483416422</x:v>
      </x:c>
    </x:row>
    <x:row r="297" ht="24" customHeight="1">
      <x:c r="C297" s="256" t="n">
        <x:f>266</x:f>
        <x:v>266</x:v>
      </x:c>
      <x:c r="D297" s="258" t="n">
        <x:f>IF(X297&lt;($E$12-$D$12)/($F$12-$D$12),$D$12+SQRT(X297*($F$12-$D$12)*($E$12-$D$12)),$F$12-SQRT((1-X297)*($F$12-$D$12)*($F$12-$E$12)))</x:f>
        <x:v>0.14567062930599894</x:v>
      </x:c>
      <x:c r="E297" s="258" t="n">
        <x:f>IF(Y297&lt;($E$13-$D$13)/($F$13-$D$13),$D$13+SQRT(Y297*($F$13-$D$13)*($E$13-$D$13)),$F$13-SQRT((1-Y297)*($F$13-$D$13)*($F$13-$E$13)))</x:f>
        <x:v>-0.01175962000042196</x:v>
      </x:c>
      <x:c r="F297" s="260" t="n">
        <x:f>IF(Z297&lt;($E$14-$D$14)/($F$14-$D$14),$D$14+SQRT(Z297*($F$14-$D$14)*($E$14-$D$14)),$F$14-SQRT((1-Z297)*($F$14-$D$14)*($F$14-$E$14)))</x:f>
        <x:v>0.9394866518812247</x:v>
      </x:c>
      <x:c r="G297" s="258" t="n">
        <x:f>IF(AA297&lt;($E$15-$D$15)/($F$15-$D$15),$D$15+SQRT(AA297*($F$15-$D$15)*($E$15-$D$15)),$F$15-SQRT((1-AA297)*($F$15-$D$15)*($F$15-$E$15)))</x:f>
        <x:v>0.09374376370589722</x:v>
      </x:c>
      <x:c r="H297" s="258" t="n">
        <x:f>IF(AB297&lt;($E$16-$D$16)/($F$16-$D$16),$D$16+SQRT(AB297*($F$16-$D$16)*($E$16-$D$16)),$F$16-SQRT((1-AB297)*($F$16-$D$16)*($F$16-$E$16)))</x:f>
        <x:v>0.0330752204523279</x:v>
      </x:c>
      <x:c r="I297" s="262" t="n">
        <x:f>'Historical Inputs'!$N$9*(1+D297)^5</x:f>
        <x:v>654977.4133049235</x:v>
      </x:c>
      <x:c r="J297" s="262" t="n">
        <x:f>I297*(1+H297)*('Terminal Value'!$E$10+E297)*(1-'Assumptions'!$E$15)*(1-H297/'Terminal Value'!$E$12)</x:f>
        <x:v>175404.1136454839</x:v>
      </x:c>
      <x:c r="K297" s="264" t="n">
        <x:f>((SUM((('Historical Inputs'!$N$9*(1+(D297))^1)*(('Assumptions'!E37+(E297))*(1-'Assumptions'!E42-(0))+'Assumptions'!E47-'Assumptions'!E52*(F297)+'Assumptions'!E57-'Assumptions'!E62*(1)-'Assumptions'!E67-(0))+('Working Capital'!$E$6))*'DCF'!E12/(1+(G297))^'DCF'!E13,(('Historical Inputs'!$N$9*(1+(D297))^2)*(('Assumptions'!F37+(E297))*(1-'Assumptions'!F42-(0))+'Assumptions'!F47-'Assumptions'!F52*(F297)+'Assumptions'!F57-'Assumptions'!F62*(1)-'Assumptions'!F67-(0))+(('Historical Inputs'!$N$9*(1+(D297))^1)*('Assumptions'!E67+(0))))*'DCF'!F12/(1+(G297))^'DCF'!F13,(('Historical Inputs'!$N$9*(1+(D297))^3)*(('Assumptions'!G37+(E297))*(1-'Assumptions'!G42-(0))+'Assumptions'!G47-'Assumptions'!G52*(F297)+'Assumptions'!G57-'Assumptions'!G62*(1)-'Assumptions'!G67-(0))+(('Historical Inputs'!$N$9*(1+(D297))^2)*('Assumptions'!F67+(0))))*'DCF'!G12/(1+(G297))^'DCF'!G13,(('Historical Inputs'!$N$9*(1+(D297))^4)*(('Assumptions'!H37+(E297))*(1-'Assumptions'!H42-(0))+'Assumptions'!H47-'Assumptions'!H52*(F297)+'Assumptions'!H57-'Assumptions'!H62*(1)-'Assumptions'!H67-(0))+(('Historical Inputs'!$N$9*(1+(D297))^3)*('Assumptions'!G67+(0))))*'DCF'!H12/(1+(G297))^'DCF'!H13,(('Historical Inputs'!$N$9*(1+(D297))^5)*(('Assumptions'!I37+(E297))*(1-'Assumptions'!I42-(0))+'Assumptions'!I47-'Assumptions'!I52*(F297)+'Assumptions'!I57-'Assumptions'!I62*(1)-'Assumptions'!I67-(0))+(('Historical Inputs'!$N$9*(1+(D297))^4)*('Assumptions'!H67+(0))))*'DCF'!I12/(1+(G297))^'DCF'!I13)+('Historical Inputs'!$N$9*(1+(D297))^5)*(1+(H297))*('Terminal Value'!$E$10+(E297))*(1-'Assumptions'!$E$15-(0))*(1-(H297)/('Terminal Value'!$E$12))/((G297)-(H297))/(1+(G297))^'DCF'!$E$19)+'Equity Bridge'!$E$17)/'Equity Bridge'!$E$20</x:f>
        <x:v>312.3477701731781</x:v>
      </x:c>
      <x:c r="X297" s="255" t="n">
        <x:v>0.5471070493853856</x:v>
      </x:c>
      <x:c r="Y297" s="255" t="n">
        <x:v>0.2924653325024257</x:v>
      </x:c>
      <x:c r="Z297" s="255" t="n">
        <x:v>0.15253068314117157</x:v>
      </x:c>
      <x:c r="AA297" s="255" t="n">
        <x:v>0.24984882914958972</x:v>
      </x:c>
      <x:c r="AB297" s="255" t="n">
        <x:v>0.7602371410807109</x:v>
      </x:c>
    </x:row>
    <x:row r="298" ht="24" customHeight="1">
      <x:c r="C298" s="256" t="n">
        <x:f>267</x:f>
        <x:v>267</x:v>
      </x:c>
      <x:c r="D298" s="258" t="n">
        <x:f>IF(X298&lt;($E$12-$D$12)/($F$12-$D$12),$D$12+SQRT(X298*($F$12-$D$12)*($E$12-$D$12)),$F$12-SQRT((1-X298)*($F$12-$D$12)*($F$12-$E$12)))</x:f>
        <x:v>0.11892941181301733</x:v>
      </x:c>
      <x:c r="E298" s="258" t="n">
        <x:f>IF(Y298&lt;($E$13-$D$13)/($F$13-$D$13),$D$13+SQRT(Y298*($F$13-$D$13)*($E$13-$D$13)),$F$13-SQRT((1-Y298)*($F$13-$D$13)*($F$13-$E$13)))</x:f>
        <x:v>0.01994931086688916</x:v>
      </x:c>
      <x:c r="F298" s="260" t="n">
        <x:f>IF(Z298&lt;($E$14-$D$14)/($F$14-$D$14),$D$14+SQRT(Z298*($F$14-$D$14)*($E$14-$D$14)),$F$14-SQRT((1-Z298)*($F$14-$D$14)*($F$14-$E$14)))</x:f>
        <x:v>0.8902125888910751</x:v>
      </x:c>
      <x:c r="G298" s="258" t="n">
        <x:f>IF(AA298&lt;($E$15-$D$15)/($F$15-$D$15),$D$15+SQRT(AA298*($F$15-$D$15)*($E$15-$D$15)),$F$15-SQRT((1-AA298)*($F$15-$D$15)*($F$15-$E$15)))</x:f>
        <x:v>0.08616217809633105</x:v>
      </x:c>
      <x:c r="H298" s="258" t="n">
        <x:f>IF(AB298&lt;($E$16-$D$16)/($F$16-$D$16),$D$16+SQRT(AB298*($F$16-$D$16)*($E$16-$D$16)),$F$16-SQRT((1-AB298)*($F$16-$D$16)*($F$16-$E$16)))</x:f>
        <x:v>0.03299802846781884</x:v>
      </x:c>
      <x:c r="I298" s="262" t="n">
        <x:f>'Historical Inputs'!$N$9*(1+D298)^5</x:f>
        <x:v>582023.974852679</x:v>
      </x:c>
      <x:c r="J298" s="262" t="n">
        <x:f>I298*(1+H298)*('Terminal Value'!$E$10+E298)*(1-'Assumptions'!$E$15)*(1-H298/'Terminal Value'!$E$12)</x:f>
        <x:v>168662.61507561358</x:v>
      </x:c>
      <x:c r="K298" s="264" t="n">
        <x:f>((SUM((('Historical Inputs'!$N$9*(1+(D298))^1)*(('Assumptions'!E37+(E298))*(1-'Assumptions'!E42-(0))+'Assumptions'!E47-'Assumptions'!E52*(F298)+'Assumptions'!E57-'Assumptions'!E62*(1)-'Assumptions'!E67-(0))+('Working Capital'!$E$6))*'DCF'!E12/(1+(G298))^'DCF'!E13,(('Historical Inputs'!$N$9*(1+(D298))^2)*(('Assumptions'!F37+(E298))*(1-'Assumptions'!F42-(0))+'Assumptions'!F47-'Assumptions'!F52*(F298)+'Assumptions'!F57-'Assumptions'!F62*(1)-'Assumptions'!F67-(0))+(('Historical Inputs'!$N$9*(1+(D298))^1)*('Assumptions'!E67+(0))))*'DCF'!F12/(1+(G298))^'DCF'!F13,(('Historical Inputs'!$N$9*(1+(D298))^3)*(('Assumptions'!G37+(E298))*(1-'Assumptions'!G42-(0))+'Assumptions'!G47-'Assumptions'!G52*(F298)+'Assumptions'!G57-'Assumptions'!G62*(1)-'Assumptions'!G67-(0))+(('Historical Inputs'!$N$9*(1+(D298))^2)*('Assumptions'!F67+(0))))*'DCF'!G12/(1+(G298))^'DCF'!G13,(('Historical Inputs'!$N$9*(1+(D298))^4)*(('Assumptions'!H37+(E298))*(1-'Assumptions'!H42-(0))+'Assumptions'!H47-'Assumptions'!H52*(F298)+'Assumptions'!H57-'Assumptions'!H62*(1)-'Assumptions'!H67-(0))+(('Historical Inputs'!$N$9*(1+(D298))^3)*('Assumptions'!G67+(0))))*'DCF'!H12/(1+(G298))^'DCF'!H13,(('Historical Inputs'!$N$9*(1+(D298))^5)*(('Assumptions'!I37+(E298))*(1-'Assumptions'!I42-(0))+'Assumptions'!I47-'Assumptions'!I52*(F298)+'Assumptions'!I57-'Assumptions'!I62*(1)-'Assumptions'!I67-(0))+(('Historical Inputs'!$N$9*(1+(D298))^4)*('Assumptions'!H67+(0))))*'DCF'!I12/(1+(G298))^'DCF'!I13)+('Historical Inputs'!$N$9*(1+(D298))^5)*(1+(H298))*('Terminal Value'!$E$10+(E298))*(1-'Assumptions'!$E$15-(0))*(1-(H298)/('Terminal Value'!$E$12))/((G298)-(H298))/(1+(G298))^'DCF'!$E$19)+'Equity Bridge'!$E$17)/'Equity Bridge'!$E$20</x:f>
        <x:v>351.9404589383774</x:v>
      </x:c>
      <x:c r="X298" s="255" t="n">
        <x:v>0.13181432152851247</x:v>
      </x:c>
      <x:c r="Y298" s="255" t="n">
        <x:v>0.8193912165250268</x:v>
      </x:c>
      <x:c r="Z298" s="255" t="n">
        <x:v>0.030800996291859506</x:v>
      </x:c>
      <x:c r="AA298" s="255" t="n">
        <x:v>0.020291841012927025</x:v>
      </x:c>
      <x:c r="AB298" s="255" t="n">
        <x:v>0.7548619733126227</x:v>
      </x:c>
    </x:row>
    <x:row r="299" ht="24" customHeight="1">
      <x:c r="C299" s="256" t="n">
        <x:f>268</x:f>
        <x:v>268</x:v>
      </x:c>
      <x:c r="D299" s="258" t="n">
        <x:f>IF(X299&lt;($E$12-$D$12)/($F$12-$D$12),$D$12+SQRT(X299*($F$12-$D$12)*($E$12-$D$12)),$F$12-SQRT((1-X299)*($F$12-$D$12)*($F$12-$E$12)))</x:f>
        <x:v>0.13475928537983023</x:v>
      </x:c>
      <x:c r="E299" s="258" t="n">
        <x:f>IF(Y299&lt;($E$13-$D$13)/($F$13-$D$13),$D$13+SQRT(Y299*($F$13-$D$13)*($E$13-$D$13)),$F$13-SQRT((1-Y299)*($F$13-$D$13)*($F$13-$E$13)))</x:f>
        <x:v>0.008114796529706016</x:v>
      </x:c>
      <x:c r="F299" s="260" t="n">
        <x:f>IF(Z299&lt;($E$14-$D$14)/($F$14-$D$14),$D$14+SQRT(Z299*($F$14-$D$14)*($E$14-$D$14)),$F$14-SQRT((1-Z299)*($F$14-$D$14)*($F$14-$E$14)))</x:f>
        <x:v>0.9774488863430546</x:v>
      </x:c>
      <x:c r="G299" s="258" t="n">
        <x:f>IF(AA299&lt;($E$15-$D$15)/($F$15-$D$15),$D$15+SQRT(AA299*($F$15-$D$15)*($E$15-$D$15)),$F$15-SQRT((1-AA299)*($F$15-$D$15)*($F$15-$E$15)))</x:f>
        <x:v>0.09786888073281247</x:v>
      </x:c>
      <x:c r="H299" s="258" t="n">
        <x:f>IF(AB299&lt;($E$16-$D$16)/($F$16-$D$16),$D$16+SQRT(AB299*($F$16-$D$16)*($E$16-$D$16)),$F$16-SQRT((1-AB299)*($F$16-$D$16)*($F$16-$E$16)))</x:f>
        <x:v>0.028686480925995458</x:v>
      </x:c>
      <x:c r="I299" s="262" t="n">
        <x:f>'Historical Inputs'!$N$9*(1+D299)^5</x:f>
        <x:v>624375.9287628263</x:v>
      </x:c>
      <x:c r="J299" s="262" t="n">
        <x:f>I299*(1+H299)*('Terminal Value'!$E$10+E299)*(1-'Assumptions'!$E$15)*(1-H299/'Terminal Value'!$E$12)</x:f>
        <x:v>179623.49912744126</x:v>
      </x:c>
      <x:c r="K299" s="264" t="n">
        <x:f>((SUM((('Historical Inputs'!$N$9*(1+(D299))^1)*(('Assumptions'!E37+(E299))*(1-'Assumptions'!E42-(0))+'Assumptions'!E47-'Assumptions'!E52*(F299)+'Assumptions'!E57-'Assumptions'!E62*(1)-'Assumptions'!E67-(0))+('Working Capital'!$E$6))*'DCF'!E12/(1+(G299))^'DCF'!E13,(('Historical Inputs'!$N$9*(1+(D299))^2)*(('Assumptions'!F37+(E299))*(1-'Assumptions'!F42-(0))+'Assumptions'!F47-'Assumptions'!F52*(F299)+'Assumptions'!F57-'Assumptions'!F62*(1)-'Assumptions'!F67-(0))+(('Historical Inputs'!$N$9*(1+(D299))^1)*('Assumptions'!E67+(0))))*'DCF'!F12/(1+(G299))^'DCF'!F13,(('Historical Inputs'!$N$9*(1+(D299))^3)*(('Assumptions'!G37+(E299))*(1-'Assumptions'!G42-(0))+'Assumptions'!G47-'Assumptions'!G52*(F299)+'Assumptions'!G57-'Assumptions'!G62*(1)-'Assumptions'!G67-(0))+(('Historical Inputs'!$N$9*(1+(D299))^2)*('Assumptions'!F67+(0))))*'DCF'!G12/(1+(G299))^'DCF'!G13,(('Historical Inputs'!$N$9*(1+(D299))^4)*(('Assumptions'!H37+(E299))*(1-'Assumptions'!H42-(0))+'Assumptions'!H47-'Assumptions'!H52*(F299)+'Assumptions'!H57-'Assumptions'!H62*(1)-'Assumptions'!H67-(0))+(('Historical Inputs'!$N$9*(1+(D299))^3)*('Assumptions'!G67+(0))))*'DCF'!H12/(1+(G299))^'DCF'!H13,(('Historical Inputs'!$N$9*(1+(D299))^5)*(('Assumptions'!I37+(E299))*(1-'Assumptions'!I42-(0))+'Assumptions'!I47-'Assumptions'!I52*(F299)+'Assumptions'!I57-'Assumptions'!I62*(1)-'Assumptions'!I67-(0))+(('Historical Inputs'!$N$9*(1+(D299))^4)*('Assumptions'!H67+(0))))*'DCF'!I12/(1+(G299))^'DCF'!I13)+('Historical Inputs'!$N$9*(1+(D299))^5)*(1+(H299))*('Terminal Value'!$E$10+(E299))*(1-'Assumptions'!$E$15-(0))*(1-(H299)/('Terminal Value'!$E$12))/((G299)-(H299))/(1+(G299))^'DCF'!$E$19)+'Equity Bridge'!$E$17)/'Equity Bridge'!$E$20</x:f>
        <x:v>281.4481004070875</x:v>
      </x:c>
      <x:c r="X299" s="255" t="n">
        <x:v>0.34448757601736457</x:v>
      </x:c>
      <x:c r="Y299" s="255" t="n">
        <x:v>0.6491259460504145</x:v>
      </x:c>
      <x:c r="Z299" s="255" t="n">
        <x:v>0.3093946405730449</x:v>
      </x:c>
      <x:c r="AA299" s="255" t="n">
        <x:v>0.48206455397961256</x:v>
      </x:c>
      <x:c r="AB299" s="255" t="n">
        <x:v>0.3772747543884146</x:v>
      </x:c>
    </x:row>
    <x:row r="300" ht="24" customHeight="1">
      <x:c r="C300" s="256" t="n">
        <x:f>269</x:f>
        <x:v>269</x:v>
      </x:c>
      <x:c r="D300" s="258" t="n">
        <x:f>IF(X300&lt;($E$12-$D$12)/($F$12-$D$12),$D$12+SQRT(X300*($F$12-$D$12)*($E$12-$D$12)),$F$12-SQRT((1-X300)*($F$12-$D$12)*($F$12-$E$12)))</x:f>
        <x:v>0.12812616983713004</x:v>
      </x:c>
      <x:c r="E300" s="258" t="n">
        <x:f>IF(Y300&lt;($E$13-$D$13)/($F$13-$D$13),$D$13+SQRT(Y300*($F$13-$D$13)*($E$13-$D$13)),$F$13-SQRT((1-Y300)*($F$13-$D$13)*($F$13-$E$13)))</x:f>
        <x:v>0.03422721696799562</x:v>
      </x:c>
      <x:c r="F300" s="260" t="n">
        <x:f>IF(Z300&lt;($E$14-$D$14)/($F$14-$D$14),$D$14+SQRT(Z300*($F$14-$D$14)*($E$14-$D$14)),$F$14-SQRT((1-Z300)*($F$14-$D$14)*($F$14-$E$14)))</x:f>
        <x:v>1.032831085541331</x:v>
      </x:c>
      <x:c r="G300" s="258" t="n">
        <x:f>IF(AA300&lt;($E$15-$D$15)/($F$15-$D$15),$D$15+SQRT(AA300*($F$15-$D$15)*($E$15-$D$15)),$F$15-SQRT((1-AA300)*($F$15-$D$15)*($F$15-$E$15)))</x:f>
        <x:v>0.08931729301217757</x:v>
      </x:c>
      <x:c r="H300" s="258" t="n">
        <x:f>IF(AB300&lt;($E$16-$D$16)/($F$16-$D$16),$D$16+SQRT(AB300*($F$16-$D$16)*($E$16-$D$16)),$F$16-SQRT((1-AB300)*($F$16-$D$16)*($F$16-$E$16)))</x:f>
        <x:v>0.025175791640854206</x:v>
      </x:c>
      <x:c r="I300" s="262" t="n">
        <x:f>'Historical Inputs'!$N$9*(1+D300)^5</x:f>
        <x:v>606339.4083706475</x:v>
      </x:c>
      <x:c r="J300" s="262" t="n">
        <x:f>I300*(1+H300)*('Terminal Value'!$E$10+E300)*(1-'Assumptions'!$E$15)*(1-H300/'Terminal Value'!$E$12)</x:f>
        <x:v>188752.51226885157</x:v>
      </x:c>
      <x:c r="K300" s="264" t="n">
        <x:f>((SUM((('Historical Inputs'!$N$9*(1+(D300))^1)*(('Assumptions'!E37+(E300))*(1-'Assumptions'!E42-(0))+'Assumptions'!E47-'Assumptions'!E52*(F300)+'Assumptions'!E57-'Assumptions'!E62*(1)-'Assumptions'!E67-(0))+('Working Capital'!$E$6))*'DCF'!E12/(1+(G300))^'DCF'!E13,(('Historical Inputs'!$N$9*(1+(D300))^2)*(('Assumptions'!F37+(E300))*(1-'Assumptions'!F42-(0))+'Assumptions'!F47-'Assumptions'!F52*(F300)+'Assumptions'!F57-'Assumptions'!F62*(1)-'Assumptions'!F67-(0))+(('Historical Inputs'!$N$9*(1+(D300))^1)*('Assumptions'!E67+(0))))*'DCF'!F12/(1+(G300))^'DCF'!F13,(('Historical Inputs'!$N$9*(1+(D300))^3)*(('Assumptions'!G37+(E300))*(1-'Assumptions'!G42-(0))+'Assumptions'!G47-'Assumptions'!G52*(F300)+'Assumptions'!G57-'Assumptions'!G62*(1)-'Assumptions'!G67-(0))+(('Historical Inputs'!$N$9*(1+(D300))^2)*('Assumptions'!F67+(0))))*'DCF'!G12/(1+(G300))^'DCF'!G13,(('Historical Inputs'!$N$9*(1+(D300))^4)*(('Assumptions'!H37+(E300))*(1-'Assumptions'!H42-(0))+'Assumptions'!H47-'Assumptions'!H52*(F300)+'Assumptions'!H57-'Assumptions'!H62*(1)-'Assumptions'!H67-(0))+(('Historical Inputs'!$N$9*(1+(D300))^3)*('Assumptions'!G67+(0))))*'DCF'!H12/(1+(G300))^'DCF'!H13,(('Historical Inputs'!$N$9*(1+(D300))^5)*(('Assumptions'!I37+(E300))*(1-'Assumptions'!I42-(0))+'Assumptions'!I47-'Assumptions'!I52*(F300)+'Assumptions'!I57-'Assumptions'!I62*(1)-'Assumptions'!I67-(0))+(('Historical Inputs'!$N$9*(1+(D300))^4)*('Assumptions'!H67+(0))))*'DCF'!I12/(1+(G300))^'DCF'!I13)+('Historical Inputs'!$N$9*(1+(D300))^5)*(1+(H300))*('Terminal Value'!$E$10+(E300))*(1-'Assumptions'!$E$15-(0))*(1-(H300)/('Terminal Value'!$E$12))/((G300)-(H300))/(1+(G300))^'DCF'!$E$19)+'Equity Bridge'!$E$17)/'Equity Bridge'!$E$20</x:f>
        <x:v>322.7748127839038</x:v>
      </x:c>
      <x:c r="X300" s="255" t="n">
        <x:v>0.2431714966036188</x:v>
      </x:c>
      <x:c r="Y300" s="255" t="n">
        <x:v>0.9502438630850629</x:v>
      </x:c>
      <x:c r="Z300" s="255" t="n">
        <x:v>0.600779343410146</x:v>
      </x:c>
      <x:c r="AA300" s="255" t="n">
        <x:v>0.08478752590426897</x:v>
      </x:c>
      <x:c r="AB300" s="255" t="n">
        <x:v>0.13394409554768139</x:v>
      </x:c>
    </x:row>
    <x:row r="301" ht="24" customHeight="1">
      <x:c r="C301" s="256" t="n">
        <x:f>270</x:f>
        <x:v>270</x:v>
      </x:c>
      <x:c r="D301" s="258" t="n">
        <x:f>IF(X301&lt;($E$12-$D$12)/($F$12-$D$12),$D$12+SQRT(X301*($F$12-$D$12)*($E$12-$D$12)),$F$12-SQRT((1-X301)*($F$12-$D$12)*($F$12-$E$12)))</x:f>
        <x:v>0.14797543755109607</x:v>
      </x:c>
      <x:c r="E301" s="258" t="n">
        <x:f>IF(Y301&lt;($E$13-$D$13)/($F$13-$D$13),$D$13+SQRT(Y301*($F$13-$D$13)*($E$13-$D$13)),$F$13-SQRT((1-Y301)*($F$13-$D$13)*($F$13-$E$13)))</x:f>
        <x:v>0.005486520539773464</x:v>
      </x:c>
      <x:c r="F301" s="260" t="n">
        <x:f>IF(Z301&lt;($E$14-$D$14)/($F$14-$D$14),$D$14+SQRT(Z301*($F$14-$D$14)*($E$14-$D$14)),$F$14-SQRT((1-Z301)*($F$14-$D$14)*($F$14-$E$14)))</x:f>
        <x:v>0.8962304352188295</x:v>
      </x:c>
      <x:c r="G301" s="258" t="n">
        <x:f>IF(AA301&lt;($E$15-$D$15)/($F$15-$D$15),$D$15+SQRT(AA301*($F$15-$D$15)*($E$15-$D$15)),$F$15-SQRT((1-AA301)*($F$15-$D$15)*($F$15-$E$15)))</x:f>
        <x:v>0.09179713562582917</x:v>
      </x:c>
      <x:c r="H301" s="258" t="n">
        <x:f>IF(AB301&lt;($E$16-$D$16)/($F$16-$D$16),$D$16+SQRT(AB301*($F$16-$D$16)*($E$16-$D$16)),$F$16-SQRT((1-AB301)*($F$16-$D$16)*($F$16-$E$16)))</x:f>
        <x:v>0.02718524628645044</x:v>
      </x:c>
      <x:c r="I301" s="262" t="n">
        <x:f>'Historical Inputs'!$N$9*(1+D301)^5</x:f>
        <x:v>661592.2440173514</x:v>
      </x:c>
      <x:c r="J301" s="262" t="n">
        <x:f>I301*(1+H301)*('Terminal Value'!$E$10+E301)*(1-'Assumptions'!$E$15)*(1-H301/'Terminal Value'!$E$12)</x:f>
        <x:v>190483.0813810449</x:v>
      </x:c>
      <x:c r="K301" s="264" t="n">
        <x:f>((SUM((('Historical Inputs'!$N$9*(1+(D301))^1)*(('Assumptions'!E37+(E301))*(1-'Assumptions'!E42-(0))+'Assumptions'!E47-'Assumptions'!E52*(F301)+'Assumptions'!E57-'Assumptions'!E62*(1)-'Assumptions'!E67-(0))+('Working Capital'!$E$6))*'DCF'!E12/(1+(G301))^'DCF'!E13,(('Historical Inputs'!$N$9*(1+(D301))^2)*(('Assumptions'!F37+(E301))*(1-'Assumptions'!F42-(0))+'Assumptions'!F47-'Assumptions'!F52*(F301)+'Assumptions'!F57-'Assumptions'!F62*(1)-'Assumptions'!F67-(0))+(('Historical Inputs'!$N$9*(1+(D301))^1)*('Assumptions'!E67+(0))))*'DCF'!F12/(1+(G301))^'DCF'!F13,(('Historical Inputs'!$N$9*(1+(D301))^3)*(('Assumptions'!G37+(E301))*(1-'Assumptions'!G42-(0))+'Assumptions'!G47-'Assumptions'!G52*(F301)+'Assumptions'!G57-'Assumptions'!G62*(1)-'Assumptions'!G67-(0))+(('Historical Inputs'!$N$9*(1+(D301))^2)*('Assumptions'!F67+(0))))*'DCF'!G12/(1+(G301))^'DCF'!G13,(('Historical Inputs'!$N$9*(1+(D301))^4)*(('Assumptions'!H37+(E301))*(1-'Assumptions'!H42-(0))+'Assumptions'!H47-'Assumptions'!H52*(F301)+'Assumptions'!H57-'Assumptions'!H62*(1)-'Assumptions'!H67-(0))+(('Historical Inputs'!$N$9*(1+(D301))^3)*('Assumptions'!G67+(0))))*'DCF'!H12/(1+(G301))^'DCF'!H13,(('Historical Inputs'!$N$9*(1+(D301))^5)*(('Assumptions'!I37+(E301))*(1-'Assumptions'!I42-(0))+'Assumptions'!I47-'Assumptions'!I52*(F301)+'Assumptions'!I57-'Assumptions'!I62*(1)-'Assumptions'!I67-(0))+(('Historical Inputs'!$N$9*(1+(D301))^4)*('Assumptions'!H67+(0))))*'DCF'!I12/(1+(G301))^'DCF'!I13)+('Historical Inputs'!$N$9*(1+(D301))^5)*(1+(H301))*('Terminal Value'!$E$10+(E301))*(1-'Assumptions'!$E$15-(0))*(1-(H301)/('Terminal Value'!$E$12))/((G301)-(H301))/(1+(G301))^'DCF'!$E$19)+'Equity Bridge'!$E$17)/'Equity Bridge'!$E$20</x:f>
        <x:v>326.72717490118583</x:v>
      </x:c>
      <x:c r="X301" s="255" t="n">
        <x:v>0.5899156251099158</x:v>
      </x:c>
      <x:c r="Y301" s="255" t="n">
        <x:v>0.603710029268798</x:v>
      </x:c>
      <x:c r="Z301" s="255" t="n">
        <x:v>0.040709583628998014</x:v>
      </x:c>
      <x:c r="AA301" s="255" t="n">
        <x:v>0.1665324519452801</x:v>
      </x:c>
      <x:c r="AB301" s="255" t="n">
        <x:v>0.2581388209847493</x:v>
      </x:c>
    </x:row>
    <x:row r="302" ht="24" customHeight="1">
      <x:c r="C302" s="256" t="n">
        <x:f>271</x:f>
        <x:v>271</x:v>
      </x:c>
      <x:c r="D302" s="258" t="n">
        <x:f>IF(X302&lt;($E$12-$D$12)/($F$12-$D$12),$D$12+SQRT(X302*($F$12-$D$12)*($E$12-$D$12)),$F$12-SQRT((1-X302)*($F$12-$D$12)*($F$12-$E$12)))</x:f>
        <x:v>0.15692044341933453</x:v>
      </x:c>
      <x:c r="E302" s="258" t="n">
        <x:f>IF(Y302&lt;($E$13-$D$13)/($F$13-$D$13),$D$13+SQRT(Y302*($F$13-$D$13)*($E$13-$D$13)),$F$13-SQRT((1-Y302)*($F$13-$D$13)*($F$13-$E$13)))</x:f>
        <x:v>-0.02212367310722901</x:v>
      </x:c>
      <x:c r="F302" s="260" t="n">
        <x:f>IF(Z302&lt;($E$14-$D$14)/($F$14-$D$14),$D$14+SQRT(Z302*($F$14-$D$14)*($E$14-$D$14)),$F$14-SQRT((1-Z302)*($F$14-$D$14)*($F$14-$E$14)))</x:f>
        <x:v>0.9398891266106915</x:v>
      </x:c>
      <x:c r="G302" s="258" t="n">
        <x:f>IF(AA302&lt;($E$15-$D$15)/($F$15-$D$15),$D$15+SQRT(AA302*($F$15-$D$15)*($E$15-$D$15)),$F$15-SQRT((1-AA302)*($F$15-$D$15)*($F$15-$E$15)))</x:f>
        <x:v>0.10247961910306048</x:v>
      </x:c>
      <x:c r="H302" s="258" t="n">
        <x:f>IF(AB302&lt;($E$16-$D$16)/($F$16-$D$16),$D$16+SQRT(AB302*($F$16-$D$16)*($E$16-$D$16)),$F$16-SQRT((1-AB302)*($F$16-$D$16)*($F$16-$E$16)))</x:f>
        <x:v>0.03731221277177517</x:v>
      </x:c>
      <x:c r="I302" s="262" t="n">
        <x:f>'Historical Inputs'!$N$9*(1+D302)^5</x:f>
        <x:v>687772.6517771774</x:v>
      </x:c>
      <x:c r="J302" s="262" t="n">
        <x:f>I302*(1+H302)*('Terminal Value'!$E$10+E302)*(1-'Assumptions'!$E$15)*(1-H302/'Terminal Value'!$E$12)</x:f>
        <x:v>175436.12355579564</x:v>
      </x:c>
      <x:c r="K302" s="264" t="n">
        <x:f>((SUM((('Historical Inputs'!$N$9*(1+(D302))^1)*(('Assumptions'!E37+(E302))*(1-'Assumptions'!E42-(0))+'Assumptions'!E47-'Assumptions'!E52*(F302)+'Assumptions'!E57-'Assumptions'!E62*(1)-'Assumptions'!E67-(0))+('Working Capital'!$E$6))*'DCF'!E12/(1+(G302))^'DCF'!E13,(('Historical Inputs'!$N$9*(1+(D302))^2)*(('Assumptions'!F37+(E302))*(1-'Assumptions'!F42-(0))+'Assumptions'!F47-'Assumptions'!F52*(F302)+'Assumptions'!F57-'Assumptions'!F62*(1)-'Assumptions'!F67-(0))+(('Historical Inputs'!$N$9*(1+(D302))^1)*('Assumptions'!E67+(0))))*'DCF'!F12/(1+(G302))^'DCF'!F13,(('Historical Inputs'!$N$9*(1+(D302))^3)*(('Assumptions'!G37+(E302))*(1-'Assumptions'!G42-(0))+'Assumptions'!G47-'Assumptions'!G52*(F302)+'Assumptions'!G57-'Assumptions'!G62*(1)-'Assumptions'!G67-(0))+(('Historical Inputs'!$N$9*(1+(D302))^2)*('Assumptions'!F67+(0))))*'DCF'!G12/(1+(G302))^'DCF'!G13,(('Historical Inputs'!$N$9*(1+(D302))^4)*(('Assumptions'!H37+(E302))*(1-'Assumptions'!H42-(0))+'Assumptions'!H47-'Assumptions'!H52*(F302)+'Assumptions'!H57-'Assumptions'!H62*(1)-'Assumptions'!H67-(0))+(('Historical Inputs'!$N$9*(1+(D302))^3)*('Assumptions'!G67+(0))))*'DCF'!H12/(1+(G302))^'DCF'!H13,(('Historical Inputs'!$N$9*(1+(D302))^5)*(('Assumptions'!I37+(E302))*(1-'Assumptions'!I42-(0))+'Assumptions'!I47-'Assumptions'!I52*(F302)+'Assumptions'!I57-'Assumptions'!I62*(1)-'Assumptions'!I67-(0))+(('Historical Inputs'!$N$9*(1+(D302))^4)*('Assumptions'!H67+(0))))*'DCF'!I12/(1+(G302))^'DCF'!I13)+('Historical Inputs'!$N$9*(1+(D302))^5)*(1+(H302))*('Terminal Value'!$E$10+(E302))*(1-'Assumptions'!$E$15-(0))*(1-(H302)/('Terminal Value'!$E$12))/((G302)-(H302))/(1+(G302))^'DCF'!$E$19)+'Equity Bridge'!$E$17)/'Equity Bridge'!$E$20</x:f>
        <x:v>284.6475250354989</x:v>
      </x:c>
      <x:c r="X302" s="255" t="n">
        <x:v>0.7359306139384169</x:v>
      </x:c>
      <x:c r="Y302" s="255" t="n">
        <x:v>0.15541792020652545</x:v>
      </x:c>
      <x:c r="Z302" s="255" t="n">
        <x:v>0.15390581110157964</x:v>
      </x:c>
      <x:c r="AA302" s="255" t="n">
        <x:v>0.7474409009550812</x:v>
      </x:c>
      <x:c r="AB302" s="255" t="n">
        <x:v>0.9638789990789575</x:v>
      </x:c>
    </x:row>
    <x:row r="303" ht="24" customHeight="1">
      <x:c r="C303" s="256" t="n">
        <x:f>272</x:f>
        <x:v>272</x:v>
      </x:c>
      <x:c r="D303" s="258" t="n">
        <x:f>IF(X303&lt;($E$12-$D$12)/($F$12-$D$12),$D$12+SQRT(X303*($F$12-$D$12)*($E$12-$D$12)),$F$12-SQRT((1-X303)*($F$12-$D$12)*($F$12-$E$12)))</x:f>
        <x:v>0.12952406741433484</x:v>
      </x:c>
      <x:c r="E303" s="258" t="n">
        <x:f>IF(Y303&lt;($E$13-$D$13)/($F$13-$D$13),$D$13+SQRT(Y303*($F$13-$D$13)*($E$13-$D$13)),$F$13-SQRT((1-Y303)*($F$13-$D$13)*($F$13-$E$13)))</x:f>
        <x:v>0.03400131358872657</x:v>
      </x:c>
      <x:c r="F303" s="260" t="n">
        <x:f>IF(Z303&lt;($E$14-$D$14)/($F$14-$D$14),$D$14+SQRT(Z303*($F$14-$D$14)*($E$14-$D$14)),$F$14-SQRT((1-Z303)*($F$14-$D$14)*($F$14-$E$14)))</x:f>
        <x:v>1.0064636948641659</x:v>
      </x:c>
      <x:c r="G303" s="258" t="n">
        <x:f>IF(AA303&lt;($E$15-$D$15)/($F$15-$D$15),$D$15+SQRT(AA303*($F$15-$D$15)*($E$15-$D$15)),$F$15-SQRT((1-AA303)*($F$15-$D$15)*($F$15-$E$15)))</x:f>
        <x:v>0.09512061094808397</x:v>
      </x:c>
      <x:c r="H303" s="258" t="n">
        <x:f>IF(AB303&lt;($E$16-$D$16)/($F$16-$D$16),$D$16+SQRT(AB303*($F$16-$D$16)*($E$16-$D$16)),$F$16-SQRT((1-AB303)*($F$16-$D$16)*($F$16-$E$16)))</x:f>
        <x:v>0.027951241096211672</x:v>
      </x:c>
      <x:c r="I303" s="262" t="n">
        <x:f>'Historical Inputs'!$N$9*(1+D303)^5</x:f>
        <x:v>610105.4036785956</x:v>
      </x:c>
      <x:c r="J303" s="262" t="n">
        <x:f>I303*(1+H303)*('Terminal Value'!$E$10+E303)*(1-'Assumptions'!$E$15)*(1-H303/'Terminal Value'!$E$12)</x:f>
        <x:v>187318.19583629072</x:v>
      </x:c>
      <x:c r="K303" s="264" t="n">
        <x:f>((SUM((('Historical Inputs'!$N$9*(1+(D303))^1)*(('Assumptions'!E37+(E303))*(1-'Assumptions'!E42-(0))+'Assumptions'!E47-'Assumptions'!E52*(F303)+'Assumptions'!E57-'Assumptions'!E62*(1)-'Assumptions'!E67-(0))+('Working Capital'!$E$6))*'DCF'!E12/(1+(G303))^'DCF'!E13,(('Historical Inputs'!$N$9*(1+(D303))^2)*(('Assumptions'!F37+(E303))*(1-'Assumptions'!F42-(0))+'Assumptions'!F47-'Assumptions'!F52*(F303)+'Assumptions'!F57-'Assumptions'!F62*(1)-'Assumptions'!F67-(0))+(('Historical Inputs'!$N$9*(1+(D303))^1)*('Assumptions'!E67+(0))))*'DCF'!F12/(1+(G303))^'DCF'!F13,(('Historical Inputs'!$N$9*(1+(D303))^3)*(('Assumptions'!G37+(E303))*(1-'Assumptions'!G42-(0))+'Assumptions'!G47-'Assumptions'!G52*(F303)+'Assumptions'!G57-'Assumptions'!G62*(1)-'Assumptions'!G67-(0))+(('Historical Inputs'!$N$9*(1+(D303))^2)*('Assumptions'!F67+(0))))*'DCF'!G12/(1+(G303))^'DCF'!G13,(('Historical Inputs'!$N$9*(1+(D303))^4)*(('Assumptions'!H37+(E303))*(1-'Assumptions'!H42-(0))+'Assumptions'!H47-'Assumptions'!H52*(F303)+'Assumptions'!H57-'Assumptions'!H62*(1)-'Assumptions'!H67-(0))+(('Historical Inputs'!$N$9*(1+(D303))^3)*('Assumptions'!G67+(0))))*'DCF'!H12/(1+(G303))^'DCF'!H13,(('Historical Inputs'!$N$9*(1+(D303))^5)*(('Assumptions'!I37+(E303))*(1-'Assumptions'!I42-(0))+'Assumptions'!I47-'Assumptions'!I52*(F303)+'Assumptions'!I57-'Assumptions'!I62*(1)-'Assumptions'!I67-(0))+(('Historical Inputs'!$N$9*(1+(D303))^4)*('Assumptions'!H67+(0))))*'DCF'!I12/(1+(G303))^'DCF'!I13)+('Historical Inputs'!$N$9*(1+(D303))^5)*(1+(H303))*('Terminal Value'!$E$10+(E303))*(1-'Assumptions'!$E$15-(0))*(1-(H303)/('Terminal Value'!$E$12))/((G303)-(H303))/(1+(G303))^'DCF'!$E$19)+'Equity Bridge'!$E$17)/'Equity Bridge'!$E$20</x:f>
        <x:v>303.7371675357469</x:v>
      </x:c>
      <x:c r="X303" s="255" t="n">
        <x:v>0.26305971914043935</x:v>
      </x:c>
      <x:c r="Y303" s="255" t="n">
        <x:v>0.948808406622747</x:v>
      </x:c>
      <x:c r="Z303" s="255" t="n">
        <x:v>0.4649099799195613</x:v>
      </x:c>
      <x:c r="AA303" s="255" t="n">
        <x:v>0.3189470892477767</x:v>
      </x:c>
      <x:c r="AB303" s="255" t="n">
        <x:v>0.31611117485042717</x:v>
      </x:c>
    </x:row>
    <x:row r="304" ht="24" customHeight="1">
      <x:c r="C304" s="256" t="n">
        <x:f>273</x:f>
        <x:v>273</x:v>
      </x:c>
      <x:c r="D304" s="258" t="n">
        <x:f>IF(X304&lt;($E$12-$D$12)/($F$12-$D$12),$D$12+SQRT(X304*($F$12-$D$12)*($E$12-$D$12)),$F$12-SQRT((1-X304)*($F$12-$D$12)*($F$12-$E$12)))</x:f>
        <x:v>0.11473474838768638</x:v>
      </x:c>
      <x:c r="E304" s="258" t="n">
        <x:f>IF(Y304&lt;($E$13-$D$13)/($F$13-$D$13),$D$13+SQRT(Y304*($F$13-$D$13)*($E$13-$D$13)),$F$13-SQRT((1-Y304)*($F$13-$D$13)*($F$13-$E$13)))</x:f>
        <x:v>0.031343323866021455</x:v>
      </x:c>
      <x:c r="F304" s="260" t="n">
        <x:f>IF(Z304&lt;($E$14-$D$14)/($F$14-$D$14),$D$14+SQRT(Z304*($F$14-$D$14)*($E$14-$D$14)),$F$14-SQRT((1-Z304)*($F$14-$D$14)*($F$14-$E$14)))</x:f>
        <x:v>0.9715747680562421</x:v>
      </x:c>
      <x:c r="G304" s="258" t="n">
        <x:f>IF(AA304&lt;($E$15-$D$15)/($F$15-$D$15),$D$15+SQRT(AA304*($F$15-$D$15)*($E$15-$D$15)),$F$15-SQRT((1-AA304)*($F$15-$D$15)*($F$15-$E$15)))</x:f>
        <x:v>0.10240044948953834</x:v>
      </x:c>
      <x:c r="H304" s="258" t="n">
        <x:f>IF(AB304&lt;($E$16-$D$16)/($F$16-$D$16),$D$16+SQRT(AB304*($F$16-$D$16)*($E$16-$D$16)),$F$16-SQRT((1-AB304)*($F$16-$D$16)*($F$16-$E$16)))</x:f>
        <x:v>0.02165535374615125</x:v>
      </x:c>
      <x:c r="I304" s="262" t="n">
        <x:f>'Historical Inputs'!$N$9*(1+D304)^5</x:f>
        <x:v>571195.9527490591</x:v>
      </x:c>
      <x:c r="J304" s="262" t="n">
        <x:f>I304*(1+H304)*('Terminal Value'!$E$10+E304)*(1-'Assumptions'!$E$15)*(1-H304/'Terminal Value'!$E$12)</x:f>
        <x:v>179569.5463145948</x:v>
      </x:c>
      <x:c r="K304" s="264" t="n">
        <x:f>((SUM((('Historical Inputs'!$N$9*(1+(D304))^1)*(('Assumptions'!E37+(E304))*(1-'Assumptions'!E42-(0))+'Assumptions'!E47-'Assumptions'!E52*(F304)+'Assumptions'!E57-'Assumptions'!E62*(1)-'Assumptions'!E67-(0))+('Working Capital'!$E$6))*'DCF'!E12/(1+(G304))^'DCF'!E13,(('Historical Inputs'!$N$9*(1+(D304))^2)*(('Assumptions'!F37+(E304))*(1-'Assumptions'!F42-(0))+'Assumptions'!F47-'Assumptions'!F52*(F304)+'Assumptions'!F57-'Assumptions'!F62*(1)-'Assumptions'!F67-(0))+(('Historical Inputs'!$N$9*(1+(D304))^1)*('Assumptions'!E67+(0))))*'DCF'!F12/(1+(G304))^'DCF'!F13,(('Historical Inputs'!$N$9*(1+(D304))^3)*(('Assumptions'!G37+(E304))*(1-'Assumptions'!G42-(0))+'Assumptions'!G47-'Assumptions'!G52*(F304)+'Assumptions'!G57-'Assumptions'!G62*(1)-'Assumptions'!G67-(0))+(('Historical Inputs'!$N$9*(1+(D304))^2)*('Assumptions'!F67+(0))))*'DCF'!G12/(1+(G304))^'DCF'!G13,(('Historical Inputs'!$N$9*(1+(D304))^4)*(('Assumptions'!H37+(E304))*(1-'Assumptions'!H42-(0))+'Assumptions'!H47-'Assumptions'!H52*(F304)+'Assumptions'!H57-'Assumptions'!H62*(1)-'Assumptions'!H67-(0))+(('Historical Inputs'!$N$9*(1+(D304))^3)*('Assumptions'!G67+(0))))*'DCF'!H12/(1+(G304))^'DCF'!H13,(('Historical Inputs'!$N$9*(1+(D304))^5)*(('Assumptions'!I37+(E304))*(1-'Assumptions'!I42-(0))+'Assumptions'!I47-'Assumptions'!I52*(F304)+'Assumptions'!I57-'Assumptions'!I62*(1)-'Assumptions'!I67-(0))+(('Historical Inputs'!$N$9*(1+(D304))^4)*('Assumptions'!H67+(0))))*'DCF'!I12/(1+(G304))^'DCF'!I13)+('Historical Inputs'!$N$9*(1+(D304))^5)*(1+(H304))*('Terminal Value'!$E$10+(E304))*(1-'Assumptions'!$E$15-(0))*(1-(H304)/('Terminal Value'!$E$12))/((G304)-(H304))/(1+(G304))^'DCF'!$E$19)+'Equity Bridge'!$E$17)/'Equity Bridge'!$E$20</x:f>
        <x:v>246.11485684978078</x:v>
      </x:c>
      <x:c r="X304" s="255" t="n">
        <x:v>0.09225854765122088</x:v>
      </x:c>
      <x:c r="Y304" s="255" t="n">
        <x:v>0.930385687126367</x:v>
      </x:c>
      <x:c r="Z304" s="255" t="n">
        <x:v>0.2815318900557918</x:v>
      </x:c>
      <x:c r="AA304" s="255" t="n">
        <x:v>0.7436758281280145</x:v>
      </x:c>
      <x:c r="AB304" s="255" t="n">
        <x:v>0.013700980124484952</x:v>
      </x:c>
    </x:row>
    <x:row r="305" ht="24" customHeight="1">
      <x:c r="C305" s="256" t="n">
        <x:f>274</x:f>
        <x:v>274</x:v>
      </x:c>
      <x:c r="D305" s="258" t="n">
        <x:f>IF(X305&lt;($E$12-$D$12)/($F$12-$D$12),$D$12+SQRT(X305*($F$12-$D$12)*($E$12-$D$12)),$F$12-SQRT((1-X305)*($F$12-$D$12)*($F$12-$E$12)))</x:f>
        <x:v>0.16341574525789637</x:v>
      </x:c>
      <x:c r="E305" s="258" t="n">
        <x:f>IF(Y305&lt;($E$13-$D$13)/($F$13-$D$13),$D$13+SQRT(Y305*($F$13-$D$13)*($E$13-$D$13)),$F$13-SQRT((1-Y305)*($F$13-$D$13)*($F$13-$E$13)))</x:f>
        <x:v>0.0006360594069898529</x:v>
      </x:c>
      <x:c r="F305" s="260" t="n">
        <x:f>IF(Z305&lt;($E$14-$D$14)/($F$14-$D$14),$D$14+SQRT(Z305*($F$14-$D$14)*($E$14-$D$14)),$F$14-SQRT((1-Z305)*($F$14-$D$14)*($F$14-$E$14)))</x:f>
        <x:v>1.0349883310186603</x:v>
      </x:c>
      <x:c r="G305" s="258" t="n">
        <x:f>IF(AA305&lt;($E$15-$D$15)/($F$15-$D$15),$D$15+SQRT(AA305*($F$15-$D$15)*($E$15-$D$15)),$F$15-SQRT((1-AA305)*($F$15-$D$15)*($F$15-$E$15)))</x:f>
        <x:v>0.09994776027711078</x:v>
      </x:c>
      <x:c r="H305" s="258" t="n">
        <x:f>IF(AB305&lt;($E$16-$D$16)/($F$16-$D$16),$D$16+SQRT(AB305*($F$16-$D$16)*($E$16-$D$16)),$F$16-SQRT((1-AB305)*($F$16-$D$16)*($F$16-$E$16)))</x:f>
        <x:v>0.025005651738560033</x:v>
      </x:c>
      <x:c r="I305" s="262" t="n">
        <x:f>'Historical Inputs'!$N$9*(1+D305)^5</x:f>
        <x:v>707297.4810681575</x:v>
      </x:c>
      <x:c r="J305" s="262" t="n">
        <x:f>I305*(1+H305)*('Terminal Value'!$E$10+E305)*(1-'Assumptions'!$E$15)*(1-H305/'Terminal Value'!$E$12)</x:f>
        <x:v>203311.72304697958</x:v>
      </x:c>
      <x:c r="K305" s="264" t="n">
        <x:f>((SUM((('Historical Inputs'!$N$9*(1+(D305))^1)*(('Assumptions'!E37+(E305))*(1-'Assumptions'!E42-(0))+'Assumptions'!E47-'Assumptions'!E52*(F305)+'Assumptions'!E57-'Assumptions'!E62*(1)-'Assumptions'!E67-(0))+('Working Capital'!$E$6))*'DCF'!E12/(1+(G305))^'DCF'!E13,(('Historical Inputs'!$N$9*(1+(D305))^2)*(('Assumptions'!F37+(E305))*(1-'Assumptions'!F42-(0))+'Assumptions'!F47-'Assumptions'!F52*(F305)+'Assumptions'!F57-'Assumptions'!F62*(1)-'Assumptions'!F67-(0))+(('Historical Inputs'!$N$9*(1+(D305))^1)*('Assumptions'!E67+(0))))*'DCF'!F12/(1+(G305))^'DCF'!F13,(('Historical Inputs'!$N$9*(1+(D305))^3)*(('Assumptions'!G37+(E305))*(1-'Assumptions'!G42-(0))+'Assumptions'!G47-'Assumptions'!G52*(F305)+'Assumptions'!G57-'Assumptions'!G62*(1)-'Assumptions'!G67-(0))+(('Historical Inputs'!$N$9*(1+(D305))^2)*('Assumptions'!F67+(0))))*'DCF'!G12/(1+(G305))^'DCF'!G13,(('Historical Inputs'!$N$9*(1+(D305))^4)*(('Assumptions'!H37+(E305))*(1-'Assumptions'!H42-(0))+'Assumptions'!H47-'Assumptions'!H52*(F305)+'Assumptions'!H57-'Assumptions'!H62*(1)-'Assumptions'!H67-(0))+(('Historical Inputs'!$N$9*(1+(D305))^3)*('Assumptions'!G67+(0))))*'DCF'!H12/(1+(G305))^'DCF'!H13,(('Historical Inputs'!$N$9*(1+(D305))^5)*(('Assumptions'!I37+(E305))*(1-'Assumptions'!I42-(0))+'Assumptions'!I47-'Assumptions'!I52*(F305)+'Assumptions'!I57-'Assumptions'!I62*(1)-'Assumptions'!I67-(0))+(('Historical Inputs'!$N$9*(1+(D305))^4)*('Assumptions'!H67+(0))))*'DCF'!I12/(1+(G305))^'DCF'!I13)+('Historical Inputs'!$N$9*(1+(D305))^5)*(1+(H305))*('Terminal Value'!$E$10+(E305))*(1-'Assumptions'!$E$15-(0))*(1-(H305)/('Terminal Value'!$E$12))/((G305)-(H305))/(1+(G305))^'DCF'!$E$19)+'Equity Bridge'!$E$17)/'Equity Bridge'!$E$20</x:f>
        <x:v>289.0549834158058</x:v>
      </x:c>
      <x:c r="X305" s="255" t="n">
        <x:v>0.821899642556505</x:v>
      </x:c>
      <x:c r="Y305" s="255" t="n">
        <x:v>0.5126402738259531</x:v>
      </x:c>
      <x:c r="Z305" s="255" t="n">
        <x:v>0.6110164157141822</x:v>
      </x:c>
      <x:c r="AA305" s="255" t="n">
        <x:v>0.6132334831243431</x:v>
      </x:c>
      <x:c r="AB305" s="255" t="n">
        <x:v>0.1252827466387455</x:v>
      </x:c>
    </x:row>
    <x:row r="306" ht="24" customHeight="1">
      <x:c r="C306" s="256" t="n">
        <x:f>275</x:f>
        <x:v>275</x:v>
      </x:c>
      <x:c r="D306" s="258" t="n">
        <x:f>IF(X306&lt;($E$12-$D$12)/($F$12-$D$12),$D$12+SQRT(X306*($F$12-$D$12)*($E$12-$D$12)),$F$12-SQRT((1-X306)*($F$12-$D$12)*($F$12-$E$12)))</x:f>
        <x:v>0.12533276855798675</x:v>
      </x:c>
      <x:c r="E306" s="258" t="n">
        <x:f>IF(Y306&lt;($E$13-$D$13)/($F$13-$D$13),$D$13+SQRT(Y306*($F$13-$D$13)*($E$13-$D$13)),$F$13-SQRT((1-Y306)*($F$13-$D$13)*($F$13-$E$13)))</x:f>
        <x:v>0.011260787874676242</x:v>
      </x:c>
      <x:c r="F306" s="260" t="n">
        <x:f>IF(Z306&lt;($E$14-$D$14)/($F$14-$D$14),$D$14+SQRT(Z306*($F$14-$D$14)*($E$14-$D$14)),$F$14-SQRT((1-Z306)*($F$14-$D$14)*($F$14-$E$14)))</x:f>
        <x:v>0.9821096380588781</x:v>
      </x:c>
      <x:c r="G306" s="258" t="n">
        <x:f>IF(AA306&lt;($E$15-$D$15)/($F$15-$D$15),$D$15+SQRT(AA306*($F$15-$D$15)*($E$15-$D$15)),$F$15-SQRT((1-AA306)*($F$15-$D$15)*($F$15-$E$15)))</x:f>
        <x:v>0.1086069236352648</x:v>
      </x:c>
      <x:c r="H306" s="258" t="n">
        <x:f>IF(AB306&lt;($E$16-$D$16)/($F$16-$D$16),$D$16+SQRT(AB306*($F$16-$D$16)*($E$16-$D$16)),$F$16-SQRT((1-AB306)*($F$16-$D$16)*($F$16-$E$16)))</x:f>
        <x:v>0.02493455414602643</x:v>
      </x:c>
      <x:c r="I306" s="262" t="n">
        <x:f>'Historical Inputs'!$N$9*(1+D306)^5</x:f>
        <x:v>598869.5785834934</x:v>
      </x:c>
      <x:c r="J306" s="262" t="n">
        <x:f>I306*(1+H306)*('Terminal Value'!$E$10+E306)*(1-'Assumptions'!$E$15)*(1-H306/'Terminal Value'!$E$12)</x:f>
        <x:v>176769.00443598998</x:v>
      </x:c>
      <x:c r="K306" s="264" t="n">
        <x:f>((SUM((('Historical Inputs'!$N$9*(1+(D306))^1)*(('Assumptions'!E37+(E306))*(1-'Assumptions'!E42-(0))+'Assumptions'!E47-'Assumptions'!E52*(F306)+'Assumptions'!E57-'Assumptions'!E62*(1)-'Assumptions'!E67-(0))+('Working Capital'!$E$6))*'DCF'!E12/(1+(G306))^'DCF'!E13,(('Historical Inputs'!$N$9*(1+(D306))^2)*(('Assumptions'!F37+(E306))*(1-'Assumptions'!F42-(0))+'Assumptions'!F47-'Assumptions'!F52*(F306)+'Assumptions'!F57-'Assumptions'!F62*(1)-'Assumptions'!F67-(0))+(('Historical Inputs'!$N$9*(1+(D306))^1)*('Assumptions'!E67+(0))))*'DCF'!F12/(1+(G306))^'DCF'!F13,(('Historical Inputs'!$N$9*(1+(D306))^3)*(('Assumptions'!G37+(E306))*(1-'Assumptions'!G42-(0))+'Assumptions'!G47-'Assumptions'!G52*(F306)+'Assumptions'!G57-'Assumptions'!G62*(1)-'Assumptions'!G67-(0))+(('Historical Inputs'!$N$9*(1+(D306))^2)*('Assumptions'!F67+(0))))*'DCF'!G12/(1+(G306))^'DCF'!G13,(('Historical Inputs'!$N$9*(1+(D306))^4)*(('Assumptions'!H37+(E306))*(1-'Assumptions'!H42-(0))+'Assumptions'!H47-'Assumptions'!H52*(F306)+'Assumptions'!H57-'Assumptions'!H62*(1)-'Assumptions'!H67-(0))+(('Historical Inputs'!$N$9*(1+(D306))^3)*('Assumptions'!G67+(0))))*'DCF'!H12/(1+(G306))^'DCF'!H13,(('Historical Inputs'!$N$9*(1+(D306))^5)*(('Assumptions'!I37+(E306))*(1-'Assumptions'!I42-(0))+'Assumptions'!I47-'Assumptions'!I52*(F306)+'Assumptions'!I57-'Assumptions'!I62*(1)-'Assumptions'!I67-(0))+(('Historical Inputs'!$N$9*(1+(D306))^4)*('Assumptions'!H67+(0))))*'DCF'!I12/(1+(G306))^'DCF'!I13)+('Historical Inputs'!$N$9*(1+(D306))^5)*(1+(H306))*('Terminal Value'!$E$10+(E306))*(1-'Assumptions'!$E$15-(0))*(1-(H306)/('Terminal Value'!$E$12))/((G306)-(H306))/(1+(G306))^'DCF'!$E$19)+'Equity Bridge'!$E$17)/'Equity Bridge'!$E$20</x:f>
        <x:v>228.5976841651509</x:v>
      </x:c>
      <x:c r="X306" s="255" t="n">
        <x:v>0.20577070568217548</x:v>
      </x:c>
      <x:c r="Y306" s="255" t="n">
        <x:v>0.6998546887818338</x:v>
      </x:c>
      <x:c r="Z306" s="255" t="n">
        <x:v>0.33243726605805257</x:v>
      </x:c>
      <x:c r="AA306" s="255" t="n">
        <x:v>0.9543286010805709</x:v>
      </x:c>
      <x:c r="AB306" s="255" t="n">
        <x:v>0.12174912310033337</x:v>
      </x:c>
    </x:row>
    <x:row r="307" ht="24" customHeight="1">
      <x:c r="C307" s="256" t="n">
        <x:f>276</x:f>
        <x:v>276</x:v>
      </x:c>
      <x:c r="D307" s="258" t="n">
        <x:f>IF(X307&lt;($E$12-$D$12)/($F$12-$D$12),$D$12+SQRT(X307*($F$12-$D$12)*($E$12-$D$12)),$F$12-SQRT((1-X307)*($F$12-$D$12)*($F$12-$E$12)))</x:f>
        <x:v>0.15725315793944356</x:v>
      </x:c>
      <x:c r="E307" s="258" t="n">
        <x:f>IF(Y307&lt;($E$13-$D$13)/($F$13-$D$13),$D$13+SQRT(Y307*($F$13-$D$13)*($E$13-$D$13)),$F$13-SQRT((1-Y307)*($F$13-$D$13)*($F$13-$E$13)))</x:f>
        <x:v>0.02134984398365231</x:v>
      </x:c>
      <x:c r="F307" s="260" t="n">
        <x:f>IF(Z307&lt;($E$14-$D$14)/($F$14-$D$14),$D$14+SQRT(Z307*($F$14-$D$14)*($E$14-$D$14)),$F$14-SQRT((1-Z307)*($F$14-$D$14)*($F$14-$E$14)))</x:f>
        <x:v>0.9959727166821666</x:v>
      </x:c>
      <x:c r="G307" s="258" t="n">
        <x:f>IF(AA307&lt;($E$15-$D$15)/($F$15-$D$15),$D$15+SQRT(AA307*($F$15-$D$15)*($E$15-$D$15)),$F$15-SQRT((1-AA307)*($F$15-$D$15)*($F$15-$E$15)))</x:f>
        <x:v>0.09895761447057992</x:v>
      </x:c>
      <x:c r="H307" s="258" t="n">
        <x:f>IF(AB307&lt;($E$16-$D$16)/($F$16-$D$16),$D$16+SQRT(AB307*($F$16-$D$16)*($E$16-$D$16)),$F$16-SQRT((1-AB307)*($F$16-$D$16)*($F$16-$E$16)))</x:f>
        <x:v>0.029460857075220555</x:v>
      </x:c>
      <x:c r="I307" s="262" t="n">
        <x:f>'Historical Inputs'!$N$9*(1+D307)^5</x:f>
        <x:v>688762.190879999</x:v>
      </x:c>
      <x:c r="J307" s="262" t="n">
        <x:f>I307*(1+H307)*('Terminal Value'!$E$10+E307)*(1-'Assumptions'!$E$15)*(1-H307/'Terminal Value'!$E$12)</x:f>
        <x:v>203800.87384292492</x:v>
      </x:c>
      <x:c r="K307" s="264" t="n">
        <x:f>((SUM((('Historical Inputs'!$N$9*(1+(D307))^1)*(('Assumptions'!E37+(E307))*(1-'Assumptions'!E42-(0))+'Assumptions'!E47-'Assumptions'!E52*(F307)+'Assumptions'!E57-'Assumptions'!E62*(1)-'Assumptions'!E67-(0))+('Working Capital'!$E$6))*'DCF'!E12/(1+(G307))^'DCF'!E13,(('Historical Inputs'!$N$9*(1+(D307))^2)*(('Assumptions'!F37+(E307))*(1-'Assumptions'!F42-(0))+'Assumptions'!F47-'Assumptions'!F52*(F307)+'Assumptions'!F57-'Assumptions'!F62*(1)-'Assumptions'!F67-(0))+(('Historical Inputs'!$N$9*(1+(D307))^1)*('Assumptions'!E67+(0))))*'DCF'!F12/(1+(G307))^'DCF'!F13,(('Historical Inputs'!$N$9*(1+(D307))^3)*(('Assumptions'!G37+(E307))*(1-'Assumptions'!G42-(0))+'Assumptions'!G47-'Assumptions'!G52*(F307)+'Assumptions'!G57-'Assumptions'!G62*(1)-'Assumptions'!G67-(0))+(('Historical Inputs'!$N$9*(1+(D307))^2)*('Assumptions'!F67+(0))))*'DCF'!G12/(1+(G307))^'DCF'!G13,(('Historical Inputs'!$N$9*(1+(D307))^4)*(('Assumptions'!H37+(E307))*(1-'Assumptions'!H42-(0))+'Assumptions'!H47-'Assumptions'!H52*(F307)+'Assumptions'!H57-'Assumptions'!H62*(1)-'Assumptions'!H67-(0))+(('Historical Inputs'!$N$9*(1+(D307))^3)*('Assumptions'!G67+(0))))*'DCF'!H12/(1+(G307))^'DCF'!H13,(('Historical Inputs'!$N$9*(1+(D307))^5)*(('Assumptions'!I37+(E307))*(1-'Assumptions'!I42-(0))+'Assumptions'!I47-'Assumptions'!I52*(F307)+'Assumptions'!I57-'Assumptions'!I62*(1)-'Assumptions'!I67-(0))+(('Historical Inputs'!$N$9*(1+(D307))^4)*('Assumptions'!H67+(0))))*'DCF'!I12/(1+(G307))^'DCF'!I13)+('Historical Inputs'!$N$9*(1+(D307))^5)*(1+(H307))*('Terminal Value'!$E$10+(E307))*(1-'Assumptions'!$E$15-(0))*(1-(H307)/('Terminal Value'!$E$12))/((G307)-(H307))/(1+(G307))^'DCF'!$E$19)+'Equity Bridge'!$E$17)/'Equity Bridge'!$E$20</x:f>
        <x:v>314.93862869890296</x:v>
      </x:c>
      <x:c r="X307" s="255" t="n">
        <x:v>0.7407443570468372</x:v>
      </x:c>
      <x:c r="Y307" s="255" t="n">
        <x:v>0.8358337120477872</x:v>
      </x:c>
      <x:c r="Z307" s="255" t="n">
        <x:v>0.4058673145823254</x:v>
      </x:c>
      <x:c r="AA307" s="255" t="n">
        <x:v>0.5529988126735657</x:v>
      </x:c>
      <x:c r="AB307" s="255" t="n">
        <x:v>0.44753908298875433</x:v>
      </x:c>
    </x:row>
    <x:row r="308" ht="24" customHeight="1">
      <x:c r="C308" s="256" t="n">
        <x:f>277</x:f>
        <x:v>277</x:v>
      </x:c>
      <x:c r="D308" s="258" t="n">
        <x:f>IF(X308&lt;($E$12-$D$12)/($F$12-$D$12),$D$12+SQRT(X308*($F$12-$D$12)*($E$12-$D$12)),$F$12-SQRT((1-X308)*($F$12-$D$12)*($F$12-$E$12)))</x:f>
        <x:v>0.12519665011347247</x:v>
      </x:c>
      <x:c r="E308" s="258" t="n">
        <x:f>IF(Y308&lt;($E$13-$D$13)/($F$13-$D$13),$D$13+SQRT(Y308*($F$13-$D$13)*($E$13-$D$13)),$F$13-SQRT((1-Y308)*($F$13-$D$13)*($F$13-$E$13)))</x:f>
        <x:v>-0.02394925020458964</x:v>
      </x:c>
      <x:c r="F308" s="260" t="n">
        <x:f>IF(Z308&lt;($E$14-$D$14)/($F$14-$D$14),$D$14+SQRT(Z308*($F$14-$D$14)*($E$14-$D$14)),$F$14-SQRT((1-Z308)*($F$14-$D$14)*($F$14-$E$14)))</x:f>
        <x:v>1.0163623948566758</x:v>
      </x:c>
      <x:c r="G308" s="258" t="n">
        <x:f>IF(AA308&lt;($E$15-$D$15)/($F$15-$D$15),$D$15+SQRT(AA308*($F$15-$D$15)*($E$15-$D$15)),$F$15-SQRT((1-AA308)*($F$15-$D$15)*($F$15-$E$15)))</x:f>
        <x:v>0.09186045416238571</x:v>
      </x:c>
      <x:c r="H308" s="258" t="n">
        <x:f>IF(AB308&lt;($E$16-$D$16)/($F$16-$D$16),$D$16+SQRT(AB308*($F$16-$D$16)*($E$16-$D$16)),$F$16-SQRT((1-AB308)*($F$16-$D$16)*($F$16-$E$16)))</x:f>
        <x:v>0.03333620465533245</x:v>
      </x:c>
      <x:c r="I308" s="262" t="n">
        <x:f>'Historical Inputs'!$N$9*(1+D308)^5</x:f>
        <x:v>598507.4746805952</x:v>
      </x:c>
      <x:c r="J308" s="262" t="n">
        <x:f>I308*(1+H308)*('Terminal Value'!$E$10+E308)*(1-'Assumptions'!$E$15)*(1-H308/'Terminal Value'!$E$12)</x:f>
        <x:v>155045.42018310854</x:v>
      </x:c>
      <x:c r="K308" s="264" t="n">
        <x:f>((SUM((('Historical Inputs'!$N$9*(1+(D308))^1)*(('Assumptions'!E37+(E308))*(1-'Assumptions'!E42-(0))+'Assumptions'!E47-'Assumptions'!E52*(F308)+'Assumptions'!E57-'Assumptions'!E62*(1)-'Assumptions'!E67-(0))+('Working Capital'!$E$6))*'DCF'!E12/(1+(G308))^'DCF'!E13,(('Historical Inputs'!$N$9*(1+(D308))^2)*(('Assumptions'!F37+(E308))*(1-'Assumptions'!F42-(0))+'Assumptions'!F47-'Assumptions'!F52*(F308)+'Assumptions'!F57-'Assumptions'!F62*(1)-'Assumptions'!F67-(0))+(('Historical Inputs'!$N$9*(1+(D308))^1)*('Assumptions'!E67+(0))))*'DCF'!F12/(1+(G308))^'DCF'!F13,(('Historical Inputs'!$N$9*(1+(D308))^3)*(('Assumptions'!G37+(E308))*(1-'Assumptions'!G42-(0))+'Assumptions'!G47-'Assumptions'!G52*(F308)+'Assumptions'!G57-'Assumptions'!G62*(1)-'Assumptions'!G67-(0))+(('Historical Inputs'!$N$9*(1+(D308))^2)*('Assumptions'!F67+(0))))*'DCF'!G12/(1+(G308))^'DCF'!G13,(('Historical Inputs'!$N$9*(1+(D308))^4)*(('Assumptions'!H37+(E308))*(1-'Assumptions'!H42-(0))+'Assumptions'!H47-'Assumptions'!H52*(F308)+'Assumptions'!H57-'Assumptions'!H62*(1)-'Assumptions'!H67-(0))+(('Historical Inputs'!$N$9*(1+(D308))^3)*('Assumptions'!G67+(0))))*'DCF'!H12/(1+(G308))^'DCF'!H13,(('Historical Inputs'!$N$9*(1+(D308))^5)*(('Assumptions'!I37+(E308))*(1-'Assumptions'!I42-(0))+'Assumptions'!I47-'Assumptions'!I52*(F308)+'Assumptions'!I57-'Assumptions'!I62*(1)-'Assumptions'!I67-(0))+(('Historical Inputs'!$N$9*(1+(D308))^4)*('Assumptions'!H67+(0))))*'DCF'!I12/(1+(G308))^'DCF'!I13)+('Historical Inputs'!$N$9*(1+(D308))^5)*(1+(H308))*('Terminal Value'!$E$10+(E308))*(1-'Assumptions'!$E$15-(0))*(1-(H308)/('Terminal Value'!$E$12))/((G308)-(H308))/(1+(G308))^'DCF'!$E$19)+'Equity Bridge'!$E$17)/'Equity Bridge'!$E$20</x:f>
        <x:v>282.4416780179129</x:v>
      </x:c>
      <x:c r="X308" s="255" t="n">
        <x:v>0.20402797102764925</x:v>
      </x:c>
      <x:c r="Y308" s="255" t="n">
        <x:v>0.1357283129806146</x:v>
      </x:c>
      <x:c r="Z308" s="255" t="n">
        <x:v>0.5182461425317791</x:v>
      </x:c>
      <x:c r="AA308" s="255" t="n">
        <x:v>0.16897751147491313</x:v>
      </x:c>
      <x:c r="AB308" s="255" t="n">
        <x:v>0.7779691580219352</x:v>
      </x:c>
    </x:row>
    <x:row r="309" ht="24" customHeight="1">
      <x:c r="C309" s="256" t="n">
        <x:f>278</x:f>
        <x:v>278</x:v>
      </x:c>
      <x:c r="D309" s="258" t="n">
        <x:f>IF(X309&lt;($E$12-$D$12)/($F$12-$D$12),$D$12+SQRT(X309*($F$12-$D$12)*($E$12-$D$12)),$F$12-SQRT((1-X309)*($F$12-$D$12)*($F$12-$E$12)))</x:f>
        <x:v>0.1305990037943925</x:v>
      </x:c>
      <x:c r="E309" s="258" t="n">
        <x:f>IF(Y309&lt;($E$13-$D$13)/($F$13-$D$13),$D$13+SQRT(Y309*($F$13-$D$13)*($E$13-$D$13)),$F$13-SQRT((1-Y309)*($F$13-$D$13)*($F$13-$E$13)))</x:f>
        <x:v>0.019332782093844685</x:v>
      </x:c>
      <x:c r="F309" s="260" t="n">
        <x:f>IF(Z309&lt;($E$14-$D$14)/($F$14-$D$14),$D$14+SQRT(Z309*($F$14-$D$14)*($E$14-$D$14)),$F$14-SQRT((1-Z309)*($F$14-$D$14)*($F$14-$E$14)))</x:f>
        <x:v>0.9877870249424558</x:v>
      </x:c>
      <x:c r="G309" s="258" t="n">
        <x:f>IF(AA309&lt;($E$15-$D$15)/($F$15-$D$15),$D$15+SQRT(AA309*($F$15-$D$15)*($E$15-$D$15)),$F$15-SQRT((1-AA309)*($F$15-$D$15)*($F$15-$E$15)))</x:f>
        <x:v>0.09809317520147173</x:v>
      </x:c>
      <x:c r="H309" s="258" t="n">
        <x:f>IF(AB309&lt;($E$16-$D$16)/($F$16-$D$16),$D$16+SQRT(AB309*($F$16-$D$16)*($E$16-$D$16)),$F$16-SQRT((1-AB309)*($F$16-$D$16)*($F$16-$E$16)))</x:f>
        <x:v>0.029605892244545857</x:v>
      </x:c>
      <x:c r="I309" s="262" t="n">
        <x:f>'Historical Inputs'!$N$9*(1+D309)^5</x:f>
        <x:v>613014.035557715</x:v>
      </x:c>
      <x:c r="J309" s="262" t="n">
        <x:f>I309*(1+H309)*('Terminal Value'!$E$10+E309)*(1-'Assumptions'!$E$15)*(1-H309/'Terminal Value'!$E$12)</x:f>
        <x:v>180390.97964199257</x:v>
      </x:c>
      <x:c r="K309" s="264" t="n">
        <x:f>((SUM((('Historical Inputs'!$N$9*(1+(D309))^1)*(('Assumptions'!E37+(E309))*(1-'Assumptions'!E42-(0))+'Assumptions'!E47-'Assumptions'!E52*(F309)+'Assumptions'!E57-'Assumptions'!E62*(1)-'Assumptions'!E67-(0))+('Working Capital'!$E$6))*'DCF'!E12/(1+(G309))^'DCF'!E13,(('Historical Inputs'!$N$9*(1+(D309))^2)*(('Assumptions'!F37+(E309))*(1-'Assumptions'!F42-(0))+'Assumptions'!F47-'Assumptions'!F52*(F309)+'Assumptions'!F57-'Assumptions'!F62*(1)-'Assumptions'!F67-(0))+(('Historical Inputs'!$N$9*(1+(D309))^1)*('Assumptions'!E67+(0))))*'DCF'!F12/(1+(G309))^'DCF'!F13,(('Historical Inputs'!$N$9*(1+(D309))^3)*(('Assumptions'!G37+(E309))*(1-'Assumptions'!G42-(0))+'Assumptions'!G47-'Assumptions'!G52*(F309)+'Assumptions'!G57-'Assumptions'!G62*(1)-'Assumptions'!G67-(0))+(('Historical Inputs'!$N$9*(1+(D309))^2)*('Assumptions'!F67+(0))))*'DCF'!G12/(1+(G309))^'DCF'!G13,(('Historical Inputs'!$N$9*(1+(D309))^4)*(('Assumptions'!H37+(E309))*(1-'Assumptions'!H42-(0))+'Assumptions'!H47-'Assumptions'!H52*(F309)+'Assumptions'!H57-'Assumptions'!H62*(1)-'Assumptions'!H67-(0))+(('Historical Inputs'!$N$9*(1+(D309))^3)*('Assumptions'!G67+(0))))*'DCF'!H12/(1+(G309))^'DCF'!H13,(('Historical Inputs'!$N$9*(1+(D309))^5)*(('Assumptions'!I37+(E309))*(1-'Assumptions'!I42-(0))+'Assumptions'!I47-'Assumptions'!I52*(F309)+'Assumptions'!I57-'Assumptions'!I62*(1)-'Assumptions'!I67-(0))+(('Historical Inputs'!$N$9*(1+(D309))^4)*('Assumptions'!H67+(0))))*'DCF'!I12/(1+(G309))^'DCF'!I13)+('Historical Inputs'!$N$9*(1+(D309))^5)*(1+(H309))*('Terminal Value'!$E$10+(E309))*(1-'Assumptions'!$E$15-(0))*(1-(H309)/('Terminal Value'!$E$12))/((G309)-(H309))/(1+(G309))^'DCF'!$E$19)+'Equity Bridge'!$E$17)/'Equity Bridge'!$E$20</x:f>
        <x:v>285.27078814603044</x:v>
      </x:c>
      <x:c r="X309" s="255" t="n">
        <x:v>0.27888472346469306</x:v>
      </x:c>
      <x:c r="Y309" s="255" t="n">
        <x:v>0.8119043491792773</x:v>
      </x:c>
      <x:c r="Z309" s="255" t="n">
        <x:v>0.36162408080939</x:v>
      </x:c>
      <x:c r="AA309" s="255" t="n">
        <x:v>0.49685867687878094</x:v>
      </x:c>
      <x:c r="AB309" s="255" t="n">
        <x:v>0.46136582906913115</x:v>
      </x:c>
    </x:row>
    <x:row r="310" ht="24" customHeight="1">
      <x:c r="C310" s="256" t="n">
        <x:f>279</x:f>
        <x:v>279</x:v>
      </x:c>
      <x:c r="D310" s="258" t="n">
        <x:f>IF(X310&lt;($E$12-$D$12)/($F$12-$D$12),$D$12+SQRT(X310*($F$12-$D$12)*($E$12-$D$12)),$F$12-SQRT((1-X310)*($F$12-$D$12)*($F$12-$E$12)))</x:f>
        <x:v>0.13175501991789634</x:v>
      </x:c>
      <x:c r="E310" s="258" t="n">
        <x:f>IF(Y310&lt;($E$13-$D$13)/($F$13-$D$13),$D$13+SQRT(Y310*($F$13-$D$13)*($E$13-$D$13)),$F$13-SQRT((1-Y310)*($F$13-$D$13)*($F$13-$E$13)))</x:f>
        <x:v>-0.0002977396635792662</x:v>
      </x:c>
      <x:c r="F310" s="260" t="n">
        <x:f>IF(Z310&lt;($E$14-$D$14)/($F$14-$D$14),$D$14+SQRT(Z310*($F$14-$D$14)*($E$14-$D$14)),$F$14-SQRT((1-Z310)*($F$14-$D$14)*($F$14-$E$14)))</x:f>
        <x:v>0.9618636586739582</x:v>
      </x:c>
      <x:c r="G310" s="258" t="n">
        <x:f>IF(AA310&lt;($E$15-$D$15)/($F$15-$D$15),$D$15+SQRT(AA310*($F$15-$D$15)*($E$15-$D$15)),$F$15-SQRT((1-AA310)*($F$15-$D$15)*($F$15-$E$15)))</x:f>
        <x:v>0.1011310830296385</x:v>
      </x:c>
      <x:c r="H310" s="258" t="n">
        <x:f>IF(AB310&lt;($E$16-$D$16)/($F$16-$D$16),$D$16+SQRT(AB310*($F$16-$D$16)*($E$16-$D$16)),$F$16-SQRT((1-AB310)*($F$16-$D$16)*($F$16-$E$16)))</x:f>
        <x:v>0.02807706155845414</x:v>
      </x:c>
      <x:c r="I310" s="262" t="n">
        <x:f>'Historical Inputs'!$N$9*(1+D310)^5</x:f>
        <x:v>616154.4273325271</x:v>
      </x:c>
      <x:c r="J310" s="262" t="n">
        <x:f>I310*(1+H310)*('Terminal Value'!$E$10+E310)*(1-'Assumptions'!$E$15)*(1-H310/'Terminal Value'!$E$12)</x:f>
        <x:v>174118.79927631424</x:v>
      </x:c>
      <x:c r="K310" s="264" t="n">
        <x:f>((SUM((('Historical Inputs'!$N$9*(1+(D310))^1)*(('Assumptions'!E37+(E310))*(1-'Assumptions'!E42-(0))+'Assumptions'!E47-'Assumptions'!E52*(F310)+'Assumptions'!E57-'Assumptions'!E62*(1)-'Assumptions'!E67-(0))+('Working Capital'!$E$6))*'DCF'!E12/(1+(G310))^'DCF'!E13,(('Historical Inputs'!$N$9*(1+(D310))^2)*(('Assumptions'!F37+(E310))*(1-'Assumptions'!F42-(0))+'Assumptions'!F47-'Assumptions'!F52*(F310)+'Assumptions'!F57-'Assumptions'!F62*(1)-'Assumptions'!F67-(0))+(('Historical Inputs'!$N$9*(1+(D310))^1)*('Assumptions'!E67+(0))))*'DCF'!F12/(1+(G310))^'DCF'!F13,(('Historical Inputs'!$N$9*(1+(D310))^3)*(('Assumptions'!G37+(E310))*(1-'Assumptions'!G42-(0))+'Assumptions'!G47-'Assumptions'!G52*(F310)+'Assumptions'!G57-'Assumptions'!G62*(1)-'Assumptions'!G67-(0))+(('Historical Inputs'!$N$9*(1+(D310))^2)*('Assumptions'!F67+(0))))*'DCF'!G12/(1+(G310))^'DCF'!G13,(('Historical Inputs'!$N$9*(1+(D310))^4)*(('Assumptions'!H37+(E310))*(1-'Assumptions'!H42-(0))+'Assumptions'!H47-'Assumptions'!H52*(F310)+'Assumptions'!H57-'Assumptions'!H62*(1)-'Assumptions'!H67-(0))+(('Historical Inputs'!$N$9*(1+(D310))^3)*('Assumptions'!G67+(0))))*'DCF'!H12/(1+(G310))^'DCF'!H13,(('Historical Inputs'!$N$9*(1+(D310))^5)*(('Assumptions'!I37+(E310))*(1-'Assumptions'!I42-(0))+'Assumptions'!I47-'Assumptions'!I52*(F310)+'Assumptions'!I57-'Assumptions'!I62*(1)-'Assumptions'!I67-(0))+(('Historical Inputs'!$N$9*(1+(D310))^4)*('Assumptions'!H67+(0))))*'DCF'!I12/(1+(G310))^'DCF'!I13)+('Historical Inputs'!$N$9*(1+(D310))^5)*(1+(H310))*('Terminal Value'!$E$10+(E310))*(1-'Assumptions'!$E$15-(0))*(1-(H310)/('Terminal Value'!$E$12))/((G310)-(H310))/(1+(G310))^'DCF'!$E$19)+'Equity Bridge'!$E$17)/'Equity Bridge'!$E$20</x:f>
        <x:v>258.4696010621431</x:v>
      </x:c>
      <x:c r="X310" s="255" t="n">
        <x:v>0.2964191714158474</x:v>
      </x:c>
      <x:c r="Y310" s="255" t="n">
        <x:v>0.4940629365098683</x:v>
      </x:c>
      <x:c r="Z310" s="255" t="n">
        <x:v>0.23835196441759676</x:v>
      </x:c>
      <x:c r="AA310" s="255" t="n">
        <x:v>0.6795045410934261</x:v>
      </x:c>
      <x:c r="AB310" s="255" t="n">
        <x:v>0.3261946170952883</x:v>
      </x:c>
    </x:row>
    <x:row r="311" ht="24" customHeight="1">
      <x:c r="C311" s="256" t="n">
        <x:f>280</x:f>
        <x:v>280</x:v>
      </x:c>
      <x:c r="D311" s="258" t="n">
        <x:f>IF(X311&lt;($E$12-$D$12)/($F$12-$D$12),$D$12+SQRT(X311*($F$12-$D$12)*($E$12-$D$12)),$F$12-SQRT((1-X311)*($F$12-$D$12)*($F$12-$E$12)))</x:f>
        <x:v>0.15957375321600925</x:v>
      </x:c>
      <x:c r="E311" s="258" t="n">
        <x:f>IF(Y311&lt;($E$13-$D$13)/($F$13-$D$13),$D$13+SQRT(Y311*($F$13-$D$13)*($E$13-$D$13)),$F$13-SQRT((1-Y311)*($F$13-$D$13)*($F$13-$E$13)))</x:f>
        <x:v>0.023157056939655696</x:v>
      </x:c>
      <x:c r="F311" s="260" t="n">
        <x:f>IF(Z311&lt;($E$14-$D$14)/($F$14-$D$14),$D$14+SQRT(Z311*($F$14-$D$14)*($E$14-$D$14)),$F$14-SQRT((1-Z311)*($F$14-$D$14)*($F$14-$E$14)))</x:f>
        <x:v>1.0062010703561401</x:v>
      </x:c>
      <x:c r="G311" s="258" t="n">
        <x:f>IF(AA311&lt;($E$15-$D$15)/($F$15-$D$15),$D$15+SQRT(AA311*($F$15-$D$15)*($E$15-$D$15)),$F$15-SQRT((1-AA311)*($F$15-$D$15)*($F$15-$E$15)))</x:f>
        <x:v>0.10747124028391733</x:v>
      </x:c>
      <x:c r="H311" s="258" t="n">
        <x:f>IF(AB311&lt;($E$16-$D$16)/($F$16-$D$16),$D$16+SQRT(AB311*($F$16-$D$16)*($E$16-$D$16)),$F$16-SQRT((1-AB311)*($F$16-$D$16)*($F$16-$E$16)))</x:f>
        <x:v>0.03295948248832786</x:v>
      </x:c>
      <x:c r="I311" s="262" t="n">
        <x:f>'Historical Inputs'!$N$9*(1+D311)^5</x:f>
        <x:v>695695.6838476041</x:v>
      </x:c>
      <x:c r="J311" s="262" t="n">
        <x:f>I311*(1+H311)*('Terminal Value'!$E$10+E311)*(1-'Assumptions'!$E$15)*(1-H311/'Terminal Value'!$E$12)</x:f>
        <x:v>203182.36066782172</x:v>
      </x:c>
      <x:c r="K311" s="264" t="n">
        <x:f>((SUM((('Historical Inputs'!$N$9*(1+(D311))^1)*(('Assumptions'!E37+(E311))*(1-'Assumptions'!E42-(0))+'Assumptions'!E47-'Assumptions'!E52*(F311)+'Assumptions'!E57-'Assumptions'!E62*(1)-'Assumptions'!E67-(0))+('Working Capital'!$E$6))*'DCF'!E12/(1+(G311))^'DCF'!E13,(('Historical Inputs'!$N$9*(1+(D311))^2)*(('Assumptions'!F37+(E311))*(1-'Assumptions'!F42-(0))+'Assumptions'!F47-'Assumptions'!F52*(F311)+'Assumptions'!F57-'Assumptions'!F62*(1)-'Assumptions'!F67-(0))+(('Historical Inputs'!$N$9*(1+(D311))^1)*('Assumptions'!E67+(0))))*'DCF'!F12/(1+(G311))^'DCF'!F13,(('Historical Inputs'!$N$9*(1+(D311))^3)*(('Assumptions'!G37+(E311))*(1-'Assumptions'!G42-(0))+'Assumptions'!G47-'Assumptions'!G52*(F311)+'Assumptions'!G57-'Assumptions'!G62*(1)-'Assumptions'!G67-(0))+(('Historical Inputs'!$N$9*(1+(D311))^2)*('Assumptions'!F67+(0))))*'DCF'!G12/(1+(G311))^'DCF'!G13,(('Historical Inputs'!$N$9*(1+(D311))^4)*(('Assumptions'!H37+(E311))*(1-'Assumptions'!H42-(0))+'Assumptions'!H47-'Assumptions'!H52*(F311)+'Assumptions'!H57-'Assumptions'!H62*(1)-'Assumptions'!H67-(0))+(('Historical Inputs'!$N$9*(1+(D311))^3)*('Assumptions'!G67+(0))))*'DCF'!H12/(1+(G311))^'DCF'!H13,(('Historical Inputs'!$N$9*(1+(D311))^5)*(('Assumptions'!I37+(E311))*(1-'Assumptions'!I42-(0))+'Assumptions'!I47-'Assumptions'!I52*(F311)+'Assumptions'!I57-'Assumptions'!I62*(1)-'Assumptions'!I67-(0))+(('Historical Inputs'!$N$9*(1+(D311))^4)*('Assumptions'!H67+(0))))*'DCF'!I12/(1+(G311))^'DCF'!I13)+('Historical Inputs'!$N$9*(1+(D311))^5)*(1+(H311))*('Terminal Value'!$E$10+(E311))*(1-'Assumptions'!$E$15-(0))*(1-(H311)/('Terminal Value'!$E$12))/((G311)-(H311))/(1+(G311))^'DCF'!$E$19)+'Equity Bridge'!$E$17)/'Equity Bridge'!$E$20</x:f>
        <x:v>287.6597905241139</x:v>
      </x:c>
      <x:c r="X311" s="255" t="n">
        <x:v>0.7730874831486695</x:v>
      </x:c>
      <x:c r="Y311" s="255" t="n">
        <x:v>0.8558912815718227</x:v>
      </x:c>
      <x:c r="Z311" s="255" t="n">
        <x:v>0.46345678384134636</x:v>
      </x:c>
      <x:c r="AA311" s="255" t="n">
        <x:v>0.9285799473350123</x:v>
      </x:c>
      <x:c r="AB311" s="255" t="n">
        <x:v>0.7521555658391897</x:v>
      </x:c>
    </x:row>
    <x:row r="312" ht="24" customHeight="1">
      <x:c r="C312" s="256" t="n">
        <x:f>281</x:f>
        <x:v>281</x:v>
      </x:c>
      <x:c r="D312" s="258" t="n">
        <x:f>IF(X312&lt;($E$12-$D$12)/($F$12-$D$12),$D$12+SQRT(X312*($F$12-$D$12)*($E$12-$D$12)),$F$12-SQRT((1-X312)*($F$12-$D$12)*($F$12-$E$12)))</x:f>
        <x:v>0.11364850967734227</x:v>
      </x:c>
      <x:c r="E312" s="258" t="n">
        <x:f>IF(Y312&lt;($E$13-$D$13)/($F$13-$D$13),$D$13+SQRT(Y312*($F$13-$D$13)*($E$13-$D$13)),$F$13-SQRT((1-Y312)*($F$13-$D$13)*($F$13-$E$13)))</x:f>
        <x:v>0.017363436072462053</x:v>
      </x:c>
      <x:c r="F312" s="260" t="n">
        <x:f>IF(Z312&lt;($E$14-$D$14)/($F$14-$D$14),$D$14+SQRT(Z312*($F$14-$D$14)*($E$14-$D$14)),$F$14-SQRT((1-Z312)*($F$14-$D$14)*($F$14-$E$14)))</x:f>
        <x:v>1.1194525038432337</x:v>
      </x:c>
      <x:c r="G312" s="258" t="n">
        <x:f>IF(AA312&lt;($E$15-$D$15)/($F$15-$D$15),$D$15+SQRT(AA312*($F$15-$D$15)*($E$15-$D$15)),$F$15-SQRT((1-AA312)*($F$15-$D$15)*($F$15-$E$15)))</x:f>
        <x:v>0.10348039508486394</x:v>
      </x:c>
      <x:c r="H312" s="258" t="n">
        <x:f>IF(AB312&lt;($E$16-$D$16)/($F$16-$D$16),$D$16+SQRT(AB312*($F$16-$D$16)*($E$16-$D$16)),$F$16-SQRT((1-AB312)*($F$16-$D$16)*($F$16-$E$16)))</x:f>
        <x:v>0.035307793729172574</x:v>
      </x:c>
      <x:c r="I312" s="262" t="n">
        <x:f>'Historical Inputs'!$N$9*(1+D312)^5</x:f>
        <x:v>568418.3989640444</x:v>
      </x:c>
      <x:c r="J312" s="262" t="n">
        <x:f>I312*(1+H312)*('Terminal Value'!$E$10+E312)*(1-'Assumptions'!$E$15)*(1-H312/'Terminal Value'!$E$12)</x:f>
        <x:v>161802.43326188036</x:v>
      </x:c>
      <x:c r="K312" s="264" t="n">
        <x:f>((SUM((('Historical Inputs'!$N$9*(1+(D312))^1)*(('Assumptions'!E37+(E312))*(1-'Assumptions'!E42-(0))+'Assumptions'!E47-'Assumptions'!E52*(F312)+'Assumptions'!E57-'Assumptions'!E62*(1)-'Assumptions'!E67-(0))+('Working Capital'!$E$6))*'DCF'!E12/(1+(G312))^'DCF'!E13,(('Historical Inputs'!$N$9*(1+(D312))^2)*(('Assumptions'!F37+(E312))*(1-'Assumptions'!F42-(0))+'Assumptions'!F47-'Assumptions'!F52*(F312)+'Assumptions'!F57-'Assumptions'!F62*(1)-'Assumptions'!F67-(0))+(('Historical Inputs'!$N$9*(1+(D312))^1)*('Assumptions'!E67+(0))))*'DCF'!F12/(1+(G312))^'DCF'!F13,(('Historical Inputs'!$N$9*(1+(D312))^3)*(('Assumptions'!G37+(E312))*(1-'Assumptions'!G42-(0))+'Assumptions'!G47-'Assumptions'!G52*(F312)+'Assumptions'!G57-'Assumptions'!G62*(1)-'Assumptions'!G67-(0))+(('Historical Inputs'!$N$9*(1+(D312))^2)*('Assumptions'!F67+(0))))*'DCF'!G12/(1+(G312))^'DCF'!G13,(('Historical Inputs'!$N$9*(1+(D312))^4)*(('Assumptions'!H37+(E312))*(1-'Assumptions'!H42-(0))+'Assumptions'!H47-'Assumptions'!H52*(F312)+'Assumptions'!H57-'Assumptions'!H62*(1)-'Assumptions'!H67-(0))+(('Historical Inputs'!$N$9*(1+(D312))^3)*('Assumptions'!G67+(0))))*'DCF'!H12/(1+(G312))^'DCF'!H13,(('Historical Inputs'!$N$9*(1+(D312))^5)*(('Assumptions'!I37+(E312))*(1-'Assumptions'!I42-(0))+'Assumptions'!I47-'Assumptions'!I52*(F312)+'Assumptions'!I57-'Assumptions'!I62*(1)-'Assumptions'!I67-(0))+(('Historical Inputs'!$N$9*(1+(D312))^4)*('Assumptions'!H67+(0))))*'DCF'!I12/(1+(G312))^'DCF'!I13)+('Historical Inputs'!$N$9*(1+(D312))^5)*(1+(H312))*('Terminal Value'!$E$10+(E312))*(1-'Assumptions'!$E$15-(0))*(1-(H312)/('Terminal Value'!$E$12))/((G312)-(H312))/(1+(G312))^'DCF'!$E$19)+'Equity Bridge'!$E$17)/'Equity Bridge'!$E$20</x:f>
        <x:v>246.27324718557253</x:v>
      </x:c>
      <x:c r="X312" s="255" t="n">
        <x:v>0.08316255535782002</x:v>
      </x:c>
      <x:c r="Y312" s="255" t="n">
        <x:v>0.7869709390007458</x:v>
      </x:c>
      <x:c r="Z312" s="255" t="n">
        <x:v>0.9073157266125103</x:v>
      </x:c>
      <x:c r="AA312" s="255" t="n">
        <x:v>0.7926331074139498</x:v>
      </x:c>
      <x:c r="AB312" s="255" t="n">
        <x:v>0.8899160015600387</x:v>
      </x:c>
    </x:row>
    <x:row r="313" ht="24" customHeight="1">
      <x:c r="C313" s="256" t="n">
        <x:f>282</x:f>
        <x:v>282</x:v>
      </x:c>
      <x:c r="D313" s="258" t="n">
        <x:f>IF(X313&lt;($E$12-$D$12)/($F$12-$D$12),$D$12+SQRT(X313*($F$12-$D$12)*($E$12-$D$12)),$F$12-SQRT((1-X313)*($F$12-$D$12)*($F$12-$E$12)))</x:f>
        <x:v>0.11059290156920307</x:v>
      </x:c>
      <x:c r="E313" s="258" t="n">
        <x:f>IF(Y313&lt;($E$13-$D$13)/($F$13-$D$13),$D$13+SQRT(Y313*($F$13-$D$13)*($E$13-$D$13)),$F$13-SQRT((1-Y313)*($F$13-$D$13)*($F$13-$E$13)))</x:f>
        <x:v>-0.0059282288347329085</x:v>
      </x:c>
      <x:c r="F313" s="260" t="n">
        <x:f>IF(Z313&lt;($E$14-$D$14)/($F$14-$D$14),$D$14+SQRT(Z313*($F$14-$D$14)*($E$14-$D$14)),$F$14-SQRT((1-Z313)*($F$14-$D$14)*($F$14-$E$14)))</x:f>
        <x:v>1.1464876709017175</x:v>
      </x:c>
      <x:c r="G313" s="258" t="n">
        <x:f>IF(AA313&lt;($E$15-$D$15)/($F$15-$D$15),$D$15+SQRT(AA313*($F$15-$D$15)*($E$15-$D$15)),$F$15-SQRT((1-AA313)*($F$15-$D$15)*($F$15-$E$15)))</x:f>
        <x:v>0.10209236415822483</x:v>
      </x:c>
      <x:c r="H313" s="258" t="n">
        <x:f>IF(AB313&lt;($E$16-$D$16)/($F$16-$D$16),$D$16+SQRT(AB313*($F$16-$D$16)*($E$16-$D$16)),$F$16-SQRT((1-AB313)*($F$16-$D$16)*($F$16-$E$16)))</x:f>
        <x:v>0.034657765481585515</x:v>
      </x:c>
      <x:c r="I313" s="262" t="n">
        <x:f>'Historical Inputs'!$N$9*(1+D313)^5</x:f>
        <x:v>560662.994904634</x:v>
      </x:c>
      <x:c r="J313" s="262" t="n">
        <x:f>I313*(1+H313)*('Terminal Value'!$E$10+E313)*(1-'Assumptions'!$E$15)*(1-H313/'Terminal Value'!$E$12)</x:f>
        <x:v>151188.14342827458</x:v>
      </x:c>
      <x:c r="K313" s="264" t="n">
        <x:f>((SUM((('Historical Inputs'!$N$9*(1+(D313))^1)*(('Assumptions'!E37+(E313))*(1-'Assumptions'!E42-(0))+'Assumptions'!E47-'Assumptions'!E52*(F313)+'Assumptions'!E57-'Assumptions'!E62*(1)-'Assumptions'!E67-(0))+('Working Capital'!$E$6))*'DCF'!E12/(1+(G313))^'DCF'!E13,(('Historical Inputs'!$N$9*(1+(D313))^2)*(('Assumptions'!F37+(E313))*(1-'Assumptions'!F42-(0))+'Assumptions'!F47-'Assumptions'!F52*(F313)+'Assumptions'!F57-'Assumptions'!F62*(1)-'Assumptions'!F67-(0))+(('Historical Inputs'!$N$9*(1+(D313))^1)*('Assumptions'!E67+(0))))*'DCF'!F12/(1+(G313))^'DCF'!F13,(('Historical Inputs'!$N$9*(1+(D313))^3)*(('Assumptions'!G37+(E313))*(1-'Assumptions'!G42-(0))+'Assumptions'!G47-'Assumptions'!G52*(F313)+'Assumptions'!G57-'Assumptions'!G62*(1)-'Assumptions'!G67-(0))+(('Historical Inputs'!$N$9*(1+(D313))^2)*('Assumptions'!F67+(0))))*'DCF'!G12/(1+(G313))^'DCF'!G13,(('Historical Inputs'!$N$9*(1+(D313))^4)*(('Assumptions'!H37+(E313))*(1-'Assumptions'!H42-(0))+'Assumptions'!H47-'Assumptions'!H52*(F313)+'Assumptions'!H57-'Assumptions'!H62*(1)-'Assumptions'!H67-(0))+(('Historical Inputs'!$N$9*(1+(D313))^3)*('Assumptions'!G67+(0))))*'DCF'!H12/(1+(G313))^'DCF'!H13,(('Historical Inputs'!$N$9*(1+(D313))^5)*(('Assumptions'!I37+(E313))*(1-'Assumptions'!I42-(0))+'Assumptions'!I47-'Assumptions'!I52*(F313)+'Assumptions'!I57-'Assumptions'!I62*(1)-'Assumptions'!I67-(0))+(('Historical Inputs'!$N$9*(1+(D313))^4)*('Assumptions'!H67+(0))))*'DCF'!I12/(1+(G313))^'DCF'!I13)+('Historical Inputs'!$N$9*(1+(D313))^5)*(1+(H313))*('Terminal Value'!$E$10+(E313))*(1-'Assumptions'!$E$15-(0))*(1-(H313)/('Terminal Value'!$E$12))/((G313)-(H313))/(1+(G313))^'DCF'!$E$19)+'Equity Bridge'!$E$17)/'Equity Bridge'!$E$20</x:f>
        <x:v>230.13717701094444</x:v>
      </x:c>
      <x:c r="X313" s="255" t="n">
        <x:v>0.060106545293761804</x:v>
      </x:c>
      <x:c r="Y313" s="255" t="n">
        <x:v>0.3884642027287335</x:v>
      </x:c>
      <x:c r="Z313" s="255" t="n">
        <x:v>0.9590918662068159</x:v>
      </x:c>
      <x:c r="AA313" s="255" t="n">
        <x:v>0.7287590724124263</x:v>
      </x:c>
      <x:c r="AB313" s="255" t="n">
        <x:v>0.8573026517513036</x:v>
      </x:c>
    </x:row>
    <x:row r="314" ht="24" customHeight="1">
      <x:c r="C314" s="256" t="n">
        <x:f>283</x:f>
        <x:v>283</x:v>
      </x:c>
      <x:c r="D314" s="258" t="n">
        <x:f>IF(X314&lt;($E$12-$D$12)/($F$12-$D$12),$D$12+SQRT(X314*($F$12-$D$12)*($E$12-$D$12)),$F$12-SQRT((1-X314)*($F$12-$D$12)*($F$12-$E$12)))</x:f>
        <x:v>0.12942275745047835</x:v>
      </x:c>
      <x:c r="E314" s="258" t="n">
        <x:f>IF(Y314&lt;($E$13-$D$13)/($F$13-$D$13),$D$13+SQRT(Y314*($F$13-$D$13)*($E$13-$D$13)),$F$13-SQRT((1-Y314)*($F$13-$D$13)*($F$13-$E$13)))</x:f>
        <x:v>-0.004931667287870034</x:v>
      </x:c>
      <x:c r="F314" s="260" t="n">
        <x:f>IF(Z314&lt;($E$14-$D$14)/($F$14-$D$14),$D$14+SQRT(Z314*($F$14-$D$14)*($E$14-$D$14)),$F$14-SQRT((1-Z314)*($F$14-$D$14)*($F$14-$E$14)))</x:f>
        <x:v>0.9467438722327705</x:v>
      </x:c>
      <x:c r="G314" s="258" t="n">
        <x:f>IF(AA314&lt;($E$15-$D$15)/($F$15-$D$15),$D$15+SQRT(AA314*($F$15-$D$15)*($E$15-$D$15)),$F$15-SQRT((1-AA314)*($F$15-$D$15)*($F$15-$E$15)))</x:f>
        <x:v>0.08764449119460188</x:v>
      </x:c>
      <x:c r="H314" s="258" t="n">
        <x:f>IF(AB314&lt;($E$16-$D$16)/($F$16-$D$16),$D$16+SQRT(AB314*($F$16-$D$16)*($E$16-$D$16)),$F$16-SQRT((1-AB314)*($F$16-$D$16)*($F$16-$E$16)))</x:f>
        <x:v>0.03637360890724046</x:v>
      </x:c>
      <x:c r="I314" s="262" t="n">
        <x:f>'Historical Inputs'!$N$9*(1+D314)^5</x:f>
        <x:v>609831.8430196615</x:v>
      </x:c>
      <x:c r="J314" s="262" t="n">
        <x:f>I314*(1+H314)*('Terminal Value'!$E$10+E314)*(1-'Assumptions'!$E$15)*(1-H314/'Terminal Value'!$E$12)</x:f>
        <x:v>163422.55859250212</x:v>
      </x:c>
      <x:c r="K314" s="264" t="n">
        <x:f>((SUM((('Historical Inputs'!$N$9*(1+(D314))^1)*(('Assumptions'!E37+(E314))*(1-'Assumptions'!E42-(0))+'Assumptions'!E47-'Assumptions'!E52*(F314)+'Assumptions'!E57-'Assumptions'!E62*(1)-'Assumptions'!E67-(0))+('Working Capital'!$E$6))*'DCF'!E12/(1+(G314))^'DCF'!E13,(('Historical Inputs'!$N$9*(1+(D314))^2)*(('Assumptions'!F37+(E314))*(1-'Assumptions'!F42-(0))+'Assumptions'!F47-'Assumptions'!F52*(F314)+'Assumptions'!F57-'Assumptions'!F62*(1)-'Assumptions'!F67-(0))+(('Historical Inputs'!$N$9*(1+(D314))^1)*('Assumptions'!E67+(0))))*'DCF'!F12/(1+(G314))^'DCF'!F13,(('Historical Inputs'!$N$9*(1+(D314))^3)*(('Assumptions'!G37+(E314))*(1-'Assumptions'!G42-(0))+'Assumptions'!G47-'Assumptions'!G52*(F314)+'Assumptions'!G57-'Assumptions'!G62*(1)-'Assumptions'!G67-(0))+(('Historical Inputs'!$N$9*(1+(D314))^2)*('Assumptions'!F67+(0))))*'DCF'!G12/(1+(G314))^'DCF'!G13,(('Historical Inputs'!$N$9*(1+(D314))^4)*(('Assumptions'!H37+(E314))*(1-'Assumptions'!H42-(0))+'Assumptions'!H47-'Assumptions'!H52*(F314)+'Assumptions'!H57-'Assumptions'!H62*(1)-'Assumptions'!H67-(0))+(('Historical Inputs'!$N$9*(1+(D314))^3)*('Assumptions'!G67+(0))))*'DCF'!H12/(1+(G314))^'DCF'!H13,(('Historical Inputs'!$N$9*(1+(D314))^5)*(('Assumptions'!I37+(E314))*(1-'Assumptions'!I42-(0))+'Assumptions'!I47-'Assumptions'!I52*(F314)+'Assumptions'!I57-'Assumptions'!I62*(1)-'Assumptions'!I67-(0))+(('Historical Inputs'!$N$9*(1+(D314))^4)*('Assumptions'!H67+(0))))*'DCF'!I12/(1+(G314))^'DCF'!I13)+('Historical Inputs'!$N$9*(1+(D314))^5)*(1+(H314))*('Terminal Value'!$E$10+(E314))*(1-'Assumptions'!$E$15-(0))*(1-(H314)/('Terminal Value'!$E$12))/((G314)-(H314))/(1+(G314))^'DCF'!$E$19)+'Equity Bridge'!$E$17)/'Equity Bridge'!$E$20</x:f>
        <x:v>344.76451551110847</x:v>
      </x:c>
      <x:c r="X314" s="255" t="n">
        <x:v>0.26159208665110256</x:v>
      </x:c>
      <x:c r="Y314" s="255" t="n">
        <x:v>0.40623092269024885</x:v>
      </x:c>
      <x:c r="Z314" s="255" t="n">
        <x:v>0.17827384408744018</x:v>
      </x:c>
      <x:c r="AA314" s="255" t="n">
        <x:v>0.04508247582726488</x:v>
      </x:c>
      <x:c r="AB314" s="255" t="n">
        <x:v>0.9342464382117713</x:v>
      </x:c>
    </x:row>
    <x:row r="315" ht="24" customHeight="1">
      <x:c r="C315" s="256" t="n">
        <x:f>284</x:f>
        <x:v>284</x:v>
      </x:c>
      <x:c r="D315" s="258" t="n">
        <x:f>IF(X315&lt;($E$12-$D$12)/($F$12-$D$12),$D$12+SQRT(X315*($F$12-$D$12)*($E$12-$D$12)),$F$12-SQRT((1-X315)*($F$12-$D$12)*($F$12-$E$12)))</x:f>
        <x:v>0.1362784528120674</x:v>
      </x:c>
      <x:c r="E315" s="258" t="n">
        <x:f>IF(Y315&lt;($E$13-$D$13)/($F$13-$D$13),$D$13+SQRT(Y315*($F$13-$D$13)*($E$13-$D$13)),$F$13-SQRT((1-Y315)*($F$13-$D$13)*($F$13-$E$13)))</x:f>
        <x:v>0.002448479300022309</x:v>
      </x:c>
      <x:c r="F315" s="260" t="n">
        <x:f>IF(Z315&lt;($E$14-$D$14)/($F$14-$D$14),$D$14+SQRT(Z315*($F$14-$D$14)*($E$14-$D$14)),$F$14-SQRT((1-Z315)*($F$14-$D$14)*($F$14-$E$14)))</x:f>
        <x:v>0.8804963670002262</x:v>
      </x:c>
      <x:c r="G315" s="258" t="n">
        <x:f>IF(AA315&lt;($E$15-$D$15)/($F$15-$D$15),$D$15+SQRT(AA315*($F$15-$D$15)*($E$15-$D$15)),$F$15-SQRT((1-AA315)*($F$15-$D$15)*($F$15-$E$15)))</x:f>
        <x:v>0.0994738859452588</x:v>
      </x:c>
      <x:c r="H315" s="258" t="n">
        <x:f>IF(AB315&lt;($E$16-$D$16)/($F$16-$D$16),$D$16+SQRT(AB315*($F$16-$D$16)*($E$16-$D$16)),$F$16-SQRT((1-AB315)*($F$16-$D$16)*($F$16-$E$16)))</x:f>
        <x:v>0.02546469559852451</x:v>
      </x:c>
      <x:c r="I315" s="262" t="n">
        <x:f>'Historical Inputs'!$N$9*(1+D315)^5</x:f>
        <x:v>628566.5738557348</x:v>
      </x:c>
      <x:c r="J315" s="262" t="n">
        <x:f>I315*(1+H315)*('Terminal Value'!$E$10+E315)*(1-'Assumptions'!$E$15)*(1-H315/'Terminal Value'!$E$12)</x:f>
        <x:v>181102.96692790158</x:v>
      </x:c>
      <x:c r="K315" s="264" t="n">
        <x:f>((SUM((('Historical Inputs'!$N$9*(1+(D315))^1)*(('Assumptions'!E37+(E315))*(1-'Assumptions'!E42-(0))+'Assumptions'!E47-'Assumptions'!E52*(F315)+'Assumptions'!E57-'Assumptions'!E62*(1)-'Assumptions'!E67-(0))+('Working Capital'!$E$6))*'DCF'!E12/(1+(G315))^'DCF'!E13,(('Historical Inputs'!$N$9*(1+(D315))^2)*(('Assumptions'!F37+(E315))*(1-'Assumptions'!F42-(0))+'Assumptions'!F47-'Assumptions'!F52*(F315)+'Assumptions'!F57-'Assumptions'!F62*(1)-'Assumptions'!F67-(0))+(('Historical Inputs'!$N$9*(1+(D315))^1)*('Assumptions'!E67+(0))))*'DCF'!F12/(1+(G315))^'DCF'!F13,(('Historical Inputs'!$N$9*(1+(D315))^3)*(('Assumptions'!G37+(E315))*(1-'Assumptions'!G42-(0))+'Assumptions'!G47-'Assumptions'!G52*(F315)+'Assumptions'!G57-'Assumptions'!G62*(1)-'Assumptions'!G67-(0))+(('Historical Inputs'!$N$9*(1+(D315))^2)*('Assumptions'!F67+(0))))*'DCF'!G12/(1+(G315))^'DCF'!G13,(('Historical Inputs'!$N$9*(1+(D315))^4)*(('Assumptions'!H37+(E315))*(1-'Assumptions'!H42-(0))+'Assumptions'!H47-'Assumptions'!H52*(F315)+'Assumptions'!H57-'Assumptions'!H62*(1)-'Assumptions'!H67-(0))+(('Historical Inputs'!$N$9*(1+(D315))^3)*('Assumptions'!G67+(0))))*'DCF'!H12/(1+(G315))^'DCF'!H13,(('Historical Inputs'!$N$9*(1+(D315))^5)*(('Assumptions'!I37+(E315))*(1-'Assumptions'!I42-(0))+'Assumptions'!I47-'Assumptions'!I52*(F315)+'Assumptions'!I57-'Assumptions'!I62*(1)-'Assumptions'!I67-(0))+(('Historical Inputs'!$N$9*(1+(D315))^4)*('Assumptions'!H67+(0))))*'DCF'!I12/(1+(G315))^'DCF'!I13)+('Historical Inputs'!$N$9*(1+(D315))^5)*(1+(H315))*('Terminal Value'!$E$10+(E315))*(1-'Assumptions'!$E$15-(0))*(1-(H315)/('Terminal Value'!$E$12))/((G315)-(H315))/(1+(G315))^'DCF'!$E$19)+'Equity Bridge'!$E$17)/'Equity Bridge'!$E$20</x:f>
        <x:v>272.0377851570013</x:v>
      </x:c>
      <x:c r="X315" s="255" t="n">
        <x:v>0.3701687048168051</x:v>
      </x:c>
      <x:c r="Y315" s="255" t="n">
        <x:v>0.5477705758239186</x:v>
      </x:c>
      <x:c r="Z315" s="255" t="n">
        <x:v>0.017714826670714</x:v>
      </x:c>
      <x:c r="AA315" s="255" t="n">
        <x:v>0.5849494065774643</x:v>
      </x:c>
      <x:c r="AB315" s="255" t="n">
        <x:v>0.14931448992266583</x:v>
      </x:c>
    </x:row>
    <x:row r="316" ht="24" customHeight="1">
      <x:c r="C316" s="256" t="n">
        <x:f>285</x:f>
        <x:v>285</x:v>
      </x:c>
      <x:c r="D316" s="258" t="n">
        <x:f>IF(X316&lt;($E$12-$D$12)/($F$12-$D$12),$D$12+SQRT(X316*($F$12-$D$12)*($E$12-$D$12)),$F$12-SQRT((1-X316)*($F$12-$D$12)*($F$12-$E$12)))</x:f>
        <x:v>0.12644703663411982</x:v>
      </x:c>
      <x:c r="E316" s="258" t="n">
        <x:f>IF(Y316&lt;($E$13-$D$13)/($F$13-$D$13),$D$13+SQRT(Y316*($F$13-$D$13)*($E$13-$D$13)),$F$13-SQRT((1-Y316)*($F$13-$D$13)*($F$13-$E$13)))</x:f>
        <x:v>0.003445853868481695</x:v>
      </x:c>
      <x:c r="F316" s="260" t="n">
        <x:f>IF(Z316&lt;($E$14-$D$14)/($F$14-$D$14),$D$14+SQRT(Z316*($F$14-$D$14)*($E$14-$D$14)),$F$14-SQRT((1-Z316)*($F$14-$D$14)*($F$14-$E$14)))</x:f>
        <x:v>1.132248538377582</x:v>
      </x:c>
      <x:c r="G316" s="258" t="n">
        <x:f>IF(AA316&lt;($E$15-$D$15)/($F$15-$D$15),$D$15+SQRT(AA316*($F$15-$D$15)*($E$15-$D$15)),$F$15-SQRT((1-AA316)*($F$15-$D$15)*($F$15-$E$15)))</x:f>
        <x:v>0.10585058165000291</x:v>
      </x:c>
      <x:c r="H316" s="258" t="n">
        <x:f>IF(AB316&lt;($E$16-$D$16)/($F$16-$D$16),$D$16+SQRT(AB316*($F$16-$D$16)*($E$16-$D$16)),$F$16-SQRT((1-AB316)*($F$16-$D$16)*($F$16-$E$16)))</x:f>
        <x:v>0.03617559313876994</x:v>
      </x:c>
      <x:c r="I316" s="262" t="n">
        <x:f>'Historical Inputs'!$N$9*(1+D316)^5</x:f>
        <x:v>601840.3622538658</x:v>
      </x:c>
      <x:c r="J316" s="262" t="n">
        <x:f>I316*(1+H316)*('Terminal Value'!$E$10+E316)*(1-'Assumptions'!$E$15)*(1-H316/'Terminal Value'!$E$12)</x:f>
        <x:v>164868.81666169156</x:v>
      </x:c>
      <x:c r="K316" s="264" t="n">
        <x:f>((SUM((('Historical Inputs'!$N$9*(1+(D316))^1)*(('Assumptions'!E37+(E316))*(1-'Assumptions'!E42-(0))+'Assumptions'!E47-'Assumptions'!E52*(F316)+'Assumptions'!E57-'Assumptions'!E62*(1)-'Assumptions'!E67-(0))+('Working Capital'!$E$6))*'DCF'!E12/(1+(G316))^'DCF'!E13,(('Historical Inputs'!$N$9*(1+(D316))^2)*(('Assumptions'!F37+(E316))*(1-'Assumptions'!F42-(0))+'Assumptions'!F47-'Assumptions'!F52*(F316)+'Assumptions'!F57-'Assumptions'!F62*(1)-'Assumptions'!F67-(0))+(('Historical Inputs'!$N$9*(1+(D316))^1)*('Assumptions'!E67+(0))))*'DCF'!F12/(1+(G316))^'DCF'!F13,(('Historical Inputs'!$N$9*(1+(D316))^3)*(('Assumptions'!G37+(E316))*(1-'Assumptions'!G42-(0))+'Assumptions'!G47-'Assumptions'!G52*(F316)+'Assumptions'!G57-'Assumptions'!G62*(1)-'Assumptions'!G67-(0))+(('Historical Inputs'!$N$9*(1+(D316))^2)*('Assumptions'!F67+(0))))*'DCF'!G12/(1+(G316))^'DCF'!G13,(('Historical Inputs'!$N$9*(1+(D316))^4)*(('Assumptions'!H37+(E316))*(1-'Assumptions'!H42-(0))+'Assumptions'!H47-'Assumptions'!H52*(F316)+'Assumptions'!H57-'Assumptions'!H62*(1)-'Assumptions'!H67-(0))+(('Historical Inputs'!$N$9*(1+(D316))^3)*('Assumptions'!G67+(0))))*'DCF'!H12/(1+(G316))^'DCF'!H13,(('Historical Inputs'!$N$9*(1+(D316))^5)*(('Assumptions'!I37+(E316))*(1-'Assumptions'!I42-(0))+'Assumptions'!I47-'Assumptions'!I52*(F316)+'Assumptions'!I57-'Assumptions'!I62*(1)-'Assumptions'!I67-(0))+(('Historical Inputs'!$N$9*(1+(D316))^4)*('Assumptions'!H67+(0))))*'DCF'!I12/(1+(G316))^'DCF'!I13)+('Historical Inputs'!$N$9*(1+(D316))^5)*(1+(H316))*('Terminal Value'!$E$10+(E316))*(1-'Assumptions'!$E$15-(0))*(1-(H316)/('Terminal Value'!$E$12))/((G316)-(H316))/(1+(G316))^'DCF'!$E$19)+'Equity Bridge'!$E$17)/'Equity Bridge'!$E$20</x:f>
        <x:v>241.89840150741878</x:v>
      </x:c>
      <x:c r="X316" s="255" t="n">
        <x:v>0.22031541659188103</x:v>
      </x:c>
      <x:c r="Y316" s="255" t="n">
        <x:v>0.5665422955930478</x:v>
      </x:c>
      <x:c r="Z316" s="255" t="n">
        <x:v>0.9344248492575145</x:v>
      </x:c>
      <x:c r="AA316" s="255" t="n">
        <x:v>0.8819088803306275</x:v>
      </x:c>
      <x:c r="AB316" s="255" t="n">
        <x:v>0.926869560798882</x:v>
      </x:c>
    </x:row>
    <x:row r="317" ht="24" customHeight="1">
      <x:c r="C317" s="256" t="n">
        <x:f>286</x:f>
        <x:v>286</x:v>
      </x:c>
      <x:c r="D317" s="258" t="n">
        <x:f>IF(X317&lt;($E$12-$D$12)/($F$12-$D$12),$D$12+SQRT(X317*($F$12-$D$12)*($E$12-$D$12)),$F$12-SQRT((1-X317)*($F$12-$D$12)*($F$12-$E$12)))</x:f>
        <x:v>0.1074406752273087</x:v>
      </x:c>
      <x:c r="E317" s="258" t="n">
        <x:f>IF(Y317&lt;($E$13-$D$13)/($F$13-$D$13),$D$13+SQRT(Y317*($F$13-$D$13)*($E$13-$D$13)),$F$13-SQRT((1-Y317)*($F$13-$D$13)*($F$13-$E$13)))</x:f>
        <x:v>-0.006977523559675389</x:v>
      </x:c>
      <x:c r="F317" s="260" t="n">
        <x:f>IF(Z317&lt;($E$14-$D$14)/($F$14-$D$14),$D$14+SQRT(Z317*($F$14-$D$14)*($E$14-$D$14)),$F$14-SQRT((1-Z317)*($F$14-$D$14)*($F$14-$E$14)))</x:f>
        <x:v>1.0492690560736302</x:v>
      </x:c>
      <x:c r="G317" s="258" t="n">
        <x:f>IF(AA317&lt;($E$15-$D$15)/($F$15-$D$15),$D$15+SQRT(AA317*($F$15-$D$15)*($E$15-$D$15)),$F$15-SQRT((1-AA317)*($F$15-$D$15)*($F$15-$E$15)))</x:f>
        <x:v>0.10151040271437192</x:v>
      </x:c>
      <x:c r="H317" s="258" t="n">
        <x:f>IF(AB317&lt;($E$16-$D$16)/($F$16-$D$16),$D$16+SQRT(AB317*($F$16-$D$16)*($E$16-$D$16)),$F$16-SQRT((1-AB317)*($F$16-$D$16)*($F$16-$E$16)))</x:f>
        <x:v>0.030475276819599308</x:v>
      </x:c>
      <x:c r="I317" s="262" t="n">
        <x:f>'Historical Inputs'!$N$9*(1+D317)^5</x:f>
        <x:v>552751.308570742</x:v>
      </x:c>
      <x:c r="J317" s="262" t="n">
        <x:f>I317*(1+H317)*('Terminal Value'!$E$10+E317)*(1-'Assumptions'!$E$15)*(1-H317/'Terminal Value'!$E$12)</x:f>
        <x:v>151802.09983052916</x:v>
      </x:c>
      <x:c r="K317" s="264" t="n">
        <x:f>((SUM((('Historical Inputs'!$N$9*(1+(D317))^1)*(('Assumptions'!E37+(E317))*(1-'Assumptions'!E42-(0))+'Assumptions'!E47-'Assumptions'!E52*(F317)+'Assumptions'!E57-'Assumptions'!E62*(1)-'Assumptions'!E67-(0))+('Working Capital'!$E$6))*'DCF'!E12/(1+(G317))^'DCF'!E13,(('Historical Inputs'!$N$9*(1+(D317))^2)*(('Assumptions'!F37+(E317))*(1-'Assumptions'!F42-(0))+'Assumptions'!F47-'Assumptions'!F52*(F317)+'Assumptions'!F57-'Assumptions'!F62*(1)-'Assumptions'!F67-(0))+(('Historical Inputs'!$N$9*(1+(D317))^1)*('Assumptions'!E67+(0))))*'DCF'!F12/(1+(G317))^'DCF'!F13,(('Historical Inputs'!$N$9*(1+(D317))^3)*(('Assumptions'!G37+(E317))*(1-'Assumptions'!G42-(0))+'Assumptions'!G47-'Assumptions'!G52*(F317)+'Assumptions'!G57-'Assumptions'!G62*(1)-'Assumptions'!G67-(0))+(('Historical Inputs'!$N$9*(1+(D317))^2)*('Assumptions'!F67+(0))))*'DCF'!G12/(1+(G317))^'DCF'!G13,(('Historical Inputs'!$N$9*(1+(D317))^4)*(('Assumptions'!H37+(E317))*(1-'Assumptions'!H42-(0))+'Assumptions'!H47-'Assumptions'!H52*(F317)+'Assumptions'!H57-'Assumptions'!H62*(1)-'Assumptions'!H67-(0))+(('Historical Inputs'!$N$9*(1+(D317))^3)*('Assumptions'!G67+(0))))*'DCF'!H12/(1+(G317))^'DCF'!H13,(('Historical Inputs'!$N$9*(1+(D317))^5)*(('Assumptions'!I37+(E317))*(1-'Assumptions'!I42-(0))+'Assumptions'!I47-'Assumptions'!I52*(F317)+'Assumptions'!I57-'Assumptions'!I62*(1)-'Assumptions'!I67-(0))+(('Historical Inputs'!$N$9*(1+(D317))^4)*('Assumptions'!H67+(0))))*'DCF'!I12/(1+(G317))^'DCF'!I13)+('Historical Inputs'!$N$9*(1+(D317))^5)*(1+(H317))*('Terminal Value'!$E$10+(E317))*(1-'Assumptions'!$E$15-(0))*(1-(H317)/('Terminal Value'!$E$12))/((G317)-(H317))/(1+(G317))^'DCF'!$E$19)+'Equity Bridge'!$E$17)/'Equity Bridge'!$E$20</x:f>
        <x:v>226.72094367479366</x:v>
      </x:c>
      <x:c r="X317" s="255" t="n">
        <x:v>0.04023520476136566</x:v>
      </x:c>
      <x:c r="Y317" s="255" t="n">
        <x:v>0.3701866958116573</x:v>
      </x:c>
      <x:c r="Z317" s="255" t="n">
        <x:v>0.6754311791866507</x:v>
      </x:c>
      <x:c r="AA317" s="255" t="n">
        <x:v>0.6994308387242258</x:v>
      </x:c>
      <x:c r="AB317" s="255" t="n">
        <x:v>0.5463982416836886</x:v>
      </x:c>
    </x:row>
    <x:row r="318" ht="24" customHeight="1">
      <x:c r="C318" s="256" t="n">
        <x:f>287</x:f>
        <x:v>287</x:v>
      </x:c>
      <x:c r="D318" s="258" t="n">
        <x:f>IF(X318&lt;($E$12-$D$12)/($F$12-$D$12),$D$12+SQRT(X318*($F$12-$D$12)*($E$12-$D$12)),$F$12-SQRT((1-X318)*($F$12-$D$12)*($F$12-$E$12)))</x:f>
        <x:v>0.17630926851533082</x:v>
      </x:c>
      <x:c r="E318" s="258" t="n">
        <x:f>IF(Y318&lt;($E$13-$D$13)/($F$13-$D$13),$D$13+SQRT(Y318*($F$13-$D$13)*($E$13-$D$13)),$F$13-SQRT((1-Y318)*($F$13-$D$13)*($F$13-$E$13)))</x:f>
        <x:v>0.02955820456530036</x:v>
      </x:c>
      <x:c r="F318" s="260" t="n">
        <x:f>IF(Z318&lt;($E$14-$D$14)/($F$14-$D$14),$D$14+SQRT(Z318*($F$14-$D$14)*($E$14-$D$14)),$F$14-SQRT((1-Z318)*($F$14-$D$14)*($F$14-$E$14)))</x:f>
        <x:v>0.9107250855800446</x:v>
      </x:c>
      <x:c r="G318" s="258" t="n">
        <x:f>IF(AA318&lt;($E$15-$D$15)/($F$15-$D$15),$D$15+SQRT(AA318*($F$15-$D$15)*($E$15-$D$15)),$F$15-SQRT((1-AA318)*($F$15-$D$15)*($F$15-$E$15)))</x:f>
        <x:v>0.10098890473245674</x:v>
      </x:c>
      <x:c r="H318" s="258" t="n">
        <x:f>IF(AB318&lt;($E$16-$D$16)/($F$16-$D$16),$D$16+SQRT(AB318*($F$16-$D$16)*($E$16-$D$16)),$F$16-SQRT((1-AB318)*($F$16-$D$16)*($F$16-$E$16)))</x:f>
        <x:v>0.031209096391588295</x:v>
      </x:c>
      <x:c r="I318" s="262" t="n">
        <x:f>'Historical Inputs'!$N$9*(1+D318)^5</x:f>
        <x:v>747368.8984582919</x:v>
      </x:c>
      <x:c r="J318" s="262" t="n">
        <x:f>I318*(1+H318)*('Terminal Value'!$E$10+E318)*(1-'Assumptions'!$E$15)*(1-H318/'Terminal Value'!$E$12)</x:f>
        <x:v>223518.1550815299</x:v>
      </x:c>
      <x:c r="K318" s="264" t="n">
        <x:f>((SUM((('Historical Inputs'!$N$9*(1+(D318))^1)*(('Assumptions'!E37+(E318))*(1-'Assumptions'!E42-(0))+'Assumptions'!E47-'Assumptions'!E52*(F318)+'Assumptions'!E57-'Assumptions'!E62*(1)-'Assumptions'!E67-(0))+('Working Capital'!$E$6))*'DCF'!E12/(1+(G318))^'DCF'!E13,(('Historical Inputs'!$N$9*(1+(D318))^2)*(('Assumptions'!F37+(E318))*(1-'Assumptions'!F42-(0))+'Assumptions'!F47-'Assumptions'!F52*(F318)+'Assumptions'!F57-'Assumptions'!F62*(1)-'Assumptions'!F67-(0))+(('Historical Inputs'!$N$9*(1+(D318))^1)*('Assumptions'!E67+(0))))*'DCF'!F12/(1+(G318))^'DCF'!F13,(('Historical Inputs'!$N$9*(1+(D318))^3)*(('Assumptions'!G37+(E318))*(1-'Assumptions'!G42-(0))+'Assumptions'!G47-'Assumptions'!G52*(F318)+'Assumptions'!G57-'Assumptions'!G62*(1)-'Assumptions'!G67-(0))+(('Historical Inputs'!$N$9*(1+(D318))^2)*('Assumptions'!F67+(0))))*'DCF'!G12/(1+(G318))^'DCF'!G13,(('Historical Inputs'!$N$9*(1+(D318))^4)*(('Assumptions'!H37+(E318))*(1-'Assumptions'!H42-(0))+'Assumptions'!H47-'Assumptions'!H52*(F318)+'Assumptions'!H57-'Assumptions'!H62*(1)-'Assumptions'!H67-(0))+(('Historical Inputs'!$N$9*(1+(D318))^3)*('Assumptions'!G67+(0))))*'DCF'!H12/(1+(G318))^'DCF'!H13,(('Historical Inputs'!$N$9*(1+(D318))^5)*(('Assumptions'!I37+(E318))*(1-'Assumptions'!I42-(0))+'Assumptions'!I47-'Assumptions'!I52*(F318)+'Assumptions'!I57-'Assumptions'!I62*(1)-'Assumptions'!I67-(0))+(('Historical Inputs'!$N$9*(1+(D318))^4)*('Assumptions'!H67+(0))))*'DCF'!I12/(1+(G318))^'DCF'!I13)+('Historical Inputs'!$N$9*(1+(D318))^5)*(1+(H318))*('Terminal Value'!$E$10+(E318))*(1-'Assumptions'!$E$15-(0))*(1-(H318)/('Terminal Value'!$E$12))/((G318)-(H318))/(1+(G318))^'DCF'!$E$19)+'Equity Bridge'!$E$17)/'Equity Bridge'!$E$20</x:f>
        <x:v>347.0147728565595</x:v>
      </x:c>
      <x:c r="X318" s="255" t="n">
        <x:v>0.9425547315437515</x:v>
      </x:c>
      <x:c r="Y318" s="255" t="n">
        <x:v>0.9164265998811786</x:v>
      </x:c>
      <x:c r="Z318" s="255" t="n">
        <x:v>0.0702387813086428</x:v>
      </x:c>
      <x:c r="AA318" s="255" t="n">
        <x:v>0.6718709090707277</x:v>
      </x:c>
      <x:c r="AB318" s="255" t="n">
        <x:v>0.6136000687380704</x:v>
      </x:c>
    </x:row>
    <x:row r="319" ht="24" customHeight="1">
      <x:c r="C319" s="256" t="n">
        <x:f>288</x:f>
        <x:v>288</x:v>
      </x:c>
      <x:c r="D319" s="258" t="n">
        <x:f>IF(X319&lt;($E$12-$D$12)/($F$12-$D$12),$D$12+SQRT(X319*($F$12-$D$12)*($E$12-$D$12)),$F$12-SQRT((1-X319)*($F$12-$D$12)*($F$12-$E$12)))</x:f>
        <x:v>0.13142487312234932</x:v>
      </x:c>
      <x:c r="E319" s="258" t="n">
        <x:f>IF(Y319&lt;($E$13-$D$13)/($F$13-$D$13),$D$13+SQRT(Y319*($F$13-$D$13)*($E$13-$D$13)),$F$13-SQRT((1-Y319)*($F$13-$D$13)*($F$13-$E$13)))</x:f>
        <x:v>0.01215566715754133</x:v>
      </x:c>
      <x:c r="F319" s="260" t="n">
        <x:f>IF(Z319&lt;($E$14-$D$14)/($F$14-$D$14),$D$14+SQRT(Z319*($F$14-$D$14)*($E$14-$D$14)),$F$14-SQRT((1-Z319)*($F$14-$D$14)*($F$14-$E$14)))</x:f>
        <x:v>0.939621821427856</x:v>
      </x:c>
      <x:c r="G319" s="258" t="n">
        <x:f>IF(AA319&lt;($E$15-$D$15)/($F$15-$D$15),$D$15+SQRT(AA319*($F$15-$D$15)*($E$15-$D$15)),$F$15-SQRT((1-AA319)*($F$15-$D$15)*($F$15-$E$15)))</x:f>
        <x:v>0.09404886919736638</x:v>
      </x:c>
      <x:c r="H319" s="258" t="n">
        <x:f>IF(AB319&lt;($E$16-$D$16)/($F$16-$D$16),$D$16+SQRT(AB319*($F$16-$D$16)*($E$16-$D$16)),$F$16-SQRT((1-AB319)*($F$16-$D$16)*($F$16-$E$16)))</x:f>
        <x:v>0.031186109695995813</x:v>
      </x:c>
      <x:c r="I319" s="262" t="n">
        <x:f>'Historical Inputs'!$N$9*(1+D319)^5</x:f>
        <x:v>615256.2525519776</x:v>
      </x:c>
      <x:c r="J319" s="262" t="n">
        <x:f>I319*(1+H319)*('Terminal Value'!$E$10+E319)*(1-'Assumptions'!$E$15)*(1-H319/'Terminal Value'!$E$12)</x:f>
        <x:v>176572.2843708365</x:v>
      </x:c>
      <x:c r="K319" s="264" t="n">
        <x:f>((SUM((('Historical Inputs'!$N$9*(1+(D319))^1)*(('Assumptions'!E37+(E319))*(1-'Assumptions'!E42-(0))+'Assumptions'!E47-'Assumptions'!E52*(F319)+'Assumptions'!E57-'Assumptions'!E62*(1)-'Assumptions'!E67-(0))+('Working Capital'!$E$6))*'DCF'!E12/(1+(G319))^'DCF'!E13,(('Historical Inputs'!$N$9*(1+(D319))^2)*(('Assumptions'!F37+(E319))*(1-'Assumptions'!F42-(0))+'Assumptions'!F47-'Assumptions'!F52*(F319)+'Assumptions'!F57-'Assumptions'!F62*(1)-'Assumptions'!F67-(0))+(('Historical Inputs'!$N$9*(1+(D319))^1)*('Assumptions'!E67+(0))))*'DCF'!F12/(1+(G319))^'DCF'!F13,(('Historical Inputs'!$N$9*(1+(D319))^3)*(('Assumptions'!G37+(E319))*(1-'Assumptions'!G42-(0))+'Assumptions'!G47-'Assumptions'!G52*(F319)+'Assumptions'!G57-'Assumptions'!G62*(1)-'Assumptions'!G67-(0))+(('Historical Inputs'!$N$9*(1+(D319))^2)*('Assumptions'!F67+(0))))*'DCF'!G12/(1+(G319))^'DCF'!G13,(('Historical Inputs'!$N$9*(1+(D319))^4)*(('Assumptions'!H37+(E319))*(1-'Assumptions'!H42-(0))+'Assumptions'!H47-'Assumptions'!H52*(F319)+'Assumptions'!H57-'Assumptions'!H62*(1)-'Assumptions'!H67-(0))+(('Historical Inputs'!$N$9*(1+(D319))^3)*('Assumptions'!G67+(0))))*'DCF'!H12/(1+(G319))^'DCF'!H13,(('Historical Inputs'!$N$9*(1+(D319))^5)*(('Assumptions'!I37+(E319))*(1-'Assumptions'!I42-(0))+'Assumptions'!I47-'Assumptions'!I52*(F319)+'Assumptions'!I57-'Assumptions'!I62*(1)-'Assumptions'!I67-(0))+(('Historical Inputs'!$N$9*(1+(D319))^4)*('Assumptions'!H67+(0))))*'DCF'!I12/(1+(G319))^'DCF'!I13)+('Historical Inputs'!$N$9*(1+(D319))^5)*(1+(H319))*('Terminal Value'!$E$10+(E319))*(1-'Assumptions'!$E$15-(0))*(1-(H319)/('Terminal Value'!$E$12))/((G319)-(H319))/(1+(G319))^'DCF'!$E$19)+'Equity Bridge'!$E$17)/'Equity Bridge'!$E$20</x:f>
        <x:v>306.9419976496777</x:v>
      </x:c>
      <x:c r="X319" s="255" t="n">
        <x:v>0.29135697451517106</x:v>
      </x:c>
      <x:c r="Y319" s="255" t="n">
        <x:v>0.7135612943418408</x:v>
      </x:c>
      <x:c r="Z319" s="255" t="n">
        <x:v>0.15299182621040974</x:v>
      </x:c>
      <x:c r="AA319" s="255" t="n">
        <x:v>0.26443415601471365</x:v>
      </x:c>
      <x:c r="AB319" s="255" t="n">
        <x:v>0.6115766885449051</x:v>
      </x:c>
    </x:row>
    <x:row r="320" ht="24" customHeight="1">
      <x:c r="C320" s="256" t="n">
        <x:f>289</x:f>
        <x:v>289</x:v>
      </x:c>
      <x:c r="D320" s="258" t="n">
        <x:f>IF(X320&lt;($E$12-$D$12)/($F$12-$D$12),$D$12+SQRT(X320*($F$12-$D$12)*($E$12-$D$12)),$F$12-SQRT((1-X320)*($F$12-$D$12)*($F$12-$E$12)))</x:f>
        <x:v>0.158022584394457</x:v>
      </x:c>
      <x:c r="E320" s="258" t="n">
        <x:f>IF(Y320&lt;($E$13-$D$13)/($F$13-$D$13),$D$13+SQRT(Y320*($F$13-$D$13)*($E$13-$D$13)),$F$13-SQRT((1-Y320)*($F$13-$D$13)*($F$13-$E$13)))</x:f>
        <x:v>0.016543329913157996</x:v>
      </x:c>
      <x:c r="F320" s="260" t="n">
        <x:f>IF(Z320&lt;($E$14-$D$14)/($F$14-$D$14),$D$14+SQRT(Z320*($F$14-$D$14)*($E$14-$D$14)),$F$14-SQRT((1-Z320)*($F$14-$D$14)*($F$14-$E$14)))</x:f>
        <x:v>0.9674090560319062</x:v>
      </x:c>
      <x:c r="G320" s="258" t="n">
        <x:f>IF(AA320&lt;($E$15-$D$15)/($F$15-$D$15),$D$15+SQRT(AA320*($F$15-$D$15)*($E$15-$D$15)),$F$15-SQRT((1-AA320)*($F$15-$D$15)*($F$15-$E$15)))</x:f>
        <x:v>0.10868614248438825</x:v>
      </x:c>
      <x:c r="H320" s="258" t="n">
        <x:f>IF(AB320&lt;($E$16-$D$16)/($F$16-$D$16),$D$16+SQRT(AB320*($F$16-$D$16)*($E$16-$D$16)),$F$16-SQRT((1-AB320)*($F$16-$D$16)*($F$16-$E$16)))</x:f>
        <x:v>0.027147271437727397</x:v>
      </x:c>
      <x:c r="I320" s="262" t="n">
        <x:f>'Historical Inputs'!$N$9*(1+D320)^5</x:f>
        <x:v>691054.9347681958</x:v>
      </x:c>
      <x:c r="J320" s="262" t="n">
        <x:f>I320*(1+H320)*('Terminal Value'!$E$10+E320)*(1-'Assumptions'!$E$15)*(1-H320/'Terminal Value'!$E$12)</x:f>
        <x:v>204428.6236662712</x:v>
      </x:c>
      <x:c r="K320" s="264" t="n">
        <x:f>((SUM((('Historical Inputs'!$N$9*(1+(D320))^1)*(('Assumptions'!E37+(E320))*(1-'Assumptions'!E42-(0))+'Assumptions'!E47-'Assumptions'!E52*(F320)+'Assumptions'!E57-'Assumptions'!E62*(1)-'Assumptions'!E67-(0))+('Working Capital'!$E$6))*'DCF'!E12/(1+(G320))^'DCF'!E13,(('Historical Inputs'!$N$9*(1+(D320))^2)*(('Assumptions'!F37+(E320))*(1-'Assumptions'!F42-(0))+'Assumptions'!F47-'Assumptions'!F52*(F320)+'Assumptions'!F57-'Assumptions'!F62*(1)-'Assumptions'!F67-(0))+(('Historical Inputs'!$N$9*(1+(D320))^1)*('Assumptions'!E67+(0))))*'DCF'!F12/(1+(G320))^'DCF'!F13,(('Historical Inputs'!$N$9*(1+(D320))^3)*(('Assumptions'!G37+(E320))*(1-'Assumptions'!G42-(0))+'Assumptions'!G47-'Assumptions'!G52*(F320)+'Assumptions'!G57-'Assumptions'!G62*(1)-'Assumptions'!G67-(0))+(('Historical Inputs'!$N$9*(1+(D320))^2)*('Assumptions'!F67+(0))))*'DCF'!G12/(1+(G320))^'DCF'!G13,(('Historical Inputs'!$N$9*(1+(D320))^4)*(('Assumptions'!H37+(E320))*(1-'Assumptions'!H42-(0))+'Assumptions'!H47-'Assumptions'!H52*(F320)+'Assumptions'!H57-'Assumptions'!H62*(1)-'Assumptions'!H67-(0))+(('Historical Inputs'!$N$9*(1+(D320))^3)*('Assumptions'!G67+(0))))*'DCF'!H12/(1+(G320))^'DCF'!H13,(('Historical Inputs'!$N$9*(1+(D320))^5)*(('Assumptions'!I37+(E320))*(1-'Assumptions'!I42-(0))+'Assumptions'!I47-'Assumptions'!I52*(F320)+'Assumptions'!I57-'Assumptions'!I62*(1)-'Assumptions'!I67-(0))+(('Historical Inputs'!$N$9*(1+(D320))^4)*('Assumptions'!H67+(0))))*'DCF'!I12/(1+(G320))^'DCF'!I13)+('Historical Inputs'!$N$9*(1+(D320))^5)*(1+(H320))*('Terminal Value'!$E$10+(E320))*(1-'Assumptions'!$E$15-(0))*(1-(H320)/('Terminal Value'!$E$12))/((G320)-(H320))/(1+(G320))^'DCF'!$E$19)+'Equity Bridge'!$E$17)/'Equity Bridge'!$E$20</x:f>
        <x:v>269.01545967045945</x:v>
      </x:c>
      <x:c r="X320" s="255" t="n">
        <x:v>0.7517068837757278</x:v>
      </x:c>
      <x:c r="Y320" s="255" t="n">
        <x:v>0.7761302453400423</x:v>
      </x:c>
      <x:c r="Z320" s="255" t="n">
        <x:v>0.2625692654914914</x:v>
      </x:c>
      <x:c r="AA320" s="255" t="n">
        <x:v>0.9559108079000598</x:v>
      </x:c>
      <x:c r="AB320" s="255" t="n">
        <x:v>0.2554174450227694</x:v>
      </x:c>
    </x:row>
    <x:row r="321" ht="24" customHeight="1">
      <x:c r="C321" s="256" t="n">
        <x:f>290</x:f>
        <x:v>290</x:v>
      </x:c>
      <x:c r="D321" s="258" t="n">
        <x:f>IF(X321&lt;($E$12-$D$12)/($F$12-$D$12),$D$12+SQRT(X321*($F$12-$D$12)*($E$12-$D$12)),$F$12-SQRT((1-X321)*($F$12-$D$12)*($F$12-$E$12)))</x:f>
        <x:v>0.15179095333499487</x:v>
      </x:c>
      <x:c r="E321" s="258" t="n">
        <x:f>IF(Y321&lt;($E$13-$D$13)/($F$13-$D$13),$D$13+SQRT(Y321*($F$13-$D$13)*($E$13-$D$13)),$F$13-SQRT((1-Y321)*($F$13-$D$13)*($F$13-$E$13)))</x:f>
        <x:v>0.02377223000978999</x:v>
      </x:c>
      <x:c r="F321" s="260" t="n">
        <x:f>IF(Z321&lt;($E$14-$D$14)/($F$14-$D$14),$D$14+SQRT(Z321*($F$14-$D$14)*($E$14-$D$14)),$F$14-SQRT((1-Z321)*($F$14-$D$14)*($F$14-$E$14)))</x:f>
        <x:v>0.9524293774354798</x:v>
      </x:c>
      <x:c r="G321" s="258" t="n">
        <x:f>IF(AA321&lt;($E$15-$D$15)/($F$15-$D$15),$D$15+SQRT(AA321*($F$15-$D$15)*($E$15-$D$15)),$F$15-SQRT((1-AA321)*($F$15-$D$15)*($F$15-$E$15)))</x:f>
        <x:v>0.0932442881473345</x:v>
      </x:c>
      <x:c r="H321" s="258" t="n">
        <x:f>IF(AB321&lt;($E$16-$D$16)/($F$16-$D$16),$D$16+SQRT(AB321*($F$16-$D$16)*($E$16-$D$16)),$F$16-SQRT((1-AB321)*($F$16-$D$16)*($F$16-$E$16)))</x:f>
        <x:v>0.03298011766283743</x:v>
      </x:c>
      <x:c r="I321" s="262" t="n">
        <x:f>'Historical Inputs'!$N$9*(1+D321)^5</x:f>
        <x:v>672660.2142983526</x:v>
      </x:c>
      <x:c r="J321" s="262" t="n">
        <x:f>I321*(1+H321)*('Terminal Value'!$E$10+E321)*(1-'Assumptions'!$E$15)*(1-H321/'Terminal Value'!$E$12)</x:f>
        <x:v>196719.93051000763</x:v>
      </x:c>
      <x:c r="K321" s="264" t="n">
        <x:f>((SUM((('Historical Inputs'!$N$9*(1+(D321))^1)*(('Assumptions'!E37+(E321))*(1-'Assumptions'!E42-(0))+'Assumptions'!E47-'Assumptions'!E52*(F321)+'Assumptions'!E57-'Assumptions'!E62*(1)-'Assumptions'!E67-(0))+('Working Capital'!$E$6))*'DCF'!E12/(1+(G321))^'DCF'!E13,(('Historical Inputs'!$N$9*(1+(D321))^2)*(('Assumptions'!F37+(E321))*(1-'Assumptions'!F42-(0))+'Assumptions'!F47-'Assumptions'!F52*(F321)+'Assumptions'!F57-'Assumptions'!F62*(1)-'Assumptions'!F67-(0))+(('Historical Inputs'!$N$9*(1+(D321))^1)*('Assumptions'!E67+(0))))*'DCF'!F12/(1+(G321))^'DCF'!F13,(('Historical Inputs'!$N$9*(1+(D321))^3)*(('Assumptions'!G37+(E321))*(1-'Assumptions'!G42-(0))+'Assumptions'!G47-'Assumptions'!G52*(F321)+'Assumptions'!G57-'Assumptions'!G62*(1)-'Assumptions'!G67-(0))+(('Historical Inputs'!$N$9*(1+(D321))^2)*('Assumptions'!F67+(0))))*'DCF'!G12/(1+(G321))^'DCF'!G13,(('Historical Inputs'!$N$9*(1+(D321))^4)*(('Assumptions'!H37+(E321))*(1-'Assumptions'!H42-(0))+'Assumptions'!H47-'Assumptions'!H52*(F321)+'Assumptions'!H57-'Assumptions'!H62*(1)-'Assumptions'!H67-(0))+(('Historical Inputs'!$N$9*(1+(D321))^3)*('Assumptions'!G67+(0))))*'DCF'!H12/(1+(G321))^'DCF'!H13,(('Historical Inputs'!$N$9*(1+(D321))^5)*(('Assumptions'!I37+(E321))*(1-'Assumptions'!I42-(0))+'Assumptions'!I47-'Assumptions'!I52*(F321)+'Assumptions'!I57-'Assumptions'!I62*(1)-'Assumptions'!I67-(0))+(('Historical Inputs'!$N$9*(1+(D321))^4)*('Assumptions'!H67+(0))))*'DCF'!I12/(1+(G321))^'DCF'!I13)+('Historical Inputs'!$N$9*(1+(D321))^5)*(1+(H321))*('Terminal Value'!$E$10+(E321))*(1-'Assumptions'!$E$15-(0))*(1-(H321)/('Terminal Value'!$E$12))/((G321)-(H321))/(1+(G321))^'DCF'!$E$19)+'Equity Bridge'!$E$17)/'Equity Bridge'!$E$20</x:f>
        <x:v>353.6791473874851</x:v>
      </x:c>
      <x:c r="X321" s="255" t="n">
        <x:v>0.6561130327789028</x:v>
      </x:c>
      <x:c r="Y321" s="255" t="n">
        <x:v>0.8624208162681278</x:v>
      </x:c>
      <x:c r="Z321" s="255" t="n">
        <x:v>0.19984337832038068</x:v>
      </x:c>
      <x:c r="AA321" s="255" t="n">
        <x:v>0.22686483612191133</x:v>
      </x:c>
      <x:c r="AB321" s="255" t="n">
        <x:v>0.7536062598619649</x:v>
      </x:c>
    </x:row>
    <x:row r="322" ht="24" customHeight="1">
      <x:c r="C322" s="256" t="n">
        <x:f>291</x:f>
        <x:v>291</x:v>
      </x:c>
      <x:c r="D322" s="258" t="n">
        <x:f>IF(X322&lt;($E$12-$D$12)/($F$12-$D$12),$D$12+SQRT(X322*($F$12-$D$12)*($E$12-$D$12)),$F$12-SQRT((1-X322)*($F$12-$D$12)*($F$12-$E$12)))</x:f>
        <x:v>0.1596436191219102</x:v>
      </x:c>
      <x:c r="E322" s="258" t="n">
        <x:f>IF(Y322&lt;($E$13-$D$13)/($F$13-$D$13),$D$13+SQRT(Y322*($F$13-$D$13)*($E$13-$D$13)),$F$13-SQRT((1-Y322)*($F$13-$D$13)*($F$13-$E$13)))</x:f>
        <x:v>-0.010403935830572607</x:v>
      </x:c>
      <x:c r="F322" s="260" t="n">
        <x:f>IF(Z322&lt;($E$14-$D$14)/($F$14-$D$14),$D$14+SQRT(Z322*($F$14-$D$14)*($E$14-$D$14)),$F$14-SQRT((1-Z322)*($F$14-$D$14)*($F$14-$E$14)))</x:f>
        <x:v>1.0207234590618226</x:v>
      </x:c>
      <x:c r="G322" s="258" t="n">
        <x:f>IF(AA322&lt;($E$15-$D$15)/($F$15-$D$15),$D$15+SQRT(AA322*($F$15-$D$15)*($E$15-$D$15)),$F$15-SQRT((1-AA322)*($F$15-$D$15)*($F$15-$E$15)))</x:f>
        <x:v>0.09651710095739045</x:v>
      </x:c>
      <x:c r="H322" s="258" t="n">
        <x:f>IF(AB322&lt;($E$16-$D$16)/($F$16-$D$16),$D$16+SQRT(AB322*($F$16-$D$16)*($E$16-$D$16)),$F$16-SQRT((1-AB322)*($F$16-$D$16)*($F$16-$E$16)))</x:f>
        <x:v>0.02864081058405943</x:v>
      </x:c>
      <x:c r="I322" s="262" t="n">
        <x:f>'Historical Inputs'!$N$9*(1+D322)^5</x:f>
        <x:v>695905.292190697</x:v>
      </x:c>
      <x:c r="J322" s="262" t="n">
        <x:f>I322*(1+H322)*('Terminal Value'!$E$10+E322)*(1-'Assumptions'!$E$15)*(1-H322/'Terminal Value'!$E$12)</x:f>
        <x:v>191159.4803094276</x:v>
      </x:c>
      <x:c r="K322" s="264" t="n">
        <x:f>((SUM((('Historical Inputs'!$N$9*(1+(D322))^1)*(('Assumptions'!E37+(E322))*(1-'Assumptions'!E42-(0))+'Assumptions'!E47-'Assumptions'!E52*(F322)+'Assumptions'!E57-'Assumptions'!E62*(1)-'Assumptions'!E67-(0))+('Working Capital'!$E$6))*'DCF'!E12/(1+(G322))^'DCF'!E13,(('Historical Inputs'!$N$9*(1+(D322))^2)*(('Assumptions'!F37+(E322))*(1-'Assumptions'!F42-(0))+'Assumptions'!F47-'Assumptions'!F52*(F322)+'Assumptions'!F57-'Assumptions'!F62*(1)-'Assumptions'!F67-(0))+(('Historical Inputs'!$N$9*(1+(D322))^1)*('Assumptions'!E67+(0))))*'DCF'!F12/(1+(G322))^'DCF'!F13,(('Historical Inputs'!$N$9*(1+(D322))^3)*(('Assumptions'!G37+(E322))*(1-'Assumptions'!G42-(0))+'Assumptions'!G47-'Assumptions'!G52*(F322)+'Assumptions'!G57-'Assumptions'!G62*(1)-'Assumptions'!G67-(0))+(('Historical Inputs'!$N$9*(1+(D322))^2)*('Assumptions'!F67+(0))))*'DCF'!G12/(1+(G322))^'DCF'!G13,(('Historical Inputs'!$N$9*(1+(D322))^4)*(('Assumptions'!H37+(E322))*(1-'Assumptions'!H42-(0))+'Assumptions'!H47-'Assumptions'!H52*(F322)+'Assumptions'!H57-'Assumptions'!H62*(1)-'Assumptions'!H67-(0))+(('Historical Inputs'!$N$9*(1+(D322))^3)*('Assumptions'!G67+(0))))*'DCF'!H12/(1+(G322))^'DCF'!H13,(('Historical Inputs'!$N$9*(1+(D322))^5)*(('Assumptions'!I37+(E322))*(1-'Assumptions'!I42-(0))+'Assumptions'!I47-'Assumptions'!I52*(F322)+'Assumptions'!I57-'Assumptions'!I62*(1)-'Assumptions'!I67-(0))+(('Historical Inputs'!$N$9*(1+(D322))^4)*('Assumptions'!H67+(0))))*'DCF'!I12/(1+(G322))^'DCF'!I13)+('Historical Inputs'!$N$9*(1+(D322))^5)*(1+(H322))*('Terminal Value'!$E$10+(E322))*(1-'Assumptions'!$E$15-(0))*(1-(H322)/('Terminal Value'!$E$12))/((G322)-(H322))/(1+(G322))^'DCF'!$E$19)+'Equity Bridge'!$E$17)/'Equity Bridge'!$E$20</x:f>
        <x:v>299.8923587060547</x:v>
      </x:c>
      <x:c r="X322" s="255" t="n">
        <x:v>0.7740278317297663</x:v>
      </x:c>
      <x:c r="Y322" s="255" t="n">
        <x:v>0.3135696595418823</x:v>
      </x:c>
      <x:c r="Z322" s="255" t="n">
        <x:v>0.5408560267034571</x:v>
      </x:c>
      <x:c r="AA322" s="255" t="n">
        <x:v>0.39763766683090884</x:v>
      </x:c>
      <x:c r="AB322" s="255" t="n">
        <x:v>0.37331803774796735</x:v>
      </x:c>
    </x:row>
    <x:row r="323" ht="24" customHeight="1">
      <x:c r="C323" s="256" t="n">
        <x:f>292</x:f>
        <x:v>292</x:v>
      </x:c>
      <x:c r="D323" s="258" t="n">
        <x:f>IF(X323&lt;($E$12-$D$12)/($F$12-$D$12),$D$12+SQRT(X323*($F$12-$D$12)*($E$12-$D$12)),$F$12-SQRT((1-X323)*($F$12-$D$12)*($F$12-$E$12)))</x:f>
        <x:v>0.12238953580467216</x:v>
      </x:c>
      <x:c r="E323" s="258" t="n">
        <x:f>IF(Y323&lt;($E$13-$D$13)/($F$13-$D$13),$D$13+SQRT(Y323*($F$13-$D$13)*($E$13-$D$13)),$F$13-SQRT((1-Y323)*($F$13-$D$13)*($F$13-$E$13)))</x:f>
        <x:v>-0.0020241585461397427</x:v>
      </x:c>
      <x:c r="F323" s="260" t="n">
        <x:f>IF(Z323&lt;($E$14-$D$14)/($F$14-$D$14),$D$14+SQRT(Z323*($F$14-$D$14)*($E$14-$D$14)),$F$14-SQRT((1-Z323)*($F$14-$D$14)*($F$14-$E$14)))</x:f>
        <x:v>1.0631647940440367</x:v>
      </x:c>
      <x:c r="G323" s="258" t="n">
        <x:f>IF(AA323&lt;($E$15-$D$15)/($F$15-$D$15),$D$15+SQRT(AA323*($F$15-$D$15)*($E$15-$D$15)),$F$15-SQRT((1-AA323)*($F$15-$D$15)*($F$15-$E$15)))</x:f>
        <x:v>0.09512556389057292</x:v>
      </x:c>
      <x:c r="H323" s="258" t="n">
        <x:f>IF(AB323&lt;($E$16-$D$16)/($F$16-$D$16),$D$16+SQRT(AB323*($F$16-$D$16)*($E$16-$D$16)),$F$16-SQRT((1-AB323)*($F$16-$D$16)*($F$16-$E$16)))</x:f>
        <x:v>0.022647604274735996</x:v>
      </x:c>
      <x:c r="I323" s="262" t="n">
        <x:f>'Historical Inputs'!$N$9*(1+D323)^5</x:f>
        <x:v>591078.9201250895</x:v>
      </x:c>
      <x:c r="J323" s="262" t="n">
        <x:f>I323*(1+H323)*('Terminal Value'!$E$10+E323)*(1-'Assumptions'!$E$15)*(1-H323/'Terminal Value'!$E$12)</x:f>
        <x:v>170657.44405614512</x:v>
      </x:c>
      <x:c r="K323" s="264" t="n">
        <x:f>((SUM((('Historical Inputs'!$N$9*(1+(D323))^1)*(('Assumptions'!E37+(E323))*(1-'Assumptions'!E42-(0))+'Assumptions'!E47-'Assumptions'!E52*(F323)+'Assumptions'!E57-'Assumptions'!E62*(1)-'Assumptions'!E67-(0))+('Working Capital'!$E$6))*'DCF'!E12/(1+(G323))^'DCF'!E13,(('Historical Inputs'!$N$9*(1+(D323))^2)*(('Assumptions'!F37+(E323))*(1-'Assumptions'!F42-(0))+'Assumptions'!F47-'Assumptions'!F52*(F323)+'Assumptions'!F57-'Assumptions'!F62*(1)-'Assumptions'!F67-(0))+(('Historical Inputs'!$N$9*(1+(D323))^1)*('Assumptions'!E67+(0))))*'DCF'!F12/(1+(G323))^'DCF'!F13,(('Historical Inputs'!$N$9*(1+(D323))^3)*(('Assumptions'!G37+(E323))*(1-'Assumptions'!G42-(0))+'Assumptions'!G47-'Assumptions'!G52*(F323)+'Assumptions'!G57-'Assumptions'!G62*(1)-'Assumptions'!G67-(0))+(('Historical Inputs'!$N$9*(1+(D323))^2)*('Assumptions'!F67+(0))))*'DCF'!G12/(1+(G323))^'DCF'!G13,(('Historical Inputs'!$N$9*(1+(D323))^4)*(('Assumptions'!H37+(E323))*(1-'Assumptions'!H42-(0))+'Assumptions'!H47-'Assumptions'!H52*(F323)+'Assumptions'!H57-'Assumptions'!H62*(1)-'Assumptions'!H67-(0))+(('Historical Inputs'!$N$9*(1+(D323))^3)*('Assumptions'!G67+(0))))*'DCF'!H12/(1+(G323))^'DCF'!H13,(('Historical Inputs'!$N$9*(1+(D323))^5)*(('Assumptions'!I37+(E323))*(1-'Assumptions'!I42-(0))+'Assumptions'!I47-'Assumptions'!I52*(F323)+'Assumptions'!I57-'Assumptions'!I62*(1)-'Assumptions'!I67-(0))+(('Historical Inputs'!$N$9*(1+(D323))^4)*('Assumptions'!H67+(0))))*'DCF'!I12/(1+(G323))^'DCF'!I13)+('Historical Inputs'!$N$9*(1+(D323))^5)*(1+(H323))*('Terminal Value'!$E$10+(E323))*(1-'Assumptions'!$E$15-(0))*(1-(H323)/('Terminal Value'!$E$12))/((G323)-(H323))/(1+(G323))^'DCF'!$E$19)+'Equity Bridge'!$E$17)/'Equity Bridge'!$E$20</x:f>
        <x:v>253.9978311331401</x:v>
      </x:c>
      <x:c r="X323" s="255" t="n">
        <x:v>0.1697406741428371</x:v>
      </x:c>
      <x:c r="Y323" s="255" t="n">
        <x:v>0.46033627264118726</x:v>
      </x:c>
      <x:c r="Z323" s="255" t="n">
        <x:v>0.7325160915855585</x:v>
      </x:c>
      <x:c r="AA323" s="255" t="n">
        <x:v>0.31921086575333557</x:v>
      </x:c>
      <x:c r="AB323" s="255" t="n">
        <x:v>0.03504904197800163</x:v>
      </x:c>
    </x:row>
    <x:row r="324" ht="24" customHeight="1">
      <x:c r="C324" s="256" t="n">
        <x:f>293</x:f>
        <x:v>293</x:v>
      </x:c>
      <x:c r="D324" s="258" t="n">
        <x:f>IF(X324&lt;($E$12-$D$12)/($F$12-$D$12),$D$12+SQRT(X324*($F$12-$D$12)*($E$12-$D$12)),$F$12-SQRT((1-X324)*($F$12-$D$12)*($F$12-$E$12)))</x:f>
        <x:v>0.11164235306465121</x:v>
      </x:c>
      <x:c r="E324" s="258" t="n">
        <x:f>IF(Y324&lt;($E$13-$D$13)/($F$13-$D$13),$D$13+SQRT(Y324*($F$13-$D$13)*($E$13-$D$13)),$F$13-SQRT((1-Y324)*($F$13-$D$13)*($F$13-$E$13)))</x:f>
        <x:v>-0.010731691022521452</x:v>
      </x:c>
      <x:c r="F324" s="260" t="n">
        <x:f>IF(Z324&lt;($E$14-$D$14)/($F$14-$D$14),$D$14+SQRT(Z324*($F$14-$D$14)*($E$14-$D$14)),$F$14-SQRT((1-Z324)*($F$14-$D$14)*($F$14-$E$14)))</x:f>
        <x:v>0.9563240498321031</x:v>
      </x:c>
      <x:c r="G324" s="258" t="n">
        <x:f>IF(AA324&lt;($E$15-$D$15)/($F$15-$D$15),$D$15+SQRT(AA324*($F$15-$D$15)*($E$15-$D$15)),$F$15-SQRT((1-AA324)*($F$15-$D$15)*($F$15-$E$15)))</x:f>
        <x:v>0.09556160855162152</x:v>
      </x:c>
      <x:c r="H324" s="258" t="n">
        <x:f>IF(AB324&lt;($E$16-$D$16)/($F$16-$D$16),$D$16+SQRT(AB324*($F$16-$D$16)*($E$16-$D$16)),$F$16-SQRT((1-AB324)*($F$16-$D$16)*($F$16-$E$16)))</x:f>
        <x:v>0.03150117023265554</x:v>
      </x:c>
      <x:c r="I324" s="262" t="n">
        <x:f>'Historical Inputs'!$N$9*(1+D324)^5</x:f>
        <x:v>563316.990176308</x:v>
      </x:c>
      <x:c r="J324" s="262" t="n">
        <x:f>I324*(1+H324)*('Terminal Value'!$E$10+E324)*(1-'Assumptions'!$E$15)*(1-H324/'Terminal Value'!$E$12)</x:f>
        <x:v>152450.37746347117</x:v>
      </x:c>
      <x:c r="K324" s="264" t="n">
        <x:f>((SUM((('Historical Inputs'!$N$9*(1+(D324))^1)*(('Assumptions'!E37+(E324))*(1-'Assumptions'!E42-(0))+'Assumptions'!E47-'Assumptions'!E52*(F324)+'Assumptions'!E57-'Assumptions'!E62*(1)-'Assumptions'!E67-(0))+('Working Capital'!$E$6))*'DCF'!E12/(1+(G324))^'DCF'!E13,(('Historical Inputs'!$N$9*(1+(D324))^2)*(('Assumptions'!F37+(E324))*(1-'Assumptions'!F42-(0))+'Assumptions'!F47-'Assumptions'!F52*(F324)+'Assumptions'!F57-'Assumptions'!F62*(1)-'Assumptions'!F67-(0))+(('Historical Inputs'!$N$9*(1+(D324))^1)*('Assumptions'!E67+(0))))*'DCF'!F12/(1+(G324))^'DCF'!F13,(('Historical Inputs'!$N$9*(1+(D324))^3)*(('Assumptions'!G37+(E324))*(1-'Assumptions'!G42-(0))+'Assumptions'!G47-'Assumptions'!G52*(F324)+'Assumptions'!G57-'Assumptions'!G62*(1)-'Assumptions'!G67-(0))+(('Historical Inputs'!$N$9*(1+(D324))^2)*('Assumptions'!F67+(0))))*'DCF'!G12/(1+(G324))^'DCF'!G13,(('Historical Inputs'!$N$9*(1+(D324))^4)*(('Assumptions'!H37+(E324))*(1-'Assumptions'!H42-(0))+'Assumptions'!H47-'Assumptions'!H52*(F324)+'Assumptions'!H57-'Assumptions'!H62*(1)-'Assumptions'!H67-(0))+(('Historical Inputs'!$N$9*(1+(D324))^3)*('Assumptions'!G67+(0))))*'DCF'!H12/(1+(G324))^'DCF'!H13,(('Historical Inputs'!$N$9*(1+(D324))^5)*(('Assumptions'!I37+(E324))*(1-'Assumptions'!I42-(0))+'Assumptions'!I47-'Assumptions'!I52*(F324)+'Assumptions'!I57-'Assumptions'!I62*(1)-'Assumptions'!I67-(0))+(('Historical Inputs'!$N$9*(1+(D324))^4)*('Assumptions'!H67+(0))))*'DCF'!I12/(1+(G324))^'DCF'!I13)+('Historical Inputs'!$N$9*(1+(D324))^5)*(1+(H324))*('Terminal Value'!$E$10+(E324))*(1-'Assumptions'!$E$15-(0))*(1-(H324)/('Terminal Value'!$E$12))/((G324)-(H324))/(1+(G324))^'DCF'!$E$19)+'Equity Bridge'!$E$17)/'Equity Bridge'!$E$20</x:f>
        <x:v>258.7140485412387</x:v>
      </x:c>
      <x:c r="X324" s="255" t="n">
        <x:v>0.06760408095056292</x:v>
      </x:c>
      <x:c r="Y324" s="255" t="n">
        <x:v>0.3084000179901445</x:v>
      </x:c>
      <x:c r="Z324" s="255" t="n">
        <x:v>0.2153295918609438</x:v>
      </x:c>
      <x:c r="AA324" s="255" t="n">
        <x:v>0.3428604105976699</x:v>
      </x:c>
      <x:c r="AB324" s="255" t="n">
        <x:v>0.638849462928499</x:v>
      </x:c>
    </x:row>
    <x:row r="325" ht="24" customHeight="1">
      <x:c r="C325" s="256" t="n">
        <x:f>294</x:f>
        <x:v>294</x:v>
      </x:c>
      <x:c r="D325" s="258" t="n">
        <x:f>IF(X325&lt;($E$12-$D$12)/($F$12-$D$12),$D$12+SQRT(X325*($F$12-$D$12)*($E$12-$D$12)),$F$12-SQRT((1-X325)*($F$12-$D$12)*($F$12-$E$12)))</x:f>
        <x:v>0.15617797995148558</x:v>
      </x:c>
      <x:c r="E325" s="258" t="n">
        <x:f>IF(Y325&lt;($E$13-$D$13)/($F$13-$D$13),$D$13+SQRT(Y325*($F$13-$D$13)*($E$13-$D$13)),$F$13-SQRT((1-Y325)*($F$13-$D$13)*($F$13-$E$13)))</x:f>
        <x:v>0.018104722179270456</x:v>
      </x:c>
      <x:c r="F325" s="260" t="n">
        <x:f>IF(Z325&lt;($E$14-$D$14)/($F$14-$D$14),$D$14+SQRT(Z325*($F$14-$D$14)*($E$14-$D$14)),$F$14-SQRT((1-Z325)*($F$14-$D$14)*($F$14-$E$14)))</x:f>
        <x:v>1.0319025677073062</x:v>
      </x:c>
      <x:c r="G325" s="258" t="n">
        <x:f>IF(AA325&lt;($E$15-$D$15)/($F$15-$D$15),$D$15+SQRT(AA325*($F$15-$D$15)*($E$15-$D$15)),$F$15-SQRT((1-AA325)*($F$15-$D$15)*($F$15-$E$15)))</x:f>
        <x:v>0.10844933568305568</x:v>
      </x:c>
      <x:c r="H325" s="258" t="n">
        <x:f>IF(AB325&lt;($E$16-$D$16)/($F$16-$D$16),$D$16+SQRT(AB325*($F$16-$D$16)*($E$16-$D$16)),$F$16-SQRT((1-AB325)*($F$16-$D$16)*($F$16-$E$16)))</x:f>
        <x:v>0.030654753009771142</x:v>
      </x:c>
      <x:c r="I325" s="262" t="n">
        <x:f>'Historical Inputs'!$N$9*(1+D325)^5</x:f>
        <x:v>685568.5630316492</x:v>
      </x:c>
      <x:c r="J325" s="262" t="n">
        <x:f>I325*(1+H325)*('Terminal Value'!$E$10+E325)*(1-'Assumptions'!$E$15)*(1-H325/'Terminal Value'!$E$12)</x:f>
        <x:v>200116.16928257287</x:v>
      </x:c>
      <x:c r="K325" s="264" t="n">
        <x:f>((SUM((('Historical Inputs'!$N$9*(1+(D325))^1)*(('Assumptions'!E37+(E325))*(1-'Assumptions'!E42-(0))+'Assumptions'!E47-'Assumptions'!E52*(F325)+'Assumptions'!E57-'Assumptions'!E62*(1)-'Assumptions'!E67-(0))+('Working Capital'!$E$6))*'DCF'!E12/(1+(G325))^'DCF'!E13,(('Historical Inputs'!$N$9*(1+(D325))^2)*(('Assumptions'!F37+(E325))*(1-'Assumptions'!F42-(0))+'Assumptions'!F47-'Assumptions'!F52*(F325)+'Assumptions'!F57-'Assumptions'!F62*(1)-'Assumptions'!F67-(0))+(('Historical Inputs'!$N$9*(1+(D325))^1)*('Assumptions'!E67+(0))))*'DCF'!F12/(1+(G325))^'DCF'!F13,(('Historical Inputs'!$N$9*(1+(D325))^3)*(('Assumptions'!G37+(E325))*(1-'Assumptions'!G42-(0))+'Assumptions'!G47-'Assumptions'!G52*(F325)+'Assumptions'!G57-'Assumptions'!G62*(1)-'Assumptions'!G67-(0))+(('Historical Inputs'!$N$9*(1+(D325))^2)*('Assumptions'!F67+(0))))*'DCF'!G12/(1+(G325))^'DCF'!G13,(('Historical Inputs'!$N$9*(1+(D325))^4)*(('Assumptions'!H37+(E325))*(1-'Assumptions'!H42-(0))+'Assumptions'!H47-'Assumptions'!H52*(F325)+'Assumptions'!H57-'Assumptions'!H62*(1)-'Assumptions'!H67-(0))+(('Historical Inputs'!$N$9*(1+(D325))^3)*('Assumptions'!G67+(0))))*'DCF'!H12/(1+(G325))^'DCF'!H13,(('Historical Inputs'!$N$9*(1+(D325))^5)*(('Assumptions'!I37+(E325))*(1-'Assumptions'!I42-(0))+'Assumptions'!I47-'Assumptions'!I52*(F325)+'Assumptions'!I57-'Assumptions'!I62*(1)-'Assumptions'!I67-(0))+(('Historical Inputs'!$N$9*(1+(D325))^4)*('Assumptions'!H67+(0))))*'DCF'!I12/(1+(G325))^'DCF'!I13)+('Historical Inputs'!$N$9*(1+(D325))^5)*(1+(H325))*('Terminal Value'!$E$10+(E325))*(1-'Assumptions'!$E$15-(0))*(1-(H325)/('Terminal Value'!$E$12))/((G325)-(H325))/(1+(G325))^'DCF'!$E$19)+'Equity Bridge'!$E$17)/'Equity Bridge'!$E$20</x:f>
        <x:v>270.4597699788895</x:v>
      </x:c>
      <x:c r="X325" s="255" t="n">
        <x:v>0.7250289307327503</x:v>
      </x:c>
      <x:c r="Y325" s="255" t="n">
        <x:v>0.7965382505476956</x:v>
      </x:c>
      <x:c r="Z325" s="255" t="n">
        <x:v>0.5963321893800464</x:v>
      </x:c>
      <x:c r="AA325" s="255" t="n">
        <x:v>0.9510982304197554</x:v>
      </x:c>
      <x:c r="AB325" s="255" t="n">
        <x:v>0.5633317934580924</x:v>
      </x:c>
    </x:row>
    <x:row r="326" ht="24" customHeight="1">
      <x:c r="C326" s="256" t="n">
        <x:f>295</x:f>
        <x:v>295</x:v>
      </x:c>
      <x:c r="D326" s="258" t="n">
        <x:f>IF(X326&lt;($E$12-$D$12)/($F$12-$D$12),$D$12+SQRT(X326*($F$12-$D$12)*($E$12-$D$12)),$F$12-SQRT((1-X326)*($F$12-$D$12)*($F$12-$E$12)))</x:f>
        <x:v>0.1370315550248863</x:v>
      </x:c>
      <x:c r="E326" s="258" t="n">
        <x:f>IF(Y326&lt;($E$13-$D$13)/($F$13-$D$13),$D$13+SQRT(Y326*($F$13-$D$13)*($E$13-$D$13)),$F$13-SQRT((1-Y326)*($F$13-$D$13)*($F$13-$E$13)))</x:f>
        <x:v>0.03751850906949247</x:v>
      </x:c>
      <x:c r="F326" s="260" t="n">
        <x:f>IF(Z326&lt;($E$14-$D$14)/($F$14-$D$14),$D$14+SQRT(Z326*($F$14-$D$14)*($E$14-$D$14)),$F$14-SQRT((1-Z326)*($F$14-$D$14)*($F$14-$E$14)))</x:f>
        <x:v>1.0261359188147767</x:v>
      </x:c>
      <x:c r="G326" s="258" t="n">
        <x:f>IF(AA326&lt;($E$15-$D$15)/($F$15-$D$15),$D$15+SQRT(AA326*($F$15-$D$15)*($E$15-$D$15)),$F$15-SQRT((1-AA326)*($F$15-$D$15)*($F$15-$E$15)))</x:f>
        <x:v>0.09671732884837644</x:v>
      </x:c>
      <x:c r="H326" s="258" t="n">
        <x:f>IF(AB326&lt;($E$16-$D$16)/($F$16-$D$16),$D$16+SQRT(AB326*($F$16-$D$16)*($E$16-$D$16)),$F$16-SQRT((1-AB326)*($F$16-$D$16)*($F$16-$E$16)))</x:f>
        <x:v>0.02429207254221443</x:v>
      </x:c>
      <x:c r="I326" s="262" t="n">
        <x:f>'Historical Inputs'!$N$9*(1+D326)^5</x:f>
        <x:v>630652.3424407928</x:v>
      </x:c>
      <x:c r="J326" s="262" t="n">
        <x:f>I326*(1+H326)*('Terminal Value'!$E$10+E326)*(1-'Assumptions'!$E$15)*(1-H326/'Terminal Value'!$E$12)</x:f>
        <x:v>198637.6655276587</x:v>
      </x:c>
      <x:c r="K326" s="264" t="n">
        <x:f>((SUM((('Historical Inputs'!$N$9*(1+(D326))^1)*(('Assumptions'!E37+(E326))*(1-'Assumptions'!E42-(0))+'Assumptions'!E47-'Assumptions'!E52*(F326)+'Assumptions'!E57-'Assumptions'!E62*(1)-'Assumptions'!E67-(0))+('Working Capital'!$E$6))*'DCF'!E12/(1+(G326))^'DCF'!E13,(('Historical Inputs'!$N$9*(1+(D326))^2)*(('Assumptions'!F37+(E326))*(1-'Assumptions'!F42-(0))+'Assumptions'!F47-'Assumptions'!F52*(F326)+'Assumptions'!F57-'Assumptions'!F62*(1)-'Assumptions'!F67-(0))+(('Historical Inputs'!$N$9*(1+(D326))^1)*('Assumptions'!E67+(0))))*'DCF'!F12/(1+(G326))^'DCF'!F13,(('Historical Inputs'!$N$9*(1+(D326))^3)*(('Assumptions'!G37+(E326))*(1-'Assumptions'!G42-(0))+'Assumptions'!G47-'Assumptions'!G52*(F326)+'Assumptions'!G57-'Assumptions'!G62*(1)-'Assumptions'!G67-(0))+(('Historical Inputs'!$N$9*(1+(D326))^2)*('Assumptions'!F67+(0))))*'DCF'!G12/(1+(G326))^'DCF'!G13,(('Historical Inputs'!$N$9*(1+(D326))^4)*(('Assumptions'!H37+(E326))*(1-'Assumptions'!H42-(0))+'Assumptions'!H47-'Assumptions'!H52*(F326)+'Assumptions'!H57-'Assumptions'!H62*(1)-'Assumptions'!H67-(0))+(('Historical Inputs'!$N$9*(1+(D326))^3)*('Assumptions'!G67+(0))))*'DCF'!H12/(1+(G326))^'DCF'!H13,(('Historical Inputs'!$N$9*(1+(D326))^5)*(('Assumptions'!I37+(E326))*(1-'Assumptions'!I42-(0))+'Assumptions'!I47-'Assumptions'!I52*(F326)+'Assumptions'!I57-'Assumptions'!I62*(1)-'Assumptions'!I67-(0))+(('Historical Inputs'!$N$9*(1+(D326))^4)*('Assumptions'!H67+(0))))*'DCF'!I12/(1+(G326))^'DCF'!I13)+('Historical Inputs'!$N$9*(1+(D326))^5)*(1+(H326))*('Terminal Value'!$E$10+(E326))*(1-'Assumptions'!$E$15-(0))*(1-(H326)/('Terminal Value'!$E$12))/((G326)-(H326))/(1+(G326))^'DCF'!$E$19)+'Equity Bridge'!$E$17)/'Equity Bridge'!$E$20</x:f>
        <x:v>298.73863095228324</x:v>
      </x:c>
      <x:c r="X326" s="255" t="n">
        <x:v>0.3832419513550752</x:v>
      </x:c>
      <x:c r="Y326" s="255" t="n">
        <x:v>0.9688424768303316</x:v>
      </x:c>
      <x:c r="Z326" s="255" t="n">
        <x:v>0.5681611610516867</x:v>
      </x:c>
      <x:c r="AA326" s="255" t="n">
        <x:v>0.40963073515982384</x:v>
      </x:c>
      <x:c r="AB326" s="255" t="n">
        <x:v>0.09210943353815526</x:v>
      </x:c>
    </x:row>
    <x:row r="327" ht="24" customHeight="1">
      <x:c r="C327" s="256" t="n">
        <x:f>296</x:f>
        <x:v>296</x:v>
      </x:c>
      <x:c r="D327" s="258" t="n">
        <x:f>IF(X327&lt;($E$12-$D$12)/($F$12-$D$12),$D$12+SQRT(X327*($F$12-$D$12)*($E$12-$D$12)),$F$12-SQRT((1-X327)*($F$12-$D$12)*($F$12-$E$12)))</x:f>
        <x:v>0.1534140369986622</x:v>
      </x:c>
      <x:c r="E327" s="258" t="n">
        <x:f>IF(Y327&lt;($E$13-$D$13)/($F$13-$D$13),$D$13+SQRT(Y327*($F$13-$D$13)*($E$13-$D$13)),$F$13-SQRT((1-Y327)*($F$13-$D$13)*($F$13-$E$13)))</x:f>
        <x:v>0.015750439497518455</x:v>
      </x:c>
      <x:c r="F327" s="260" t="n">
        <x:f>IF(Z327&lt;($E$14-$D$14)/($F$14-$D$14),$D$14+SQRT(Z327*($F$14-$D$14)*($E$14-$D$14)),$F$14-SQRT((1-Z327)*($F$14-$D$14)*($F$14-$E$14)))</x:f>
        <x:v>1.0530575764006955</x:v>
      </x:c>
      <x:c r="G327" s="258" t="n">
        <x:f>IF(AA327&lt;($E$15-$D$15)/($F$15-$D$15),$D$15+SQRT(AA327*($F$15-$D$15)*($E$15-$D$15)),$F$15-SQRT((1-AA327)*($F$15-$D$15)*($F$15-$E$15)))</x:f>
        <x:v>0.10412872555829554</x:v>
      </x:c>
      <x:c r="H327" s="258" t="n">
        <x:f>IF(AB327&lt;($E$16-$D$16)/($F$16-$D$16),$D$16+SQRT(AB327*($F$16-$D$16)*($E$16-$D$16)),$F$16-SQRT((1-AB327)*($F$16-$D$16)*($F$16-$E$16)))</x:f>
        <x:v>0.0380696193563399</x:v>
      </x:c>
      <x:c r="I327" s="262" t="n">
        <x:f>'Historical Inputs'!$N$9*(1+D327)^5</x:f>
        <x:v>677413.0958273788</x:v>
      </x:c>
      <x:c r="J327" s="262" t="n">
        <x:f>I327*(1+H327)*('Terminal Value'!$E$10+E327)*(1-'Assumptions'!$E$15)*(1-H327/'Terminal Value'!$E$12)</x:f>
        <x:v>189365.6113393262</x:v>
      </x:c>
      <x:c r="K327" s="264" t="n">
        <x:f>((SUM((('Historical Inputs'!$N$9*(1+(D327))^1)*(('Assumptions'!E37+(E327))*(1-'Assumptions'!E42-(0))+'Assumptions'!E47-'Assumptions'!E52*(F327)+'Assumptions'!E57-'Assumptions'!E62*(1)-'Assumptions'!E67-(0))+('Working Capital'!$E$6))*'DCF'!E12/(1+(G327))^'DCF'!E13,(('Historical Inputs'!$N$9*(1+(D327))^2)*(('Assumptions'!F37+(E327))*(1-'Assumptions'!F42-(0))+'Assumptions'!F47-'Assumptions'!F52*(F327)+'Assumptions'!F57-'Assumptions'!F62*(1)-'Assumptions'!F67-(0))+(('Historical Inputs'!$N$9*(1+(D327))^1)*('Assumptions'!E67+(0))))*'DCF'!F12/(1+(G327))^'DCF'!F13,(('Historical Inputs'!$N$9*(1+(D327))^3)*(('Assumptions'!G37+(E327))*(1-'Assumptions'!G42-(0))+'Assumptions'!G47-'Assumptions'!G52*(F327)+'Assumptions'!G57-'Assumptions'!G62*(1)-'Assumptions'!G67-(0))+(('Historical Inputs'!$N$9*(1+(D327))^2)*('Assumptions'!F67+(0))))*'DCF'!G12/(1+(G327))^'DCF'!G13,(('Historical Inputs'!$N$9*(1+(D327))^4)*(('Assumptions'!H37+(E327))*(1-'Assumptions'!H42-(0))+'Assumptions'!H47-'Assumptions'!H52*(F327)+'Assumptions'!H57-'Assumptions'!H62*(1)-'Assumptions'!H67-(0))+(('Historical Inputs'!$N$9*(1+(D327))^3)*('Assumptions'!G67+(0))))*'DCF'!H12/(1+(G327))^'DCF'!H13,(('Historical Inputs'!$N$9*(1+(D327))^5)*(('Assumptions'!I37+(E327))*(1-'Assumptions'!I42-(0))+'Assumptions'!I47-'Assumptions'!I52*(F327)+'Assumptions'!I57-'Assumptions'!I62*(1)-'Assumptions'!I67-(0))+(('Historical Inputs'!$N$9*(1+(D327))^4)*('Assumptions'!H67+(0))))*'DCF'!I12/(1+(G327))^'DCF'!I13)+('Historical Inputs'!$N$9*(1+(D327))^5)*(1+(H327))*('Terminal Value'!$E$10+(E327))*(1-'Assumptions'!$E$15-(0))*(1-(H327)/('Terminal Value'!$E$12))/((G327)-(H327))/(1+(G327))^'DCF'!$E$19)+'Equity Bridge'!$E$17)/'Equity Bridge'!$E$20</x:f>
        <x:v>297.4384339880633</x:v>
      </x:c>
      <x:c r="X327" s="255" t="n">
        <x:v>0.6825073120087919</x:v>
      </x:c>
      <x:c r="Y327" s="255" t="n">
        <x:v>0.7653935210773712</x:v>
      </x:c>
      <x:c r="Z327" s="255" t="n">
        <x:v>0.6915417735251798</x:v>
      </x:c>
      <x:c r="AA327" s="255" t="n">
        <x:v>0.8195339494096313</x:v>
      </x:c>
      <x:c r="AB327" s="255" t="n">
        <x:v>0.9813681528529121</x:v>
      </x:c>
    </x:row>
    <x:row r="328" ht="24" customHeight="1">
      <x:c r="C328" s="256" t="n">
        <x:f>297</x:f>
        <x:v>297</x:v>
      </x:c>
      <x:c r="D328" s="258" t="n">
        <x:f>IF(X328&lt;($E$12-$D$12)/($F$12-$D$12),$D$12+SQRT(X328*($F$12-$D$12)*($E$12-$D$12)),$F$12-SQRT((1-X328)*($F$12-$D$12)*($F$12-$E$12)))</x:f>
        <x:v>0.1550499375924484</x:v>
      </x:c>
      <x:c r="E328" s="258" t="n">
        <x:f>IF(Y328&lt;($E$13-$D$13)/($F$13-$D$13),$D$13+SQRT(Y328*($F$13-$D$13)*($E$13-$D$13)),$F$13-SQRT((1-Y328)*($F$13-$D$13)*($F$13-$E$13)))</x:f>
        <x:v>-0.02866367346112772</x:v>
      </x:c>
      <x:c r="F328" s="260" t="n">
        <x:f>IF(Z328&lt;($E$14-$D$14)/($F$14-$D$14),$D$14+SQRT(Z328*($F$14-$D$14)*($E$14-$D$14)),$F$14-SQRT((1-Z328)*($F$14-$D$14)*($F$14-$E$14)))</x:f>
        <x:v>0.9675805437473182</x:v>
      </x:c>
      <x:c r="G328" s="258" t="n">
        <x:f>IF(AA328&lt;($E$15-$D$15)/($F$15-$D$15),$D$15+SQRT(AA328*($F$15-$D$15)*($E$15-$D$15)),$F$15-SQRT((1-AA328)*($F$15-$D$15)*($F$15-$E$15)))</x:f>
        <x:v>0.10621110907238336</x:v>
      </x:c>
      <x:c r="H328" s="258" t="n">
        <x:f>IF(AB328&lt;($E$16-$D$16)/($F$16-$D$16),$D$16+SQRT(AB328*($F$16-$D$16)*($E$16-$D$16)),$F$16-SQRT((1-AB328)*($F$16-$D$16)*($F$16-$E$16)))</x:f>
        <x:v>0.03244904747554625</x:v>
      </x:c>
      <x:c r="I328" s="262" t="n">
        <x:f>'Historical Inputs'!$N$9*(1+D328)^5</x:f>
        <x:v>682230.6565744554</x:v>
      </x:c>
      <x:c r="J328" s="262" t="n">
        <x:f>I328*(1+H328)*('Terminal Value'!$E$10+E328)*(1-'Assumptions'!$E$15)*(1-H328/'Terminal Value'!$E$12)</x:f>
        <x:v>175296.88067372201</x:v>
      </x:c>
      <x:c r="K328" s="264" t="n">
        <x:f>((SUM((('Historical Inputs'!$N$9*(1+(D328))^1)*(('Assumptions'!E37+(E328))*(1-'Assumptions'!E42-(0))+'Assumptions'!E47-'Assumptions'!E52*(F328)+'Assumptions'!E57-'Assumptions'!E62*(1)-'Assumptions'!E67-(0))+('Working Capital'!$E$6))*'DCF'!E12/(1+(G328))^'DCF'!E13,(('Historical Inputs'!$N$9*(1+(D328))^2)*(('Assumptions'!F37+(E328))*(1-'Assumptions'!F42-(0))+'Assumptions'!F47-'Assumptions'!F52*(F328)+'Assumptions'!F57-'Assumptions'!F62*(1)-'Assumptions'!F67-(0))+(('Historical Inputs'!$N$9*(1+(D328))^1)*('Assumptions'!E67+(0))))*'DCF'!F12/(1+(G328))^'DCF'!F13,(('Historical Inputs'!$N$9*(1+(D328))^3)*(('Assumptions'!G37+(E328))*(1-'Assumptions'!G42-(0))+'Assumptions'!G47-'Assumptions'!G52*(F328)+'Assumptions'!G57-'Assumptions'!G62*(1)-'Assumptions'!G67-(0))+(('Historical Inputs'!$N$9*(1+(D328))^2)*('Assumptions'!F67+(0))))*'DCF'!G12/(1+(G328))^'DCF'!G13,(('Historical Inputs'!$N$9*(1+(D328))^4)*(('Assumptions'!H37+(E328))*(1-'Assumptions'!H42-(0))+'Assumptions'!H47-'Assumptions'!H52*(F328)+'Assumptions'!H57-'Assumptions'!H62*(1)-'Assumptions'!H67-(0))+(('Historical Inputs'!$N$9*(1+(D328))^3)*('Assumptions'!G67+(0))))*'DCF'!H12/(1+(G328))^'DCF'!H13,(('Historical Inputs'!$N$9*(1+(D328))^5)*(('Assumptions'!I37+(E328))*(1-'Assumptions'!I42-(0))+'Assumptions'!I47-'Assumptions'!I52*(F328)+'Assumptions'!I57-'Assumptions'!I62*(1)-'Assumptions'!I67-(0))+(('Historical Inputs'!$N$9*(1+(D328))^4)*('Assumptions'!H67+(0))))*'DCF'!I12/(1+(G328))^'DCF'!I13)+('Historical Inputs'!$N$9*(1+(D328))^5)*(1+(H328))*('Terminal Value'!$E$10+(E328))*(1-'Assumptions'!$E$15-(0))*(1-(H328)/('Terminal Value'!$E$12))/((G328)-(H328))/(1+(G328))^'DCF'!$E$19)+'Equity Bridge'!$E$17)/'Equity Bridge'!$E$20</x:f>
        <x:v>250.71882271040224</x:v>
      </x:c>
      <x:c r="X328" s="255" t="n">
        <x:v>0.7080437428731816</x:v>
      </x:c>
      <x:c r="Y328" s="255" t="n">
        <x:v>0.09104776603467712</x:v>
      </x:c>
      <x:c r="Z328" s="255" t="n">
        <x:v>0.2633368431983809</x:v>
      </x:c>
      <x:c r="AA328" s="255" t="n">
        <x:v>0.8933007840496271</x:v>
      </x:c>
      <x:c r="AB328" s="255" t="n">
        <x:v>0.714915579867228</x:v>
      </x:c>
    </x:row>
    <x:row r="329" ht="24" customHeight="1">
      <x:c r="C329" s="256" t="n">
        <x:f>298</x:f>
        <x:v>298</x:v>
      </x:c>
      <x:c r="D329" s="258" t="n">
        <x:f>IF(X329&lt;($E$12-$D$12)/($F$12-$D$12),$D$12+SQRT(X329*($F$12-$D$12)*($E$12-$D$12)),$F$12-SQRT((1-X329)*($F$12-$D$12)*($F$12-$E$12)))</x:f>
        <x:v>0.14211255731409198</x:v>
      </x:c>
      <x:c r="E329" s="258" t="n">
        <x:f>IF(Y329&lt;($E$13-$D$13)/($F$13-$D$13),$D$13+SQRT(Y329*($F$13-$D$13)*($E$13-$D$13)),$F$13-SQRT((1-Y329)*($F$13-$D$13)*($F$13-$E$13)))</x:f>
        <x:v>-0.03393397773777467</x:v>
      </x:c>
      <x:c r="F329" s="260" t="n">
        <x:f>IF(Z329&lt;($E$14-$D$14)/($F$14-$D$14),$D$14+SQRT(Z329*($F$14-$D$14)*($E$14-$D$14)),$F$14-SQRT((1-Z329)*($F$14-$D$14)*($F$14-$E$14)))</x:f>
        <x:v>1.066257969927017</x:v>
      </x:c>
      <x:c r="G329" s="258" t="n">
        <x:f>IF(AA329&lt;($E$15-$D$15)/($F$15-$D$15),$D$15+SQRT(AA329*($F$15-$D$15)*($E$15-$D$15)),$F$15-SQRT((1-AA329)*($F$15-$D$15)*($F$15-$E$15)))</x:f>
        <x:v>0.0956398409095792</x:v>
      </x:c>
      <x:c r="H329" s="258" t="n">
        <x:f>IF(AB329&lt;($E$16-$D$16)/($F$16-$D$16),$D$16+SQRT(AB329*($F$16-$D$16)*($E$16-$D$16)),$F$16-SQRT((1-AB329)*($F$16-$D$16)*($F$16-$E$16)))</x:f>
        <x:v>0.02495828792290774</x:v>
      </x:c>
      <x:c r="I329" s="262" t="n">
        <x:f>'Historical Inputs'!$N$9*(1+D329)^5</x:f>
        <x:v>644869.680906632</x:v>
      </x:c>
      <x:c r="J329" s="262" t="n">
        <x:f>I329*(1+H329)*('Terminal Value'!$E$10+E329)*(1-'Assumptions'!$E$15)*(1-H329/'Terminal Value'!$E$12)</x:f>
        <x:v>169410.02798777164</x:v>
      </x:c>
      <x:c r="K329" s="264" t="n">
        <x:f>((SUM((('Historical Inputs'!$N$9*(1+(D329))^1)*(('Assumptions'!E37+(E329))*(1-'Assumptions'!E42-(0))+'Assumptions'!E47-'Assumptions'!E52*(F329)+'Assumptions'!E57-'Assumptions'!E62*(1)-'Assumptions'!E67-(0))+('Working Capital'!$E$6))*'DCF'!E12/(1+(G329))^'DCF'!E13,(('Historical Inputs'!$N$9*(1+(D329))^2)*(('Assumptions'!F37+(E329))*(1-'Assumptions'!F42-(0))+'Assumptions'!F47-'Assumptions'!F52*(F329)+'Assumptions'!F57-'Assumptions'!F62*(1)-'Assumptions'!F67-(0))+(('Historical Inputs'!$N$9*(1+(D329))^1)*('Assumptions'!E67+(0))))*'DCF'!F12/(1+(G329))^'DCF'!F13,(('Historical Inputs'!$N$9*(1+(D329))^3)*(('Assumptions'!G37+(E329))*(1-'Assumptions'!G42-(0))+'Assumptions'!G47-'Assumptions'!G52*(F329)+'Assumptions'!G57-'Assumptions'!G62*(1)-'Assumptions'!G67-(0))+(('Historical Inputs'!$N$9*(1+(D329))^2)*('Assumptions'!F67+(0))))*'DCF'!G12/(1+(G329))^'DCF'!G13,(('Historical Inputs'!$N$9*(1+(D329))^4)*(('Assumptions'!H37+(E329))*(1-'Assumptions'!H42-(0))+'Assumptions'!H47-'Assumptions'!H52*(F329)+'Assumptions'!H57-'Assumptions'!H62*(1)-'Assumptions'!H67-(0))+(('Historical Inputs'!$N$9*(1+(D329))^3)*('Assumptions'!G67+(0))))*'DCF'!H12/(1+(G329))^'DCF'!H13,(('Historical Inputs'!$N$9*(1+(D329))^5)*(('Assumptions'!I37+(E329))*(1-'Assumptions'!I42-(0))+'Assumptions'!I47-'Assumptions'!I52*(F329)+'Assumptions'!I57-'Assumptions'!I62*(1)-'Assumptions'!I67-(0))+(('Historical Inputs'!$N$9*(1+(D329))^4)*('Assumptions'!H67+(0))))*'DCF'!I12/(1+(G329))^'DCF'!I13)+('Historical Inputs'!$N$9*(1+(D329))^5)*(1+(H329))*('Terminal Value'!$E$10+(E329))*(1-'Assumptions'!$E$15-(0))*(1-(H329)/('Terminal Value'!$E$12))/((G329)-(H329))/(1+(G329))^'DCF'!$E$19)+'Equity Bridge'!$E$17)/'Equity Bridge'!$E$20</x:f>
        <x:v>253.6015562009173</x:v>
      </x:c>
      <x:c r="X329" s="255" t="n">
        <x:v>0.47737266956452173</x:v>
      </x:c>
      <x:c r="Y329" s="255" t="n">
        <x:v>0.05162341426606398</x:v>
      </x:c>
      <x:c r="Z329" s="255" t="n">
        <x:v>0.7444724198851044</x:v>
      </x:c>
      <x:c r="AA329" s="255" t="n">
        <x:v>0.3471928683177977</x:v>
      </x:c>
      <x:c r="AB329" s="255" t="n">
        <x:v>0.12292309563226378</x:v>
      </x:c>
    </x:row>
    <x:row r="330" ht="24" customHeight="1">
      <x:c r="C330" s="256" t="n">
        <x:f>299</x:f>
        <x:v>299</x:v>
      </x:c>
      <x:c r="D330" s="258" t="n">
        <x:f>IF(X330&lt;($E$12-$D$12)/($F$12-$D$12),$D$12+SQRT(X330*($F$12-$D$12)*($E$12-$D$12)),$F$12-SQRT((1-X330)*($F$12-$D$12)*($F$12-$E$12)))</x:f>
        <x:v>0.12164912860776142</x:v>
      </x:c>
      <x:c r="E330" s="258" t="n">
        <x:f>IF(Y330&lt;($E$13-$D$13)/($F$13-$D$13),$D$13+SQRT(Y330*($F$13-$D$13)*($E$13-$D$13)),$F$13-SQRT((1-Y330)*($F$13-$D$13)*($F$13-$E$13)))</x:f>
        <x:v>-0.01696553947431645</x:v>
      </x:c>
      <x:c r="F330" s="260" t="n">
        <x:f>IF(Z330&lt;($E$14-$D$14)/($F$14-$D$14),$D$14+SQRT(Z330*($F$14-$D$14)*($E$14-$D$14)),$F$14-SQRT((1-Z330)*($F$14-$D$14)*($F$14-$E$14)))</x:f>
        <x:v>1.0715042653982223</x:v>
      </x:c>
      <x:c r="G330" s="258" t="n">
        <x:f>IF(AA330&lt;($E$15-$D$15)/($F$15-$D$15),$D$15+SQRT(AA330*($F$15-$D$15)*($E$15-$D$15)),$F$15-SQRT((1-AA330)*($F$15-$D$15)*($F$15-$E$15)))</x:f>
        <x:v>0.099459278746821</x:v>
      </x:c>
      <x:c r="H330" s="258" t="n">
        <x:f>IF(AB330&lt;($E$16-$D$16)/($F$16-$D$16),$D$16+SQRT(AB330*($F$16-$D$16)*($E$16-$D$16)),$F$16-SQRT((1-AB330)*($F$16-$D$16)*($F$16-$E$16)))</x:f>
        <x:v>0.03590956501831479</x:v>
      </x:c>
      <x:c r="I330" s="262" t="n">
        <x:f>'Historical Inputs'!$N$9*(1+D330)^5</x:f>
        <x:v>589131.9041467258</x:v>
      </x:c>
      <x:c r="J330" s="262" t="n">
        <x:f>I330*(1+H330)*('Terminal Value'!$E$10+E330)*(1-'Assumptions'!$E$15)*(1-H330/'Terminal Value'!$E$12)</x:f>
        <x:v>153431.83922607524</x:v>
      </x:c>
      <x:c r="K330" s="264" t="n">
        <x:f>((SUM((('Historical Inputs'!$N$9*(1+(D330))^1)*(('Assumptions'!E37+(E330))*(1-'Assumptions'!E42-(0))+'Assumptions'!E47-'Assumptions'!E52*(F330)+'Assumptions'!E57-'Assumptions'!E62*(1)-'Assumptions'!E67-(0))+('Working Capital'!$E$6))*'DCF'!E12/(1+(G330))^'DCF'!E13,(('Historical Inputs'!$N$9*(1+(D330))^2)*(('Assumptions'!F37+(E330))*(1-'Assumptions'!F42-(0))+'Assumptions'!F47-'Assumptions'!F52*(F330)+'Assumptions'!F57-'Assumptions'!F62*(1)-'Assumptions'!F67-(0))+(('Historical Inputs'!$N$9*(1+(D330))^1)*('Assumptions'!E67+(0))))*'DCF'!F12/(1+(G330))^'DCF'!F13,(('Historical Inputs'!$N$9*(1+(D330))^3)*(('Assumptions'!G37+(E330))*(1-'Assumptions'!G42-(0))+'Assumptions'!G47-'Assumptions'!G52*(F330)+'Assumptions'!G57-'Assumptions'!G62*(1)-'Assumptions'!G67-(0))+(('Historical Inputs'!$N$9*(1+(D330))^2)*('Assumptions'!F67+(0))))*'DCF'!G12/(1+(G330))^'DCF'!G13,(('Historical Inputs'!$N$9*(1+(D330))^4)*(('Assumptions'!H37+(E330))*(1-'Assumptions'!H42-(0))+'Assumptions'!H47-'Assumptions'!H52*(F330)+'Assumptions'!H57-'Assumptions'!H62*(1)-'Assumptions'!H67-(0))+(('Historical Inputs'!$N$9*(1+(D330))^3)*('Assumptions'!G67+(0))))*'DCF'!H12/(1+(G330))^'DCF'!H13,(('Historical Inputs'!$N$9*(1+(D330))^5)*(('Assumptions'!I37+(E330))*(1-'Assumptions'!I42-(0))+'Assumptions'!I47-'Assumptions'!I52*(F330)+'Assumptions'!I57-'Assumptions'!I62*(1)-'Assumptions'!I67-(0))+(('Historical Inputs'!$N$9*(1+(D330))^4)*('Assumptions'!H67+(0))))*'DCF'!I12/(1+(G330))^'DCF'!I13)+('Historical Inputs'!$N$9*(1+(D330))^5)*(1+(H330))*('Terminal Value'!$E$10+(E330))*(1-'Assumptions'!$E$15-(0))*(1-(H330)/('Terminal Value'!$E$12))/((G330)-(H330))/(1+(G330))^'DCF'!$E$19)+'Equity Bridge'!$E$17)/'Equity Bridge'!$E$20</x:f>
        <x:v>251.271282941729</x:v>
      </x:c>
      <x:c r="X330" s="255" t="n">
        <x:v>0.1612223455007371</x:v>
      </x:c>
      <x:c r="Y330" s="255" t="n">
        <x:v>0.21825511644458895</x:v>
      </x:c>
      <x:c r="Z330" s="255" t="n">
        <x:v>0.7641263741307077</x:v>
      </x:c>
      <x:c r="AA330" s="255" t="n">
        <x:v>0.5840616922694577</x:v>
      </x:c>
      <x:c r="AB330" s="255" t="n">
        <x:v>0.9163417083030295</x:v>
      </x:c>
    </x:row>
    <x:row r="331" ht="24" customHeight="1">
      <x:c r="C331" s="256" t="n">
        <x:f>300</x:f>
        <x:v>300</x:v>
      </x:c>
      <x:c r="D331" s="258" t="n">
        <x:f>IF(X331&lt;($E$12-$D$12)/($F$12-$D$12),$D$12+SQRT(X331*($F$12-$D$12)*($E$12-$D$12)),$F$12-SQRT((1-X331)*($F$12-$D$12)*($F$12-$E$12)))</x:f>
        <x:v>0.1553607253133431</x:v>
      </x:c>
      <x:c r="E331" s="258" t="n">
        <x:f>IF(Y331&lt;($E$13-$D$13)/($F$13-$D$13),$D$13+SQRT(Y331*($F$13-$D$13)*($E$13-$D$13)),$F$13-SQRT((1-Y331)*($F$13-$D$13)*($F$13-$E$13)))</x:f>
        <x:v>-0.017632669487751905</x:v>
      </x:c>
      <x:c r="F331" s="260" t="n">
        <x:f>IF(Z331&lt;($E$14-$D$14)/($F$14-$D$14),$D$14+SQRT(Z331*($F$14-$D$14)*($E$14-$D$14)),$F$14-SQRT((1-Z331)*($F$14-$D$14)*($F$14-$E$14)))</x:f>
        <x:v>0.9338391480281718</x:v>
      </x:c>
      <x:c r="G331" s="258" t="n">
        <x:f>IF(AA331&lt;($E$15-$D$15)/($F$15-$D$15),$D$15+SQRT(AA331*($F$15-$D$15)*($E$15-$D$15)),$F$15-SQRT((1-AA331)*($F$15-$D$15)*($F$15-$E$15)))</x:f>
        <x:v>0.10298725983996658</x:v>
      </x:c>
      <x:c r="H331" s="258" t="n">
        <x:f>IF(AB331&lt;($E$16-$D$16)/($F$16-$D$16),$D$16+SQRT(AB331*($F$16-$D$16)*($E$16-$D$16)),$F$16-SQRT((1-AB331)*($F$16-$D$16)*($F$16-$E$16)))</x:f>
        <x:v>0.02489236153912987</x:v>
      </x:c>
      <x:c r="I331" s="262" t="n">
        <x:f>'Historical Inputs'!$N$9*(1+D331)^5</x:f>
        <x:v>683148.9850178636</x:v>
      </x:c>
      <x:c r="J331" s="262" t="n">
        <x:f>I331*(1+H331)*('Terminal Value'!$E$10+E331)*(1-'Assumptions'!$E$15)*(1-H331/'Terminal Value'!$E$12)</x:f>
        <x:v>187516.5245895725</x:v>
      </x:c>
      <x:c r="K331" s="264" t="n">
        <x:f>((SUM((('Historical Inputs'!$N$9*(1+(D331))^1)*(('Assumptions'!E37+(E331))*(1-'Assumptions'!E42-(0))+'Assumptions'!E47-'Assumptions'!E52*(F331)+'Assumptions'!E57-'Assumptions'!E62*(1)-'Assumptions'!E67-(0))+('Working Capital'!$E$6))*'DCF'!E12/(1+(G331))^'DCF'!E13,(('Historical Inputs'!$N$9*(1+(D331))^2)*(('Assumptions'!F37+(E331))*(1-'Assumptions'!F42-(0))+'Assumptions'!F47-'Assumptions'!F52*(F331)+'Assumptions'!F57-'Assumptions'!F62*(1)-'Assumptions'!F67-(0))+(('Historical Inputs'!$N$9*(1+(D331))^1)*('Assumptions'!E67+(0))))*'DCF'!F12/(1+(G331))^'DCF'!F13,(('Historical Inputs'!$N$9*(1+(D331))^3)*(('Assumptions'!G37+(E331))*(1-'Assumptions'!G42-(0))+'Assumptions'!G47-'Assumptions'!G52*(F331)+'Assumptions'!G57-'Assumptions'!G62*(1)-'Assumptions'!G67-(0))+(('Historical Inputs'!$N$9*(1+(D331))^2)*('Assumptions'!F67+(0))))*'DCF'!G12/(1+(G331))^'DCF'!G13,(('Historical Inputs'!$N$9*(1+(D331))^4)*(('Assumptions'!H37+(E331))*(1-'Assumptions'!H42-(0))+'Assumptions'!H47-'Assumptions'!H52*(F331)+'Assumptions'!H57-'Assumptions'!H62*(1)-'Assumptions'!H67-(0))+(('Historical Inputs'!$N$9*(1+(D331))^3)*('Assumptions'!G67+(0))))*'DCF'!H12/(1+(G331))^'DCF'!H13,(('Historical Inputs'!$N$9*(1+(D331))^5)*(('Assumptions'!I37+(E331))*(1-'Assumptions'!I42-(0))+'Assumptions'!I47-'Assumptions'!I52*(F331)+'Assumptions'!I57-'Assumptions'!I62*(1)-'Assumptions'!I67-(0))+(('Historical Inputs'!$N$9*(1+(D331))^4)*('Assumptions'!H67+(0))))*'DCF'!I12/(1+(G331))^'DCF'!I13)+('Historical Inputs'!$N$9*(1+(D331))^5)*(1+(H331))*('Terminal Value'!$E$10+(E331))*(1-'Assumptions'!$E$15-(0))*(1-(H331)/('Terminal Value'!$E$12))/((G331)-(H331))/(1+(G331))^'DCF'!$E$19)+'Equity Bridge'!$E$17)/'Equity Bridge'!$E$20</x:f>
        <x:v>260.559229491603</x:v>
      </x:c>
      <x:c r="X331" s="255" t="n">
        <x:v>0.7127741421240881</x:v>
      </x:c>
      <x:c r="Y331" s="255" t="n">
        <x:v>0.20952881689782132</x:v>
      </x:c>
      <x:c r="Z331" s="255" t="n">
        <x:v>0.1338857665159945</x:v>
      </x:c>
      <x:c r="AA331" s="255" t="n">
        <x:v>0.7709208188328922</x:v>
      </x:c>
      <x:c r="AB331" s="255" t="n">
        <x:v>0.11967600714778615</x:v>
      </x:c>
    </x:row>
    <x:row r="332" ht="24" customHeight="1">
      <x:c r="C332" s="256" t="n">
        <x:f>301</x:f>
        <x:v>301</x:v>
      </x:c>
      <x:c r="D332" s="258" t="n">
        <x:f>IF(X332&lt;($E$12-$D$12)/($F$12-$D$12),$D$12+SQRT(X332*($F$12-$D$12)*($E$12-$D$12)),$F$12-SQRT((1-X332)*($F$12-$D$12)*($F$12-$E$12)))</x:f>
        <x:v>0.15863236415182227</x:v>
      </x:c>
      <x:c r="E332" s="258" t="n">
        <x:f>IF(Y332&lt;($E$13-$D$13)/($F$13-$D$13),$D$13+SQRT(Y332*($F$13-$D$13)*($E$13-$D$13)),$F$13-SQRT((1-Y332)*($F$13-$D$13)*($F$13-$E$13)))</x:f>
        <x:v>0.008826876239999691</x:v>
      </x:c>
      <x:c r="F332" s="260" t="n">
        <x:f>IF(Z332&lt;($E$14-$D$14)/($F$14-$D$14),$D$14+SQRT(Z332*($F$14-$D$14)*($E$14-$D$14)),$F$14-SQRT((1-Z332)*($F$14-$D$14)*($F$14-$E$14)))</x:f>
        <x:v>1.083476420806563</x:v>
      </x:c>
      <x:c r="G332" s="258" t="n">
        <x:f>IF(AA332&lt;($E$15-$D$15)/($F$15-$D$15),$D$15+SQRT(AA332*($F$15-$D$15)*($E$15-$D$15)),$F$15-SQRT((1-AA332)*($F$15-$D$15)*($F$15-$E$15)))</x:f>
        <x:v>0.10283283923956965</x:v>
      </x:c>
      <x:c r="H332" s="258" t="n">
        <x:f>IF(AB332&lt;($E$16-$D$16)/($F$16-$D$16),$D$16+SQRT(AB332*($F$16-$D$16)*($E$16-$D$16)),$F$16-SQRT((1-AB332)*($F$16-$D$16)*($F$16-$E$16)))</x:f>
        <x:v>0.03584874061368818</x:v>
      </x:c>
      <x:c r="I332" s="262" t="n">
        <x:f>'Historical Inputs'!$N$9*(1+D332)^5</x:f>
        <x:v>692876.2953089201</x:v>
      </x:c>
      <x:c r="J332" s="262" t="n">
        <x:f>I332*(1+H332)*('Terminal Value'!$E$10+E332)*(1-'Assumptions'!$E$15)*(1-H332/'Terminal Value'!$E$12)</x:f>
        <x:v>192661.83605557375</x:v>
      </x:c>
      <x:c r="K332" s="264" t="n">
        <x:f>((SUM((('Historical Inputs'!$N$9*(1+(D332))^1)*(('Assumptions'!E37+(E332))*(1-'Assumptions'!E42-(0))+'Assumptions'!E47-'Assumptions'!E52*(F332)+'Assumptions'!E57-'Assumptions'!E62*(1)-'Assumptions'!E67-(0))+('Working Capital'!$E$6))*'DCF'!E12/(1+(G332))^'DCF'!E13,(('Historical Inputs'!$N$9*(1+(D332))^2)*(('Assumptions'!F37+(E332))*(1-'Assumptions'!F42-(0))+'Assumptions'!F47-'Assumptions'!F52*(F332)+'Assumptions'!F57-'Assumptions'!F62*(1)-'Assumptions'!F67-(0))+(('Historical Inputs'!$N$9*(1+(D332))^1)*('Assumptions'!E67+(0))))*'DCF'!F12/(1+(G332))^'DCF'!F13,(('Historical Inputs'!$N$9*(1+(D332))^3)*(('Assumptions'!G37+(E332))*(1-'Assumptions'!G42-(0))+'Assumptions'!G47-'Assumptions'!G52*(F332)+'Assumptions'!G57-'Assumptions'!G62*(1)-'Assumptions'!G67-(0))+(('Historical Inputs'!$N$9*(1+(D332))^2)*('Assumptions'!F67+(0))))*'DCF'!G12/(1+(G332))^'DCF'!G13,(('Historical Inputs'!$N$9*(1+(D332))^4)*(('Assumptions'!H37+(E332))*(1-'Assumptions'!H42-(0))+'Assumptions'!H47-'Assumptions'!H52*(F332)+'Assumptions'!H57-'Assumptions'!H62*(1)-'Assumptions'!H67-(0))+(('Historical Inputs'!$N$9*(1+(D332))^3)*('Assumptions'!G67+(0))))*'DCF'!H12/(1+(G332))^'DCF'!H13,(('Historical Inputs'!$N$9*(1+(D332))^5)*(('Assumptions'!I37+(E332))*(1-'Assumptions'!I42-(0))+'Assumptions'!I47-'Assumptions'!I52*(F332)+'Assumptions'!I57-'Assumptions'!I62*(1)-'Assumptions'!I67-(0))+(('Historical Inputs'!$N$9*(1+(D332))^4)*('Assumptions'!H67+(0))))*'DCF'!I12/(1+(G332))^'DCF'!I13)+('Historical Inputs'!$N$9*(1+(D332))^5)*(1+(H332))*('Terminal Value'!$E$10+(E332))*(1-'Assumptions'!$E$15-(0))*(1-(H332)/('Terminal Value'!$E$12))/((G332)-(H332))/(1+(G332))^'DCF'!$E$19)+'Equity Bridge'!$E$17)/'Equity Bridge'!$E$20</x:f>
        <x:v>297.2732624574422</x:v>
      </x:c>
      <x:c r="X332" s="255" t="n">
        <x:v>0.7602266161884065</x:v>
      </x:c>
      <x:c r="Y332" s="255" t="n">
        <x:v>0.6609547759687395</x:v>
      </x:c>
      <x:c r="Z332" s="255" t="n">
        <x:v>0.8060322213135835</x:v>
      </x:c>
      <x:c r="AA332" s="255" t="n">
        <x:v>0.7638996094184834</x:v>
      </x:c>
      <x:c r="AB332" s="255" t="n">
        <x:v>0.91383522753779</x:v>
      </x:c>
    </x:row>
    <x:row r="333" ht="24" customHeight="1">
      <x:c r="C333" s="256" t="n">
        <x:f>302</x:f>
        <x:v>302</x:v>
      </x:c>
      <x:c r="D333" s="258" t="n">
        <x:f>IF(X333&lt;($E$12-$D$12)/($F$12-$D$12),$D$12+SQRT(X333*($F$12-$D$12)*($E$12-$D$12)),$F$12-SQRT((1-X333)*($F$12-$D$12)*($F$12-$E$12)))</x:f>
        <x:v>0.15070521517800006</x:v>
      </x:c>
      <x:c r="E333" s="258" t="n">
        <x:f>IF(Y333&lt;($E$13-$D$13)/($F$13-$D$13),$D$13+SQRT(Y333*($F$13-$D$13)*($E$13-$D$13)),$F$13-SQRT((1-Y333)*($F$13-$D$13)*($F$13-$E$13)))</x:f>
        <x:v>-0.0241356974012044</x:v>
      </x:c>
      <x:c r="F333" s="260" t="n">
        <x:f>IF(Z333&lt;($E$14-$D$14)/($F$14-$D$14),$D$14+SQRT(Z333*($F$14-$D$14)*($E$14-$D$14)),$F$14-SQRT((1-Z333)*($F$14-$D$14)*($F$14-$E$14)))</x:f>
        <x:v>1.1594697130609926</x:v>
      </x:c>
      <x:c r="G333" s="258" t="n">
        <x:f>IF(AA333&lt;($E$15-$D$15)/($F$15-$D$15),$D$15+SQRT(AA333*($F$15-$D$15)*($E$15-$D$15)),$F$15-SQRT((1-AA333)*($F$15-$D$15)*($F$15-$E$15)))</x:f>
        <x:v>0.09586054773334746</x:v>
      </x:c>
      <x:c r="H333" s="258" t="n">
        <x:f>IF(AB333&lt;($E$16-$D$16)/($F$16-$D$16),$D$16+SQRT(AB333*($F$16-$D$16)*($E$16-$D$16)),$F$16-SQRT((1-AB333)*($F$16-$D$16)*($F$16-$E$16)))</x:f>
        <x:v>0.02909843935348277</x:v>
      </x:c>
      <x:c r="I333" s="262" t="n">
        <x:f>'Historical Inputs'!$N$9*(1+D333)^5</x:f>
        <x:v>669495.763071483</x:v>
      </x:c>
      <x:c r="J333" s="262" t="n">
        <x:f>I333*(1+H333)*('Terminal Value'!$E$10+E333)*(1-'Assumptions'!$E$15)*(1-H333/'Terminal Value'!$E$12)</x:f>
        <x:v>177027.95536681375</x:v>
      </x:c>
      <x:c r="K333" s="264" t="n">
        <x:f>((SUM((('Historical Inputs'!$N$9*(1+(D333))^1)*(('Assumptions'!E37+(E333))*(1-'Assumptions'!E42-(0))+'Assumptions'!E47-'Assumptions'!E52*(F333)+'Assumptions'!E57-'Assumptions'!E62*(1)-'Assumptions'!E67-(0))+('Working Capital'!$E$6))*'DCF'!E12/(1+(G333))^'DCF'!E13,(('Historical Inputs'!$N$9*(1+(D333))^2)*(('Assumptions'!F37+(E333))*(1-'Assumptions'!F42-(0))+'Assumptions'!F47-'Assumptions'!F52*(F333)+'Assumptions'!F57-'Assumptions'!F62*(1)-'Assumptions'!F67-(0))+(('Historical Inputs'!$N$9*(1+(D333))^1)*('Assumptions'!E67+(0))))*'DCF'!F12/(1+(G333))^'DCF'!F13,(('Historical Inputs'!$N$9*(1+(D333))^3)*(('Assumptions'!G37+(E333))*(1-'Assumptions'!G42-(0))+'Assumptions'!G47-'Assumptions'!G52*(F333)+'Assumptions'!G57-'Assumptions'!G62*(1)-'Assumptions'!G67-(0))+(('Historical Inputs'!$N$9*(1+(D333))^2)*('Assumptions'!F67+(0))))*'DCF'!G12/(1+(G333))^'DCF'!G13,(('Historical Inputs'!$N$9*(1+(D333))^4)*(('Assumptions'!H37+(E333))*(1-'Assumptions'!H42-(0))+'Assumptions'!H47-'Assumptions'!H52*(F333)+'Assumptions'!H57-'Assumptions'!H62*(1)-'Assumptions'!H67-(0))+(('Historical Inputs'!$N$9*(1+(D333))^3)*('Assumptions'!G67+(0))))*'DCF'!H12/(1+(G333))^'DCF'!H13,(('Historical Inputs'!$N$9*(1+(D333))^5)*(('Assumptions'!I37+(E333))*(1-'Assumptions'!I42-(0))+'Assumptions'!I47-'Assumptions'!I52*(F333)+'Assumptions'!I57-'Assumptions'!I62*(1)-'Assumptions'!I67-(0))+(('Historical Inputs'!$N$9*(1+(D333))^4)*('Assumptions'!H67+(0))))*'DCF'!I12/(1+(G333))^'DCF'!I13)+('Historical Inputs'!$N$9*(1+(D333))^5)*(1+(H333))*('Terminal Value'!$E$10+(E333))*(1-'Assumptions'!$E$15-(0))*(1-(H333)/('Terminal Value'!$E$12))/((G333)-(H333))/(1+(G333))^'DCF'!$E$19)+'Equity Bridge'!$E$17)/'Equity Bridge'!$E$20</x:f>
        <x:v>272.84927359842493</x:v>
      </x:c>
      <x:c r="X333" s="255" t="n">
        <x:v>0.6378687501972691</x:v>
      </x:c>
      <x:c r="Y333" s="255" t="n">
        <x:v>0.13379242978441297</x:v>
      </x:c>
      <x:c r="Z333" s="255" t="n">
        <x:v>0.9765327977234532</x:v>
      </x:c>
      <x:c r="AA333" s="255" t="n">
        <x:v>0.35956208800998124</x:v>
      </x:c>
      <x:c r="AB333" s="255" t="n">
        <x:v>0.41390799334502004</x:v>
      </x:c>
    </x:row>
    <x:row r="334" ht="24" customHeight="1">
      <x:c r="C334" s="256" t="n">
        <x:f>303</x:f>
        <x:v>303</x:v>
      </x:c>
      <x:c r="D334" s="258" t="n">
        <x:f>IF(X334&lt;($E$12-$D$12)/($F$12-$D$12),$D$12+SQRT(X334*($F$12-$D$12)*($E$12-$D$12)),$F$12-SQRT((1-X334)*($F$12-$D$12)*($F$12-$E$12)))</x:f>
        <x:v>0.15302831432838732</x:v>
      </x:c>
      <x:c r="E334" s="258" t="n">
        <x:f>IF(Y334&lt;($E$13-$D$13)/($F$13-$D$13),$D$13+SQRT(Y334*($F$13-$D$13)*($E$13-$D$13)),$F$13-SQRT((1-Y334)*($F$13-$D$13)*($F$13-$E$13)))</x:f>
        <x:v>0.023484158810950766</x:v>
      </x:c>
      <x:c r="F334" s="260" t="n">
        <x:f>IF(Z334&lt;($E$14-$D$14)/($F$14-$D$14),$D$14+SQRT(Z334*($F$14-$D$14)*($E$14-$D$14)),$F$14-SQRT((1-Z334)*($F$14-$D$14)*($F$14-$E$14)))</x:f>
        <x:v>1.0705864779655496</x:v>
      </x:c>
      <x:c r="G334" s="258" t="n">
        <x:f>IF(AA334&lt;($E$15-$D$15)/($F$15-$D$15),$D$15+SQRT(AA334*($F$15-$D$15)*($E$15-$D$15)),$F$15-SQRT((1-AA334)*($F$15-$D$15)*($F$15-$E$15)))</x:f>
        <x:v>0.09949978387716213</x:v>
      </x:c>
      <x:c r="H334" s="258" t="n">
        <x:f>IF(AB334&lt;($E$16-$D$16)/($F$16-$D$16),$D$16+SQRT(AB334*($F$16-$D$16)*($E$16-$D$16)),$F$16-SQRT((1-AB334)*($F$16-$D$16)*($F$16-$E$16)))</x:f>
        <x:v>0.031804416902535236</x:v>
      </x:c>
      <x:c r="I334" s="262" t="n">
        <x:f>'Historical Inputs'!$N$9*(1+D334)^5</x:f>
        <x:v>676281.156750924</x:v>
      </x:c>
      <x:c r="J334" s="262" t="n">
        <x:f>I334*(1+H334)*('Terminal Value'!$E$10+E334)*(1-'Assumptions'!$E$15)*(1-H334/'Terminal Value'!$E$12)</x:f>
        <x:v>198809.1722097754</x:v>
      </x:c>
      <x:c r="K334" s="264" t="n">
        <x:f>((SUM((('Historical Inputs'!$N$9*(1+(D334))^1)*(('Assumptions'!E37+(E334))*(1-'Assumptions'!E42-(0))+'Assumptions'!E47-'Assumptions'!E52*(F334)+'Assumptions'!E57-'Assumptions'!E62*(1)-'Assumptions'!E67-(0))+('Working Capital'!$E$6))*'DCF'!E12/(1+(G334))^'DCF'!E13,(('Historical Inputs'!$N$9*(1+(D334))^2)*(('Assumptions'!F37+(E334))*(1-'Assumptions'!F42-(0))+'Assumptions'!F47-'Assumptions'!F52*(F334)+'Assumptions'!F57-'Assumptions'!F62*(1)-'Assumptions'!F67-(0))+(('Historical Inputs'!$N$9*(1+(D334))^1)*('Assumptions'!E67+(0))))*'DCF'!F12/(1+(G334))^'DCF'!F13,(('Historical Inputs'!$N$9*(1+(D334))^3)*(('Assumptions'!G37+(E334))*(1-'Assumptions'!G42-(0))+'Assumptions'!G47-'Assumptions'!G52*(F334)+'Assumptions'!G57-'Assumptions'!G62*(1)-'Assumptions'!G67-(0))+(('Historical Inputs'!$N$9*(1+(D334))^2)*('Assumptions'!F67+(0))))*'DCF'!G12/(1+(G334))^'DCF'!G13,(('Historical Inputs'!$N$9*(1+(D334))^4)*(('Assumptions'!H37+(E334))*(1-'Assumptions'!H42-(0))+'Assumptions'!H47-'Assumptions'!H52*(F334)+'Assumptions'!H57-'Assumptions'!H62*(1)-'Assumptions'!H67-(0))+(('Historical Inputs'!$N$9*(1+(D334))^3)*('Assumptions'!G67+(0))))*'DCF'!H12/(1+(G334))^'DCF'!H13,(('Historical Inputs'!$N$9*(1+(D334))^5)*(('Assumptions'!I37+(E334))*(1-'Assumptions'!I42-(0))+'Assumptions'!I47-'Assumptions'!I52*(F334)+'Assumptions'!I57-'Assumptions'!I62*(1)-'Assumptions'!I67-(0))+(('Historical Inputs'!$N$9*(1+(D334))^4)*('Assumptions'!H67+(0))))*'DCF'!I12/(1+(G334))^'DCF'!I13)+('Historical Inputs'!$N$9*(1+(D334))^5)*(1+(H334))*('Terminal Value'!$E$10+(E334))*(1-'Assumptions'!$E$15-(0))*(1-(H334)/('Terminal Value'!$E$12))/((G334)-(H334))/(1+(G334))^'DCF'!$E$19)+'Equity Bridge'!$E$17)/'Equity Bridge'!$E$20</x:f>
        <x:v>309.3998669646899</x:v>
      </x:c>
      <x:c r="X334" s="255" t="n">
        <x:v>0.6763302186133808</x:v>
      </x:c>
      <x:c r="Y334" s="255" t="n">
        <x:v>0.859382033207424</x:v>
      </x:c>
      <x:c r="Z334" s="255" t="n">
        <x:v>0.7607448616376977</x:v>
      </x:c>
      <x:c r="AA334" s="255" t="n">
        <x:v>0.5865209545935007</x:v>
      </x:c>
      <x:c r="AB334" s="255" t="n">
        <x:v>0.6641620884627495</x:v>
      </x:c>
    </x:row>
    <x:row r="335" ht="24" customHeight="1">
      <x:c r="C335" s="256" t="n">
        <x:f>304</x:f>
        <x:v>304</x:v>
      </x:c>
      <x:c r="D335" s="258" t="n">
        <x:f>IF(X335&lt;($E$12-$D$12)/($F$12-$D$12),$D$12+SQRT(X335*($F$12-$D$12)*($E$12-$D$12)),$F$12-SQRT((1-X335)*($F$12-$D$12)*($F$12-$E$12)))</x:f>
        <x:v>0.1112940036837221</x:v>
      </x:c>
      <x:c r="E335" s="258" t="n">
        <x:f>IF(Y335&lt;($E$13-$D$13)/($F$13-$D$13),$D$13+SQRT(Y335*($F$13-$D$13)*($E$13-$D$13)),$F$13-SQRT((1-Y335)*($F$13-$D$13)*($F$13-$E$13)))</x:f>
        <x:v>-0.03797204365326256</x:v>
      </x:c>
      <x:c r="F335" s="260" t="n">
        <x:f>IF(Z335&lt;($E$14-$D$14)/($F$14-$D$14),$D$14+SQRT(Z335*($F$14-$D$14)*($E$14-$D$14)),$F$14-SQRT((1-Z335)*($F$14-$D$14)*($F$14-$E$14)))</x:f>
        <x:v>0.9096545678290352</x:v>
      </x:c>
      <x:c r="G335" s="258" t="n">
        <x:f>IF(AA335&lt;($E$15-$D$15)/($F$15-$D$15),$D$15+SQRT(AA335*($F$15-$D$15)*($E$15-$D$15)),$F$15-SQRT((1-AA335)*($F$15-$D$15)*($F$15-$E$15)))</x:f>
        <x:v>0.10376780775034757</x:v>
      </x:c>
      <x:c r="H335" s="258" t="n">
        <x:f>IF(AB335&lt;($E$16-$D$16)/($F$16-$D$16),$D$16+SQRT(AB335*($F$16-$D$16)*($E$16-$D$16)),$F$16-SQRT((1-AB335)*($F$16-$D$16)*($F$16-$E$16)))</x:f>
        <x:v>0.031848661056182864</x:v>
      </x:c>
      <x:c r="I335" s="262" t="n">
        <x:f>'Historical Inputs'!$N$9*(1+D335)^5</x:f>
        <x:v>562434.9250993334</x:v>
      </x:c>
      <x:c r="J335" s="262" t="n">
        <x:f>I335*(1+H335)*('Terminal Value'!$E$10+E335)*(1-'Assumptions'!$E$15)*(1-H335/'Terminal Value'!$E$12)</x:f>
        <x:v>141315.7981455213</x:v>
      </x:c>
      <x:c r="K335" s="264" t="n">
        <x:f>((SUM((('Historical Inputs'!$N$9*(1+(D335))^1)*(('Assumptions'!E37+(E335))*(1-'Assumptions'!E42-(0))+'Assumptions'!E47-'Assumptions'!E52*(F335)+'Assumptions'!E57-'Assumptions'!E62*(1)-'Assumptions'!E67-(0))+('Working Capital'!$E$6))*'DCF'!E12/(1+(G335))^'DCF'!E13,(('Historical Inputs'!$N$9*(1+(D335))^2)*(('Assumptions'!F37+(E335))*(1-'Assumptions'!F42-(0))+'Assumptions'!F47-'Assumptions'!F52*(F335)+'Assumptions'!F57-'Assumptions'!F62*(1)-'Assumptions'!F67-(0))+(('Historical Inputs'!$N$9*(1+(D335))^1)*('Assumptions'!E67+(0))))*'DCF'!F12/(1+(G335))^'DCF'!F13,(('Historical Inputs'!$N$9*(1+(D335))^3)*(('Assumptions'!G37+(E335))*(1-'Assumptions'!G42-(0))+'Assumptions'!G47-'Assumptions'!G52*(F335)+'Assumptions'!G57-'Assumptions'!G62*(1)-'Assumptions'!G67-(0))+(('Historical Inputs'!$N$9*(1+(D335))^2)*('Assumptions'!F67+(0))))*'DCF'!G12/(1+(G335))^'DCF'!G13,(('Historical Inputs'!$N$9*(1+(D335))^4)*(('Assumptions'!H37+(E335))*(1-'Assumptions'!H42-(0))+'Assumptions'!H47-'Assumptions'!H52*(F335)+'Assumptions'!H57-'Assumptions'!H62*(1)-'Assumptions'!H67-(0))+(('Historical Inputs'!$N$9*(1+(D335))^3)*('Assumptions'!G67+(0))))*'DCF'!H12/(1+(G335))^'DCF'!H13,(('Historical Inputs'!$N$9*(1+(D335))^5)*(('Assumptions'!I37+(E335))*(1-'Assumptions'!I42-(0))+'Assumptions'!I47-'Assumptions'!I52*(F335)+'Assumptions'!I57-'Assumptions'!I62*(1)-'Assumptions'!I67-(0))+(('Historical Inputs'!$N$9*(1+(D335))^4)*('Assumptions'!H67+(0))))*'DCF'!I12/(1+(G335))^'DCF'!I13)+('Historical Inputs'!$N$9*(1+(D335))^5)*(1+(H335))*('Terminal Value'!$E$10+(E335))*(1-'Assumptions'!$E$15-(0))*(1-(H335)/('Terminal Value'!$E$12))/((G335)-(H335))/(1+(G335))^'DCF'!$E$19)+'Equity Bridge'!$E$17)/'Equity Bridge'!$E$20</x:f>
        <x:v>213.1234634295019</x:v>
      </x:c>
      <x:c r="X335" s="255" t="n">
        <x:v>0.0650665429067453</x:v>
      </x:c>
      <x:c r="Y335" s="255" t="n">
        <x:v>0.02893434677580431</x:v>
      </x:c>
      <x:c r="Z335" s="255" t="n">
        <x:v>0.06778414214988504</x:v>
      </x:c>
      <x:c r="AA335" s="255" t="n">
        <x:v>0.804789089258199</x:v>
      </x:c>
      <x:c r="AB335" s="255" t="n">
        <x:v>0.6677783671150505</x:v>
      </x:c>
    </x:row>
    <x:row r="336" ht="24" customHeight="1">
      <x:c r="C336" s="256" t="n">
        <x:f>305</x:f>
        <x:v>305</x:v>
      </x:c>
      <x:c r="D336" s="258" t="n">
        <x:f>IF(X336&lt;($E$12-$D$12)/($F$12-$D$12),$D$12+SQRT(X336*($F$12-$D$12)*($E$12-$D$12)),$F$12-SQRT((1-X336)*($F$12-$D$12)*($F$12-$E$12)))</x:f>
        <x:v>0.1479362527994182</x:v>
      </x:c>
      <x:c r="E336" s="258" t="n">
        <x:f>IF(Y336&lt;($E$13-$D$13)/($F$13-$D$13),$D$13+SQRT(Y336*($F$13-$D$13)*($E$13-$D$13)),$F$13-SQRT((1-Y336)*($F$13-$D$13)*($F$13-$E$13)))</x:f>
        <x:v>0.0011794223642708004</x:v>
      </x:c>
      <x:c r="F336" s="260" t="n">
        <x:f>IF(Z336&lt;($E$14-$D$14)/($F$14-$D$14),$D$14+SQRT(Z336*($F$14-$D$14)*($E$14-$D$14)),$F$14-SQRT((1-Z336)*($F$14-$D$14)*($F$14-$E$14)))</x:f>
        <x:v>1.1562989156579189</x:v>
      </x:c>
      <x:c r="G336" s="258" t="n">
        <x:f>IF(AA336&lt;($E$15-$D$15)/($F$15-$D$15),$D$15+SQRT(AA336*($F$15-$D$15)*($E$15-$D$15)),$F$15-SQRT((1-AA336)*($F$15-$D$15)*($F$15-$E$15)))</x:f>
        <x:v>0.08676320141842482</x:v>
      </x:c>
      <x:c r="H336" s="258" t="n">
        <x:f>IF(AB336&lt;($E$16-$D$16)/($F$16-$D$16),$D$16+SQRT(AB336*($F$16-$D$16)*($E$16-$D$16)),$F$16-SQRT((1-AB336)*($F$16-$D$16)*($F$16-$E$16)))</x:f>
        <x:v>0.03274153899584853</x:v>
      </x:c>
      <x:c r="I336" s="262" t="n">
        <x:f>'Historical Inputs'!$N$9*(1+D336)^5</x:f>
        <x:v>661479.3384741874</x:v>
      </x:c>
      <x:c r="J336" s="262" t="n">
        <x:f>I336*(1+H336)*('Terminal Value'!$E$10+E336)*(1-'Assumptions'!$E$15)*(1-H336/'Terminal Value'!$E$12)</x:f>
        <x:v>183355.80553308025</x:v>
      </x:c>
      <x:c r="K336" s="264" t="n">
        <x:f>((SUM((('Historical Inputs'!$N$9*(1+(D336))^1)*(('Assumptions'!E37+(E336))*(1-'Assumptions'!E42-(0))+'Assumptions'!E47-'Assumptions'!E52*(F336)+'Assumptions'!E57-'Assumptions'!E62*(1)-'Assumptions'!E67-(0))+('Working Capital'!$E$6))*'DCF'!E12/(1+(G336))^'DCF'!E13,(('Historical Inputs'!$N$9*(1+(D336))^2)*(('Assumptions'!F37+(E336))*(1-'Assumptions'!F42-(0))+'Assumptions'!F47-'Assumptions'!F52*(F336)+'Assumptions'!F57-'Assumptions'!F62*(1)-'Assumptions'!F67-(0))+(('Historical Inputs'!$N$9*(1+(D336))^1)*('Assumptions'!E67+(0))))*'DCF'!F12/(1+(G336))^'DCF'!F13,(('Historical Inputs'!$N$9*(1+(D336))^3)*(('Assumptions'!G37+(E336))*(1-'Assumptions'!G42-(0))+'Assumptions'!G47-'Assumptions'!G52*(F336)+'Assumptions'!G57-'Assumptions'!G62*(1)-'Assumptions'!G67-(0))+(('Historical Inputs'!$N$9*(1+(D336))^2)*('Assumptions'!F67+(0))))*'DCF'!G12/(1+(G336))^'DCF'!G13,(('Historical Inputs'!$N$9*(1+(D336))^4)*(('Assumptions'!H37+(E336))*(1-'Assumptions'!H42-(0))+'Assumptions'!H47-'Assumptions'!H52*(F336)+'Assumptions'!H57-'Assumptions'!H62*(1)-'Assumptions'!H67-(0))+(('Historical Inputs'!$N$9*(1+(D336))^3)*('Assumptions'!G67+(0))))*'DCF'!H12/(1+(G336))^'DCF'!H13,(('Historical Inputs'!$N$9*(1+(D336))^5)*(('Assumptions'!I37+(E336))*(1-'Assumptions'!I42-(0))+'Assumptions'!I47-'Assumptions'!I52*(F336)+'Assumptions'!I57-'Assumptions'!I62*(1)-'Assumptions'!I67-(0))+(('Historical Inputs'!$N$9*(1+(D336))^4)*('Assumptions'!H67+(0))))*'DCF'!I12/(1+(G336))^'DCF'!I13)+('Historical Inputs'!$N$9*(1+(D336))^5)*(1+(H336))*('Terminal Value'!$E$10+(E336))*(1-'Assumptions'!$E$15-(0))*(1-(H336)/('Terminal Value'!$E$12))/((G336)-(H336))/(1+(G336))^'DCF'!$E$19)+'Equity Bridge'!$E$17)/'Equity Bridge'!$E$20</x:f>
        <x:v>355.7037421198436</x:v>
      </x:c>
      <x:c r="X336" s="255" t="n">
        <x:v>0.5892055789668047</x:v>
      </x:c>
      <x:c r="Y336" s="255" t="n">
        <x:v>0.5233102398627476</x:v>
      </x:c>
      <x:c r="Z336" s="255" t="n">
        <x:v>0.972717360390376</x:v>
      </x:c>
      <x:c r="AA336" s="255" t="n">
        <x:v>0.029166472496246154</x:v>
      </x:c>
      <x:c r="AB336" s="255" t="n">
        <x:v>0.7365737192560622</x:v>
      </x:c>
    </x:row>
    <x:row r="337" ht="24" customHeight="1">
      <x:c r="C337" s="256" t="n">
        <x:f>306</x:f>
        <x:v>306</x:v>
      </x:c>
      <x:c r="D337" s="258" t="n">
        <x:f>IF(X337&lt;($E$12-$D$12)/($F$12-$D$12),$D$12+SQRT(X337*($F$12-$D$12)*($E$12-$D$12)),$F$12-SQRT((1-X337)*($F$12-$D$12)*($F$12-$E$12)))</x:f>
        <x:v>0.1165739662884698</x:v>
      </x:c>
      <x:c r="E337" s="258" t="n">
        <x:f>IF(Y337&lt;($E$13-$D$13)/($F$13-$D$13),$D$13+SQRT(Y337*($F$13-$D$13)*($E$13-$D$13)),$F$13-SQRT((1-Y337)*($F$13-$D$13)*($F$13-$E$13)))</x:f>
        <x:v>-0.017008303562869066</x:v>
      </x:c>
      <x:c r="F337" s="260" t="n">
        <x:f>IF(Z337&lt;($E$14-$D$14)/($F$14-$D$14),$D$14+SQRT(Z337*($F$14-$D$14)*($E$14-$D$14)),$F$14-SQRT((1-Z337)*($F$14-$D$14)*($F$14-$E$14)))</x:f>
        <x:v>1.0756790118561235</x:v>
      </x:c>
      <x:c r="G337" s="258" t="n">
        <x:f>IF(AA337&lt;($E$15-$D$15)/($F$15-$D$15),$D$15+SQRT(AA337*($F$15-$D$15)*($E$15-$D$15)),$F$15-SQRT((1-AA337)*($F$15-$D$15)*($F$15-$E$15)))</x:f>
        <x:v>0.09848766496286493</x:v>
      </x:c>
      <x:c r="H337" s="258" t="n">
        <x:f>IF(AB337&lt;($E$16-$D$16)/($F$16-$D$16),$D$16+SQRT(AB337*($F$16-$D$16)*($E$16-$D$16)),$F$16-SQRT((1-AB337)*($F$16-$D$16)*($F$16-$E$16)))</x:f>
        <x:v>0.02920461850401357</x:v>
      </x:c>
      <x:c r="I337" s="262" t="n">
        <x:f>'Historical Inputs'!$N$9*(1+D337)^5</x:f>
        <x:v>575923.6523057903</x:v>
      </x:c>
      <x:c r="J337" s="262" t="n">
        <x:f>I337*(1+H337)*('Terminal Value'!$E$10+E337)*(1-'Assumptions'!$E$15)*(1-H337/'Terminal Value'!$E$12)</x:f>
        <x:v>155092.97023333443</x:v>
      </x:c>
      <x:c r="K337" s="264" t="n">
        <x:f>((SUM((('Historical Inputs'!$N$9*(1+(D337))^1)*(('Assumptions'!E37+(E337))*(1-'Assumptions'!E42-(0))+'Assumptions'!E47-'Assumptions'!E52*(F337)+'Assumptions'!E57-'Assumptions'!E62*(1)-'Assumptions'!E67-(0))+('Working Capital'!$E$6))*'DCF'!E12/(1+(G337))^'DCF'!E13,(('Historical Inputs'!$N$9*(1+(D337))^2)*(('Assumptions'!F37+(E337))*(1-'Assumptions'!F42-(0))+'Assumptions'!F47-'Assumptions'!F52*(F337)+'Assumptions'!F57-'Assumptions'!F62*(1)-'Assumptions'!F67-(0))+(('Historical Inputs'!$N$9*(1+(D337))^1)*('Assumptions'!E67+(0))))*'DCF'!F12/(1+(G337))^'DCF'!F13,(('Historical Inputs'!$N$9*(1+(D337))^3)*(('Assumptions'!G37+(E337))*(1-'Assumptions'!G42-(0))+'Assumptions'!G47-'Assumptions'!G52*(F337)+'Assumptions'!G57-'Assumptions'!G62*(1)-'Assumptions'!G67-(0))+(('Historical Inputs'!$N$9*(1+(D337))^2)*('Assumptions'!F67+(0))))*'DCF'!G12/(1+(G337))^'DCF'!G13,(('Historical Inputs'!$N$9*(1+(D337))^4)*(('Assumptions'!H37+(E337))*(1-'Assumptions'!H42-(0))+'Assumptions'!H47-'Assumptions'!H52*(F337)+'Assumptions'!H57-'Assumptions'!H62*(1)-'Assumptions'!H67-(0))+(('Historical Inputs'!$N$9*(1+(D337))^3)*('Assumptions'!G67+(0))))*'DCF'!H12/(1+(G337))^'DCF'!H13,(('Historical Inputs'!$N$9*(1+(D337))^5)*(('Assumptions'!I37+(E337))*(1-'Assumptions'!I42-(0))+'Assumptions'!I47-'Assumptions'!I52*(F337)+'Assumptions'!I57-'Assumptions'!I62*(1)-'Assumptions'!I67-(0))+(('Historical Inputs'!$N$9*(1+(D337))^4)*('Assumptions'!H67+(0))))*'DCF'!I12/(1+(G337))^'DCF'!I13)+('Historical Inputs'!$N$9*(1+(D337))^5)*(1+(H337))*('Terminal Value'!$E$10+(E337))*(1-'Assumptions'!$E$15-(0))*(1-(H337)/('Terminal Value'!$E$12))/((G337)-(H337))/(1+(G337))^'DCF'!$E$19)+'Equity Bridge'!$E$17)/'Equity Bridge'!$E$20</x:f>
        <x:v>236.1157690292959</x:v>
      </x:c>
      <x:c r="X337" s="255" t="n">
        <x:v>0.10873597981264516</x:v>
      </x:c>
      <x:c r="Y337" s="255" t="n">
        <x:v>0.21769040675995954</x:v>
      </x:c>
      <x:c r="Z337" s="255" t="n">
        <x:v>0.7792041700990014</x:v>
      </x:c>
      <x:c r="AA337" s="255" t="n">
        <x:v>0.5228850130477346</x:v>
      </x:c>
      <x:c r="AB337" s="255" t="n">
        <x:v>0.42362500902214495</x:v>
      </x:c>
    </x:row>
    <x:row r="338" ht="24" customHeight="1">
      <x:c r="C338" s="256" t="n">
        <x:f>307</x:f>
        <x:v>307</x:v>
      </x:c>
      <x:c r="D338" s="258" t="n">
        <x:f>IF(X338&lt;($E$12-$D$12)/($F$12-$D$12),$D$12+SQRT(X338*($F$12-$D$12)*($E$12-$D$12)),$F$12-SQRT((1-X338)*($F$12-$D$12)*($F$12-$E$12)))</x:f>
        <x:v>0.1639462495975581</x:v>
      </x:c>
      <x:c r="E338" s="258" t="n">
        <x:f>IF(Y338&lt;($E$13-$D$13)/($F$13-$D$13),$D$13+SQRT(Y338*($F$13-$D$13)*($E$13-$D$13)),$F$13-SQRT((1-Y338)*($F$13-$D$13)*($F$13-$E$13)))</x:f>
        <x:v>0.002612417060139968</x:v>
      </x:c>
      <x:c r="F338" s="260" t="n">
        <x:f>IF(Z338&lt;($E$14-$D$14)/($F$14-$D$14),$D$14+SQRT(Z338*($F$14-$D$14)*($E$14-$D$14)),$F$14-SQRT((1-Z338)*($F$14-$D$14)*($F$14-$E$14)))</x:f>
        <x:v>1.0265701156545421</x:v>
      </x:c>
      <x:c r="G338" s="258" t="n">
        <x:f>IF(AA338&lt;($E$15-$D$15)/($F$15-$D$15),$D$15+SQRT(AA338*($F$15-$D$15)*($E$15-$D$15)),$F$15-SQRT((1-AA338)*($F$15-$D$15)*($F$15-$E$15)))</x:f>
        <x:v>0.09796455504122203</x:v>
      </x:c>
      <x:c r="H338" s="258" t="n">
        <x:f>IF(AB338&lt;($E$16-$D$16)/($F$16-$D$16),$D$16+SQRT(AB338*($F$16-$D$16)*($E$16-$D$16)),$F$16-SQRT((1-AB338)*($F$16-$D$16)*($F$16-$E$16)))</x:f>
        <x:v>0.027065701047350538</x:v>
      </x:c>
      <x:c r="I338" s="262" t="n">
        <x:f>'Historical Inputs'!$N$9*(1+D338)^5</x:f>
        <x:v>708911.550401667</x:v>
      </x:c>
      <x:c r="J338" s="262" t="n">
        <x:f>I338*(1+H338)*('Terminal Value'!$E$10+E338)*(1-'Assumptions'!$E$15)*(1-H338/'Terminal Value'!$E$12)</x:f>
        <x:v>202776.94349198768</x:v>
      </x:c>
      <x:c r="K338" s="264" t="n">
        <x:f>((SUM((('Historical Inputs'!$N$9*(1+(D338))^1)*(('Assumptions'!E37+(E338))*(1-'Assumptions'!E42-(0))+'Assumptions'!E47-'Assumptions'!E52*(F338)+'Assumptions'!E57-'Assumptions'!E62*(1)-'Assumptions'!E67-(0))+('Working Capital'!$E$6))*'DCF'!E12/(1+(G338))^'DCF'!E13,(('Historical Inputs'!$N$9*(1+(D338))^2)*(('Assumptions'!F37+(E338))*(1-'Assumptions'!F42-(0))+'Assumptions'!F47-'Assumptions'!F52*(F338)+'Assumptions'!F57-'Assumptions'!F62*(1)-'Assumptions'!F67-(0))+(('Historical Inputs'!$N$9*(1+(D338))^1)*('Assumptions'!E67+(0))))*'DCF'!F12/(1+(G338))^'DCF'!F13,(('Historical Inputs'!$N$9*(1+(D338))^3)*(('Assumptions'!G37+(E338))*(1-'Assumptions'!G42-(0))+'Assumptions'!G47-'Assumptions'!G52*(F338)+'Assumptions'!G57-'Assumptions'!G62*(1)-'Assumptions'!G67-(0))+(('Historical Inputs'!$N$9*(1+(D338))^2)*('Assumptions'!F67+(0))))*'DCF'!G12/(1+(G338))^'DCF'!G13,(('Historical Inputs'!$N$9*(1+(D338))^4)*(('Assumptions'!H37+(E338))*(1-'Assumptions'!H42-(0))+'Assumptions'!H47-'Assumptions'!H52*(F338)+'Assumptions'!H57-'Assumptions'!H62*(1)-'Assumptions'!H67-(0))+(('Historical Inputs'!$N$9*(1+(D338))^3)*('Assumptions'!G67+(0))))*'DCF'!H12/(1+(G338))^'DCF'!H13,(('Historical Inputs'!$N$9*(1+(D338))^5)*(('Assumptions'!I37+(E338))*(1-'Assumptions'!I42-(0))+'Assumptions'!I47-'Assumptions'!I52*(F338)+'Assumptions'!I57-'Assumptions'!I62*(1)-'Assumptions'!I67-(0))+(('Historical Inputs'!$N$9*(1+(D338))^4)*('Assumptions'!H67+(0))))*'DCF'!I12/(1+(G338))^'DCF'!I13)+('Historical Inputs'!$N$9*(1+(D338))^5)*(1+(H338))*('Terminal Value'!$E$10+(E338))*(1-'Assumptions'!$E$15-(0))*(1-(H338)/('Terminal Value'!$E$12))/((G338)-(H338))/(1+(G338))^'DCF'!$E$19)+'Equity Bridge'!$E$17)/'Equity Bridge'!$E$20</x:f>
        <x:v>305.13858700285516</x:v>
      </x:c>
      <x:c r="X338" s="255" t="n">
        <x:v>0.8281757262738072</x:v>
      </x:c>
      <x:c r="Y338" s="255" t="n">
        <x:v>0.5508833966235773</x:v>
      </x:c>
      <x:c r="Z338" s="255" t="n">
        <x:v>0.570315360227445</x:v>
      </x:c>
      <x:c r="AA338" s="255" t="n">
        <x:v>0.4883477403473456</x:v>
      </x:c>
      <x:c r="AB338" s="255" t="n">
        <x:v>0.24962065645265252</x:v>
      </x:c>
    </x:row>
    <x:row r="339" ht="24" customHeight="1">
      <x:c r="C339" s="256" t="n">
        <x:f>308</x:f>
        <x:v>308</x:v>
      </x:c>
      <x:c r="D339" s="258" t="n">
        <x:f>IF(X339&lt;($E$12-$D$12)/($F$12-$D$12),$D$12+SQRT(X339*($F$12-$D$12)*($E$12-$D$12)),$F$12-SQRT((1-X339)*($F$12-$D$12)*($F$12-$E$12)))</x:f>
        <x:v>0.10867135626590593</x:v>
      </x:c>
      <x:c r="E339" s="258" t="n">
        <x:f>IF(Y339&lt;($E$13-$D$13)/($F$13-$D$13),$D$13+SQRT(Y339*($F$13-$D$13)*($E$13-$D$13)),$F$13-SQRT((1-Y339)*($F$13-$D$13)*($F$13-$E$13)))</x:f>
        <x:v>0.0006845576320148317</x:v>
      </x:c>
      <x:c r="F339" s="260" t="n">
        <x:f>IF(Z339&lt;($E$14-$D$14)/($F$14-$D$14),$D$14+SQRT(Z339*($F$14-$D$14)*($E$14-$D$14)),$F$14-SQRT((1-Z339)*($F$14-$D$14)*($F$14-$E$14)))</x:f>
        <x:v>1.1198934248617671</x:v>
      </x:c>
      <x:c r="G339" s="258" t="n">
        <x:f>IF(AA339&lt;($E$15-$D$15)/($F$15-$D$15),$D$15+SQRT(AA339*($F$15-$D$15)*($E$15-$D$15)),$F$15-SQRT((1-AA339)*($F$15-$D$15)*($F$15-$E$15)))</x:f>
        <x:v>0.08647939766119936</x:v>
      </x:c>
      <x:c r="H339" s="258" t="n">
        <x:f>IF(AB339&lt;($E$16-$D$16)/($F$16-$D$16),$D$16+SQRT(AB339*($F$16-$D$16)*($E$16-$D$16)),$F$16-SQRT((1-AB339)*($F$16-$D$16)*($F$16-$E$16)))</x:f>
        <x:v>0.03022785053494258</x:v>
      </x:c>
      <x:c r="I339" s="262" t="n">
        <x:f>'Historical Inputs'!$N$9*(1+D339)^5</x:f>
        <x:v>555829.460638574</x:v>
      </x:c>
      <x:c r="J339" s="262" t="n">
        <x:f>I339*(1+H339)*('Terminal Value'!$E$10+E339)*(1-'Assumptions'!$E$15)*(1-H339/'Terminal Value'!$E$12)</x:f>
        <x:v>155813.07256481622</x:v>
      </x:c>
      <x:c r="K339" s="264" t="n">
        <x:f>((SUM((('Historical Inputs'!$N$9*(1+(D339))^1)*(('Assumptions'!E37+(E339))*(1-'Assumptions'!E42-(0))+'Assumptions'!E47-'Assumptions'!E52*(F339)+'Assumptions'!E57-'Assumptions'!E62*(1)-'Assumptions'!E67-(0))+('Working Capital'!$E$6))*'DCF'!E12/(1+(G339))^'DCF'!E13,(('Historical Inputs'!$N$9*(1+(D339))^2)*(('Assumptions'!F37+(E339))*(1-'Assumptions'!F42-(0))+'Assumptions'!F47-'Assumptions'!F52*(F339)+'Assumptions'!F57-'Assumptions'!F62*(1)-'Assumptions'!F67-(0))+(('Historical Inputs'!$N$9*(1+(D339))^1)*('Assumptions'!E67+(0))))*'DCF'!F12/(1+(G339))^'DCF'!F13,(('Historical Inputs'!$N$9*(1+(D339))^3)*(('Assumptions'!G37+(E339))*(1-'Assumptions'!G42-(0))+'Assumptions'!G47-'Assumptions'!G52*(F339)+'Assumptions'!G57-'Assumptions'!G62*(1)-'Assumptions'!G67-(0))+(('Historical Inputs'!$N$9*(1+(D339))^2)*('Assumptions'!F67+(0))))*'DCF'!G12/(1+(G339))^'DCF'!G13,(('Historical Inputs'!$N$9*(1+(D339))^4)*(('Assumptions'!H37+(E339))*(1-'Assumptions'!H42-(0))+'Assumptions'!H47-'Assumptions'!H52*(F339)+'Assumptions'!H57-'Assumptions'!H62*(1)-'Assumptions'!H67-(0))+(('Historical Inputs'!$N$9*(1+(D339))^3)*('Assumptions'!G67+(0))))*'DCF'!H12/(1+(G339))^'DCF'!H13,(('Historical Inputs'!$N$9*(1+(D339))^5)*(('Assumptions'!I37+(E339))*(1-'Assumptions'!I42-(0))+'Assumptions'!I47-'Assumptions'!I52*(F339)+'Assumptions'!I57-'Assumptions'!I62*(1)-'Assumptions'!I67-(0))+(('Historical Inputs'!$N$9*(1+(D339))^4)*('Assumptions'!H67+(0))))*'DCF'!I12/(1+(G339))^'DCF'!I13)+('Historical Inputs'!$N$9*(1+(D339))^5)*(1+(H339))*('Terminal Value'!$E$10+(E339))*(1-'Assumptions'!$E$15-(0))*(1-(H339)/('Terminal Value'!$E$12))/((G339)-(H339))/(1+(G339))^'DCF'!$E$19)+'Equity Bridge'!$E$17)/'Equity Bridge'!$E$20</x:f>
        <x:v>295.6078758198108</x:v>
      </x:c>
      <x:c r="X339" s="255" t="n">
        <x:v>0.04752034124470028</x:v>
      </x:c>
      <x:c r="Y339" s="255" t="n">
        <x:v>0.5135974288099867</x:v>
      </x:c>
      <x:c r="Z339" s="255" t="n">
        <x:v>0.9083276659946095</x:v>
      </x:c>
      <x:c r="AA339" s="255" t="n">
        <x:v>0.02477580101515653</x:v>
      </x:c>
      <x:c r="AB339" s="255" t="n">
        <x:v>0.5225254741628901</x:v>
      </x:c>
    </x:row>
    <x:row r="340" ht="24" customHeight="1">
      <x:c r="C340" s="256" t="n">
        <x:f>309</x:f>
        <x:v>309</x:v>
      </x:c>
      <x:c r="D340" s="258" t="n">
        <x:f>IF(X340&lt;($E$12-$D$12)/($F$12-$D$12),$D$12+SQRT(X340*($F$12-$D$12)*($E$12-$D$12)),$F$12-SQRT((1-X340)*($F$12-$D$12)*($F$12-$E$12)))</x:f>
        <x:v>0.13333924199041183</x:v>
      </x:c>
      <x:c r="E340" s="258" t="n">
        <x:f>IF(Y340&lt;($E$13-$D$13)/($F$13-$D$13),$D$13+SQRT(Y340*($F$13-$D$13)*($E$13-$D$13)),$F$13-SQRT((1-Y340)*($F$13-$D$13)*($F$13-$E$13)))</x:f>
        <x:v>-0.028559679665275176</x:v>
      </x:c>
      <x:c r="F340" s="260" t="n">
        <x:f>IF(Z340&lt;($E$14-$D$14)/($F$14-$D$14),$D$14+SQRT(Z340*($F$14-$D$14)*($E$14-$D$14)),$F$14-SQRT((1-Z340)*($F$14-$D$14)*($F$14-$E$14)))</x:f>
        <x:v>0.9264130494606841</x:v>
      </x:c>
      <x:c r="G340" s="258" t="n">
        <x:f>IF(AA340&lt;($E$15-$D$15)/($F$15-$D$15),$D$15+SQRT(AA340*($F$15-$D$15)*($E$15-$D$15)),$F$15-SQRT((1-AA340)*($F$15-$D$15)*($F$15-$E$15)))</x:f>
        <x:v>0.10035706613932538</x:v>
      </x:c>
      <x:c r="H340" s="258" t="n">
        <x:f>IF(AB340&lt;($E$16-$D$16)/($F$16-$D$16),$D$16+SQRT(AB340*($F$16-$D$16)*($E$16-$D$16)),$F$16-SQRT((1-AB340)*($F$16-$D$16)*($F$16-$E$16)))</x:f>
        <x:v>0.02793151713807411</x:v>
      </x:c>
      <x:c r="I340" s="262" t="n">
        <x:f>'Historical Inputs'!$N$9*(1+D340)^5</x:f>
        <x:v>620478.9587043195</x:v>
      </x:c>
      <x:c r="J340" s="262" t="n">
        <x:f>I340*(1+H340)*('Terminal Value'!$E$10+E340)*(1-'Assumptions'!$E$15)*(1-H340/'Terminal Value'!$E$12)</x:f>
        <x:v>163057.8105879397</x:v>
      </x:c>
      <x:c r="K340" s="264" t="n">
        <x:f>((SUM((('Historical Inputs'!$N$9*(1+(D340))^1)*(('Assumptions'!E37+(E340))*(1-'Assumptions'!E42-(0))+'Assumptions'!E47-'Assumptions'!E52*(F340)+'Assumptions'!E57-'Assumptions'!E62*(1)-'Assumptions'!E67-(0))+('Working Capital'!$E$6))*'DCF'!E12/(1+(G340))^'DCF'!E13,(('Historical Inputs'!$N$9*(1+(D340))^2)*(('Assumptions'!F37+(E340))*(1-'Assumptions'!F42-(0))+'Assumptions'!F47-'Assumptions'!F52*(F340)+'Assumptions'!F57-'Assumptions'!F62*(1)-'Assumptions'!F67-(0))+(('Historical Inputs'!$N$9*(1+(D340))^1)*('Assumptions'!E67+(0))))*'DCF'!F12/(1+(G340))^'DCF'!F13,(('Historical Inputs'!$N$9*(1+(D340))^3)*(('Assumptions'!G37+(E340))*(1-'Assumptions'!G42-(0))+'Assumptions'!G47-'Assumptions'!G52*(F340)+'Assumptions'!G57-'Assumptions'!G62*(1)-'Assumptions'!G67-(0))+(('Historical Inputs'!$N$9*(1+(D340))^2)*('Assumptions'!F67+(0))))*'DCF'!G12/(1+(G340))^'DCF'!G13,(('Historical Inputs'!$N$9*(1+(D340))^4)*(('Assumptions'!H37+(E340))*(1-'Assumptions'!H42-(0))+'Assumptions'!H47-'Assumptions'!H52*(F340)+'Assumptions'!H57-'Assumptions'!H62*(1)-'Assumptions'!H67-(0))+(('Historical Inputs'!$N$9*(1+(D340))^3)*('Assumptions'!G67+(0))))*'DCF'!H12/(1+(G340))^'DCF'!H13,(('Historical Inputs'!$N$9*(1+(D340))^5)*(('Assumptions'!I37+(E340))*(1-'Assumptions'!I42-(0))+'Assumptions'!I47-'Assumptions'!I52*(F340)+'Assumptions'!I57-'Assumptions'!I62*(1)-'Assumptions'!I67-(0))+(('Historical Inputs'!$N$9*(1+(D340))^4)*('Assumptions'!H67+(0))))*'DCF'!I12/(1+(G340))^'DCF'!I13)+('Historical Inputs'!$N$9*(1+(D340))^5)*(1+(H340))*('Terminal Value'!$E$10+(E340))*(1-'Assumptions'!$E$15-(0))*(1-(H340)/('Terminal Value'!$E$12))/((G340)-(H340))/(1+(G340))^'DCF'!$E$19)+'Equity Bridge'!$E$17)/'Equity Bridge'!$E$20</x:f>
        <x:v>244.83114872887413</x:v>
      </x:c>
      <x:c r="X340" s="255" t="n">
        <x:v>0.32131687466075665</x:v>
      </x:c>
      <x:c r="Y340" s="255" t="n">
        <x:v>0.09193746721112295</x:v>
      </x:c>
      <x:c r="Z340" s="255" t="n">
        <x:v>0.11121817386439925</x:v>
      </x:c>
      <x:c r="AA340" s="255" t="n">
        <x:v>0.6368603567371399</x:v>
      </x:c>
      <x:c r="AB340" s="255" t="n">
        <x:v>0.31454482055781663</x:v>
      </x:c>
    </x:row>
    <x:row r="341" ht="24" customHeight="1">
      <x:c r="C341" s="256" t="n">
        <x:f>310</x:f>
        <x:v>310</x:v>
      </x:c>
      <x:c r="D341" s="258" t="n">
        <x:f>IF(X341&lt;($E$12-$D$12)/($F$12-$D$12),$D$12+SQRT(X341*($F$12-$D$12)*($E$12-$D$12)),$F$12-SQRT((1-X341)*($F$12-$D$12)*($F$12-$E$12)))</x:f>
        <x:v>0.151715249988371</x:v>
      </x:c>
      <x:c r="E341" s="258" t="n">
        <x:f>IF(Y341&lt;($E$13-$D$13)/($F$13-$D$13),$D$13+SQRT(Y341*($F$13-$D$13)*($E$13-$D$13)),$F$13-SQRT((1-Y341)*($F$13-$D$13)*($F$13-$E$13)))</x:f>
        <x:v>0.007323385423602793</x:v>
      </x:c>
      <x:c r="F341" s="260" t="n">
        <x:f>IF(Z341&lt;($E$14-$D$14)/($F$14-$D$14),$D$14+SQRT(Z341*($F$14-$D$14)*($E$14-$D$14)),$F$14-SQRT((1-Z341)*($F$14-$D$14)*($F$14-$E$14)))</x:f>
        <x:v>1.0519619263629054</x:v>
      </x:c>
      <x:c r="G341" s="258" t="n">
        <x:f>IF(AA341&lt;($E$15-$D$15)/($F$15-$D$15),$D$15+SQRT(AA341*($F$15-$D$15)*($E$15-$D$15)),$F$15-SQRT((1-AA341)*($F$15-$D$15)*($F$15-$E$15)))</x:f>
        <x:v>0.09190239170573954</x:v>
      </x:c>
      <x:c r="H341" s="258" t="n">
        <x:f>IF(AB341&lt;($E$16-$D$16)/($F$16-$D$16),$D$16+SQRT(AB341*($F$16-$D$16)*($E$16-$D$16)),$F$16-SQRT((1-AB341)*($F$16-$D$16)*($F$16-$E$16)))</x:f>
        <x:v>0.026092593789340715</x:v>
      </x:c>
      <x:c r="I341" s="262" t="n">
        <x:f>'Historical Inputs'!$N$9*(1+D341)^5</x:f>
        <x:v>672439.1848845114</x:v>
      </x:c>
      <x:c r="J341" s="262" t="n">
        <x:f>I341*(1+H341)*('Terminal Value'!$E$10+E341)*(1-'Assumptions'!$E$15)*(1-H341/'Terminal Value'!$E$12)</x:f>
        <x:v>195504.59974685658</x:v>
      </x:c>
      <x:c r="K341" s="264" t="n">
        <x:f>((SUM((('Historical Inputs'!$N$9*(1+(D341))^1)*(('Assumptions'!E37+(E341))*(1-'Assumptions'!E42-(0))+'Assumptions'!E47-'Assumptions'!E52*(F341)+'Assumptions'!E57-'Assumptions'!E62*(1)-'Assumptions'!E67-(0))+('Working Capital'!$E$6))*'DCF'!E12/(1+(G341))^'DCF'!E13,(('Historical Inputs'!$N$9*(1+(D341))^2)*(('Assumptions'!F37+(E341))*(1-'Assumptions'!F42-(0))+'Assumptions'!F47-'Assumptions'!F52*(F341)+'Assumptions'!F57-'Assumptions'!F62*(1)-'Assumptions'!F67-(0))+(('Historical Inputs'!$N$9*(1+(D341))^1)*('Assumptions'!E67+(0))))*'DCF'!F12/(1+(G341))^'DCF'!F13,(('Historical Inputs'!$N$9*(1+(D341))^3)*(('Assumptions'!G37+(E341))*(1-'Assumptions'!G42-(0))+'Assumptions'!G47-'Assumptions'!G52*(F341)+'Assumptions'!G57-'Assumptions'!G62*(1)-'Assumptions'!G67-(0))+(('Historical Inputs'!$N$9*(1+(D341))^2)*('Assumptions'!F67+(0))))*'DCF'!G12/(1+(G341))^'DCF'!G13,(('Historical Inputs'!$N$9*(1+(D341))^4)*(('Assumptions'!H37+(E341))*(1-'Assumptions'!H42-(0))+'Assumptions'!H47-'Assumptions'!H52*(F341)+'Assumptions'!H57-'Assumptions'!H62*(1)-'Assumptions'!H67-(0))+(('Historical Inputs'!$N$9*(1+(D341))^3)*('Assumptions'!G67+(0))))*'DCF'!H12/(1+(G341))^'DCF'!H13,(('Historical Inputs'!$N$9*(1+(D341))^5)*(('Assumptions'!I37+(E341))*(1-'Assumptions'!I42-(0))+'Assumptions'!I47-'Assumptions'!I52*(F341)+'Assumptions'!I57-'Assumptions'!I62*(1)-'Assumptions'!I67-(0))+(('Historical Inputs'!$N$9*(1+(D341))^4)*('Assumptions'!H67+(0))))*'DCF'!I12/(1+(G341))^'DCF'!I13)+('Historical Inputs'!$N$9*(1+(D341))^5)*(1+(H341))*('Terminal Value'!$E$10+(E341))*(1-'Assumptions'!$E$15-(0))*(1-(H341)/('Terminal Value'!$E$12))/((G341)-(H341))/(1+(G341))^'DCF'!$E$19)+'Equity Bridge'!$E$17)/'Equity Bridge'!$E$20</x:f>
        <x:v>319.5052457199907</x:v>
      </x:c>
      <x:c r="X341" s="255" t="n">
        <x:v>0.6548562385171215</x:v>
      </x:c>
      <x:c r="Y341" s="255" t="n">
        <x:v>0.6357413136595284</x:v>
      </x:c>
      <x:c r="Z341" s="255" t="n">
        <x:v>0.6869246964831168</x:v>
      </x:c>
      <x:c r="AA341" s="255" t="n">
        <x:v>0.17060674843541523</x:v>
      </x:c>
      <x:c r="AB341" s="255" t="n">
        <x:v>0.1855984954095654</x:v>
      </x:c>
    </x:row>
    <x:row r="342" ht="24" customHeight="1">
      <x:c r="C342" s="256" t="n">
        <x:f>311</x:f>
        <x:v>311</x:v>
      </x:c>
      <x:c r="D342" s="258" t="n">
        <x:f>IF(X342&lt;($E$12-$D$12)/($F$12-$D$12),$D$12+SQRT(X342*($F$12-$D$12)*($E$12-$D$12)),$F$12-SQRT((1-X342)*($F$12-$D$12)*($F$12-$E$12)))</x:f>
        <x:v>0.13982467463668297</x:v>
      </x:c>
      <x:c r="E342" s="258" t="n">
        <x:f>IF(Y342&lt;($E$13-$D$13)/($F$13-$D$13),$D$13+SQRT(Y342*($F$13-$D$13)*($E$13-$D$13)),$F$13-SQRT((1-Y342)*($F$13-$D$13)*($F$13-$E$13)))</x:f>
        <x:v>0.026756515011474125</x:v>
      </x:c>
      <x:c r="F342" s="260" t="n">
        <x:f>IF(Z342&lt;($E$14-$D$14)/($F$14-$D$14),$D$14+SQRT(Z342*($F$14-$D$14)*($E$14-$D$14)),$F$14-SQRT((1-Z342)*($F$14-$D$14)*($F$14-$E$14)))</x:f>
        <x:v>1.0325185095473703</x:v>
      </x:c>
      <x:c r="G342" s="258" t="n">
        <x:f>IF(AA342&lt;($E$15-$D$15)/($F$15-$D$15),$D$15+SQRT(AA342*($F$15-$D$15)*($E$15-$D$15)),$F$15-SQRT((1-AA342)*($F$15-$D$15)*($F$15-$E$15)))</x:f>
        <x:v>0.09974143686499339</x:v>
      </x:c>
      <x:c r="H342" s="258" t="n">
        <x:f>IF(AB342&lt;($E$16-$D$16)/($F$16-$D$16),$D$16+SQRT(AB342*($F$16-$D$16)*($E$16-$D$16)),$F$16-SQRT((1-AB342)*($F$16-$D$16)*($F$16-$E$16)))</x:f>
        <x:v>0.0247675486423558</x:v>
      </x:c>
      <x:c r="I342" s="262" t="n">
        <x:f>'Historical Inputs'!$N$9*(1+D342)^5</x:f>
        <x:v>638436.4839446314</x:v>
      </x:c>
      <x:c r="J342" s="262" t="n">
        <x:f>I342*(1+H342)*('Terminal Value'!$E$10+E342)*(1-'Assumptions'!$E$15)*(1-H342/'Terminal Value'!$E$12)</x:f>
        <x:v>195703.11977255935</x:v>
      </x:c>
      <x:c r="K342" s="264" t="n">
        <x:f>((SUM((('Historical Inputs'!$N$9*(1+(D342))^1)*(('Assumptions'!E37+(E342))*(1-'Assumptions'!E42-(0))+'Assumptions'!E47-'Assumptions'!E52*(F342)+'Assumptions'!E57-'Assumptions'!E62*(1)-'Assumptions'!E67-(0))+('Working Capital'!$E$6))*'DCF'!E12/(1+(G342))^'DCF'!E13,(('Historical Inputs'!$N$9*(1+(D342))^2)*(('Assumptions'!F37+(E342))*(1-'Assumptions'!F42-(0))+'Assumptions'!F47-'Assumptions'!F52*(F342)+'Assumptions'!F57-'Assumptions'!F62*(1)-'Assumptions'!F67-(0))+(('Historical Inputs'!$N$9*(1+(D342))^1)*('Assumptions'!E67+(0))))*'DCF'!F12/(1+(G342))^'DCF'!F13,(('Historical Inputs'!$N$9*(1+(D342))^3)*(('Assumptions'!G37+(E342))*(1-'Assumptions'!G42-(0))+'Assumptions'!G47-'Assumptions'!G52*(F342)+'Assumptions'!G57-'Assumptions'!G62*(1)-'Assumptions'!G67-(0))+(('Historical Inputs'!$N$9*(1+(D342))^2)*('Assumptions'!F67+(0))))*'DCF'!G12/(1+(G342))^'DCF'!G13,(('Historical Inputs'!$N$9*(1+(D342))^4)*(('Assumptions'!H37+(E342))*(1-'Assumptions'!H42-(0))+'Assumptions'!H47-'Assumptions'!H52*(F342)+'Assumptions'!H57-'Assumptions'!H62*(1)-'Assumptions'!H67-(0))+(('Historical Inputs'!$N$9*(1+(D342))^3)*('Assumptions'!G67+(0))))*'DCF'!H12/(1+(G342))^'DCF'!H13,(('Historical Inputs'!$N$9*(1+(D342))^5)*(('Assumptions'!I37+(E342))*(1-'Assumptions'!I42-(0))+'Assumptions'!I47-'Assumptions'!I52*(F342)+'Assumptions'!I57-'Assumptions'!I62*(1)-'Assumptions'!I67-(0))+(('Historical Inputs'!$N$9*(1+(D342))^4)*('Assumptions'!H67+(0))))*'DCF'!I12/(1+(G342))^'DCF'!I13)+('Historical Inputs'!$N$9*(1+(D342))^5)*(1+(H342))*('Terminal Value'!$E$10+(E342))*(1-'Assumptions'!$E$15-(0))*(1-(H342)/('Terminal Value'!$E$12))/((G342)-(H342))/(1+(G342))^'DCF'!$E$19)+'Equity Bridge'!$E$17)/'Equity Bridge'!$E$20</x:f>
        <x:v>281.80572690232725</x:v>
      </x:c>
      <x:c r="X342" s="255" t="n">
        <x:v>0.43370925765819357</x:v>
      </x:c>
      <x:c r="Y342" s="255" t="n">
        <x:v>0.8919480811176345</x:v>
      </x:c>
      <x:c r="Z342" s="255" t="n">
        <x:v>0.5992850050823675</x:v>
      </x:c>
      <x:c r="AA342" s="255" t="n">
        <x:v>0.6010413552057846</x:v>
      </x:c>
      <x:c r="AB342" s="255" t="n">
        <x:v>0.1136476002861434</x:v>
      </x:c>
    </x:row>
    <x:row r="343" ht="24" customHeight="1">
      <x:c r="C343" s="256" t="n">
        <x:f>312</x:f>
        <x:v>312</x:v>
      </x:c>
      <x:c r="D343" s="258" t="n">
        <x:f>IF(X343&lt;($E$12-$D$12)/($F$12-$D$12),$D$12+SQRT(X343*($F$12-$D$12)*($E$12-$D$12)),$F$12-SQRT((1-X343)*($F$12-$D$12)*($F$12-$E$12)))</x:f>
        <x:v>0.11638886607301616</x:v>
      </x:c>
      <x:c r="E343" s="258" t="n">
        <x:f>IF(Y343&lt;($E$13-$D$13)/($F$13-$D$13),$D$13+SQRT(Y343*($F$13-$D$13)*($E$13-$D$13)),$F$13-SQRT((1-Y343)*($F$13-$D$13)*($F$13-$E$13)))</x:f>
        <x:v>0.0018524578757384003</x:v>
      </x:c>
      <x:c r="F343" s="260" t="n">
        <x:f>IF(Z343&lt;($E$14-$D$14)/($F$14-$D$14),$D$14+SQRT(Z343*($F$14-$D$14)*($E$14-$D$14)),$F$14-SQRT((1-Z343)*($F$14-$D$14)*($F$14-$E$14)))</x:f>
        <x:v>0.9766685578170986</x:v>
      </x:c>
      <x:c r="G343" s="258" t="n">
        <x:f>IF(AA343&lt;($E$15-$D$15)/($F$15-$D$15),$D$15+SQRT(AA343*($F$15-$D$15)*($E$15-$D$15)),$F$15-SQRT((1-AA343)*($F$15-$D$15)*($F$15-$E$15)))</x:f>
        <x:v>0.10556855248795233</x:v>
      </x:c>
      <x:c r="H343" s="258" t="n">
        <x:f>IF(AB343&lt;($E$16-$D$16)/($F$16-$D$16),$D$16+SQRT(AB343*($F$16-$D$16)*($E$16-$D$16)),$F$16-SQRT((1-AB343)*($F$16-$D$16)*($F$16-$E$16)))</x:f>
        <x:v>0.03590824297269132</x:v>
      </x:c>
      <x:c r="I343" s="262" t="n">
        <x:f>'Historical Inputs'!$N$9*(1+D343)^5</x:f>
        <x:v>575446.4414055268</x:v>
      </x:c>
      <x:c r="J343" s="262" t="n">
        <x:f>I343*(1+H343)*('Terminal Value'!$E$10+E343)*(1-'Assumptions'!$E$15)*(1-H343/'Terminal Value'!$E$12)</x:f>
        <x:v>157231.50923913473</x:v>
      </x:c>
      <x:c r="K343" s="264" t="n">
        <x:f>((SUM((('Historical Inputs'!$N$9*(1+(D343))^1)*(('Assumptions'!E37+(E343))*(1-'Assumptions'!E42-(0))+'Assumptions'!E47-'Assumptions'!E52*(F343)+'Assumptions'!E57-'Assumptions'!E62*(1)-'Assumptions'!E67-(0))+('Working Capital'!$E$6))*'DCF'!E12/(1+(G343))^'DCF'!E13,(('Historical Inputs'!$N$9*(1+(D343))^2)*(('Assumptions'!F37+(E343))*(1-'Assumptions'!F42-(0))+'Assumptions'!F47-'Assumptions'!F52*(F343)+'Assumptions'!F57-'Assumptions'!F62*(1)-'Assumptions'!F67-(0))+(('Historical Inputs'!$N$9*(1+(D343))^1)*('Assumptions'!E67+(0))))*'DCF'!F12/(1+(G343))^'DCF'!F13,(('Historical Inputs'!$N$9*(1+(D343))^3)*(('Assumptions'!G37+(E343))*(1-'Assumptions'!G42-(0))+'Assumptions'!G47-'Assumptions'!G52*(F343)+'Assumptions'!G57-'Assumptions'!G62*(1)-'Assumptions'!G67-(0))+(('Historical Inputs'!$N$9*(1+(D343))^2)*('Assumptions'!F67+(0))))*'DCF'!G12/(1+(G343))^'DCF'!G13,(('Historical Inputs'!$N$9*(1+(D343))^4)*(('Assumptions'!H37+(E343))*(1-'Assumptions'!H42-(0))+'Assumptions'!H47-'Assumptions'!H52*(F343)+'Assumptions'!H57-'Assumptions'!H62*(1)-'Assumptions'!H67-(0))+(('Historical Inputs'!$N$9*(1+(D343))^3)*('Assumptions'!G67+(0))))*'DCF'!H12/(1+(G343))^'DCF'!H13,(('Historical Inputs'!$N$9*(1+(D343))^5)*(('Assumptions'!I37+(E343))*(1-'Assumptions'!I42-(0))+'Assumptions'!I47-'Assumptions'!I52*(F343)+'Assumptions'!I57-'Assumptions'!I62*(1)-'Assumptions'!I67-(0))+(('Historical Inputs'!$N$9*(1+(D343))^4)*('Assumptions'!H67+(0))))*'DCF'!I12/(1+(G343))^'DCF'!I13)+('Historical Inputs'!$N$9*(1+(D343))^5)*(1+(H343))*('Terminal Value'!$E$10+(E343))*(1-'Assumptions'!$E$15-(0))*(1-(H343)/('Terminal Value'!$E$12))/((G343)-(H343))/(1+(G343))^'DCF'!$E$19)+'Equity Bridge'!$E$17)/'Equity Bridge'!$E$20</x:f>
        <x:v>240.37572931734647</x:v>
      </x:c>
      <x:c r="X343" s="255" t="n">
        <x:v>0.10701644365311203</x:v>
      </x:c>
      <x:c r="Y343" s="255" t="n">
        <x:v>0.5363628374784909</x:v>
      </x:c>
      <x:c r="Z343" s="255" t="n">
        <x:v>0.3056175912278791</x:v>
      </x:c>
      <x:c r="AA343" s="255" t="n">
        <x:v>0.8725946451126362</x:v>
      </x:c>
      <x:c r="AB343" s="255" t="n">
        <x:v>0.9162876221473504</x:v>
      </x:c>
    </x:row>
    <x:row r="344" ht="24" customHeight="1">
      <x:c r="C344" s="256" t="n">
        <x:f>313</x:f>
        <x:v>313</x:v>
      </x:c>
      <x:c r="D344" s="258" t="n">
        <x:f>IF(X344&lt;($E$12-$D$12)/($F$12-$D$12),$D$12+SQRT(X344*($F$12-$D$12)*($E$12-$D$12)),$F$12-SQRT((1-X344)*($F$12-$D$12)*($F$12-$E$12)))</x:f>
        <x:v>0.13020586818720134</x:v>
      </x:c>
      <x:c r="E344" s="258" t="n">
        <x:f>IF(Y344&lt;($E$13-$D$13)/($F$13-$D$13),$D$13+SQRT(Y344*($F$13-$D$13)*($E$13-$D$13)),$F$13-SQRT((1-Y344)*($F$13-$D$13)*($F$13-$E$13)))</x:f>
        <x:v>-0.00618133293759264</x:v>
      </x:c>
      <x:c r="F344" s="260" t="n">
        <x:f>IF(Z344&lt;($E$14-$D$14)/($F$14-$D$14),$D$14+SQRT(Z344*($F$14-$D$14)*($E$14-$D$14)),$F$14-SQRT((1-Z344)*($F$14-$D$14)*($F$14-$E$14)))</x:f>
        <x:v>1.0862050126747647</x:v>
      </x:c>
      <x:c r="G344" s="258" t="n">
        <x:f>IF(AA344&lt;($E$15-$D$15)/($F$15-$D$15),$D$15+SQRT(AA344*($F$15-$D$15)*($E$15-$D$15)),$F$15-SQRT((1-AA344)*($F$15-$D$15)*($F$15-$E$15)))</x:f>
        <x:v>0.09289305560805095</x:v>
      </x:c>
      <x:c r="H344" s="258" t="n">
        <x:f>IF(AB344&lt;($E$16-$D$16)/($F$16-$D$16),$D$16+SQRT(AB344*($F$16-$D$16)*($E$16-$D$16)),$F$16-SQRT((1-AB344)*($F$16-$D$16)*($F$16-$E$16)))</x:f>
        <x:v>0.02889446974682315</x:v>
      </x:c>
      <x:c r="I344" s="262" t="n">
        <x:f>'Historical Inputs'!$N$9*(1+D344)^5</x:f>
        <x:v>611948.9802129059</x:v>
      </x:c>
      <x:c r="J344" s="262" t="n">
        <x:f>I344*(1+H344)*('Terminal Value'!$E$10+E344)*(1-'Assumptions'!$E$15)*(1-H344/'Terminal Value'!$E$12)</x:f>
        <x:v>169709.58991025406</x:v>
      </x:c>
      <x:c r="K344" s="264" t="n">
        <x:f>((SUM((('Historical Inputs'!$N$9*(1+(D344))^1)*(('Assumptions'!E37+(E344))*(1-'Assumptions'!E42-(0))+'Assumptions'!E47-'Assumptions'!E52*(F344)+'Assumptions'!E57-'Assumptions'!E62*(1)-'Assumptions'!E67-(0))+('Working Capital'!$E$6))*'DCF'!E12/(1+(G344))^'DCF'!E13,(('Historical Inputs'!$N$9*(1+(D344))^2)*(('Assumptions'!F37+(E344))*(1-'Assumptions'!F42-(0))+'Assumptions'!F47-'Assumptions'!F52*(F344)+'Assumptions'!F57-'Assumptions'!F62*(1)-'Assumptions'!F67-(0))+(('Historical Inputs'!$N$9*(1+(D344))^1)*('Assumptions'!E67+(0))))*'DCF'!F12/(1+(G344))^'DCF'!F13,(('Historical Inputs'!$N$9*(1+(D344))^3)*(('Assumptions'!G37+(E344))*(1-'Assumptions'!G42-(0))+'Assumptions'!G47-'Assumptions'!G52*(F344)+'Assumptions'!G57-'Assumptions'!G62*(1)-'Assumptions'!G67-(0))+(('Historical Inputs'!$N$9*(1+(D344))^2)*('Assumptions'!F67+(0))))*'DCF'!G12/(1+(G344))^'DCF'!G13,(('Historical Inputs'!$N$9*(1+(D344))^4)*(('Assumptions'!H37+(E344))*(1-'Assumptions'!H42-(0))+'Assumptions'!H47-'Assumptions'!H52*(F344)+'Assumptions'!H57-'Assumptions'!H62*(1)-'Assumptions'!H67-(0))+(('Historical Inputs'!$N$9*(1+(D344))^3)*('Assumptions'!G67+(0))))*'DCF'!H12/(1+(G344))^'DCF'!H13,(('Historical Inputs'!$N$9*(1+(D344))^5)*(('Assumptions'!I37+(E344))*(1-'Assumptions'!I42-(0))+'Assumptions'!I47-'Assumptions'!I52*(F344)+'Assumptions'!I57-'Assumptions'!I62*(1)-'Assumptions'!I67-(0))+(('Historical Inputs'!$N$9*(1+(D344))^4)*('Assumptions'!H67+(0))))*'DCF'!I12/(1+(G344))^'DCF'!I13)+('Historical Inputs'!$N$9*(1+(D344))^5)*(1+(H344))*('Terminal Value'!$E$10+(E344))*(1-'Assumptions'!$E$15-(0))*(1-(H344)/('Terminal Value'!$E$12))/((G344)-(H344))/(1+(G344))^'DCF'!$E$19)+'Equity Bridge'!$E$17)/'Equity Bridge'!$E$20</x:f>
        <x:v>281.49292628476053</x:v>
      </x:c>
      <x:c r="X344" s="255" t="n">
        <x:v>0.27304344948388437</x:v>
      </x:c>
      <x:c r="Y344" s="255" t="n">
        <x:v>0.3840151166252207</x:v>
      </x:c>
      <x:c r="Z344" s="255" t="n">
        <x:v>0.8150100122807075</x:v>
      </x:c>
      <x:c r="AA344" s="255" t="n">
        <x:v>0.21136642310728737</x:v>
      </x:c>
      <x:c r="AB344" s="255" t="n">
        <x:v>0.3955579603857614</x:v>
      </x:c>
    </x:row>
    <x:row r="345" ht="24" customHeight="1">
      <x:c r="C345" s="256" t="n">
        <x:f>314</x:f>
        <x:v>314</x:v>
      </x:c>
      <x:c r="D345" s="258" t="n">
        <x:f>IF(X345&lt;($E$12-$D$12)/($F$12-$D$12),$D$12+SQRT(X345*($F$12-$D$12)*($E$12-$D$12)),$F$12-SQRT((1-X345)*($F$12-$D$12)*($F$12-$E$12)))</x:f>
        <x:v>0.1544307234781846</x:v>
      </x:c>
      <x:c r="E345" s="258" t="n">
        <x:f>IF(Y345&lt;($E$13-$D$13)/($F$13-$D$13),$D$13+SQRT(Y345*($F$13-$D$13)*($E$13-$D$13)),$F$13-SQRT((1-Y345)*($F$13-$D$13)*($F$13-$E$13)))</x:f>
        <x:v>-0.0073322989294590316</x:v>
      </x:c>
      <x:c r="F345" s="260" t="n">
        <x:f>IF(Z345&lt;($E$14-$D$14)/($F$14-$D$14),$D$14+SQRT(Z345*($F$14-$D$14)*($E$14-$D$14)),$F$14-SQRT((1-Z345)*($F$14-$D$14)*($F$14-$E$14)))</x:f>
        <x:v>1.1502136140868011</x:v>
      </x:c>
      <x:c r="G345" s="258" t="n">
        <x:f>IF(AA345&lt;($E$15-$D$15)/($F$15-$D$15),$D$15+SQRT(AA345*($F$15-$D$15)*($E$15-$D$15)),$F$15-SQRT((1-AA345)*($F$15-$D$15)*($F$15-$E$15)))</x:f>
        <x:v>0.09522508006509237</x:v>
      </x:c>
      <x:c r="H345" s="258" t="n">
        <x:f>IF(AB345&lt;($E$16-$D$16)/($F$16-$D$16),$D$16+SQRT(AB345*($F$16-$D$16)*($E$16-$D$16)),$F$16-SQRT((1-AB345)*($F$16-$D$16)*($F$16-$E$16)))</x:f>
        <x:v>0.02379112865307214</x:v>
      </x:c>
      <x:c r="I345" s="262" t="n">
        <x:f>'Historical Inputs'!$N$9*(1+D345)^5</x:f>
        <x:v>680403.9210403188</x:v>
      </x:c>
      <x:c r="J345" s="262" t="n">
        <x:f>I345*(1+H345)*('Terminal Value'!$E$10+E345)*(1-'Assumptions'!$E$15)*(1-H345/'Terminal Value'!$E$12)</x:f>
        <x:v>192792.93294201457</x:v>
      </x:c>
      <x:c r="K345" s="264" t="n">
        <x:f>((SUM((('Historical Inputs'!$N$9*(1+(D345))^1)*(('Assumptions'!E37+(E345))*(1-'Assumptions'!E42-(0))+'Assumptions'!E47-'Assumptions'!E52*(F345)+'Assumptions'!E57-'Assumptions'!E62*(1)-'Assumptions'!E67-(0))+('Working Capital'!$E$6))*'DCF'!E12/(1+(G345))^'DCF'!E13,(('Historical Inputs'!$N$9*(1+(D345))^2)*(('Assumptions'!F37+(E345))*(1-'Assumptions'!F42-(0))+'Assumptions'!F47-'Assumptions'!F52*(F345)+'Assumptions'!F57-'Assumptions'!F62*(1)-'Assumptions'!F67-(0))+(('Historical Inputs'!$N$9*(1+(D345))^1)*('Assumptions'!E67+(0))))*'DCF'!F12/(1+(G345))^'DCF'!F13,(('Historical Inputs'!$N$9*(1+(D345))^3)*(('Assumptions'!G37+(E345))*(1-'Assumptions'!G42-(0))+'Assumptions'!G47-'Assumptions'!G52*(F345)+'Assumptions'!G57-'Assumptions'!G62*(1)-'Assumptions'!G67-(0))+(('Historical Inputs'!$N$9*(1+(D345))^2)*('Assumptions'!F67+(0))))*'DCF'!G12/(1+(G345))^'DCF'!G13,(('Historical Inputs'!$N$9*(1+(D345))^4)*(('Assumptions'!H37+(E345))*(1-'Assumptions'!H42-(0))+'Assumptions'!H47-'Assumptions'!H52*(F345)+'Assumptions'!H57-'Assumptions'!H62*(1)-'Assumptions'!H67-(0))+(('Historical Inputs'!$N$9*(1+(D345))^3)*('Assumptions'!G67+(0))))*'DCF'!H12/(1+(G345))^'DCF'!H13,(('Historical Inputs'!$N$9*(1+(D345))^5)*(('Assumptions'!I37+(E345))*(1-'Assumptions'!I42-(0))+'Assumptions'!I47-'Assumptions'!I52*(F345)+'Assumptions'!I57-'Assumptions'!I62*(1)-'Assumptions'!I67-(0))+(('Historical Inputs'!$N$9*(1+(D345))^4)*('Assumptions'!H67+(0))))*'DCF'!I12/(1+(G345))^'DCF'!I13)+('Historical Inputs'!$N$9*(1+(D345))^5)*(1+(H345))*('Terminal Value'!$E$10+(E345))*(1-'Assumptions'!$E$15-(0))*(1-(H345)/('Terminal Value'!$E$12))/((G345)-(H345))/(1+(G345))^'DCF'!$E$19)+'Equity Bridge'!$E$17)/'Equity Bridge'!$E$20</x:f>
        <x:v>282.40872155526625</x:v>
      </x:c>
      <x:c r="X345" s="255" t="n">
        <x:v>0.6985037113203945</x:v>
      </x:c>
      <x:c r="Y345" s="255" t="n">
        <x:v>0.36410654292900857</x:v>
      </x:c>
      <x:c r="Z345" s="255" t="n">
        <x:v>0.9645902253957435</x:v>
      </x:c>
      <x:c r="AA345" s="255" t="n">
        <x:v>0.324533854428507</x:v>
      </x:c>
      <x:c r="AB345" s="255" t="n">
        <x:v>0.07186328232072303</x:v>
      </x:c>
    </x:row>
    <x:row r="346" ht="24" customHeight="1">
      <x:c r="C346" s="256" t="n">
        <x:f>315</x:f>
        <x:v>315</x:v>
      </x:c>
      <x:c r="D346" s="258" t="n">
        <x:f>IF(X346&lt;($E$12-$D$12)/($F$12-$D$12),$D$12+SQRT(X346*($F$12-$D$12)*($E$12-$D$12)),$F$12-SQRT((1-X346)*($F$12-$D$12)*($F$12-$E$12)))</x:f>
        <x:v>0.14573122406171699</x:v>
      </x:c>
      <x:c r="E346" s="258" t="n">
        <x:f>IF(Y346&lt;($E$13-$D$13)/($F$13-$D$13),$D$13+SQRT(Y346*($F$13-$D$13)*($E$13-$D$13)),$F$13-SQRT((1-Y346)*($F$13-$D$13)*($F$13-$E$13)))</x:f>
        <x:v>-0.0068913786795462145</x:v>
      </x:c>
      <x:c r="F346" s="260" t="n">
        <x:f>IF(Z346&lt;($E$14-$D$14)/($F$14-$D$14),$D$14+SQRT(Z346*($F$14-$D$14)*($E$14-$D$14)),$F$14-SQRT((1-Z346)*($F$14-$D$14)*($F$14-$E$14)))</x:f>
        <x:v>1.0664073940299628</x:v>
      </x:c>
      <x:c r="G346" s="258" t="n">
        <x:f>IF(AA346&lt;($E$15-$D$15)/($F$15-$D$15),$D$15+SQRT(AA346*($F$15-$D$15)*($E$15-$D$15)),$F$15-SQRT((1-AA346)*($F$15-$D$15)*($F$15-$E$15)))</x:f>
        <x:v>0.10765919076569161</x:v>
      </x:c>
      <x:c r="H346" s="258" t="n">
        <x:f>IF(AB346&lt;($E$16-$D$16)/($F$16-$D$16),$D$16+SQRT(AB346*($F$16-$D$16)*($E$16-$D$16)),$F$16-SQRT((1-AB346)*($F$16-$D$16)*($F$16-$E$16)))</x:f>
        <x:v>0.035439171528770734</x:v>
      </x:c>
      <x:c r="I346" s="262" t="n">
        <x:f>'Historical Inputs'!$N$9*(1+D346)^5</x:f>
        <x:v>655150.6410799953</x:v>
      </x:c>
      <x:c r="J346" s="262" t="n">
        <x:f>I346*(1+H346)*('Terminal Value'!$E$10+E346)*(1-'Assumptions'!$E$15)*(1-H346/'Terminal Value'!$E$12)</x:f>
        <x:v>175535.4293851944</x:v>
      </x:c>
      <x:c r="K346" s="264" t="n">
        <x:f>((SUM((('Historical Inputs'!$N$9*(1+(D346))^1)*(('Assumptions'!E37+(E346))*(1-'Assumptions'!E42-(0))+'Assumptions'!E47-'Assumptions'!E52*(F346)+'Assumptions'!E57-'Assumptions'!E62*(1)-'Assumptions'!E67-(0))+('Working Capital'!$E$6))*'DCF'!E12/(1+(G346))^'DCF'!E13,(('Historical Inputs'!$N$9*(1+(D346))^2)*(('Assumptions'!F37+(E346))*(1-'Assumptions'!F42-(0))+'Assumptions'!F47-'Assumptions'!F52*(F346)+'Assumptions'!F57-'Assumptions'!F62*(1)-'Assumptions'!F67-(0))+(('Historical Inputs'!$N$9*(1+(D346))^1)*('Assumptions'!E67+(0))))*'DCF'!F12/(1+(G346))^'DCF'!F13,(('Historical Inputs'!$N$9*(1+(D346))^3)*(('Assumptions'!G37+(E346))*(1-'Assumptions'!G42-(0))+'Assumptions'!G47-'Assumptions'!G52*(F346)+'Assumptions'!G57-'Assumptions'!G62*(1)-'Assumptions'!G67-(0))+(('Historical Inputs'!$N$9*(1+(D346))^2)*('Assumptions'!F67+(0))))*'DCF'!G12/(1+(G346))^'DCF'!G13,(('Historical Inputs'!$N$9*(1+(D346))^4)*(('Assumptions'!H37+(E346))*(1-'Assumptions'!H42-(0))+'Assumptions'!H47-'Assumptions'!H52*(F346)+'Assumptions'!H57-'Assumptions'!H62*(1)-'Assumptions'!H67-(0))+(('Historical Inputs'!$N$9*(1+(D346))^3)*('Assumptions'!G67+(0))))*'DCF'!H12/(1+(G346))^'DCF'!H13,(('Historical Inputs'!$N$9*(1+(D346))^5)*(('Assumptions'!I37+(E346))*(1-'Assumptions'!I42-(0))+'Assumptions'!I47-'Assumptions'!I52*(F346)+'Assumptions'!I57-'Assumptions'!I62*(1)-'Assumptions'!I67-(0))+(('Historical Inputs'!$N$9*(1+(D346))^4)*('Assumptions'!H67+(0))))*'DCF'!I12/(1+(G346))^'DCF'!I13)+('Historical Inputs'!$N$9*(1+(D346))^5)*(1+(H346))*('Terminal Value'!$E$10+(E346))*(1-'Assumptions'!$E$15-(0))*(1-(H346)/('Terminal Value'!$E$12))/((G346)-(H346))/(1+(G346))^'DCF'!$E$19)+'Equity Bridge'!$E$17)/'Equity Bridge'!$E$20</x:f>
        <x:v>250.43479386573011</x:v>
      </x:c>
      <x:c r="X346" s="255" t="n">
        <x:v>0.5482597093726037</x:v>
      </x:c>
      <x:c r="Y346" s="255" t="n">
        <x:v>0.37167064643005654</x:v>
      </x:c>
      <x:c r="Z346" s="255" t="n">
        <x:v>0.745043080430491</x:v>
      </x:c>
      <x:c r="AA346" s="255" t="n">
        <x:v>0.9332370710520214</x:v>
      </x:c>
      <x:c r="AB346" s="255" t="n">
        <x:v>0.8959942182801226</x:v>
      </x:c>
    </x:row>
    <x:row r="347" ht="24" customHeight="1">
      <x:c r="C347" s="256" t="n">
        <x:f>316</x:f>
        <x:v>316</x:v>
      </x:c>
      <x:c r="D347" s="258" t="n">
        <x:f>IF(X347&lt;($E$12-$D$12)/($F$12-$D$12),$D$12+SQRT(X347*($F$12-$D$12)*($E$12-$D$12)),$F$12-SQRT((1-X347)*($F$12-$D$12)*($F$12-$E$12)))</x:f>
        <x:v>0.1427290889449876</x:v>
      </x:c>
      <x:c r="E347" s="258" t="n">
        <x:f>IF(Y347&lt;($E$13-$D$13)/($F$13-$D$13),$D$13+SQRT(Y347*($F$13-$D$13)*($E$13-$D$13)),$F$13-SQRT((1-Y347)*($F$13-$D$13)*($F$13-$E$13)))</x:f>
        <x:v>-0.023392428690571496</x:v>
      </x:c>
      <x:c r="F347" s="260" t="n">
        <x:f>IF(Z347&lt;($E$14-$D$14)/($F$14-$D$14),$D$14+SQRT(Z347*($F$14-$D$14)*($E$14-$D$14)),$F$14-SQRT((1-Z347)*($F$14-$D$14)*($F$14-$E$14)))</x:f>
        <x:v>0.9108608959975206</x:v>
      </x:c>
      <x:c r="G347" s="258" t="n">
        <x:f>IF(AA347&lt;($E$15-$D$15)/($F$15-$D$15),$D$15+SQRT(AA347*($F$15-$D$15)*($E$15-$D$15)),$F$15-SQRT((1-AA347)*($F$15-$D$15)*($F$15-$E$15)))</x:f>
        <x:v>0.089576087476415</x:v>
      </x:c>
      <x:c r="H347" s="258" t="n">
        <x:f>IF(AB347&lt;($E$16-$D$16)/($F$16-$D$16),$D$16+SQRT(AB347*($F$16-$D$16)*($E$16-$D$16)),$F$16-SQRT((1-AB347)*($F$16-$D$16)*($F$16-$E$16)))</x:f>
        <x:v>0.027497057685188588</x:v>
      </x:c>
      <x:c r="I347" s="262" t="n">
        <x:f>'Historical Inputs'!$N$9*(1+D347)^5</x:f>
        <x:v>646612.1187638137</x:v>
      </x:c>
      <x:c r="J347" s="262" t="n">
        <x:f>I347*(1+H347)*('Terminal Value'!$E$10+E347)*(1-'Assumptions'!$E$15)*(1-H347/'Terminal Value'!$E$12)</x:f>
        <x:v>172651.34739443168</x:v>
      </x:c>
      <x:c r="K347" s="264" t="n">
        <x:f>((SUM((('Historical Inputs'!$N$9*(1+(D347))^1)*(('Assumptions'!E37+(E347))*(1-'Assumptions'!E42-(0))+'Assumptions'!E47-'Assumptions'!E52*(F347)+'Assumptions'!E57-'Assumptions'!E62*(1)-'Assumptions'!E67-(0))+('Working Capital'!$E$6))*'DCF'!E12/(1+(G347))^'DCF'!E13,(('Historical Inputs'!$N$9*(1+(D347))^2)*(('Assumptions'!F37+(E347))*(1-'Assumptions'!F42-(0))+'Assumptions'!F47-'Assumptions'!F52*(F347)+'Assumptions'!F57-'Assumptions'!F62*(1)-'Assumptions'!F67-(0))+(('Historical Inputs'!$N$9*(1+(D347))^1)*('Assumptions'!E67+(0))))*'DCF'!F12/(1+(G347))^'DCF'!F13,(('Historical Inputs'!$N$9*(1+(D347))^3)*(('Assumptions'!G37+(E347))*(1-'Assumptions'!G42-(0))+'Assumptions'!G47-'Assumptions'!G52*(F347)+'Assumptions'!G57-'Assumptions'!G62*(1)-'Assumptions'!G67-(0))+(('Historical Inputs'!$N$9*(1+(D347))^2)*('Assumptions'!F67+(0))))*'DCF'!G12/(1+(G347))^'DCF'!G13,(('Historical Inputs'!$N$9*(1+(D347))^4)*(('Assumptions'!H37+(E347))*(1-'Assumptions'!H42-(0))+'Assumptions'!H47-'Assumptions'!H52*(F347)+'Assumptions'!H57-'Assumptions'!H62*(1)-'Assumptions'!H67-(0))+(('Historical Inputs'!$N$9*(1+(D347))^3)*('Assumptions'!G67+(0))))*'DCF'!H12/(1+(G347))^'DCF'!H13,(('Historical Inputs'!$N$9*(1+(D347))^5)*(('Assumptions'!I37+(E347))*(1-'Assumptions'!I42-(0))+'Assumptions'!I47-'Assumptions'!I52*(F347)+'Assumptions'!I57-'Assumptions'!I62*(1)-'Assumptions'!I67-(0))+(('Historical Inputs'!$N$9*(1+(D347))^4)*('Assumptions'!H67+(0))))*'DCF'!I12/(1+(G347))^'DCF'!I13)+('Historical Inputs'!$N$9*(1+(D347))^5)*(1+(H347))*('Terminal Value'!$E$10+(E347))*(1-'Assumptions'!$E$15-(0))*(1-(H347)/('Terminal Value'!$E$12))/((G347)-(H347))/(1+(G347))^'DCF'!$E$19)+'Equity Bridge'!$E$17)/'Equity Bridge'!$E$20</x:f>
        <x:v>306.6399853127852</x:v>
      </x:c>
      <x:c r="X347" s="255" t="n">
        <x:v>0.48949708500398714</x:v>
      </x:c>
      <x:c r="Y347" s="255" t="n">
        <x:v>0.14159257019726457</x:v>
      </x:c>
      <x:c r="Z347" s="255" t="n">
        <x:v>0.07055330784040037</x:v>
      </x:c>
      <x:c r="AA347" s="255" t="n">
        <x:v>0.09204104124831691</x:v>
      </x:c>
      <x:c r="AB347" s="255" t="n">
        <x:v>0.2810293696752264</x:v>
      </x:c>
    </x:row>
    <x:row r="348" ht="24" customHeight="1">
      <x:c r="C348" s="256" t="n">
        <x:f>317</x:f>
        <x:v>317</x:v>
      </x:c>
      <x:c r="D348" s="258" t="n">
        <x:f>IF(X348&lt;($E$12-$D$12)/($F$12-$D$12),$D$12+SQRT(X348*($F$12-$D$12)*($E$12-$D$12)),$F$12-SQRT((1-X348)*($F$12-$D$12)*($F$12-$E$12)))</x:f>
        <x:v>0.1596120924603862</x:v>
      </x:c>
      <x:c r="E348" s="258" t="n">
        <x:f>IF(Y348&lt;($E$13-$D$13)/($F$13-$D$13),$D$13+SQRT(Y348*($F$13-$D$13)*($E$13-$D$13)),$F$13-SQRT((1-Y348)*($F$13-$D$13)*($F$13-$E$13)))</x:f>
        <x:v>-0.03382743906897506</x:v>
      </x:c>
      <x:c r="F348" s="260" t="n">
        <x:f>IF(Z348&lt;($E$14-$D$14)/($F$14-$D$14),$D$14+SQRT(Z348*($F$14-$D$14)*($E$14-$D$14)),$F$14-SQRT((1-Z348)*($F$14-$D$14)*($F$14-$E$14)))</x:f>
        <x:v>0.9218961558588304</x:v>
      </x:c>
      <x:c r="G348" s="258" t="n">
        <x:f>IF(AA348&lt;($E$15-$D$15)/($F$15-$D$15),$D$15+SQRT(AA348*($F$15-$D$15)*($E$15-$D$15)),$F$15-SQRT((1-AA348)*($F$15-$D$15)*($F$15-$E$15)))</x:f>
        <x:v>0.10281748113583986</x:v>
      </x:c>
      <x:c r="H348" s="258" t="n">
        <x:f>IF(AB348&lt;($E$16-$D$16)/($F$16-$D$16),$D$16+SQRT(AB348*($F$16-$D$16)*($E$16-$D$16)),$F$16-SQRT((1-AB348)*($F$16-$D$16)*($F$16-$E$16)))</x:f>
        <x:v>0.033953099806154685</x:v>
      </x:c>
      <x:c r="I348" s="262" t="n">
        <x:f>'Historical Inputs'!$N$9*(1+D348)^5</x:f>
        <x:v>695810.7011570825</x:v>
      </x:c>
      <x:c r="J348" s="262" t="n">
        <x:f>I348*(1+H348)*('Terminal Value'!$E$10+E348)*(1-'Assumptions'!$E$15)*(1-H348/'Terminal Value'!$E$12)</x:f>
        <x:v>174971.97923066356</x:v>
      </x:c>
      <x:c r="K348" s="264" t="n">
        <x:f>((SUM((('Historical Inputs'!$N$9*(1+(D348))^1)*(('Assumptions'!E37+(E348))*(1-'Assumptions'!E42-(0))+'Assumptions'!E47-'Assumptions'!E52*(F348)+'Assumptions'!E57-'Assumptions'!E62*(1)-'Assumptions'!E67-(0))+('Working Capital'!$E$6))*'DCF'!E12/(1+(G348))^'DCF'!E13,(('Historical Inputs'!$N$9*(1+(D348))^2)*(('Assumptions'!F37+(E348))*(1-'Assumptions'!F42-(0))+'Assumptions'!F47-'Assumptions'!F52*(F348)+'Assumptions'!F57-'Assumptions'!F62*(1)-'Assumptions'!F67-(0))+(('Historical Inputs'!$N$9*(1+(D348))^1)*('Assumptions'!E67+(0))))*'DCF'!F12/(1+(G348))^'DCF'!F13,(('Historical Inputs'!$N$9*(1+(D348))^3)*(('Assumptions'!G37+(E348))*(1-'Assumptions'!G42-(0))+'Assumptions'!G47-'Assumptions'!G52*(F348)+'Assumptions'!G57-'Assumptions'!G62*(1)-'Assumptions'!G67-(0))+(('Historical Inputs'!$N$9*(1+(D348))^2)*('Assumptions'!F67+(0))))*'DCF'!G12/(1+(G348))^'DCF'!G13,(('Historical Inputs'!$N$9*(1+(D348))^4)*(('Assumptions'!H37+(E348))*(1-'Assumptions'!H42-(0))+'Assumptions'!H47-'Assumptions'!H52*(F348)+'Assumptions'!H57-'Assumptions'!H62*(1)-'Assumptions'!H67-(0))+(('Historical Inputs'!$N$9*(1+(D348))^3)*('Assumptions'!G67+(0))))*'DCF'!H12/(1+(G348))^'DCF'!H13,(('Historical Inputs'!$N$9*(1+(D348))^5)*(('Assumptions'!I37+(E348))*(1-'Assumptions'!I42-(0))+'Assumptions'!I47-'Assumptions'!I52*(F348)+'Assumptions'!I57-'Assumptions'!I62*(1)-'Assumptions'!I67-(0))+(('Historical Inputs'!$N$9*(1+(D348))^4)*('Assumptions'!H67+(0))))*'DCF'!I12/(1+(G348))^'DCF'!I13)+('Historical Inputs'!$N$9*(1+(D348))^5)*(1+(H348))*('Terminal Value'!$E$10+(E348))*(1-'Assumptions'!$E$15-(0))*(1-(H348)/('Terminal Value'!$E$12))/((G348)-(H348))/(1+(G348))^'DCF'!$E$19)+'Equity Bridge'!$E$17)/'Equity Bridge'!$E$20</x:f>
        <x:v>270.6599148281324</x:v>
      </x:c>
      <x:c r="X348" s="255" t="n">
        <x:v>0.7736037455957997</x:v>
      </x:c>
      <x:c r="Y348" s="255" t="n">
        <x:v>0.05231034541354285</x:v>
      </x:c>
      <x:c r="Z348" s="255" t="n">
        <x:v>0.0984582329005188</x:v>
      </x:c>
      <x:c r="AA348" s="255" t="n">
        <x:v>0.7631955114122466</x:v>
      </x:c>
      <x:c r="AB348" s="255" t="n">
        <x:v>0.8171749902283677</x:v>
      </x:c>
    </x:row>
    <x:row r="349" ht="24" customHeight="1">
      <x:c r="C349" s="256" t="n">
        <x:f>318</x:f>
        <x:v>318</x:v>
      </x:c>
      <x:c r="D349" s="258" t="n">
        <x:f>IF(X349&lt;($E$12-$D$12)/($F$12-$D$12),$D$12+SQRT(X349*($F$12-$D$12)*($E$12-$D$12)),$F$12-SQRT((1-X349)*($F$12-$D$12)*($F$12-$E$12)))</x:f>
        <x:v>0.12217576474655657</x:v>
      </x:c>
      <x:c r="E349" s="258" t="n">
        <x:f>IF(Y349&lt;($E$13-$D$13)/($F$13-$D$13),$D$13+SQRT(Y349*($F$13-$D$13)*($E$13-$D$13)),$F$13-SQRT((1-Y349)*($F$13-$D$13)*($F$13-$E$13)))</x:f>
        <x:v>0.004727684867584195</x:v>
      </x:c>
      <x:c r="F349" s="260" t="n">
        <x:f>IF(Z349&lt;($E$14-$D$14)/($F$14-$D$14),$D$14+SQRT(Z349*($F$14-$D$14)*($E$14-$D$14)),$F$14-SQRT((1-Z349)*($F$14-$D$14)*($F$14-$E$14)))</x:f>
        <x:v>0.9888719795064143</x:v>
      </x:c>
      <x:c r="G349" s="258" t="n">
        <x:f>IF(AA349&lt;($E$15-$D$15)/($F$15-$D$15),$D$15+SQRT(AA349*($F$15-$D$15)*($E$15-$D$15)),$F$15-SQRT((1-AA349)*($F$15-$D$15)*($F$15-$E$15)))</x:f>
        <x:v>0.09892966838543973</x:v>
      </x:c>
      <x:c r="H349" s="258" t="n">
        <x:f>IF(AB349&lt;($E$16-$D$16)/($F$16-$D$16),$D$16+SQRT(AB349*($F$16-$D$16)*($E$16-$D$16)),$F$16-SQRT((1-AB349)*($F$16-$D$16)*($F$16-$E$16)))</x:f>
        <x:v>0.026298247450859943</x:v>
      </x:c>
      <x:c r="I349" s="262" t="n">
        <x:f>'Historical Inputs'!$N$9*(1+D349)^5</x:f>
        <x:v>590516.2480767877</x:v>
      </x:c>
      <x:c r="J349" s="262" t="n">
        <x:f>I349*(1+H349)*('Terminal Value'!$E$10+E349)*(1-'Assumptions'!$E$15)*(1-H349/'Terminal Value'!$E$12)</x:f>
        <x:v>170424.7020319574</x:v>
      </x:c>
      <x:c r="K349" s="264" t="n">
        <x:f>((SUM((('Historical Inputs'!$N$9*(1+(D349))^1)*(('Assumptions'!E37+(E349))*(1-'Assumptions'!E42-(0))+'Assumptions'!E47-'Assumptions'!E52*(F349)+'Assumptions'!E57-'Assumptions'!E62*(1)-'Assumptions'!E67-(0))+('Working Capital'!$E$6))*'DCF'!E12/(1+(G349))^'DCF'!E13,(('Historical Inputs'!$N$9*(1+(D349))^2)*(('Assumptions'!F37+(E349))*(1-'Assumptions'!F42-(0))+'Assumptions'!F47-'Assumptions'!F52*(F349)+'Assumptions'!F57-'Assumptions'!F62*(1)-'Assumptions'!F67-(0))+(('Historical Inputs'!$N$9*(1+(D349))^1)*('Assumptions'!E67+(0))))*'DCF'!F12/(1+(G349))^'DCF'!F13,(('Historical Inputs'!$N$9*(1+(D349))^3)*(('Assumptions'!G37+(E349))*(1-'Assumptions'!G42-(0))+'Assumptions'!G47-'Assumptions'!G52*(F349)+'Assumptions'!G57-'Assumptions'!G62*(1)-'Assumptions'!G67-(0))+(('Historical Inputs'!$N$9*(1+(D349))^2)*('Assumptions'!F67+(0))))*'DCF'!G12/(1+(G349))^'DCF'!G13,(('Historical Inputs'!$N$9*(1+(D349))^4)*(('Assumptions'!H37+(E349))*(1-'Assumptions'!H42-(0))+'Assumptions'!H47-'Assumptions'!H52*(F349)+'Assumptions'!H57-'Assumptions'!H62*(1)-'Assumptions'!H67-(0))+(('Historical Inputs'!$N$9*(1+(D349))^3)*('Assumptions'!G67+(0))))*'DCF'!H12/(1+(G349))^'DCF'!H13,(('Historical Inputs'!$N$9*(1+(D349))^5)*(('Assumptions'!I37+(E349))*(1-'Assumptions'!I42-(0))+'Assumptions'!I47-'Assumptions'!I52*(F349)+'Assumptions'!I57-'Assumptions'!I62*(1)-'Assumptions'!I67-(0))+(('Historical Inputs'!$N$9*(1+(D349))^4)*('Assumptions'!H67+(0))))*'DCF'!I12/(1+(G349))^'DCF'!I13)+('Historical Inputs'!$N$9*(1+(D349))^5)*(1+(H349))*('Terminal Value'!$E$10+(E349))*(1-'Assumptions'!$E$15-(0))*(1-(H349)/('Terminal Value'!$E$12))/((G349)-(H349))/(1+(G349))^'DCF'!$E$19)+'Equity Bridge'!$E$17)/'Equity Bridge'!$E$20</x:f>
        <x:v>255.1984179007652</x:v>
      </x:c>
      <x:c r="X349" s="255" t="n">
        <x:v>0.16725873842038452</x:v>
      </x:c>
      <x:c r="Y349" s="255" t="n">
        <x:v>0.590083496510247</x:v>
      </x:c>
      <x:c r="Z349" s="255" t="n">
        <x:v>0.36734146080057006</x:v>
      </x:c>
      <x:c r="AA349" s="255" t="n">
        <x:v>0.5512355106043565</x:v>
      </x:c>
      <x:c r="AB349" s="255" t="n">
        <x:v>0.19833960476131896</x:v>
      </x:c>
    </x:row>
    <x:row r="350" ht="24" customHeight="1">
      <x:c r="C350" s="256" t="n">
        <x:f>319</x:f>
        <x:v>319</x:v>
      </x:c>
      <x:c r="D350" s="258" t="n">
        <x:f>IF(X350&lt;($E$12-$D$12)/($F$12-$D$12),$D$12+SQRT(X350*($F$12-$D$12)*($E$12-$D$12)),$F$12-SQRT((1-X350)*($F$12-$D$12)*($F$12-$E$12)))</x:f>
        <x:v>0.14842026670609304</x:v>
      </x:c>
      <x:c r="E350" s="258" t="n">
        <x:f>IF(Y350&lt;($E$13-$D$13)/($F$13-$D$13),$D$13+SQRT(Y350*($F$13-$D$13)*($E$13-$D$13)),$F$13-SQRT((1-Y350)*($F$13-$D$13)*($F$13-$E$13)))</x:f>
        <x:v>-0.026448639808798143</x:v>
      </x:c>
      <x:c r="F350" s="260" t="n">
        <x:f>IF(Z350&lt;($E$14-$D$14)/($F$14-$D$14),$D$14+SQRT(Z350*($F$14-$D$14)*($E$14-$D$14)),$F$14-SQRT((1-Z350)*($F$14-$D$14)*($F$14-$E$14)))</x:f>
        <x:v>1.052082899455242</x:v>
      </x:c>
      <x:c r="G350" s="258" t="n">
        <x:f>IF(AA350&lt;($E$15-$D$15)/($F$15-$D$15),$D$15+SQRT(AA350*($F$15-$D$15)*($E$15-$D$15)),$F$15-SQRT((1-AA350)*($F$15-$D$15)*($F$15-$E$15)))</x:f>
        <x:v>0.09855261510612578</x:v>
      </x:c>
      <x:c r="H350" s="258" t="n">
        <x:f>IF(AB350&lt;($E$16-$D$16)/($F$16-$D$16),$D$16+SQRT(AB350*($F$16-$D$16)*($E$16-$D$16)),$F$16-SQRT((1-AB350)*($F$16-$D$16)*($F$16-$E$16)))</x:f>
        <x:v>0.02978399396879886</x:v>
      </x:c>
      <x:c r="I350" s="262" t="n">
        <x:f>'Historical Inputs'!$N$9*(1+D350)^5</x:f>
        <x:v>662875.0401070475</x:v>
      </x:c>
      <x:c r="J350" s="262" t="n">
        <x:f>I350*(1+H350)*('Terminal Value'!$E$10+E350)*(1-'Assumptions'!$E$15)*(1-H350/'Terminal Value'!$E$12)</x:f>
        <x:v>173615.50706494518</x:v>
      </x:c>
      <x:c r="K350" s="264" t="n">
        <x:f>((SUM((('Historical Inputs'!$N$9*(1+(D350))^1)*(('Assumptions'!E37+(E350))*(1-'Assumptions'!E42-(0))+'Assumptions'!E47-'Assumptions'!E52*(F350)+'Assumptions'!E57-'Assumptions'!E62*(1)-'Assumptions'!E67-(0))+('Working Capital'!$E$6))*'DCF'!E12/(1+(G350))^'DCF'!E13,(('Historical Inputs'!$N$9*(1+(D350))^2)*(('Assumptions'!F37+(E350))*(1-'Assumptions'!F42-(0))+'Assumptions'!F47-'Assumptions'!F52*(F350)+'Assumptions'!F57-'Assumptions'!F62*(1)-'Assumptions'!F67-(0))+(('Historical Inputs'!$N$9*(1+(D350))^1)*('Assumptions'!E67+(0))))*'DCF'!F12/(1+(G350))^'DCF'!F13,(('Historical Inputs'!$N$9*(1+(D350))^3)*(('Assumptions'!G37+(E350))*(1-'Assumptions'!G42-(0))+'Assumptions'!G47-'Assumptions'!G52*(F350)+'Assumptions'!G57-'Assumptions'!G62*(1)-'Assumptions'!G67-(0))+(('Historical Inputs'!$N$9*(1+(D350))^2)*('Assumptions'!F67+(0))))*'DCF'!G12/(1+(G350))^'DCF'!G13,(('Historical Inputs'!$N$9*(1+(D350))^4)*(('Assumptions'!H37+(E350))*(1-'Assumptions'!H42-(0))+'Assumptions'!H47-'Assumptions'!H52*(F350)+'Assumptions'!H57-'Assumptions'!H62*(1)-'Assumptions'!H67-(0))+(('Historical Inputs'!$N$9*(1+(D350))^3)*('Assumptions'!G67+(0))))*'DCF'!H12/(1+(G350))^'DCF'!H13,(('Historical Inputs'!$N$9*(1+(D350))^5)*(('Assumptions'!I37+(E350))*(1-'Assumptions'!I42-(0))+'Assumptions'!I47-'Assumptions'!I52*(F350)+'Assumptions'!I57-'Assumptions'!I62*(1)-'Assumptions'!I67-(0))+(('Historical Inputs'!$N$9*(1+(D350))^4)*('Assumptions'!H67+(0))))*'DCF'!I12/(1+(G350))^'DCF'!I13)+('Historical Inputs'!$N$9*(1+(D350))^5)*(1+(H350))*('Terminal Value'!$E$10+(E350))*(1-'Assumptions'!$E$15-(0))*(1-(H350)/('Terminal Value'!$E$12))/((G350)-(H350))/(1+(G350))^'DCF'!$E$19)+'Equity Bridge'!$E$17)/'Equity Bridge'!$E$20</x:f>
        <x:v>265.0483435972616</x:v>
      </x:c>
      <x:c r="X350" s="255" t="n">
        <x:v>0.5979330780624704</x:v>
      </x:c>
      <x:c r="Y350" s="255" t="n">
        <x:v>0.11093331337114554</x:v>
      </x:c>
      <x:c r="Z350" s="255" t="n">
        <x:v>0.6874361623775993</x:v>
      </x:c>
      <x:c r="AA350" s="255" t="n">
        <x:v>0.527105395202038</x:v>
      </x:c>
      <x:c r="AB350" s="255" t="n">
        <x:v>0.4786326899074623</x:v>
      </x:c>
    </x:row>
    <x:row r="351" ht="24" customHeight="1">
      <x:c r="C351" s="256" t="n">
        <x:f>320</x:f>
        <x:v>320</x:v>
      </x:c>
      <x:c r="D351" s="258" t="n">
        <x:f>IF(X351&lt;($E$12-$D$12)/($F$12-$D$12),$D$12+SQRT(X351*($F$12-$D$12)*($E$12-$D$12)),$F$12-SQRT((1-X351)*($F$12-$D$12)*($F$12-$E$12)))</x:f>
        <x:v>0.14236539805886506</x:v>
      </x:c>
      <x:c r="E351" s="258" t="n">
        <x:f>IF(Y351&lt;($E$13-$D$13)/($F$13-$D$13),$D$13+SQRT(Y351*($F$13-$D$13)*($E$13-$D$13)),$F$13-SQRT((1-Y351)*($F$13-$D$13)*($F$13-$E$13)))</x:f>
        <x:v>-0.03574629898324569</x:v>
      </x:c>
      <x:c r="F351" s="260" t="n">
        <x:f>IF(Z351&lt;($E$14-$D$14)/($F$14-$D$14),$D$14+SQRT(Z351*($F$14-$D$14)*($E$14-$D$14)),$F$14-SQRT((1-Z351)*($F$14-$D$14)*($F$14-$E$14)))</x:f>
        <x:v>0.9333974099420403</x:v>
      </x:c>
      <x:c r="G351" s="258" t="n">
        <x:f>IF(AA351&lt;($E$15-$D$15)/($F$15-$D$15),$D$15+SQRT(AA351*($F$15-$D$15)*($E$15-$D$15)),$F$15-SQRT((1-AA351)*($F$15-$D$15)*($F$15-$E$15)))</x:f>
        <x:v>0.10209130909796207</x:v>
      </x:c>
      <x:c r="H351" s="258" t="n">
        <x:f>IF(AB351&lt;($E$16-$D$16)/($F$16-$D$16),$D$16+SQRT(AB351*($F$16-$D$16)*($E$16-$D$16)),$F$16-SQRT((1-AB351)*($F$16-$D$16)*($F$16-$E$16)))</x:f>
        <x:v>0.02318322098814613</x:v>
      </x:c>
      <x:c r="I351" s="262" t="n">
        <x:f>'Historical Inputs'!$N$9*(1+D351)^5</x:f>
        <x:v>645583.802894979</x:v>
      </x:c>
      <x:c r="J351" s="262" t="n">
        <x:f>I351*(1+H351)*('Terminal Value'!$E$10+E351)*(1-'Assumptions'!$E$15)*(1-H351/'Terminal Value'!$E$12)</x:f>
        <x:v>170174.10486146828</x:v>
      </x:c>
      <x:c r="K351" s="264" t="n">
        <x:f>((SUM((('Historical Inputs'!$N$9*(1+(D351))^1)*(('Assumptions'!E37+(E351))*(1-'Assumptions'!E42-(0))+'Assumptions'!E47-'Assumptions'!E52*(F351)+'Assumptions'!E57-'Assumptions'!E62*(1)-'Assumptions'!E67-(0))+('Working Capital'!$E$6))*'DCF'!E12/(1+(G351))^'DCF'!E13,(('Historical Inputs'!$N$9*(1+(D351))^2)*(('Assumptions'!F37+(E351))*(1-'Assumptions'!F42-(0))+'Assumptions'!F47-'Assumptions'!F52*(F351)+'Assumptions'!F57-'Assumptions'!F62*(1)-'Assumptions'!F67-(0))+(('Historical Inputs'!$N$9*(1+(D351))^1)*('Assumptions'!E67+(0))))*'DCF'!F12/(1+(G351))^'DCF'!F13,(('Historical Inputs'!$N$9*(1+(D351))^3)*(('Assumptions'!G37+(E351))*(1-'Assumptions'!G42-(0))+'Assumptions'!G47-'Assumptions'!G52*(F351)+'Assumptions'!G57-'Assumptions'!G62*(1)-'Assumptions'!G67-(0))+(('Historical Inputs'!$N$9*(1+(D351))^2)*('Assumptions'!F67+(0))))*'DCF'!G12/(1+(G351))^'DCF'!G13,(('Historical Inputs'!$N$9*(1+(D351))^4)*(('Assumptions'!H37+(E351))*(1-'Assumptions'!H42-(0))+'Assumptions'!H47-'Assumptions'!H52*(F351)+'Assumptions'!H57-'Assumptions'!H62*(1)-'Assumptions'!H67-(0))+(('Historical Inputs'!$N$9*(1+(D351))^3)*('Assumptions'!G67+(0))))*'DCF'!H12/(1+(G351))^'DCF'!H13,(('Historical Inputs'!$N$9*(1+(D351))^5)*(('Assumptions'!I37+(E351))*(1-'Assumptions'!I42-(0))+'Assumptions'!I47-'Assumptions'!I52*(F351)+'Assumptions'!I57-'Assumptions'!I62*(1)-'Assumptions'!I67-(0))+(('Historical Inputs'!$N$9*(1+(D351))^4)*('Assumptions'!H67+(0))))*'DCF'!I12/(1+(G351))^'DCF'!I13)+('Historical Inputs'!$N$9*(1+(D351))^5)*(1+(H351))*('Terminal Value'!$E$10+(E351))*(1-'Assumptions'!$E$15-(0))*(1-(H351)/('Terminal Value'!$E$12))/((G351)-(H351))/(1+(G351))^'DCF'!$E$19)+'Equity Bridge'!$E$17)/'Equity Bridge'!$E$20</x:f>
        <x:v>234.7630548050708</x:v>
      </x:c>
      <x:c r="X351" s="255" t="n">
        <x:v>0.48232652324459846</x:v>
      </x:c>
      <x:c r="Y351" s="255" t="n">
        <x:v>0.04063359853500459</x:v>
      </x:c>
      <x:c r="Z351" s="255" t="n">
        <x:v>0.13247862828649004</x:v>
      </x:c>
      <x:c r="AA351" s="255" t="n">
        <x:v>0.7287072641112072</x:v>
      </x:c>
      <x:c r="AB351" s="255" t="n">
        <x:v>0.050664479296870124</x:v>
      </x:c>
    </x:row>
    <x:row r="352" ht="24" customHeight="1">
      <x:c r="C352" s="256" t="n">
        <x:f>321</x:f>
        <x:v>321</x:v>
      </x:c>
      <x:c r="D352" s="258" t="n">
        <x:f>IF(X352&lt;($E$12-$D$12)/($F$12-$D$12),$D$12+SQRT(X352*($F$12-$D$12)*($E$12-$D$12)),$F$12-SQRT((1-X352)*($F$12-$D$12)*($F$12-$E$12)))</x:f>
        <x:v>0.14001220814100834</x:v>
      </x:c>
      <x:c r="E352" s="258" t="n">
        <x:f>IF(Y352&lt;($E$13-$D$13)/($F$13-$D$13),$D$13+SQRT(Y352*($F$13-$D$13)*($E$13-$D$13)),$F$13-SQRT((1-Y352)*($F$13-$D$13)*($F$13-$E$13)))</x:f>
        <x:v>-0.002336646462526411</x:v>
      </x:c>
      <x:c r="F352" s="260" t="n">
        <x:f>IF(Z352&lt;($E$14-$D$14)/($F$14-$D$14),$D$14+SQRT(Z352*($F$14-$D$14)*($E$14-$D$14)),$F$14-SQRT((1-Z352)*($F$14-$D$14)*($F$14-$E$14)))</x:f>
        <x:v>0.9863372135649411</x:v>
      </x:c>
      <x:c r="G352" s="258" t="n">
        <x:f>IF(AA352&lt;($E$15-$D$15)/($F$15-$D$15),$D$15+SQRT(AA352*($F$15-$D$15)*($E$15-$D$15)),$F$15-SQRT((1-AA352)*($F$15-$D$15)*($F$15-$E$15)))</x:f>
        <x:v>0.0941846858166011</x:v>
      </x:c>
      <x:c r="H352" s="258" t="n">
        <x:f>IF(AB352&lt;($E$16-$D$16)/($F$16-$D$16),$D$16+SQRT(AB352*($F$16-$D$16)*($E$16-$D$16)),$F$16-SQRT((1-AB352)*($F$16-$D$16)*($F$16-$E$16)))</x:f>
        <x:v>0.028329534258847183</x:v>
      </x:c>
      <x:c r="I352" s="262" t="n">
        <x:f>'Historical Inputs'!$N$9*(1+D352)^5</x:f>
        <x:v>638961.8613893131</x:v>
      </x:c>
      <x:c r="J352" s="262" t="n">
        <x:f>I352*(1+H352)*('Terminal Value'!$E$10+E352)*(1-'Assumptions'!$E$15)*(1-H352/'Terminal Value'!$E$12)</x:f>
        <x:v>179423.1153540154</x:v>
      </x:c>
      <x:c r="K352" s="264" t="n">
        <x:f>((SUM((('Historical Inputs'!$N$9*(1+(D352))^1)*(('Assumptions'!E37+(E352))*(1-'Assumptions'!E42-(0))+'Assumptions'!E47-'Assumptions'!E52*(F352)+'Assumptions'!E57-'Assumptions'!E62*(1)-'Assumptions'!E67-(0))+('Working Capital'!$E$6))*'DCF'!E12/(1+(G352))^'DCF'!E13,(('Historical Inputs'!$N$9*(1+(D352))^2)*(('Assumptions'!F37+(E352))*(1-'Assumptions'!F42-(0))+'Assumptions'!F47-'Assumptions'!F52*(F352)+'Assumptions'!F57-'Assumptions'!F62*(1)-'Assumptions'!F67-(0))+(('Historical Inputs'!$N$9*(1+(D352))^1)*('Assumptions'!E67+(0))))*'DCF'!F12/(1+(G352))^'DCF'!F13,(('Historical Inputs'!$N$9*(1+(D352))^3)*(('Assumptions'!G37+(E352))*(1-'Assumptions'!G42-(0))+'Assumptions'!G47-'Assumptions'!G52*(F352)+'Assumptions'!G57-'Assumptions'!G62*(1)-'Assumptions'!G67-(0))+(('Historical Inputs'!$N$9*(1+(D352))^2)*('Assumptions'!F67+(0))))*'DCF'!G12/(1+(G352))^'DCF'!G13,(('Historical Inputs'!$N$9*(1+(D352))^4)*(('Assumptions'!H37+(E352))*(1-'Assumptions'!H42-(0))+'Assumptions'!H47-'Assumptions'!H52*(F352)+'Assumptions'!H57-'Assumptions'!H62*(1)-'Assumptions'!H67-(0))+(('Historical Inputs'!$N$9*(1+(D352))^3)*('Assumptions'!G67+(0))))*'DCF'!H12/(1+(G352))^'DCF'!H13,(('Historical Inputs'!$N$9*(1+(D352))^5)*(('Assumptions'!I37+(E352))*(1-'Assumptions'!I42-(0))+'Assumptions'!I47-'Assumptions'!I52*(F352)+'Assumptions'!I57-'Assumptions'!I62*(1)-'Assumptions'!I67-(0))+(('Historical Inputs'!$N$9*(1+(D352))^4)*('Assumptions'!H67+(0))))*'DCF'!I12/(1+(G352))^'DCF'!I13)+('Historical Inputs'!$N$9*(1+(D352))^5)*(1+(H352))*('Terminal Value'!$E$10+(E352))*(1-'Assumptions'!$E$15-(0))*(1-(H352)/('Terminal Value'!$E$12))/((G352)-(H352))/(1+(G352))^'DCF'!$E$19)+'Equity Bridge'!$E$17)/'Equity Bridge'!$E$20</x:f>
        <x:v>295.095178486453</x:v>
      </x:c>
      <x:c r="X352" s="255" t="n">
        <x:v>0.43720948946915594</x:v>
      </x:c>
      <x:c r="Y352" s="255" t="n">
        <x:v>0.4543590540876392</x:v>
      </x:c>
      <x:c r="Z352" s="255" t="n">
        <x:v>0.3540540152886167</x:v>
      </x:c>
      <x:c r="AA352" s="255" t="n">
        <x:v>0.2710598389268537</x:v>
      </x:c>
      <x:c r="AB352" s="255" t="n">
        <x:v>0.3469057048465448</x:v>
      </x:c>
    </x:row>
    <x:row r="353" ht="24" customHeight="1">
      <x:c r="C353" s="256" t="n">
        <x:f>322</x:f>
        <x:v>322</x:v>
      </x:c>
      <x:c r="D353" s="258" t="n">
        <x:f>IF(X353&lt;($E$12-$D$12)/($F$12-$D$12),$D$12+SQRT(X353*($F$12-$D$12)*($E$12-$D$12)),$F$12-SQRT((1-X353)*($F$12-$D$12)*($F$12-$E$12)))</x:f>
        <x:v>0.15500150815784153</x:v>
      </x:c>
      <x:c r="E353" s="258" t="n">
        <x:f>IF(Y353&lt;($E$13-$D$13)/($F$13-$D$13),$D$13+SQRT(Y353*($F$13-$D$13)*($E$13-$D$13)),$F$13-SQRT((1-Y353)*($F$13-$D$13)*($F$13-$E$13)))</x:f>
        <x:v>-0.02223745063279328</x:v>
      </x:c>
      <x:c r="F353" s="260" t="n">
        <x:f>IF(Z353&lt;($E$14-$D$14)/($F$14-$D$14),$D$14+SQRT(Z353*($F$14-$D$14)*($E$14-$D$14)),$F$14-SQRT((1-Z353)*($F$14-$D$14)*($F$14-$E$14)))</x:f>
        <x:v>0.9348085750490004</x:v>
      </x:c>
      <x:c r="G353" s="258" t="n">
        <x:f>IF(AA353&lt;($E$15-$D$15)/($F$15-$D$15),$D$15+SQRT(AA353*($F$15-$D$15)*($E$15-$D$15)),$F$15-SQRT((1-AA353)*($F$15-$D$15)*($F$15-$E$15)))</x:f>
        <x:v>0.10153939204419188</x:v>
      </x:c>
      <x:c r="H353" s="258" t="n">
        <x:f>IF(AB353&lt;($E$16-$D$16)/($F$16-$D$16),$D$16+SQRT(AB353*($F$16-$D$16)*($E$16-$D$16)),$F$16-SQRT((1-AB353)*($F$16-$D$16)*($F$16-$E$16)))</x:f>
        <x:v>0.031091270608824655</x:v>
      </x:c>
      <x:c r="I353" s="262" t="n">
        <x:f>'Historical Inputs'!$N$9*(1+D353)^5</x:f>
        <x:v>682087.6442536216</x:v>
      </x:c>
      <x:c r="J353" s="262" t="n">
        <x:f>I353*(1+H353)*('Terminal Value'!$E$10+E353)*(1-'Assumptions'!$E$15)*(1-H353/'Terminal Value'!$E$12)</x:f>
        <x:v>179501.58159575582</x:v>
      </x:c>
      <x:c r="K353" s="264" t="n">
        <x:f>((SUM((('Historical Inputs'!$N$9*(1+(D353))^1)*(('Assumptions'!E37+(E353))*(1-'Assumptions'!E42-(0))+'Assumptions'!E47-'Assumptions'!E52*(F353)+'Assumptions'!E57-'Assumptions'!E62*(1)-'Assumptions'!E67-(0))+('Working Capital'!$E$6))*'DCF'!E12/(1+(G353))^'DCF'!E13,(('Historical Inputs'!$N$9*(1+(D353))^2)*(('Assumptions'!F37+(E353))*(1-'Assumptions'!F42-(0))+'Assumptions'!F47-'Assumptions'!F52*(F353)+'Assumptions'!F57-'Assumptions'!F62*(1)-'Assumptions'!F67-(0))+(('Historical Inputs'!$N$9*(1+(D353))^1)*('Assumptions'!E67+(0))))*'DCF'!F12/(1+(G353))^'DCF'!F13,(('Historical Inputs'!$N$9*(1+(D353))^3)*(('Assumptions'!G37+(E353))*(1-'Assumptions'!G42-(0))+'Assumptions'!G47-'Assumptions'!G52*(F353)+'Assumptions'!G57-'Assumptions'!G62*(1)-'Assumptions'!G67-(0))+(('Historical Inputs'!$N$9*(1+(D353))^2)*('Assumptions'!F67+(0))))*'DCF'!G12/(1+(G353))^'DCF'!G13,(('Historical Inputs'!$N$9*(1+(D353))^4)*(('Assumptions'!H37+(E353))*(1-'Assumptions'!H42-(0))+'Assumptions'!H47-'Assumptions'!H52*(F353)+'Assumptions'!H57-'Assumptions'!H62*(1)-'Assumptions'!H67-(0))+(('Historical Inputs'!$N$9*(1+(D353))^3)*('Assumptions'!G67+(0))))*'DCF'!H12/(1+(G353))^'DCF'!H13,(('Historical Inputs'!$N$9*(1+(D353))^5)*(('Assumptions'!I37+(E353))*(1-'Assumptions'!I42-(0))+'Assumptions'!I47-'Assumptions'!I52*(F353)+'Assumptions'!I57-'Assumptions'!I62*(1)-'Assumptions'!I67-(0))+(('Historical Inputs'!$N$9*(1+(D353))^4)*('Assumptions'!H67+(0))))*'DCF'!I12/(1+(G353))^'DCF'!I13)+('Historical Inputs'!$N$9*(1+(D353))^5)*(1+(H353))*('Terminal Value'!$E$10+(E353))*(1-'Assumptions'!$E$15-(0))*(1-(H353)/('Terminal Value'!$E$12))/((G353)-(H353))/(1+(G353))^'DCF'!$E$19)+'Equity Bridge'!$E$17)/'Equity Bridge'!$E$20</x:f>
        <x:v>273.4246209597486</x:v>
      </x:c>
      <x:c r="X353" s="255" t="n">
        <x:v>0.7073031347961902</x:v>
      </x:c>
      <x:c r="Y353" s="255" t="n">
        <x:v>0.15415182947331807</x:v>
      </x:c>
      <x:c r="Z353" s="255" t="n">
        <x:v>0.1369998933684179</x:v>
      </x:c>
      <x:c r="AA353" s="255" t="n">
        <x:v>0.7009273931520655</x:v>
      </x:c>
      <x:c r="AB353" s="255" t="n">
        <x:v>0.6031727031740429</x:v>
      </x:c>
    </x:row>
    <x:row r="354" ht="24" customHeight="1">
      <x:c r="C354" s="256" t="n">
        <x:f>323</x:f>
        <x:v>323</x:v>
      </x:c>
      <x:c r="D354" s="258" t="n">
        <x:f>IF(X354&lt;($E$12-$D$12)/($F$12-$D$12),$D$12+SQRT(X354*($F$12-$D$12)*($E$12-$D$12)),$F$12-SQRT((1-X354)*($F$12-$D$12)*($F$12-$E$12)))</x:f>
        <x:v>0.15236807813690084</x:v>
      </x:c>
      <x:c r="E354" s="258" t="n">
        <x:f>IF(Y354&lt;($E$13-$D$13)/($F$13-$D$13),$D$13+SQRT(Y354*($F$13-$D$13)*($E$13-$D$13)),$F$13-SQRT((1-Y354)*($F$13-$D$13)*($F$13-$E$13)))</x:f>
        <x:v>0.01271067010826401</x:v>
      </x:c>
      <x:c r="F354" s="260" t="n">
        <x:f>IF(Z354&lt;($E$14-$D$14)/($F$14-$D$14),$D$14+SQRT(Z354*($F$14-$D$14)*($E$14-$D$14)),$F$14-SQRT((1-Z354)*($F$14-$D$14)*($F$14-$E$14)))</x:f>
        <x:v>1.049726244725973</x:v>
      </x:c>
      <x:c r="G354" s="258" t="n">
        <x:f>IF(AA354&lt;($E$15-$D$15)/($F$15-$D$15),$D$15+SQRT(AA354*($F$15-$D$15)*($E$15-$D$15)),$F$15-SQRT((1-AA354)*($F$15-$D$15)*($F$15-$E$15)))</x:f>
        <x:v>0.09173457159965254</x:v>
      </x:c>
      <x:c r="H354" s="258" t="n">
        <x:f>IF(AB354&lt;($E$16-$D$16)/($F$16-$D$16),$D$16+SQRT(AB354*($F$16-$D$16)*($E$16-$D$16)),$F$16-SQRT((1-AB354)*($F$16-$D$16)*($F$16-$E$16)))</x:f>
        <x:v>0.027034270420372538</x:v>
      </x:c>
      <x:c r="I354" s="262" t="n">
        <x:f>'Historical Inputs'!$N$9*(1+D354)^5</x:f>
        <x:v>674347.1442241387</x:v>
      </x:c>
      <x:c r="J354" s="262" t="n">
        <x:f>I354*(1+H354)*('Terminal Value'!$E$10+E354)*(1-'Assumptions'!$E$15)*(1-H354/'Terminal Value'!$E$12)</x:f>
        <x:v>197758.0676164016</x:v>
      </x:c>
      <x:c r="K354" s="264" t="n">
        <x:f>((SUM((('Historical Inputs'!$N$9*(1+(D354))^1)*(('Assumptions'!E37+(E354))*(1-'Assumptions'!E42-(0))+'Assumptions'!E47-'Assumptions'!E52*(F354)+'Assumptions'!E57-'Assumptions'!E62*(1)-'Assumptions'!E67-(0))+('Working Capital'!$E$6))*'DCF'!E12/(1+(G354))^'DCF'!E13,(('Historical Inputs'!$N$9*(1+(D354))^2)*(('Assumptions'!F37+(E354))*(1-'Assumptions'!F42-(0))+'Assumptions'!F47-'Assumptions'!F52*(F354)+'Assumptions'!F57-'Assumptions'!F62*(1)-'Assumptions'!F67-(0))+(('Historical Inputs'!$N$9*(1+(D354))^1)*('Assumptions'!E67+(0))))*'DCF'!F12/(1+(G354))^'DCF'!F13,(('Historical Inputs'!$N$9*(1+(D354))^3)*(('Assumptions'!G37+(E354))*(1-'Assumptions'!G42-(0))+'Assumptions'!G47-'Assumptions'!G52*(F354)+'Assumptions'!G57-'Assumptions'!G62*(1)-'Assumptions'!G67-(0))+(('Historical Inputs'!$N$9*(1+(D354))^2)*('Assumptions'!F67+(0))))*'DCF'!G12/(1+(G354))^'DCF'!G13,(('Historical Inputs'!$N$9*(1+(D354))^4)*(('Assumptions'!H37+(E354))*(1-'Assumptions'!H42-(0))+'Assumptions'!H47-'Assumptions'!H52*(F354)+'Assumptions'!H57-'Assumptions'!H62*(1)-'Assumptions'!H67-(0))+(('Historical Inputs'!$N$9*(1+(D354))^3)*('Assumptions'!G67+(0))))*'DCF'!H12/(1+(G354))^'DCF'!H13,(('Historical Inputs'!$N$9*(1+(D354))^5)*(('Assumptions'!I37+(E354))*(1-'Assumptions'!I42-(0))+'Assumptions'!I47-'Assumptions'!I52*(F354)+'Assumptions'!I57-'Assumptions'!I62*(1)-'Assumptions'!I67-(0))+(('Historical Inputs'!$N$9*(1+(D354))^4)*('Assumptions'!H67+(0))))*'DCF'!I12/(1+(G354))^'DCF'!I13)+('Historical Inputs'!$N$9*(1+(D354))^5)*(1+(H354))*('Terminal Value'!$E$10+(E354))*(1-'Assumptions'!$E$15-(0))*(1-(H354)/('Terminal Value'!$E$12))/((G354)-(H354))/(1+(G354))^'DCF'!$E$19)+'Equity Bridge'!$E$17)/'Equity Bridge'!$E$20</x:f>
        <x:v>328.7425837526622</x:v>
      </x:c>
      <x:c r="X354" s="255" t="n">
        <x:v>0.6656188567969975</x:v>
      </x:c>
      <x:c r="Y354" s="255" t="n">
        <x:v>0.7219011752450569</x:v>
      </x:c>
      <x:c r="Z354" s="255" t="n">
        <x:v>0.6773971210834553</x:v>
      </x:c>
      <x:c r="AA354" s="255" t="n">
        <x:v>0.16413402960354684</x:v>
      </x:c>
      <x:c r="AB354" s="255" t="n">
        <x:v>0.2474048017346404</x:v>
      </x:c>
    </x:row>
    <x:row r="355" ht="24" customHeight="1">
      <x:c r="C355" s="256" t="n">
        <x:f>324</x:f>
        <x:v>324</x:v>
      </x:c>
      <x:c r="D355" s="258" t="n">
        <x:f>IF(X355&lt;($E$12-$D$12)/($F$12-$D$12),$D$12+SQRT(X355*($F$12-$D$12)*($E$12-$D$12)),$F$12-SQRT((1-X355)*($F$12-$D$12)*($F$12-$E$12)))</x:f>
        <x:v>0.15839488062943163</x:v>
      </x:c>
      <x:c r="E355" s="258" t="n">
        <x:f>IF(Y355&lt;($E$13-$D$13)/($F$13-$D$13),$D$13+SQRT(Y355*($F$13-$D$13)*($E$13-$D$13)),$F$13-SQRT((1-Y355)*($F$13-$D$13)*($F$13-$E$13)))</x:f>
        <x:v>0.001247262416125737</x:v>
      </x:c>
      <x:c r="F355" s="260" t="n">
        <x:f>IF(Z355&lt;($E$14-$D$14)/($F$14-$D$14),$D$14+SQRT(Z355*($F$14-$D$14)*($E$14-$D$14)),$F$14-SQRT((1-Z355)*($F$14-$D$14)*($F$14-$E$14)))</x:f>
        <x:v>1.0532213606127507</x:v>
      </x:c>
      <x:c r="G355" s="258" t="n">
        <x:f>IF(AA355&lt;($E$15-$D$15)/($F$15-$D$15),$D$15+SQRT(AA355*($F$15-$D$15)*($E$15-$D$15)),$F$15-SQRT((1-AA355)*($F$15-$D$15)*($F$15-$E$15)))</x:f>
        <x:v>0.10370333071792401</x:v>
      </x:c>
      <x:c r="H355" s="258" t="n">
        <x:f>IF(AB355&lt;($E$16-$D$16)/($F$16-$D$16),$D$16+SQRT(AB355*($F$16-$D$16)*($E$16-$D$16)),$F$16-SQRT((1-AB355)*($F$16-$D$16)*($F$16-$E$16)))</x:f>
        <x:v>0.02334760423054339</x:v>
      </x:c>
      <x:c r="I355" s="262" t="n">
        <x:f>'Historical Inputs'!$N$9*(1+D355)^5</x:f>
        <x:v>692166.4961171596</x:v>
      </x:c>
      <x:c r="J355" s="262" t="n">
        <x:f>I355*(1+H355)*('Terminal Value'!$E$10+E355)*(1-'Assumptions'!$E$15)*(1-H355/'Terminal Value'!$E$12)</x:f>
        <x:v>200828.5054648466</x:v>
      </x:c>
      <x:c r="K355" s="264" t="n">
        <x:f>((SUM((('Historical Inputs'!$N$9*(1+(D355))^1)*(('Assumptions'!E37+(E355))*(1-'Assumptions'!E42-(0))+'Assumptions'!E47-'Assumptions'!E52*(F355)+'Assumptions'!E57-'Assumptions'!E62*(1)-'Assumptions'!E67-(0))+('Working Capital'!$E$6))*'DCF'!E12/(1+(G355))^'DCF'!E13,(('Historical Inputs'!$N$9*(1+(D355))^2)*(('Assumptions'!F37+(E355))*(1-'Assumptions'!F42-(0))+'Assumptions'!F47-'Assumptions'!F52*(F355)+'Assumptions'!F57-'Assumptions'!F62*(1)-'Assumptions'!F67-(0))+(('Historical Inputs'!$N$9*(1+(D355))^1)*('Assumptions'!E67+(0))))*'DCF'!F12/(1+(G355))^'DCF'!F13,(('Historical Inputs'!$N$9*(1+(D355))^3)*(('Assumptions'!G37+(E355))*(1-'Assumptions'!G42-(0))+'Assumptions'!G47-'Assumptions'!G52*(F355)+'Assumptions'!G57-'Assumptions'!G62*(1)-'Assumptions'!G67-(0))+(('Historical Inputs'!$N$9*(1+(D355))^2)*('Assumptions'!F67+(0))))*'DCF'!G12/(1+(G355))^'DCF'!G13,(('Historical Inputs'!$N$9*(1+(D355))^4)*(('Assumptions'!H37+(E355))*(1-'Assumptions'!H42-(0))+'Assumptions'!H47-'Assumptions'!H52*(F355)+'Assumptions'!H57-'Assumptions'!H62*(1)-'Assumptions'!H67-(0))+(('Historical Inputs'!$N$9*(1+(D355))^3)*('Assumptions'!G67+(0))))*'DCF'!H12/(1+(G355))^'DCF'!H13,(('Historical Inputs'!$N$9*(1+(D355))^5)*(('Assumptions'!I37+(E355))*(1-'Assumptions'!I42-(0))+'Assumptions'!I47-'Assumptions'!I52*(F355)+'Assumptions'!I57-'Assumptions'!I62*(1)-'Assumptions'!I67-(0))+(('Historical Inputs'!$N$9*(1+(D355))^4)*('Assumptions'!H67+(0))))*'DCF'!I12/(1+(G355))^'DCF'!I13)+('Historical Inputs'!$N$9*(1+(D355))^5)*(1+(H355))*('Terminal Value'!$E$10+(E355))*(1-'Assumptions'!$E$15-(0))*(1-(H355)/('Terminal Value'!$E$12))/((G355)-(H355))/(1+(G355))^'DCF'!$E$19)+'Equity Bridge'!$E$17)/'Equity Bridge'!$E$20</x:f>
        <x:v>264.83178818146547</x:v>
      </x:c>
      <x:c r="X355" s="255" t="n">
        <x:v>0.7569262222373061</x:v>
      </x:c>
      <x:c r="Y355" s="255" t="n">
        <x:v>0.5246341156155788</x:v>
      </x:c>
      <x:c r="Z355" s="255" t="n">
        <x:v>0.692229014566112</x:v>
      </x:c>
      <x:c r="AA355" s="255" t="n">
        <x:v>0.8020940065995088</x:v>
      </x:c>
      <x:c r="AB355" s="255" t="n">
        <x:v>0.056032270421760066</x:v>
      </x:c>
    </x:row>
    <x:row r="356" ht="24" customHeight="1">
      <x:c r="C356" s="256" t="n">
        <x:f>325</x:f>
        <x:v>325</x:v>
      </x:c>
      <x:c r="D356" s="258" t="n">
        <x:f>IF(X356&lt;($E$12-$D$12)/($F$12-$D$12),$D$12+SQRT(X356*($F$12-$D$12)*($E$12-$D$12)),$F$12-SQRT((1-X356)*($F$12-$D$12)*($F$12-$E$12)))</x:f>
        <x:v>0.13330450727566726</x:v>
      </x:c>
      <x:c r="E356" s="258" t="n">
        <x:f>IF(Y356&lt;($E$13-$D$13)/($F$13-$D$13),$D$13+SQRT(Y356*($F$13-$D$13)*($E$13-$D$13)),$F$13-SQRT((1-Y356)*($F$13-$D$13)*($F$13-$E$13)))</x:f>
        <x:v>0.02628773391005542</x:v>
      </x:c>
      <x:c r="F356" s="260" t="n">
        <x:f>IF(Z356&lt;($E$14-$D$14)/($F$14-$D$14),$D$14+SQRT(Z356*($F$14-$D$14)*($E$14-$D$14)),$F$14-SQRT((1-Z356)*($F$14-$D$14)*($F$14-$E$14)))</x:f>
        <x:v>1.0089766399465983</x:v>
      </x:c>
      <x:c r="G356" s="258" t="n">
        <x:f>IF(AA356&lt;($E$15-$D$15)/($F$15-$D$15),$D$15+SQRT(AA356*($F$15-$D$15)*($E$15-$D$15)),$F$15-SQRT((1-AA356)*($F$15-$D$15)*($F$15-$E$15)))</x:f>
        <x:v>0.09150937804189666</x:v>
      </x:c>
      <x:c r="H356" s="258" t="n">
        <x:f>IF(AB356&lt;($E$16-$D$16)/($F$16-$D$16),$D$16+SQRT(AB356*($F$16-$D$16)*($E$16-$D$16)),$F$16-SQRT((1-AB356)*($F$16-$D$16)*($F$16-$E$16)))</x:f>
        <x:v>0.023682004864864534</x:v>
      </x:c>
      <x:c r="I356" s="262" t="n">
        <x:f>'Historical Inputs'!$N$9*(1+D356)^5</x:f>
        <x:v>620383.8819708433</x:v>
      </x:c>
      <x:c r="J356" s="262" t="n">
        <x:f>I356*(1+H356)*('Terminal Value'!$E$10+E356)*(1-'Assumptions'!$E$15)*(1-H356/'Terminal Value'!$E$12)</x:f>
        <x:v>190934.778441627</x:v>
      </x:c>
      <x:c r="K356" s="264" t="n">
        <x:f>((SUM((('Historical Inputs'!$N$9*(1+(D356))^1)*(('Assumptions'!E37+(E356))*(1-'Assumptions'!E42-(0))+'Assumptions'!E47-'Assumptions'!E52*(F356)+'Assumptions'!E57-'Assumptions'!E62*(1)-'Assumptions'!E67-(0))+('Working Capital'!$E$6))*'DCF'!E12/(1+(G356))^'DCF'!E13,(('Historical Inputs'!$N$9*(1+(D356))^2)*(('Assumptions'!F37+(E356))*(1-'Assumptions'!F42-(0))+'Assumptions'!F47-'Assumptions'!F52*(F356)+'Assumptions'!F57-'Assumptions'!F62*(1)-'Assumptions'!F67-(0))+(('Historical Inputs'!$N$9*(1+(D356))^1)*('Assumptions'!E67+(0))))*'DCF'!F12/(1+(G356))^'DCF'!F13,(('Historical Inputs'!$N$9*(1+(D356))^3)*(('Assumptions'!G37+(E356))*(1-'Assumptions'!G42-(0))+'Assumptions'!G47-'Assumptions'!G52*(F356)+'Assumptions'!G57-'Assumptions'!G62*(1)-'Assumptions'!G67-(0))+(('Historical Inputs'!$N$9*(1+(D356))^2)*('Assumptions'!F67+(0))))*'DCF'!G12/(1+(G356))^'DCF'!G13,(('Historical Inputs'!$N$9*(1+(D356))^4)*(('Assumptions'!H37+(E356))*(1-'Assumptions'!H42-(0))+'Assumptions'!H47-'Assumptions'!H52*(F356)+'Assumptions'!H57-'Assumptions'!H62*(1)-'Assumptions'!H67-(0))+(('Historical Inputs'!$N$9*(1+(D356))^3)*('Assumptions'!G67+(0))))*'DCF'!H12/(1+(G356))^'DCF'!H13,(('Historical Inputs'!$N$9*(1+(D356))^5)*(('Assumptions'!I37+(E356))*(1-'Assumptions'!I42-(0))+'Assumptions'!I47-'Assumptions'!I52*(F356)+'Assumptions'!I57-'Assumptions'!I62*(1)-'Assumptions'!I67-(0))+(('Historical Inputs'!$N$9*(1+(D356))^4)*('Assumptions'!H67+(0))))*'DCF'!I12/(1+(G356))^'DCF'!I13)+('Historical Inputs'!$N$9*(1+(D356))^5)*(1+(H356))*('Terminal Value'!$E$10+(E356))*(1-'Assumptions'!$E$15-(0))*(1-(H356)/('Terminal Value'!$E$12))/((G356)-(H356))/(1+(G356))^'DCF'!$E$19)+'Equity Bridge'!$E$17)/'Equity Bridge'!$E$20</x:f>
        <x:v>309.4787607073639</x:v>
      </x:c>
      <x:c r="X356" s="255" t="n">
        <x:v>0.320760218167343</x:v>
      </x:c>
      <x:c r="Y356" s="255" t="n">
        <x:v>0.8875456873759329</x:v>
      </x:c>
      <x:c r="Z356" s="255" t="n">
        <x:v>0.47871537019869226</x:v>
      </x:c>
      <x:c r="AA356" s="255" t="n">
        <x:v>0.15564512771587602</x:v>
      </x:c>
      <x:c r="AB356" s="255" t="n">
        <x:v>0.0677857991244305</x:v>
      </x:c>
    </x:row>
    <x:row r="357" ht="24" customHeight="1">
      <x:c r="C357" s="256" t="n">
        <x:f>326</x:f>
        <x:v>326</x:v>
      </x:c>
      <x:c r="D357" s="258" t="n">
        <x:f>IF(X357&lt;($E$12-$D$12)/($F$12-$D$12),$D$12+SQRT(X357*($F$12-$D$12)*($E$12-$D$12)),$F$12-SQRT((1-X357)*($F$12-$D$12)*($F$12-$E$12)))</x:f>
        <x:v>0.14801507930963406</x:v>
      </x:c>
      <x:c r="E357" s="258" t="n">
        <x:f>IF(Y357&lt;($E$13-$D$13)/($F$13-$D$13),$D$13+SQRT(Y357*($F$13-$D$13)*($E$13-$D$13)),$F$13-SQRT((1-Y357)*($F$13-$D$13)*($F$13-$E$13)))</x:f>
        <x:v>-0.011981802821255223</x:v>
      </x:c>
      <x:c r="F357" s="260" t="n">
        <x:f>IF(Z357&lt;($E$14-$D$14)/($F$14-$D$14),$D$14+SQRT(Z357*($F$14-$D$14)*($E$14-$D$14)),$F$14-SQRT((1-Z357)*($F$14-$D$14)*($F$14-$E$14)))</x:f>
        <x:v>1.066875076694306</x:v>
      </x:c>
      <x:c r="G357" s="258" t="n">
        <x:f>IF(AA357&lt;($E$15-$D$15)/($F$15-$D$15),$D$15+SQRT(AA357*($F$15-$D$15)*($E$15-$D$15)),$F$15-SQRT((1-AA357)*($F$15-$D$15)*($F$15-$E$15)))</x:f>
        <x:v>0.10465564055734064</x:v>
      </x:c>
      <x:c r="H357" s="258" t="n">
        <x:f>IF(AB357&lt;($E$16-$D$16)/($F$16-$D$16),$D$16+SQRT(AB357*($F$16-$D$16)*($E$16-$D$16)),$F$16-SQRT((1-AB357)*($F$16-$D$16)*($F$16-$E$16)))</x:f>
        <x:v>0.03599934007851706</x:v>
      </x:c>
      <x:c r="I357" s="262" t="n">
        <x:f>'Historical Inputs'!$N$9*(1+D357)^5</x:f>
        <x:v>661706.4820511371</x:v>
      </x:c>
      <x:c r="J357" s="262" t="n">
        <x:f>I357*(1+H357)*('Terminal Value'!$E$10+E357)*(1-'Assumptions'!$E$15)*(1-H357/'Terminal Value'!$E$12)</x:f>
        <x:v>174494.8236361937</x:v>
      </x:c>
      <x:c r="K357" s="264" t="n">
        <x:f>((SUM((('Historical Inputs'!$N$9*(1+(D357))^1)*(('Assumptions'!E37+(E357))*(1-'Assumptions'!E42-(0))+'Assumptions'!E47-'Assumptions'!E52*(F357)+'Assumptions'!E57-'Assumptions'!E62*(1)-'Assumptions'!E67-(0))+('Working Capital'!$E$6))*'DCF'!E12/(1+(G357))^'DCF'!E13,(('Historical Inputs'!$N$9*(1+(D357))^2)*(('Assumptions'!F37+(E357))*(1-'Assumptions'!F42-(0))+'Assumptions'!F47-'Assumptions'!F52*(F357)+'Assumptions'!F57-'Assumptions'!F62*(1)-'Assumptions'!F67-(0))+(('Historical Inputs'!$N$9*(1+(D357))^1)*('Assumptions'!E67+(0))))*'DCF'!F12/(1+(G357))^'DCF'!F13,(('Historical Inputs'!$N$9*(1+(D357))^3)*(('Assumptions'!G37+(E357))*(1-'Assumptions'!G42-(0))+'Assumptions'!G47-'Assumptions'!G52*(F357)+'Assumptions'!G57-'Assumptions'!G62*(1)-'Assumptions'!G67-(0))+(('Historical Inputs'!$N$9*(1+(D357))^2)*('Assumptions'!F67+(0))))*'DCF'!G12/(1+(G357))^'DCF'!G13,(('Historical Inputs'!$N$9*(1+(D357))^4)*(('Assumptions'!H37+(E357))*(1-'Assumptions'!H42-(0))+'Assumptions'!H47-'Assumptions'!H52*(F357)+'Assumptions'!H57-'Assumptions'!H62*(1)-'Assumptions'!H67-(0))+(('Historical Inputs'!$N$9*(1+(D357))^3)*('Assumptions'!G67+(0))))*'DCF'!H12/(1+(G357))^'DCF'!H13,(('Historical Inputs'!$N$9*(1+(D357))^5)*(('Assumptions'!I37+(E357))*(1-'Assumptions'!I42-(0))+'Assumptions'!I47-'Assumptions'!I52*(F357)+'Assumptions'!I57-'Assumptions'!I62*(1)-'Assumptions'!I67-(0))+(('Historical Inputs'!$N$9*(1+(D357))^4)*('Assumptions'!H67+(0))))*'DCF'!I12/(1+(G357))^'DCF'!I13)+('Historical Inputs'!$N$9*(1+(D357))^5)*(1+(H357))*('Terminal Value'!$E$10+(E357))*(1-'Assumptions'!$E$15-(0))*(1-(H357)/('Terminal Value'!$E$12))/((G357)-(H357))/(1+(G357))^'DCF'!$E$19)+'Equity Bridge'!$E$17)/'Equity Bridge'!$E$20</x:f>
        <x:v>262.0337788107495</x:v>
      </x:c>
      <x:c r="X357" s="255" t="n">
        <x:v>0.5906333274681299</x:v>
      </x:c>
      <x:c r="Y357" s="255" t="n">
        <x:v>0.2890766633443834</x:v>
      </x:c>
      <x:c r="Z357" s="255" t="n">
        <x:v>0.7468250684979012</x:v>
      </x:c>
      <x:c r="AA357" s="255" t="n">
        <x:v>0.8400208407017078</x:v>
      </x:c>
      <x:c r="AB357" s="255" t="n">
        <x:v>0.9199736009632005</x:v>
      </x:c>
    </x:row>
    <x:row r="358" ht="24" customHeight="1">
      <x:c r="C358" s="256" t="n">
        <x:f>327</x:f>
        <x:v>327</x:v>
      </x:c>
      <x:c r="D358" s="258" t="n">
        <x:f>IF(X358&lt;($E$12-$D$12)/($F$12-$D$12),$D$12+SQRT(X358*($F$12-$D$12)*($E$12-$D$12)),$F$12-SQRT((1-X358)*($F$12-$D$12)*($F$12-$E$12)))</x:f>
        <x:v>0.13815218698907897</x:v>
      </x:c>
      <x:c r="E358" s="258" t="n">
        <x:f>IF(Y358&lt;($E$13-$D$13)/($F$13-$D$13),$D$13+SQRT(Y358*($F$13-$D$13)*($E$13-$D$13)),$F$13-SQRT((1-Y358)*($F$13-$D$13)*($F$13-$E$13)))</x:f>
        <x:v>-0.0028080407747241506</x:v>
      </x:c>
      <x:c r="F358" s="260" t="n">
        <x:f>IF(Z358&lt;($E$14-$D$14)/($F$14-$D$14),$D$14+SQRT(Z358*($F$14-$D$14)*($E$14-$D$14)),$F$14-SQRT((1-Z358)*($F$14-$D$14)*($F$14-$E$14)))</x:f>
        <x:v>0.9979655279303905</x:v>
      </x:c>
      <x:c r="G358" s="258" t="n">
        <x:f>IF(AA358&lt;($E$15-$D$15)/($F$15-$D$15),$D$15+SQRT(AA358*($F$15-$D$15)*($E$15-$D$15)),$F$15-SQRT((1-AA358)*($F$15-$D$15)*($F$15-$E$15)))</x:f>
        <x:v>0.10399140976098542</x:v>
      </x:c>
      <x:c r="H358" s="258" t="n">
        <x:f>IF(AB358&lt;($E$16-$D$16)/($F$16-$D$16),$D$16+SQRT(AB358*($F$16-$D$16)*($E$16-$D$16)),$F$16-SQRT((1-AB358)*($F$16-$D$16)*($F$16-$E$16)))</x:f>
        <x:v>0.03470419715803164</x:v>
      </x:c>
      <x:c r="I358" s="262" t="n">
        <x:f>'Historical Inputs'!$N$9*(1+D358)^5</x:f>
        <x:v>633766.2561029325</x:v>
      </x:c>
      <x:c r="J358" s="262" t="n">
        <x:f>I358*(1+H358)*('Terminal Value'!$E$10+E358)*(1-'Assumptions'!$E$15)*(1-H358/'Terminal Value'!$E$12)</x:f>
        <x:v>172213.6567054867</x:v>
      </x:c>
      <x:c r="K358" s="264" t="n">
        <x:f>((SUM((('Historical Inputs'!$N$9*(1+(D358))^1)*(('Assumptions'!E37+(E358))*(1-'Assumptions'!E42-(0))+'Assumptions'!E47-'Assumptions'!E52*(F358)+'Assumptions'!E57-'Assumptions'!E62*(1)-'Assumptions'!E67-(0))+('Working Capital'!$E$6))*'DCF'!E12/(1+(G358))^'DCF'!E13,(('Historical Inputs'!$N$9*(1+(D358))^2)*(('Assumptions'!F37+(E358))*(1-'Assumptions'!F42-(0))+'Assumptions'!F47-'Assumptions'!F52*(F358)+'Assumptions'!F57-'Assumptions'!F62*(1)-'Assumptions'!F67-(0))+(('Historical Inputs'!$N$9*(1+(D358))^1)*('Assumptions'!E67+(0))))*'DCF'!F12/(1+(G358))^'DCF'!F13,(('Historical Inputs'!$N$9*(1+(D358))^3)*(('Assumptions'!G37+(E358))*(1-'Assumptions'!G42-(0))+'Assumptions'!G47-'Assumptions'!G52*(F358)+'Assumptions'!G57-'Assumptions'!G62*(1)-'Assumptions'!G67-(0))+(('Historical Inputs'!$N$9*(1+(D358))^2)*('Assumptions'!F67+(0))))*'DCF'!G12/(1+(G358))^'DCF'!G13,(('Historical Inputs'!$N$9*(1+(D358))^4)*(('Assumptions'!H37+(E358))*(1-'Assumptions'!H42-(0))+'Assumptions'!H47-'Assumptions'!H52*(F358)+'Assumptions'!H57-'Assumptions'!H62*(1)-'Assumptions'!H67-(0))+(('Historical Inputs'!$N$9*(1+(D358))^3)*('Assumptions'!G67+(0))))*'DCF'!H12/(1+(G358))^'DCF'!H13,(('Historical Inputs'!$N$9*(1+(D358))^5)*(('Assumptions'!I37+(E358))*(1-'Assumptions'!I42-(0))+'Assumptions'!I47-'Assumptions'!I52*(F358)+'Assumptions'!I57-'Assumptions'!I62*(1)-'Assumptions'!I67-(0))+(('Historical Inputs'!$N$9*(1+(D358))^4)*('Assumptions'!H67+(0))))*'DCF'!I12/(1+(G358))^'DCF'!I13)+('Historical Inputs'!$N$9*(1+(D358))^5)*(1+(H358))*('Terminal Value'!$E$10+(E358))*(1-'Assumptions'!$E$15-(0))*(1-(H358)/('Terminal Value'!$E$12))/((G358)-(H358))/(1+(G358))^'DCF'!$E$19)+'Equity Bridge'!$E$17)/'Equity Bridge'!$E$20</x:f>
        <x:v>262.5671663139878</x:v>
      </x:c>
      <x:c r="X358" s="255" t="n">
        <x:v>0.40311517100299754</x:v>
      </x:c>
      <x:c r="Y358" s="255" t="n">
        <x:v>0.44541620310401964</x:v>
      </x:c>
      <x:c r="Z358" s="255" t="n">
        <x:v>0.4170247134422702</x:v>
      </x:c>
      <x:c r="AA358" s="255" t="n">
        <x:v>0.8139923100392751</x:v>
      </x:c>
      <x:c r="AB358" s="255" t="n">
        <x:v>0.8597723612949993</x:v>
      </x:c>
    </x:row>
    <x:row r="359" ht="24" customHeight="1">
      <x:c r="C359" s="256" t="n">
        <x:f>328</x:f>
        <x:v>328</x:v>
      </x:c>
      <x:c r="D359" s="258" t="n">
        <x:f>IF(X359&lt;($E$12-$D$12)/($F$12-$D$12),$D$12+SQRT(X359*($F$12-$D$12)*($E$12-$D$12)),$F$12-SQRT((1-X359)*($F$12-$D$12)*($F$12-$E$12)))</x:f>
        <x:v>0.15830221990953358</x:v>
      </x:c>
      <x:c r="E359" s="258" t="n">
        <x:f>IF(Y359&lt;($E$13-$D$13)/($F$13-$D$13),$D$13+SQRT(Y359*($F$13-$D$13)*($E$13-$D$13)),$F$13-SQRT((1-Y359)*($F$13-$D$13)*($F$13-$E$13)))</x:f>
        <x:v>-0.03453175868812096</x:v>
      </x:c>
      <x:c r="F359" s="260" t="n">
        <x:f>IF(Z359&lt;($E$14-$D$14)/($F$14-$D$14),$D$14+SQRT(Z359*($F$14-$D$14)*($E$14-$D$14)),$F$14-SQRT((1-Z359)*($F$14-$D$14)*($F$14-$E$14)))</x:f>
        <x:v>1.1059905457000387</x:v>
      </x:c>
      <x:c r="G359" s="258" t="n">
        <x:f>IF(AA359&lt;($E$15-$D$15)/($F$15-$D$15),$D$15+SQRT(AA359*($F$15-$D$15)*($E$15-$D$15)),$F$15-SQRT((1-AA359)*($F$15-$D$15)*($F$15-$E$15)))</x:f>
        <x:v>0.09010200667009392</x:v>
      </x:c>
      <x:c r="H359" s="258" t="n">
        <x:f>IF(AB359&lt;($E$16-$D$16)/($F$16-$D$16),$D$16+SQRT(AB359*($F$16-$D$16)*($E$16-$D$16)),$F$16-SQRT((1-AB359)*($F$16-$D$16)*($F$16-$E$16)))</x:f>
        <x:v>0.031583934328436924</x:v>
      </x:c>
      <x:c r="I359" s="262" t="n">
        <x:f>'Historical Inputs'!$N$9*(1+D359)^5</x:f>
        <x:v>691889.7062804085</x:v>
      </x:c>
      <x:c r="J359" s="262" t="n">
        <x:f>I359*(1+H359)*('Terminal Value'!$E$10+E359)*(1-'Assumptions'!$E$15)*(1-H359/'Terminal Value'!$E$12)</x:f>
        <x:v>175725.42065517703</x:v>
      </x:c>
      <x:c r="K359" s="264" t="n">
        <x:f>((SUM((('Historical Inputs'!$N$9*(1+(D359))^1)*(('Assumptions'!E37+(E359))*(1-'Assumptions'!E42-(0))+'Assumptions'!E47-'Assumptions'!E52*(F359)+'Assumptions'!E57-'Assumptions'!E62*(1)-'Assumptions'!E67-(0))+('Working Capital'!$E$6))*'DCF'!E12/(1+(G359))^'DCF'!E13,(('Historical Inputs'!$N$9*(1+(D359))^2)*(('Assumptions'!F37+(E359))*(1-'Assumptions'!F42-(0))+'Assumptions'!F47-'Assumptions'!F52*(F359)+'Assumptions'!F57-'Assumptions'!F62*(1)-'Assumptions'!F67-(0))+(('Historical Inputs'!$N$9*(1+(D359))^1)*('Assumptions'!E67+(0))))*'DCF'!F12/(1+(G359))^'DCF'!F13,(('Historical Inputs'!$N$9*(1+(D359))^3)*(('Assumptions'!G37+(E359))*(1-'Assumptions'!G42-(0))+'Assumptions'!G47-'Assumptions'!G52*(F359)+'Assumptions'!G57-'Assumptions'!G62*(1)-'Assumptions'!G67-(0))+(('Historical Inputs'!$N$9*(1+(D359))^2)*('Assumptions'!F67+(0))))*'DCF'!G12/(1+(G359))^'DCF'!G13,(('Historical Inputs'!$N$9*(1+(D359))^4)*(('Assumptions'!H37+(E359))*(1-'Assumptions'!H42-(0))+'Assumptions'!H47-'Assumptions'!H52*(F359)+'Assumptions'!H57-'Assumptions'!H62*(1)-'Assumptions'!H67-(0))+(('Historical Inputs'!$N$9*(1+(D359))^3)*('Assumptions'!G67+(0))))*'DCF'!H12/(1+(G359))^'DCF'!H13,(('Historical Inputs'!$N$9*(1+(D359))^5)*(('Assumptions'!I37+(E359))*(1-'Assumptions'!I42-(0))+'Assumptions'!I47-'Assumptions'!I52*(F359)+'Assumptions'!I57-'Assumptions'!I62*(1)-'Assumptions'!I67-(0))+(('Historical Inputs'!$N$9*(1+(D359))^4)*('Assumptions'!H67+(0))))*'DCF'!I12/(1+(G359))^'DCF'!I13)+('Historical Inputs'!$N$9*(1+(D359))^5)*(1+(H359))*('Terminal Value'!$E$10+(E359))*(1-'Assumptions'!$E$15-(0))*(1-(H359)/('Terminal Value'!$E$12))/((G359)-(H359))/(1+(G359))^'DCF'!$E$19)+'Equity Bridge'!$E$17)/'Equity Bridge'!$E$20</x:f>
        <x:v>313.1671161508679</x:v>
      </x:c>
      <x:c r="X359" s="255" t="n">
        <x:v>0.7556323645953168</x:v>
      </x:c>
      <x:c r="Y359" s="255" t="n">
        <x:v>0.04785329785650427</x:v>
      </x:c>
      <x:c r="Z359" s="255" t="n">
        <x:v>0.8737460357460498</x:v>
      </x:c>
      <x:c r="AA359" s="255" t="n">
        <x:v>0.10769865555029168</x:v>
      </x:c>
      <x:c r="AB359" s="255" t="n">
        <x:v>0.6458491930596877</x:v>
      </x:c>
    </x:row>
    <x:row r="360" ht="24" customHeight="1">
      <x:c r="C360" s="256" t="n">
        <x:f>329</x:f>
        <x:v>329</x:v>
      </x:c>
      <x:c r="D360" s="258" t="n">
        <x:f>IF(X360&lt;($E$12-$D$12)/($F$12-$D$12),$D$12+SQRT(X360*($F$12-$D$12)*($E$12-$D$12)),$F$12-SQRT((1-X360)*($F$12-$D$12)*($F$12-$E$12)))</x:f>
        <x:v>0.14373671817020622</x:v>
      </x:c>
      <x:c r="E360" s="258" t="n">
        <x:f>IF(Y360&lt;($E$13-$D$13)/($F$13-$D$13),$D$13+SQRT(Y360*($F$13-$D$13)*($E$13-$D$13)),$F$13-SQRT((1-Y360)*($F$13-$D$13)*($F$13-$E$13)))</x:f>
        <x:v>0.016024433909744798</x:v>
      </x:c>
      <x:c r="F360" s="260" t="n">
        <x:f>IF(Z360&lt;($E$14-$D$14)/($F$14-$D$14),$D$14+SQRT(Z360*($F$14-$D$14)*($E$14-$D$14)),$F$14-SQRT((1-Z360)*($F$14-$D$14)*($F$14-$E$14)))</x:f>
        <x:v>1.0139959651930694</x:v>
      </x:c>
      <x:c r="G360" s="258" t="n">
        <x:f>IF(AA360&lt;($E$15-$D$15)/($F$15-$D$15),$D$15+SQRT(AA360*($F$15-$D$15)*($E$15-$D$15)),$F$15-SQRT((1-AA360)*($F$15-$D$15)*($F$15-$E$15)))</x:f>
        <x:v>0.10068863012902604</x:v>
      </x:c>
      <x:c r="H360" s="258" t="n">
        <x:f>IF(AB360&lt;($E$16-$D$16)/($F$16-$D$16),$D$16+SQRT(AB360*($F$16-$D$16)*($E$16-$D$16)),$F$16-SQRT((1-AB360)*($F$16-$D$16)*($F$16-$E$16)))</x:f>
        <x:v>0.025878037474024854</x:v>
      </x:c>
      <x:c r="I360" s="262" t="n">
        <x:f>'Historical Inputs'!$N$9*(1+D360)^5</x:f>
        <x:v>649467.9807526043</x:v>
      </x:c>
      <x:c r="J360" s="262" t="n">
        <x:f>I360*(1+H360)*('Terminal Value'!$E$10+E360)*(1-'Assumptions'!$E$15)*(1-H360/'Terminal Value'!$E$12)</x:f>
        <x:v>193057.13651322687</x:v>
      </x:c>
      <x:c r="K360" s="264" t="n">
        <x:f>((SUM((('Historical Inputs'!$N$9*(1+(D360))^1)*(('Assumptions'!E37+(E360))*(1-'Assumptions'!E42-(0))+'Assumptions'!E47-'Assumptions'!E52*(F360)+'Assumptions'!E57-'Assumptions'!E62*(1)-'Assumptions'!E67-(0))+('Working Capital'!$E$6))*'DCF'!E12/(1+(G360))^'DCF'!E13,(('Historical Inputs'!$N$9*(1+(D360))^2)*(('Assumptions'!F37+(E360))*(1-'Assumptions'!F42-(0))+'Assumptions'!F47-'Assumptions'!F52*(F360)+'Assumptions'!F57-'Assumptions'!F62*(1)-'Assumptions'!F67-(0))+(('Historical Inputs'!$N$9*(1+(D360))^1)*('Assumptions'!E67+(0))))*'DCF'!F12/(1+(G360))^'DCF'!F13,(('Historical Inputs'!$N$9*(1+(D360))^3)*(('Assumptions'!G37+(E360))*(1-'Assumptions'!G42-(0))+'Assumptions'!G47-'Assumptions'!G52*(F360)+'Assumptions'!G57-'Assumptions'!G62*(1)-'Assumptions'!G67-(0))+(('Historical Inputs'!$N$9*(1+(D360))^2)*('Assumptions'!F67+(0))))*'DCF'!G12/(1+(G360))^'DCF'!G13,(('Historical Inputs'!$N$9*(1+(D360))^4)*(('Assumptions'!H37+(E360))*(1-'Assumptions'!H42-(0))+'Assumptions'!H47-'Assumptions'!H52*(F360)+'Assumptions'!H57-'Assumptions'!H62*(1)-'Assumptions'!H67-(0))+(('Historical Inputs'!$N$9*(1+(D360))^3)*('Assumptions'!G67+(0))))*'DCF'!H12/(1+(G360))^'DCF'!H13,(('Historical Inputs'!$N$9*(1+(D360))^5)*(('Assumptions'!I37+(E360))*(1-'Assumptions'!I42-(0))+'Assumptions'!I47-'Assumptions'!I52*(F360)+'Assumptions'!I57-'Assumptions'!I62*(1)-'Assumptions'!I67-(0))+(('Historical Inputs'!$N$9*(1+(D360))^4)*('Assumptions'!H67+(0))))*'DCF'!I12/(1+(G360))^'DCF'!I13)+('Historical Inputs'!$N$9*(1+(D360))^5)*(1+(H360))*('Terminal Value'!$E$10+(E360))*(1-'Assumptions'!$E$15-(0))*(1-(H360)/('Terminal Value'!$E$12))/((G360)-(H360))/(1+(G360))^'DCF'!$E$19)+'Equity Bridge'!$E$17)/'Equity Bridge'!$E$20</x:f>
        <x:v>277.93034205494564</x:v>
      </x:c>
      <x:c r="X360" s="255" t="n">
        <x:v>0.5095479051664589</x:v>
      </x:c>
      <x:c r="Y360" s="255" t="n">
        <x:v>0.7691321817693402</x:v>
      </x:c>
      <x:c r="Z360" s="255" t="n">
        <x:v>0.5057499862220308</x:v>
      </x:c>
      <x:c r="AA360" s="255" t="n">
        <x:v>0.6554537596477971</x:v>
      </x:c>
      <x:c r="AB360" s="255" t="n">
        <x:v>0.17275662273020242</x:v>
      </x:c>
    </x:row>
    <x:row r="361" ht="24" customHeight="1">
      <x:c r="C361" s="256" t="n">
        <x:f>330</x:f>
        <x:v>330</x:v>
      </x:c>
      <x:c r="D361" s="258" t="n">
        <x:f>IF(X361&lt;($E$12-$D$12)/($F$12-$D$12),$D$12+SQRT(X361*($F$12-$D$12)*($E$12-$D$12)),$F$12-SQRT((1-X361)*($F$12-$D$12)*($F$12-$E$12)))</x:f>
        <x:v>0.15175792673661975</x:v>
      </x:c>
      <x:c r="E361" s="258" t="n">
        <x:f>IF(Y361&lt;($E$13-$D$13)/($F$13-$D$13),$D$13+SQRT(Y361*($F$13-$D$13)*($E$13-$D$13)),$F$13-SQRT((1-Y361)*($F$13-$D$13)*($F$13-$E$13)))</x:f>
        <x:v>-0.00965236167824638</x:v>
      </x:c>
      <x:c r="F361" s="260" t="n">
        <x:f>IF(Z361&lt;($E$14-$D$14)/($F$14-$D$14),$D$14+SQRT(Z361*($F$14-$D$14)*($E$14-$D$14)),$F$14-SQRT((1-Z361)*($F$14-$D$14)*($F$14-$E$14)))</x:f>
        <x:v>1.061942986561758</x:v>
      </x:c>
      <x:c r="G361" s="258" t="n">
        <x:f>IF(AA361&lt;($E$15-$D$15)/($F$15-$D$15),$D$15+SQRT(AA361*($F$15-$D$15)*($E$15-$D$15)),$F$15-SQRT((1-AA361)*($F$15-$D$15)*($F$15-$E$15)))</x:f>
        <x:v>0.10129413968919475</x:v>
      </x:c>
      <x:c r="H361" s="258" t="n">
        <x:f>IF(AB361&lt;($E$16-$D$16)/($F$16-$D$16),$D$16+SQRT(AB361*($F$16-$D$16)*($E$16-$D$16)),$F$16-SQRT((1-AB361)*($F$16-$D$16)*($F$16-$E$16)))</x:f>
        <x:v>0.03614358696591925</x:v>
      </x:c>
      <x:c r="I361" s="262" t="n">
        <x:f>'Historical Inputs'!$N$9*(1+D361)^5</x:f>
        <x:v>672563.7801117393</x:v>
      </x:c>
      <x:c r="J361" s="262" t="n">
        <x:f>I361*(1+H361)*('Terminal Value'!$E$10+E361)*(1-'Assumptions'!$E$15)*(1-H361/'Terminal Value'!$E$12)</x:f>
        <x:v>178290.58488661988</x:v>
      </x:c>
      <x:c r="K361" s="264" t="n">
        <x:f>((SUM((('Historical Inputs'!$N$9*(1+(D361))^1)*(('Assumptions'!E37+(E361))*(1-'Assumptions'!E42-(0))+'Assumptions'!E47-'Assumptions'!E52*(F361)+'Assumptions'!E57-'Assumptions'!E62*(1)-'Assumptions'!E67-(0))+('Working Capital'!$E$6))*'DCF'!E12/(1+(G361))^'DCF'!E13,(('Historical Inputs'!$N$9*(1+(D361))^2)*(('Assumptions'!F37+(E361))*(1-'Assumptions'!F42-(0))+'Assumptions'!F47-'Assumptions'!F52*(F361)+'Assumptions'!F57-'Assumptions'!F62*(1)-'Assumptions'!F67-(0))+(('Historical Inputs'!$N$9*(1+(D361))^1)*('Assumptions'!E67+(0))))*'DCF'!F12/(1+(G361))^'DCF'!F13,(('Historical Inputs'!$N$9*(1+(D361))^3)*(('Assumptions'!G37+(E361))*(1-'Assumptions'!G42-(0))+'Assumptions'!G47-'Assumptions'!G52*(F361)+'Assumptions'!G57-'Assumptions'!G62*(1)-'Assumptions'!G67-(0))+(('Historical Inputs'!$N$9*(1+(D361))^2)*('Assumptions'!F67+(0))))*'DCF'!G12/(1+(G361))^'DCF'!G13,(('Historical Inputs'!$N$9*(1+(D361))^4)*(('Assumptions'!H37+(E361))*(1-'Assumptions'!H42-(0))+'Assumptions'!H47-'Assumptions'!H52*(F361)+'Assumptions'!H57-'Assumptions'!H62*(1)-'Assumptions'!H67-(0))+(('Historical Inputs'!$N$9*(1+(D361))^3)*('Assumptions'!G67+(0))))*'DCF'!H12/(1+(G361))^'DCF'!H13,(('Historical Inputs'!$N$9*(1+(D361))^5)*(('Assumptions'!I37+(E361))*(1-'Assumptions'!I42-(0))+'Assumptions'!I47-'Assumptions'!I52*(F361)+'Assumptions'!I57-'Assumptions'!I62*(1)-'Assumptions'!I67-(0))+(('Historical Inputs'!$N$9*(1+(D361))^4)*('Assumptions'!H67+(0))))*'DCF'!I12/(1+(G361))^'DCF'!I13)+('Historical Inputs'!$N$9*(1+(D361))^5)*(1+(H361))*('Terminal Value'!$E$10+(E361))*(1-'Assumptions'!$E$15-(0))*(1-(H361)/('Terminal Value'!$E$12))/((G361)-(H361))/(1+(G361))^'DCF'!$E$19)+'Equity Bridge'!$E$17)/'Equity Bridge'!$E$20</x:f>
        <x:v>283.5706519942639</x:v>
      </x:c>
      <x:c r="X361" s="255" t="n">
        <x:v>0.6555650213515629</x:v>
      </x:c>
      <x:c r="Y361" s="255" t="n">
        <x:v>0.32558638362860826</x:v>
      </x:c>
      <x:c r="Z361" s="255" t="n">
        <x:v>0.7277180148644726</x:v>
      </x:c>
      <x:c r="AA361" s="255" t="n">
        <x:v>0.6881485427126433</x:v>
      </x:c>
      <x:c r="AB361" s="255" t="n">
        <x:v>0.9256403925528607</x:v>
      </x:c>
    </x:row>
    <x:row r="362" ht="24" customHeight="1">
      <x:c r="C362" s="256" t="n">
        <x:f>331</x:f>
        <x:v>331</x:v>
      </x:c>
      <x:c r="D362" s="258" t="n">
        <x:f>IF(X362&lt;($E$12-$D$12)/($F$12-$D$12),$D$12+SQRT(X362*($F$12-$D$12)*($E$12-$D$12)),$F$12-SQRT((1-X362)*($F$12-$D$12)*($F$12-$E$12)))</x:f>
        <x:v>0.15548466198598437</x:v>
      </x:c>
      <x:c r="E362" s="258" t="n">
        <x:f>IF(Y362&lt;($E$13-$D$13)/($F$13-$D$13),$D$13+SQRT(Y362*($F$13-$D$13)*($E$13-$D$13)),$F$13-SQRT((1-Y362)*($F$13-$D$13)*($F$13-$E$13)))</x:f>
        <x:v>-0.03478315309987179</x:v>
      </x:c>
      <x:c r="F362" s="260" t="n">
        <x:f>IF(Z362&lt;($E$14-$D$14)/($F$14-$D$14),$D$14+SQRT(Z362*($F$14-$D$14)*($E$14-$D$14)),$F$14-SQRT((1-Z362)*($F$14-$D$14)*($F$14-$E$14)))</x:f>
        <x:v>1.1144536437453143</x:v>
      </x:c>
      <x:c r="G362" s="258" t="n">
        <x:f>IF(AA362&lt;($E$15-$D$15)/($F$15-$D$15),$D$15+SQRT(AA362*($F$15-$D$15)*($E$15-$D$15)),$F$15-SQRT((1-AA362)*($F$15-$D$15)*($F$15-$E$15)))</x:f>
        <x:v>0.08802573206970754</x:v>
      </x:c>
      <x:c r="H362" s="258" t="n">
        <x:f>IF(AB362&lt;($E$16-$D$16)/($F$16-$D$16),$D$16+SQRT(AB362*($F$16-$D$16)*($E$16-$D$16)),$F$16-SQRT((1-AB362)*($F$16-$D$16)*($F$16-$E$16)))</x:f>
        <x:v>0.03857608305389819</x:v>
      </x:c>
      <x:c r="I362" s="262" t="n">
        <x:f>'Historical Inputs'!$N$9*(1+D362)^5</x:f>
        <x:v>683515.4739285717</x:v>
      </x:c>
      <x:c r="J362" s="262" t="n">
        <x:f>I362*(1+H362)*('Terminal Value'!$E$10+E362)*(1-'Assumptions'!$E$15)*(1-H362/'Terminal Value'!$E$12)</x:f>
        <x:v>167403.81204079464</x:v>
      </x:c>
      <x:c r="K362" s="264" t="n">
        <x:f>((SUM((('Historical Inputs'!$N$9*(1+(D362))^1)*(('Assumptions'!E37+(E362))*(1-'Assumptions'!E42-(0))+'Assumptions'!E47-'Assumptions'!E52*(F362)+'Assumptions'!E57-'Assumptions'!E62*(1)-'Assumptions'!E67-(0))+('Working Capital'!$E$6))*'DCF'!E12/(1+(G362))^'DCF'!E13,(('Historical Inputs'!$N$9*(1+(D362))^2)*(('Assumptions'!F37+(E362))*(1-'Assumptions'!F42-(0))+'Assumptions'!F47-'Assumptions'!F52*(F362)+'Assumptions'!F57-'Assumptions'!F62*(1)-'Assumptions'!F67-(0))+(('Historical Inputs'!$N$9*(1+(D362))^1)*('Assumptions'!E67+(0))))*'DCF'!F12/(1+(G362))^'DCF'!F13,(('Historical Inputs'!$N$9*(1+(D362))^3)*(('Assumptions'!G37+(E362))*(1-'Assumptions'!G42-(0))+'Assumptions'!G47-'Assumptions'!G52*(F362)+'Assumptions'!G57-'Assumptions'!G62*(1)-'Assumptions'!G67-(0))+(('Historical Inputs'!$N$9*(1+(D362))^2)*('Assumptions'!F67+(0))))*'DCF'!G12/(1+(G362))^'DCF'!G13,(('Historical Inputs'!$N$9*(1+(D362))^4)*(('Assumptions'!H37+(E362))*(1-'Assumptions'!H42-(0))+'Assumptions'!H47-'Assumptions'!H52*(F362)+'Assumptions'!H57-'Assumptions'!H62*(1)-'Assumptions'!H67-(0))+(('Historical Inputs'!$N$9*(1+(D362))^3)*('Assumptions'!G67+(0))))*'DCF'!H12/(1+(G362))^'DCF'!H13,(('Historical Inputs'!$N$9*(1+(D362))^5)*(('Assumptions'!I37+(E362))*(1-'Assumptions'!I42-(0))+'Assumptions'!I47-'Assumptions'!I52*(F362)+'Assumptions'!I57-'Assumptions'!I62*(1)-'Assumptions'!I67-(0))+(('Historical Inputs'!$N$9*(1+(D362))^4)*('Assumptions'!H67+(0))))*'DCF'!I12/(1+(G362))^'DCF'!I13)+('Historical Inputs'!$N$9*(1+(D362))^5)*(1+(H362))*('Terminal Value'!$E$10+(E362))*(1-'Assumptions'!$E$15-(0))*(1-(H362)/('Terminal Value'!$E$12))/((G362)-(H362))/(1+(G362))^'DCF'!$E$19)+'Equity Bridge'!$E$17)/'Equity Bridge'!$E$20</x:f>
        <x:v>349.2684900010612</x:v>
      </x:c>
      <x:c r="X362" s="255" t="n">
        <x:v>0.7146497664224083</x:v>
      </x:c>
      <x:c r="Y362" s="255" t="n">
        <x:v>0.04631048591638831</x:v>
      </x:c>
      <x:c r="Z362" s="255" t="n">
        <x:v>0.8954545847363772</x:v>
      </x:c>
      <x:c r="AA362" s="255" t="n">
        <x:v>0.053037265509608744</x:v>
      </x:c>
      <x:c r="AB362" s="255" t="n">
        <x:v>0.9898623026530204</x:v>
      </x:c>
    </x:row>
    <x:row r="363" ht="24" customHeight="1">
      <x:c r="C363" s="256" t="n">
        <x:f>332</x:f>
        <x:v>332</x:v>
      </x:c>
      <x:c r="D363" s="258" t="n">
        <x:f>IF(X363&lt;($E$12-$D$12)/($F$12-$D$12),$D$12+SQRT(X363*($F$12-$D$12)*($E$12-$D$12)),$F$12-SQRT((1-X363)*($F$12-$D$12)*($F$12-$E$12)))</x:f>
        <x:v>0.14377973366600344</x:v>
      </x:c>
      <x:c r="E363" s="258" t="n">
        <x:f>IF(Y363&lt;($E$13-$D$13)/($F$13-$D$13),$D$13+SQRT(Y363*($F$13-$D$13)*($E$13-$D$13)),$F$13-SQRT((1-Y363)*($F$13-$D$13)*($F$13-$E$13)))</x:f>
        <x:v>-0.012574352666711953</x:v>
      </x:c>
      <x:c r="F363" s="260" t="n">
        <x:f>IF(Z363&lt;($E$14-$D$14)/($F$14-$D$14),$D$14+SQRT(Z363*($F$14-$D$14)*($E$14-$D$14)),$F$14-SQRT((1-Z363)*($F$14-$D$14)*($F$14-$E$14)))</x:f>
        <x:v>1.0093975069023342</x:v>
      </x:c>
      <x:c r="G363" s="258" t="n">
        <x:f>IF(AA363&lt;($E$15-$D$15)/($F$15-$D$15),$D$15+SQRT(AA363*($F$15-$D$15)*($E$15-$D$15)),$F$15-SQRT((1-AA363)*($F$15-$D$15)*($F$15-$E$15)))</x:f>
        <x:v>0.0917482109104873</x:v>
      </x:c>
      <x:c r="H363" s="258" t="n">
        <x:f>IF(AB363&lt;($E$16-$D$16)/($F$16-$D$16),$D$16+SQRT(AB363*($F$16-$D$16)*($E$16-$D$16)),$F$16-SQRT((1-AB363)*($F$16-$D$16)*($F$16-$E$16)))</x:f>
        <x:v>0.03383262676079522</x:v>
      </x:c>
      <x:c r="I363" s="262" t="n">
        <x:f>'Historical Inputs'!$N$9*(1+D363)^5</x:f>
        <x:v>649590.1211379098</x:v>
      </x:c>
      <x:c r="J363" s="262" t="n">
        <x:f>I363*(1+H363)*('Terminal Value'!$E$10+E363)*(1-'Assumptions'!$E$15)*(1-H363/'Terminal Value'!$E$12)</x:f>
        <x:v>172935.34270381343</x:v>
      </x:c>
      <x:c r="K363" s="264" t="n">
        <x:f>((SUM((('Historical Inputs'!$N$9*(1+(D363))^1)*(('Assumptions'!E37+(E363))*(1-'Assumptions'!E42-(0))+'Assumptions'!E47-'Assumptions'!E52*(F363)+'Assumptions'!E57-'Assumptions'!E62*(1)-'Assumptions'!E67-(0))+('Working Capital'!$E$6))*'DCF'!E12/(1+(G363))^'DCF'!E13,(('Historical Inputs'!$N$9*(1+(D363))^2)*(('Assumptions'!F37+(E363))*(1-'Assumptions'!F42-(0))+'Assumptions'!F47-'Assumptions'!F52*(F363)+'Assumptions'!F57-'Assumptions'!F62*(1)-'Assumptions'!F67-(0))+(('Historical Inputs'!$N$9*(1+(D363))^1)*('Assumptions'!E67+(0))))*'DCF'!F12/(1+(G363))^'DCF'!F13,(('Historical Inputs'!$N$9*(1+(D363))^3)*(('Assumptions'!G37+(E363))*(1-'Assumptions'!G42-(0))+'Assumptions'!G47-'Assumptions'!G52*(F363)+'Assumptions'!G57-'Assumptions'!G62*(1)-'Assumptions'!G67-(0))+(('Historical Inputs'!$N$9*(1+(D363))^2)*('Assumptions'!F67+(0))))*'DCF'!G12/(1+(G363))^'DCF'!G13,(('Historical Inputs'!$N$9*(1+(D363))^4)*(('Assumptions'!H37+(E363))*(1-'Assumptions'!H42-(0))+'Assumptions'!H47-'Assumptions'!H52*(F363)+'Assumptions'!H57-'Assumptions'!H62*(1)-'Assumptions'!H67-(0))+(('Historical Inputs'!$N$9*(1+(D363))^3)*('Assumptions'!G67+(0))))*'DCF'!H12/(1+(G363))^'DCF'!H13,(('Historical Inputs'!$N$9*(1+(D363))^5)*(('Assumptions'!I37+(E363))*(1-'Assumptions'!I42-(0))+'Assumptions'!I47-'Assumptions'!I52*(F363)+'Assumptions'!I57-'Assumptions'!I62*(1)-'Assumptions'!I67-(0))+(('Historical Inputs'!$N$9*(1+(D363))^4)*('Assumptions'!H67+(0))))*'DCF'!I12/(1+(G363))^'DCF'!I13)+('Historical Inputs'!$N$9*(1+(D363))^5)*(1+(H363))*('Terminal Value'!$E$10+(E363))*(1-'Assumptions'!$E$15-(0))*(1-(H363)/('Terminal Value'!$E$12))/((G363)-(H363))/(1+(G363))^'DCF'!$E$19)+'Equity Bridge'!$E$17)/'Equity Bridge'!$E$20</x:f>
        <x:v>318.23171176105575</x:v>
      </x:c>
      <x:c r="X363" s="255" t="n">
        <x:v>0.5103995912653978</x:v>
      </x:c>
      <x:c r="Y363" s="255" t="n">
        <x:v>0.28013581566313017</x:v>
      </x:c>
      <x:c r="Z363" s="255" t="n">
        <x:v>0.48100985178506106</x:v>
      </x:c>
      <x:c r="AA363" s="255" t="n">
        <x:v>0.1646554163238323</x:v>
      </x:c>
      <x:c r="AB363" s="255" t="n">
        <x:v>0.8098175366417038</x:v>
      </x:c>
    </x:row>
    <x:row r="364" ht="24" customHeight="1">
      <x:c r="C364" s="256" t="n">
        <x:f>333</x:f>
        <x:v>333</x:v>
      </x:c>
      <x:c r="D364" s="258" t="n">
        <x:f>IF(X364&lt;($E$12-$D$12)/($F$12-$D$12),$D$12+SQRT(X364*($F$12-$D$12)*($E$12-$D$12)),$F$12-SQRT((1-X364)*($F$12-$D$12)*($F$12-$E$12)))</x:f>
        <x:v>0.111770160422141</x:v>
      </x:c>
      <x:c r="E364" s="258" t="n">
        <x:f>IF(Y364&lt;($E$13-$D$13)/($F$13-$D$13),$D$13+SQRT(Y364*($F$13-$D$13)*($E$13-$D$13)),$F$13-SQRT((1-Y364)*($F$13-$D$13)*($F$13-$E$13)))</x:f>
        <x:v>0.010403762322088193</x:v>
      </x:c>
      <x:c r="F364" s="260" t="n">
        <x:f>IF(Z364&lt;($E$14-$D$14)/($F$14-$D$14),$D$14+SQRT(Z364*($F$14-$D$14)*($E$14-$D$14)),$F$14-SQRT((1-Z364)*($F$14-$D$14)*($F$14-$E$14)))</x:f>
        <x:v>1.0995856308518719</x:v>
      </x:c>
      <x:c r="G364" s="258" t="n">
        <x:f>IF(AA364&lt;($E$15-$D$15)/($F$15-$D$15),$D$15+SQRT(AA364*($F$15-$D$15)*($E$15-$D$15)),$F$15-SQRT((1-AA364)*($F$15-$D$15)*($F$15-$E$15)))</x:f>
        <x:v>0.1082511184090268</x:v>
      </x:c>
      <x:c r="H364" s="258" t="n">
        <x:f>IF(AB364&lt;($E$16-$D$16)/($F$16-$D$16),$D$16+SQRT(AB364*($F$16-$D$16)*($E$16-$D$16)),$F$16-SQRT((1-AB364)*($F$16-$D$16)*($F$16-$E$16)))</x:f>
        <x:v>0.023136045263279267</x:v>
      </x:c>
      <x:c r="I364" s="262" t="n">
        <x:f>'Historical Inputs'!$N$9*(1+D364)^5</x:f>
        <x:v>563640.8920709208</x:v>
      </x:c>
      <x:c r="J364" s="262" t="n">
        <x:f>I364*(1+H364)*('Terminal Value'!$E$10+E364)*(1-'Assumptions'!$E$15)*(1-H364/'Terminal Value'!$E$12)</x:f>
        <x:v>167435.11136502217</x:v>
      </x:c>
      <x:c r="K364" s="264" t="n">
        <x:f>((SUM((('Historical Inputs'!$N$9*(1+(D364))^1)*(('Assumptions'!E37+(E364))*(1-'Assumptions'!E42-(0))+'Assumptions'!E47-'Assumptions'!E52*(F364)+'Assumptions'!E57-'Assumptions'!E62*(1)-'Assumptions'!E67-(0))+('Working Capital'!$E$6))*'DCF'!E12/(1+(G364))^'DCF'!E13,(('Historical Inputs'!$N$9*(1+(D364))^2)*(('Assumptions'!F37+(E364))*(1-'Assumptions'!F42-(0))+'Assumptions'!F47-'Assumptions'!F52*(F364)+'Assumptions'!F57-'Assumptions'!F62*(1)-'Assumptions'!F67-(0))+(('Historical Inputs'!$N$9*(1+(D364))^1)*('Assumptions'!E67+(0))))*'DCF'!F12/(1+(G364))^'DCF'!F13,(('Historical Inputs'!$N$9*(1+(D364))^3)*(('Assumptions'!G37+(E364))*(1-'Assumptions'!G42-(0))+'Assumptions'!G47-'Assumptions'!G52*(F364)+'Assumptions'!G57-'Assumptions'!G62*(1)-'Assumptions'!G67-(0))+(('Historical Inputs'!$N$9*(1+(D364))^2)*('Assumptions'!F67+(0))))*'DCF'!G12/(1+(G364))^'DCF'!G13,(('Historical Inputs'!$N$9*(1+(D364))^4)*(('Assumptions'!H37+(E364))*(1-'Assumptions'!H42-(0))+'Assumptions'!H47-'Assumptions'!H52*(F364)+'Assumptions'!H57-'Assumptions'!H62*(1)-'Assumptions'!H67-(0))+(('Historical Inputs'!$N$9*(1+(D364))^3)*('Assumptions'!G67+(0))))*'DCF'!H12/(1+(G364))^'DCF'!H13,(('Historical Inputs'!$N$9*(1+(D364))^5)*(('Assumptions'!I37+(E364))*(1-'Assumptions'!I42-(0))+'Assumptions'!I47-'Assumptions'!I52*(F364)+'Assumptions'!I57-'Assumptions'!I62*(1)-'Assumptions'!I67-(0))+(('Historical Inputs'!$N$9*(1+(D364))^4)*('Assumptions'!H67+(0))))*'DCF'!I12/(1+(G364))^'DCF'!I13)+('Historical Inputs'!$N$9*(1+(D364))^5)*(1+(H364))*('Terminal Value'!$E$10+(E364))*(1-'Assumptions'!$E$15-(0))*(1-(H364)/('Terminal Value'!$E$12))/((G364)-(H364))/(1+(G364))^'DCF'!$E$19)+'Equity Bridge'!$E$17)/'Equity Bridge'!$E$20</x:f>
        <x:v>207.6871380105671</x:v>
      </x:c>
      <x:c r="X364" s="255" t="n">
        <x:v>0.06854726013556023</x:v>
      </x:c>
      <x:c r="Y364" s="255" t="n">
        <x:v>0.6864275923508635</x:v>
      </x:c>
      <x:c r="Z364" s="255" t="n">
        <x:v>0.8559564924083354</x:v>
      </x:c>
      <x:c r="AA364" s="255" t="n">
        <x:v>0.9468782795841489</x:v>
      </x:c>
      <x:c r="AB364" s="255" t="n">
        <x:v>0.049173899466681714</x:v>
      </x:c>
    </x:row>
    <x:row r="365" ht="24" customHeight="1">
      <x:c r="C365" s="256" t="n">
        <x:f>334</x:f>
        <x:v>334</x:v>
      </x:c>
      <x:c r="D365" s="258" t="n">
        <x:f>IF(X365&lt;($E$12-$D$12)/($F$12-$D$12),$D$12+SQRT(X365*($F$12-$D$12)*($E$12-$D$12)),$F$12-SQRT((1-X365)*($F$12-$D$12)*($F$12-$E$12)))</x:f>
        <x:v>0.14424912886818633</x:v>
      </x:c>
      <x:c r="E365" s="258" t="n">
        <x:f>IF(Y365&lt;($E$13-$D$13)/($F$13-$D$13),$D$13+SQRT(Y365*($F$13-$D$13)*($E$13-$D$13)),$F$13-SQRT((1-Y365)*($F$13-$D$13)*($F$13-$E$13)))</x:f>
        <x:v>-0.006779890902808942</x:v>
      </x:c>
      <x:c r="F365" s="260" t="n">
        <x:f>IF(Z365&lt;($E$14-$D$14)/($F$14-$D$14),$D$14+SQRT(Z365*($F$14-$D$14)*($E$14-$D$14)),$F$14-SQRT((1-Z365)*($F$14-$D$14)*($F$14-$E$14)))</x:f>
        <x:v>1.0628302802056475</x:v>
      </x:c>
      <x:c r="G365" s="258" t="n">
        <x:f>IF(AA365&lt;($E$15-$D$15)/($F$15-$D$15),$D$15+SQRT(AA365*($F$15-$D$15)*($E$15-$D$15)),$F$15-SQRT((1-AA365)*($F$15-$D$15)*($F$15-$E$15)))</x:f>
        <x:v>0.08581612626283569</x:v>
      </x:c>
      <x:c r="H365" s="258" t="n">
        <x:f>IF(AB365&lt;($E$16-$D$16)/($F$16-$D$16),$D$16+SQRT(AB365*($F$16-$D$16)*($E$16-$D$16)),$F$16-SQRT((1-AB365)*($F$16-$D$16)*($F$16-$E$16)))</x:f>
        <x:v>0.027010625559639165</x:v>
      </x:c>
      <x:c r="I365" s="262" t="n">
        <x:f>'Historical Inputs'!$N$9*(1+D365)^5</x:f>
        <x:v>650924.1404748748</x:v>
      </x:c>
      <x:c r="J365" s="262" t="n">
        <x:f>I365*(1+H365)*('Terminal Value'!$E$10+E365)*(1-'Assumptions'!$E$15)*(1-H365/'Terminal Value'!$E$12)</x:f>
        <x:v>181894.871362388</x:v>
      </x:c>
      <x:c r="K365" s="264" t="n">
        <x:f>((SUM((('Historical Inputs'!$N$9*(1+(D365))^1)*(('Assumptions'!E37+(E365))*(1-'Assumptions'!E42-(0))+'Assumptions'!E47-'Assumptions'!E52*(F365)+'Assumptions'!E57-'Assumptions'!E62*(1)-'Assumptions'!E67-(0))+('Working Capital'!$E$6))*'DCF'!E12/(1+(G365))^'DCF'!E13,(('Historical Inputs'!$N$9*(1+(D365))^2)*(('Assumptions'!F37+(E365))*(1-'Assumptions'!F42-(0))+'Assumptions'!F47-'Assumptions'!F52*(F365)+'Assumptions'!F57-'Assumptions'!F62*(1)-'Assumptions'!F67-(0))+(('Historical Inputs'!$N$9*(1+(D365))^1)*('Assumptions'!E67+(0))))*'DCF'!F12/(1+(G365))^'DCF'!F13,(('Historical Inputs'!$N$9*(1+(D365))^3)*(('Assumptions'!G37+(E365))*(1-'Assumptions'!G42-(0))+'Assumptions'!G47-'Assumptions'!G52*(F365)+'Assumptions'!G57-'Assumptions'!G62*(1)-'Assumptions'!G67-(0))+(('Historical Inputs'!$N$9*(1+(D365))^2)*('Assumptions'!F67+(0))))*'DCF'!G12/(1+(G365))^'DCF'!G13,(('Historical Inputs'!$N$9*(1+(D365))^4)*(('Assumptions'!H37+(E365))*(1-'Assumptions'!H42-(0))+'Assumptions'!H47-'Assumptions'!H52*(F365)+'Assumptions'!H57-'Assumptions'!H62*(1)-'Assumptions'!H67-(0))+(('Historical Inputs'!$N$9*(1+(D365))^3)*('Assumptions'!G67+(0))))*'DCF'!H12/(1+(G365))^'DCF'!H13,(('Historical Inputs'!$N$9*(1+(D365))^5)*(('Assumptions'!I37+(E365))*(1-'Assumptions'!I42-(0))+'Assumptions'!I47-'Assumptions'!I52*(F365)+'Assumptions'!I57-'Assumptions'!I62*(1)-'Assumptions'!I67-(0))+(('Historical Inputs'!$N$9*(1+(D365))^4)*('Assumptions'!H67+(0))))*'DCF'!I12/(1+(G365))^'DCF'!I13)+('Historical Inputs'!$N$9*(1+(D365))^5)*(1+(H365))*('Terminal Value'!$E$10+(E365))*(1-'Assumptions'!$E$15-(0))*(1-(H365)/('Terminal Value'!$E$12))/((G365)-(H365))/(1+(G365))^'DCF'!$E$19)+'Equity Bridge'!$E$17)/'Equity Bridge'!$E$20</x:f>
        <x:v>333.5608399258846</x:v>
      </x:c>
      <x:c r="X365" s="255" t="n">
        <x:v>0.5196452855659707</x:v>
      </x:c>
      <x:c r="Y365" s="255" t="n">
        <x:v>0.3735955660746195</x:v>
      </x:c>
      <x:c r="Z365" s="255" t="n">
        <x:v>0.7312066853076977</x:v>
      </x:c>
      <x:c r="AA365" s="255" t="n">
        <x:v>0.01591038971596992</x:v>
      </x:c>
      <x:c r="AB365" s="255" t="n">
        <x:v>0.24574435368732983</x:v>
      </x:c>
    </x:row>
    <x:row r="366" ht="24" customHeight="1">
      <x:c r="C366" s="256" t="n">
        <x:f>335</x:f>
        <x:v>335</x:v>
      </x:c>
      <x:c r="D366" s="258" t="n">
        <x:f>IF(X366&lt;($E$12-$D$12)/($F$12-$D$12),$D$12+SQRT(X366*($F$12-$D$12)*($E$12-$D$12)),$F$12-SQRT((1-X366)*($F$12-$D$12)*($F$12-$E$12)))</x:f>
        <x:v>0.15438862262294023</x:v>
      </x:c>
      <x:c r="E366" s="258" t="n">
        <x:f>IF(Y366&lt;($E$13-$D$13)/($F$13-$D$13),$D$13+SQRT(Y366*($F$13-$D$13)*($E$13-$D$13)),$F$13-SQRT((1-Y366)*($F$13-$D$13)*($F$13-$E$13)))</x:f>
        <x:v>0.010890079497374444</x:v>
      </x:c>
      <x:c r="F366" s="260" t="n">
        <x:f>IF(Z366&lt;($E$14-$D$14)/($F$14-$D$14),$D$14+SQRT(Z366*($F$14-$D$14)*($E$14-$D$14)),$F$14-SQRT((1-Z366)*($F$14-$D$14)*($F$14-$E$14)))</x:f>
        <x:v>1.0194856026111863</x:v>
      </x:c>
      <x:c r="G366" s="258" t="n">
        <x:f>IF(AA366&lt;($E$15-$D$15)/($F$15-$D$15),$D$15+SQRT(AA366*($F$15-$D$15)*($E$15-$D$15)),$F$15-SQRT((1-AA366)*($F$15-$D$15)*($F$15-$E$15)))</x:f>
        <x:v>0.09203901487776452</x:v>
      </x:c>
      <x:c r="H366" s="258" t="n">
        <x:f>IF(AB366&lt;($E$16-$D$16)/($F$16-$D$16),$D$16+SQRT(AB366*($F$16-$D$16)*($E$16-$D$16)),$F$16-SQRT((1-AB366)*($F$16-$D$16)*($F$16-$E$16)))</x:f>
        <x:v>0.03492066320227981</x:v>
      </x:c>
      <x:c r="I366" s="262" t="n">
        <x:f>'Historical Inputs'!$N$9*(1+D366)^5</x:f>
        <x:v>680279.8620685108</x:v>
      </x:c>
      <x:c r="J366" s="262" t="n">
        <x:f>I366*(1+H366)*('Terminal Value'!$E$10+E366)*(1-'Assumptions'!$E$15)*(1-H366/'Terminal Value'!$E$12)</x:f>
        <x:v>191017.4467384471</x:v>
      </x:c>
      <x:c r="K366" s="264" t="n">
        <x:f>((SUM((('Historical Inputs'!$N$9*(1+(D366))^1)*(('Assumptions'!E37+(E366))*(1-'Assumptions'!E42-(0))+'Assumptions'!E47-'Assumptions'!E52*(F366)+'Assumptions'!E57-'Assumptions'!E62*(1)-'Assumptions'!E67-(0))+('Working Capital'!$E$6))*'DCF'!E12/(1+(G366))^'DCF'!E13,(('Historical Inputs'!$N$9*(1+(D366))^2)*(('Assumptions'!F37+(E366))*(1-'Assumptions'!F42-(0))+'Assumptions'!F47-'Assumptions'!F52*(F366)+'Assumptions'!F57-'Assumptions'!F62*(1)-'Assumptions'!F67-(0))+(('Historical Inputs'!$N$9*(1+(D366))^1)*('Assumptions'!E67+(0))))*'DCF'!F12/(1+(G366))^'DCF'!F13,(('Historical Inputs'!$N$9*(1+(D366))^3)*(('Assumptions'!G37+(E366))*(1-'Assumptions'!G42-(0))+'Assumptions'!G47-'Assumptions'!G52*(F366)+'Assumptions'!G57-'Assumptions'!G62*(1)-'Assumptions'!G67-(0))+(('Historical Inputs'!$N$9*(1+(D366))^2)*('Assumptions'!F67+(0))))*'DCF'!G12/(1+(G366))^'DCF'!G13,(('Historical Inputs'!$N$9*(1+(D366))^4)*(('Assumptions'!H37+(E366))*(1-'Assumptions'!H42-(0))+'Assumptions'!H47-'Assumptions'!H52*(F366)+'Assumptions'!H57-'Assumptions'!H62*(1)-'Assumptions'!H67-(0))+(('Historical Inputs'!$N$9*(1+(D366))^3)*('Assumptions'!G67+(0))))*'DCF'!H12/(1+(G366))^'DCF'!H13,(('Historical Inputs'!$N$9*(1+(D366))^5)*(('Assumptions'!I37+(E366))*(1-'Assumptions'!I42-(0))+'Assumptions'!I47-'Assumptions'!I52*(F366)+'Assumptions'!I57-'Assumptions'!I62*(1)-'Assumptions'!I67-(0))+(('Historical Inputs'!$N$9*(1+(D366))^4)*('Assumptions'!H67+(0))))*'DCF'!I12/(1+(G366))^'DCF'!I13)+('Historical Inputs'!$N$9*(1+(D366))^5)*(1+(H366))*('Terminal Value'!$E$10+(E366))*(1-'Assumptions'!$E$15-(0))*(1-(H366)/('Terminal Value'!$E$12))/((G366)-(H366))/(1+(G366))^'DCF'!$E$19)+'Equity Bridge'!$E$17)/'Equity Bridge'!$E$20</x:f>
        <x:v>355.8011643331514</x:v>
      </x:c>
      <x:c r="X366" s="255" t="n">
        <x:v>0.6978495086774245</x:v>
      </x:c>
      <x:c r="Y366" s="255" t="n">
        <x:v>0.6940828236556618</x:v>
      </x:c>
      <x:c r="Z366" s="255" t="n">
        <x:v>0.5344936047907636</x:v>
      </x:c>
      <x:c r="AA366" s="255" t="n">
        <x:v>0.17596865172972254</x:v>
      </x:c>
      <x:c r="AB366" s="255" t="n">
        <x:v>0.8710016884766278</x:v>
      </x:c>
    </x:row>
    <x:row r="367" ht="24" customHeight="1">
      <x:c r="C367" s="256" t="n">
        <x:f>336</x:f>
        <x:v>336</x:v>
      </x:c>
      <x:c r="D367" s="258" t="n">
        <x:f>IF(X367&lt;($E$12-$D$12)/($F$12-$D$12),$D$12+SQRT(X367*($F$12-$D$12)*($E$12-$D$12)),$F$12-SQRT((1-X367)*($F$12-$D$12)*($F$12-$E$12)))</x:f>
        <x:v>0.12511468454379257</x:v>
      </x:c>
      <x:c r="E367" s="258" t="n">
        <x:f>IF(Y367&lt;($E$13-$D$13)/($F$13-$D$13),$D$13+SQRT(Y367*($F$13-$D$13)*($E$13-$D$13)),$F$13-SQRT((1-Y367)*($F$13-$D$13)*($F$13-$E$13)))</x:f>
        <x:v>0.027962464309323417</x:v>
      </x:c>
      <x:c r="F367" s="260" t="n">
        <x:f>IF(Z367&lt;($E$14-$D$14)/($F$14-$D$14),$D$14+SQRT(Z367*($F$14-$D$14)*($E$14-$D$14)),$F$14-SQRT((1-Z367)*($F$14-$D$14)*($F$14-$E$14)))</x:f>
        <x:v>1.126815070812114</x:v>
      </x:c>
      <x:c r="G367" s="258" t="n">
        <x:f>IF(AA367&lt;($E$15-$D$15)/($F$15-$D$15),$D$15+SQRT(AA367*($F$15-$D$15)*($E$15-$D$15)),$F$15-SQRT((1-AA367)*($F$15-$D$15)*($F$15-$E$15)))</x:f>
        <x:v>0.10780107540467372</x:v>
      </x:c>
      <x:c r="H367" s="258" t="n">
        <x:f>IF(AB367&lt;($E$16-$D$16)/($F$16-$D$16),$D$16+SQRT(AB367*($F$16-$D$16)*($E$16-$D$16)),$F$16-SQRT((1-AB367)*($F$16-$D$16)*($F$16-$E$16)))</x:f>
        <x:v>0.025266847048056457</x:v>
      </x:c>
      <x:c r="I367" s="262" t="n">
        <x:f>'Historical Inputs'!$N$9*(1+D367)^5</x:f>
        <x:v>598289.5134048202</x:v>
      </x:c>
      <x:c r="J367" s="262" t="n">
        <x:f>I367*(1+H367)*('Terminal Value'!$E$10+E367)*(1-'Assumptions'!$E$15)*(1-H367/'Terminal Value'!$E$12)</x:f>
        <x:v>183480.23578335196</x:v>
      </x:c>
      <x:c r="K367" s="264" t="n">
        <x:f>((SUM((('Historical Inputs'!$N$9*(1+(D367))^1)*(('Assumptions'!E37+(E367))*(1-'Assumptions'!E42-(0))+'Assumptions'!E47-'Assumptions'!E52*(F367)+'Assumptions'!E57-'Assumptions'!E62*(1)-'Assumptions'!E67-(0))+('Working Capital'!$E$6))*'DCF'!E12/(1+(G367))^'DCF'!E13,(('Historical Inputs'!$N$9*(1+(D367))^2)*(('Assumptions'!F37+(E367))*(1-'Assumptions'!F42-(0))+'Assumptions'!F47-'Assumptions'!F52*(F367)+'Assumptions'!F57-'Assumptions'!F62*(1)-'Assumptions'!F67-(0))+(('Historical Inputs'!$N$9*(1+(D367))^1)*('Assumptions'!E67+(0))))*'DCF'!F12/(1+(G367))^'DCF'!F13,(('Historical Inputs'!$N$9*(1+(D367))^3)*(('Assumptions'!G37+(E367))*(1-'Assumptions'!G42-(0))+'Assumptions'!G47-'Assumptions'!G52*(F367)+'Assumptions'!G57-'Assumptions'!G62*(1)-'Assumptions'!G67-(0))+(('Historical Inputs'!$N$9*(1+(D367))^2)*('Assumptions'!F67+(0))))*'DCF'!G12/(1+(G367))^'DCF'!G13,(('Historical Inputs'!$N$9*(1+(D367))^4)*(('Assumptions'!H37+(E367))*(1-'Assumptions'!H42-(0))+'Assumptions'!H47-'Assumptions'!H52*(F367)+'Assumptions'!H57-'Assumptions'!H62*(1)-'Assumptions'!H67-(0))+(('Historical Inputs'!$N$9*(1+(D367))^3)*('Assumptions'!G67+(0))))*'DCF'!H12/(1+(G367))^'DCF'!H13,(('Historical Inputs'!$N$9*(1+(D367))^5)*(('Assumptions'!I37+(E367))*(1-'Assumptions'!I42-(0))+'Assumptions'!I47-'Assumptions'!I52*(F367)+'Assumptions'!I57-'Assumptions'!I62*(1)-'Assumptions'!I67-(0))+(('Historical Inputs'!$N$9*(1+(D367))^4)*('Assumptions'!H67+(0))))*'DCF'!I12/(1+(G367))^'DCF'!I13)+('Historical Inputs'!$N$9*(1+(D367))^5)*(1+(H367))*('Terminal Value'!$E$10+(E367))*(1-'Assumptions'!$E$15-(0))*(1-(H367)/('Terminal Value'!$E$12))/((G367)-(H367))/(1+(G367))^'DCF'!$E$19)+'Equity Bridge'!$E$17)/'Equity Bridge'!$E$20</x:f>
        <x:v>232.9923975886624</x:v>
      </x:c>
      <x:c r="X367" s="255" t="n">
        <x:v>0.20298213476739513</x:v>
      </x:c>
      <x:c r="Y367" s="255" t="n">
        <x:v>0.9028694041364311</x:v>
      </x:c>
      <x:c r="Z367" s="255" t="n">
        <x:v>0.9234852305680588</x:v>
      </x:c>
      <x:c r="AA367" s="255" t="n">
        <x:v>0.9366487573225727</x:v>
      </x:c>
      <x:c r="AB367" s="255" t="n">
        <x:v>0.13869838913810528</x:v>
      </x:c>
    </x:row>
    <x:row r="368" ht="24" customHeight="1">
      <x:c r="C368" s="256" t="n">
        <x:f>337</x:f>
        <x:v>337</x:v>
      </x:c>
      <x:c r="D368" s="258" t="n">
        <x:f>IF(X368&lt;($E$12-$D$12)/($F$12-$D$12),$D$12+SQRT(X368*($F$12-$D$12)*($E$12-$D$12)),$F$12-SQRT((1-X368)*($F$12-$D$12)*($F$12-$E$12)))</x:f>
        <x:v>0.1659586689699447</x:v>
      </x:c>
      <x:c r="E368" s="258" t="n">
        <x:f>IF(Y368&lt;($E$13-$D$13)/($F$13-$D$13),$D$13+SQRT(Y368*($F$13-$D$13)*($E$13-$D$13)),$F$13-SQRT((1-Y368)*($F$13-$D$13)*($F$13-$E$13)))</x:f>
        <x:v>-0.0031447462655054548</x:v>
      </x:c>
      <x:c r="F368" s="260" t="n">
        <x:f>IF(Z368&lt;($E$14-$D$14)/($F$14-$D$14),$D$14+SQRT(Z368*($F$14-$D$14)*($E$14-$D$14)),$F$14-SQRT((1-Z368)*($F$14-$D$14)*($F$14-$E$14)))</x:f>
        <x:v>1.034373749774198</x:v>
      </x:c>
      <x:c r="G368" s="258" t="n">
        <x:f>IF(AA368&lt;($E$15-$D$15)/($F$15-$D$15),$D$15+SQRT(AA368*($F$15-$D$15)*($E$15-$D$15)),$F$15-SQRT((1-AA368)*($F$15-$D$15)*($F$15-$E$15)))</x:f>
        <x:v>0.09378038767155573</x:v>
      </x:c>
      <x:c r="H368" s="258" t="n">
        <x:f>IF(AB368&lt;($E$16-$D$16)/($F$16-$D$16),$D$16+SQRT(AB368*($F$16-$D$16)*($E$16-$D$16)),$F$16-SQRT((1-AB368)*($F$16-$D$16)*($F$16-$E$16)))</x:f>
        <x:v>0.021216271013565213</x:v>
      </x:c>
      <x:c r="I368" s="262" t="n">
        <x:f>'Historical Inputs'!$N$9*(1+D368)^5</x:f>
        <x:v>715061.185939814</x:v>
      </x:c>
      <x:c r="J368" s="262" t="n">
        <x:f>I368*(1+H368)*('Terminal Value'!$E$10+E368)*(1-'Assumptions'!$E$15)*(1-H368/'Terminal Value'!$E$12)</x:f>
        <x:v>207243.56163933934</x:v>
      </x:c>
      <x:c r="K368" s="264" t="n">
        <x:f>((SUM((('Historical Inputs'!$N$9*(1+(D368))^1)*(('Assumptions'!E37+(E368))*(1-'Assumptions'!E42-(0))+'Assumptions'!E47-'Assumptions'!E52*(F368)+'Assumptions'!E57-'Assumptions'!E62*(1)-'Assumptions'!E67-(0))+('Working Capital'!$E$6))*'DCF'!E12/(1+(G368))^'DCF'!E13,(('Historical Inputs'!$N$9*(1+(D368))^2)*(('Assumptions'!F37+(E368))*(1-'Assumptions'!F42-(0))+'Assumptions'!F47-'Assumptions'!F52*(F368)+'Assumptions'!F57-'Assumptions'!F62*(1)-'Assumptions'!F67-(0))+(('Historical Inputs'!$N$9*(1+(D368))^1)*('Assumptions'!E67+(0))))*'DCF'!F12/(1+(G368))^'DCF'!F13,(('Historical Inputs'!$N$9*(1+(D368))^3)*(('Assumptions'!G37+(E368))*(1-'Assumptions'!G42-(0))+'Assumptions'!G47-'Assumptions'!G52*(F368)+'Assumptions'!G57-'Assumptions'!G62*(1)-'Assumptions'!G67-(0))+(('Historical Inputs'!$N$9*(1+(D368))^2)*('Assumptions'!F67+(0))))*'DCF'!G12/(1+(G368))^'DCF'!G13,(('Historical Inputs'!$N$9*(1+(D368))^4)*(('Assumptions'!H37+(E368))*(1-'Assumptions'!H42-(0))+'Assumptions'!H47-'Assumptions'!H52*(F368)+'Assumptions'!H57-'Assumptions'!H62*(1)-'Assumptions'!H67-(0))+(('Historical Inputs'!$N$9*(1+(D368))^3)*('Assumptions'!G67+(0))))*'DCF'!H12/(1+(G368))^'DCF'!H13,(('Historical Inputs'!$N$9*(1+(D368))^5)*(('Assumptions'!I37+(E368))*(1-'Assumptions'!I42-(0))+'Assumptions'!I47-'Assumptions'!I52*(F368)+'Assumptions'!I57-'Assumptions'!I62*(1)-'Assumptions'!I67-(0))+(('Historical Inputs'!$N$9*(1+(D368))^4)*('Assumptions'!H67+(0))))*'DCF'!I12/(1+(G368))^'DCF'!I13)+('Historical Inputs'!$N$9*(1+(D368))^5)*(1+(H368))*('Terminal Value'!$E$10+(E368))*(1-'Assumptions'!$E$15-(0))*(1-(H368)/('Terminal Value'!$E$12))/((G368)-(H368))/(1+(G368))^'DCF'!$E$19)+'Equity Bridge'!$E$17)/'Equity Bridge'!$E$20</x:f>
        <x:v>308.505543968487</x:v>
      </x:c>
      <x:c r="X368" s="255" t="n">
        <x:v>0.8509599862686331</x:v>
      </x:c>
      <x:c r="Y368" s="255" t="n">
        <x:v>0.439082960504773</x:v>
      </x:c>
      <x:c r="Z368" s="255" t="n">
        <x:v>0.6081135033734292</x:v>
      </x:c>
      <x:c r="AA368" s="255" t="n">
        <x:v>0.25157775808445304</x:v>
      </x:c>
      <x:c r="AB368" s="255" t="n">
        <x:v>0.007396575892194779</x:v>
      </x:c>
    </x:row>
    <x:row r="369" ht="24" customHeight="1">
      <x:c r="C369" s="256" t="n">
        <x:f>338</x:f>
        <x:v>338</x:v>
      </x:c>
      <x:c r="D369" s="258" t="n">
        <x:f>IF(X369&lt;($E$12-$D$12)/($F$12-$D$12),$D$12+SQRT(X369*($F$12-$D$12)*($E$12-$D$12)),$F$12-SQRT((1-X369)*($F$12-$D$12)*($F$12-$E$12)))</x:f>
        <x:v>0.1406382817505995</x:v>
      </x:c>
      <x:c r="E369" s="258" t="n">
        <x:f>IF(Y369&lt;($E$13-$D$13)/($F$13-$D$13),$D$13+SQRT(Y369*($F$13-$D$13)*($E$13-$D$13)),$F$13-SQRT((1-Y369)*($F$13-$D$13)*($F$13-$E$13)))</x:f>
        <x:v>-0.04951270234571607</x:v>
      </x:c>
      <x:c r="F369" s="260" t="n">
        <x:f>IF(Z369&lt;($E$14-$D$14)/($F$14-$D$14),$D$14+SQRT(Z369*($F$14-$D$14)*($E$14-$D$14)),$F$14-SQRT((1-Z369)*($F$14-$D$14)*($F$14-$E$14)))</x:f>
        <x:v>0.9881866513727058</x:v>
      </x:c>
      <x:c r="G369" s="258" t="n">
        <x:f>IF(AA369&lt;($E$15-$D$15)/($F$15-$D$15),$D$15+SQRT(AA369*($F$15-$D$15)*($E$15-$D$15)),$F$15-SQRT((1-AA369)*($F$15-$D$15)*($F$15-$E$15)))</x:f>
        <x:v>0.10080660500008068</x:v>
      </x:c>
      <x:c r="H369" s="258" t="n">
        <x:f>IF(AB369&lt;($E$16-$D$16)/($F$16-$D$16),$D$16+SQRT(AB369*($F$16-$D$16)*($E$16-$D$16)),$F$16-SQRT((1-AB369)*($F$16-$D$16)*($F$16-$E$16)))</x:f>
        <x:v>0.031195079669600716</x:v>
      </x:c>
      <x:c r="I369" s="262" t="n">
        <x:f>'Historical Inputs'!$N$9*(1+D369)^5</x:f>
        <x:v>640718.3197126131</x:v>
      </x:c>
      <x:c r="J369" s="262" t="n">
        <x:f>I369*(1+H369)*('Terminal Value'!$E$10+E369)*(1-'Assumptions'!$E$15)*(1-H369/'Terminal Value'!$E$12)</x:f>
        <x:v>156359.88753068625</x:v>
      </x:c>
      <x:c r="K369" s="264" t="n">
        <x:f>((SUM((('Historical Inputs'!$N$9*(1+(D369))^1)*(('Assumptions'!E37+(E369))*(1-'Assumptions'!E42-(0))+'Assumptions'!E47-'Assumptions'!E52*(F369)+'Assumptions'!E57-'Assumptions'!E62*(1)-'Assumptions'!E67-(0))+('Working Capital'!$E$6))*'DCF'!E12/(1+(G369))^'DCF'!E13,(('Historical Inputs'!$N$9*(1+(D369))^2)*(('Assumptions'!F37+(E369))*(1-'Assumptions'!F42-(0))+'Assumptions'!F47-'Assumptions'!F52*(F369)+'Assumptions'!F57-'Assumptions'!F62*(1)-'Assumptions'!F67-(0))+(('Historical Inputs'!$N$9*(1+(D369))^1)*('Assumptions'!E67+(0))))*'DCF'!F12/(1+(G369))^'DCF'!F13,(('Historical Inputs'!$N$9*(1+(D369))^3)*(('Assumptions'!G37+(E369))*(1-'Assumptions'!G42-(0))+'Assumptions'!G47-'Assumptions'!G52*(F369)+'Assumptions'!G57-'Assumptions'!G62*(1)-'Assumptions'!G67-(0))+(('Historical Inputs'!$N$9*(1+(D369))^2)*('Assumptions'!F67+(0))))*'DCF'!G12/(1+(G369))^'DCF'!G13,(('Historical Inputs'!$N$9*(1+(D369))^4)*(('Assumptions'!H37+(E369))*(1-'Assumptions'!H42-(0))+'Assumptions'!H47-'Assumptions'!H52*(F369)+'Assumptions'!H57-'Assumptions'!H62*(1)-'Assumptions'!H67-(0))+(('Historical Inputs'!$N$9*(1+(D369))^3)*('Assumptions'!G67+(0))))*'DCF'!H12/(1+(G369))^'DCF'!H13,(('Historical Inputs'!$N$9*(1+(D369))^5)*(('Assumptions'!I37+(E369))*(1-'Assumptions'!I42-(0))+'Assumptions'!I47-'Assumptions'!I52*(F369)+'Assumptions'!I57-'Assumptions'!I62*(1)-'Assumptions'!I67-(0))+(('Historical Inputs'!$N$9*(1+(D369))^4)*('Assumptions'!H67+(0))))*'DCF'!I12/(1+(G369))^'DCF'!I13)+('Historical Inputs'!$N$9*(1+(D369))^5)*(1+(H369))*('Terminal Value'!$E$10+(E369))*(1-'Assumptions'!$E$15-(0))*(1-(H369)/('Terminal Value'!$E$12))/((G369)-(H369))/(1+(G369))^'DCF'!$E$19)+'Equity Bridge'!$E$17)/'Equity Bridge'!$E$20</x:f>
        <x:v>237.06918974269044</x:v>
      </x:c>
      <x:c r="X369" s="255" t="n">
        <x:v>0.4489967584074044</x:v>
      </x:c>
      <x:c r="Y369" s="255" t="n">
        <x:v>0.00004749180077412429</x:v>
      </x:c>
      <x:c r="Z369" s="255" t="n">
        <x:v>0.3637247736686041</x:v>
      </x:c>
      <x:c r="AA369" s="255" t="n">
        <x:v>0.6619516853675426</x:v>
      </x:c>
      <x:c r="AB369" s="255" t="n">
        <x:v>0.6123668898766067</x:v>
      </x:c>
    </x:row>
    <x:row r="370" ht="24" customHeight="1">
      <x:c r="C370" s="256" t="n">
        <x:f>339</x:f>
        <x:v>339</x:v>
      </x:c>
      <x:c r="D370" s="258" t="n">
        <x:f>IF(X370&lt;($E$12-$D$12)/($F$12-$D$12),$D$12+SQRT(X370*($F$12-$D$12)*($E$12-$D$12)),$F$12-SQRT((1-X370)*($F$12-$D$12)*($F$12-$E$12)))</x:f>
        <x:v>0.1424523130089727</x:v>
      </x:c>
      <x:c r="E370" s="258" t="n">
        <x:f>IF(Y370&lt;($E$13-$D$13)/($F$13-$D$13),$D$13+SQRT(Y370*($F$13-$D$13)*($E$13-$D$13)),$F$13-SQRT((1-Y370)*($F$13-$D$13)*($F$13-$E$13)))</x:f>
        <x:v>0.01989455960569808</x:v>
      </x:c>
      <x:c r="F370" s="260" t="n">
        <x:f>IF(Z370&lt;($E$14-$D$14)/($F$14-$D$14),$D$14+SQRT(Z370*($F$14-$D$14)*($E$14-$D$14)),$F$14-SQRT((1-Z370)*($F$14-$D$14)*($F$14-$E$14)))</x:f>
        <x:v>1.0205588193617048</x:v>
      </x:c>
      <x:c r="G370" s="258" t="n">
        <x:f>IF(AA370&lt;($E$15-$D$15)/($F$15-$D$15),$D$15+SQRT(AA370*($F$15-$D$15)*($E$15-$D$15)),$F$15-SQRT((1-AA370)*($F$15-$D$15)*($F$15-$E$15)))</x:f>
        <x:v>0.09161294334263645</x:v>
      </x:c>
      <x:c r="H370" s="258" t="n">
        <x:f>IF(AB370&lt;($E$16-$D$16)/($F$16-$D$16),$D$16+SQRT(AB370*($F$16-$D$16)*($E$16-$D$16)),$F$16-SQRT((1-AB370)*($F$16-$D$16)*($F$16-$E$16)))</x:f>
        <x:v>0.035007594569170596</x:v>
      </x:c>
      <x:c r="I370" s="262" t="n">
        <x:f>'Historical Inputs'!$N$9*(1+D370)^5</x:f>
        <x:v>645829.4310581238</x:v>
      </x:c>
      <x:c r="J370" s="262" t="n">
        <x:f>I370*(1+H370)*('Terminal Value'!$E$10+E370)*(1-'Assumptions'!$E$15)*(1-H370/'Terminal Value'!$E$12)</x:f>
        <x:v>185236.07159046383</x:v>
      </x:c>
      <x:c r="K370" s="264" t="n">
        <x:f>((SUM((('Historical Inputs'!$N$9*(1+(D370))^1)*(('Assumptions'!E37+(E370))*(1-'Assumptions'!E42-(0))+'Assumptions'!E47-'Assumptions'!E52*(F370)+'Assumptions'!E57-'Assumptions'!E62*(1)-'Assumptions'!E67-(0))+('Working Capital'!$E$6))*'DCF'!E12/(1+(G370))^'DCF'!E13,(('Historical Inputs'!$N$9*(1+(D370))^2)*(('Assumptions'!F37+(E370))*(1-'Assumptions'!F42-(0))+'Assumptions'!F47-'Assumptions'!F52*(F370)+'Assumptions'!F57-'Assumptions'!F62*(1)-'Assumptions'!F67-(0))+(('Historical Inputs'!$N$9*(1+(D370))^1)*('Assumptions'!E67+(0))))*'DCF'!F12/(1+(G370))^'DCF'!F13,(('Historical Inputs'!$N$9*(1+(D370))^3)*(('Assumptions'!G37+(E370))*(1-'Assumptions'!G42-(0))+'Assumptions'!G47-'Assumptions'!G52*(F370)+'Assumptions'!G57-'Assumptions'!G62*(1)-'Assumptions'!G67-(0))+(('Historical Inputs'!$N$9*(1+(D370))^2)*('Assumptions'!F67+(0))))*'DCF'!G12/(1+(G370))^'DCF'!G13,(('Historical Inputs'!$N$9*(1+(D370))^4)*(('Assumptions'!H37+(E370))*(1-'Assumptions'!H42-(0))+'Assumptions'!H47-'Assumptions'!H52*(F370)+'Assumptions'!H57-'Assumptions'!H62*(1)-'Assumptions'!H67-(0))+(('Historical Inputs'!$N$9*(1+(D370))^3)*('Assumptions'!G67+(0))))*'DCF'!H12/(1+(G370))^'DCF'!H13,(('Historical Inputs'!$N$9*(1+(D370))^5)*(('Assumptions'!I37+(E370))*(1-'Assumptions'!I42-(0))+'Assumptions'!I47-'Assumptions'!I52*(F370)+'Assumptions'!I57-'Assumptions'!I62*(1)-'Assumptions'!I67-(0))+(('Historical Inputs'!$N$9*(1+(D370))^4)*('Assumptions'!H67+(0))))*'DCF'!I12/(1+(G370))^'DCF'!I13)+('Historical Inputs'!$N$9*(1+(D370))^5)*(1+(H370))*('Terminal Value'!$E$10+(E370))*(1-'Assumptions'!$E$15-(0))*(1-(H370)/('Terminal Value'!$E$12))/((G370)-(H370))/(1+(G370))^'DCF'!$E$19)+'Equity Bridge'!$E$17)/'Equity Bridge'!$E$20</x:f>
        <x:v>349.6132003825943</x:v>
      </x:c>
      <x:c r="X370" s="255" t="n">
        <x:v>0.48403533491436546</x:v>
      </x:c>
      <x:c r="Y370" s="255" t="n">
        <x:v>0.8187324917330269</x:v>
      </x:c>
      <x:c r="Z370" s="255" t="n">
        <x:v>0.5400123241590676</x:v>
      </x:c>
      <x:c r="AA370" s="255" t="n">
        <x:v>0.15952113568892712</x:v>
      </x:c>
      <x:c r="AB370" s="255" t="n">
        <x:v>0.8753794400711252</x:v>
      </x:c>
    </x:row>
    <x:row r="371" ht="24" customHeight="1">
      <x:c r="C371" s="256" t="n">
        <x:f>340</x:f>
        <x:v>340</x:v>
      </x:c>
      <x:c r="D371" s="258" t="n">
        <x:f>IF(X371&lt;($E$12-$D$12)/($F$12-$D$12),$D$12+SQRT(X371*($F$12-$D$12)*($E$12-$D$12)),$F$12-SQRT((1-X371)*($F$12-$D$12)*($F$12-$E$12)))</x:f>
        <x:v>0.12026811338017991</x:v>
      </x:c>
      <x:c r="E371" s="258" t="n">
        <x:f>IF(Y371&lt;($E$13-$D$13)/($F$13-$D$13),$D$13+SQRT(Y371*($F$13-$D$13)*($E$13-$D$13)),$F$13-SQRT((1-Y371)*($F$13-$D$13)*($F$13-$E$13)))</x:f>
        <x:v>0.006968847720667491</x:v>
      </x:c>
      <x:c r="F371" s="260" t="n">
        <x:f>IF(Z371&lt;($E$14-$D$14)/($F$14-$D$14),$D$14+SQRT(Z371*($F$14-$D$14)*($E$14-$D$14)),$F$14-SQRT((1-Z371)*($F$14-$D$14)*($F$14-$E$14)))</x:f>
        <x:v>0.9864878430520042</x:v>
      </x:c>
      <x:c r="G371" s="258" t="n">
        <x:f>IF(AA371&lt;($E$15-$D$15)/($F$15-$D$15),$D$15+SQRT(AA371*($F$15-$D$15)*($E$15-$D$15)),$F$15-SQRT((1-AA371)*($F$15-$D$15)*($F$15-$E$15)))</x:f>
        <x:v>0.10402593031699352</x:v>
      </x:c>
      <x:c r="H371" s="258" t="n">
        <x:f>IF(AB371&lt;($E$16-$D$16)/($F$16-$D$16),$D$16+SQRT(AB371*($F$16-$D$16)*($E$16-$D$16)),$F$16-SQRT((1-AB371)*($F$16-$D$16)*($F$16-$E$16)))</x:f>
        <x:v>0.03262576432571335</x:v>
      </x:c>
      <x:c r="I371" s="262" t="n">
        <x:f>'Historical Inputs'!$N$9*(1+D371)^5</x:f>
        <x:v>585514.0208576265</x:v>
      </x:c>
      <x:c r="J371" s="262" t="n">
        <x:f>I371*(1+H371)*('Terminal Value'!$E$10+E371)*(1-'Assumptions'!$E$15)*(1-H371/'Terminal Value'!$E$12)</x:f>
        <x:v>164736.57048210767</x:v>
      </x:c>
      <x:c r="K371" s="264" t="n">
        <x:f>((SUM((('Historical Inputs'!$N$9*(1+(D371))^1)*(('Assumptions'!E37+(E371))*(1-'Assumptions'!E42-(0))+'Assumptions'!E47-'Assumptions'!E52*(F371)+'Assumptions'!E57-'Assumptions'!E62*(1)-'Assumptions'!E67-(0))+('Working Capital'!$E$6))*'DCF'!E12/(1+(G371))^'DCF'!E13,(('Historical Inputs'!$N$9*(1+(D371))^2)*(('Assumptions'!F37+(E371))*(1-'Assumptions'!F42-(0))+'Assumptions'!F47-'Assumptions'!F52*(F371)+'Assumptions'!F57-'Assumptions'!F62*(1)-'Assumptions'!F67-(0))+(('Historical Inputs'!$N$9*(1+(D371))^1)*('Assumptions'!E67+(0))))*'DCF'!F12/(1+(G371))^'DCF'!F13,(('Historical Inputs'!$N$9*(1+(D371))^3)*(('Assumptions'!G37+(E371))*(1-'Assumptions'!G42-(0))+'Assumptions'!G47-'Assumptions'!G52*(F371)+'Assumptions'!G57-'Assumptions'!G62*(1)-'Assumptions'!G67-(0))+(('Historical Inputs'!$N$9*(1+(D371))^2)*('Assumptions'!F67+(0))))*'DCF'!G12/(1+(G371))^'DCF'!G13,(('Historical Inputs'!$N$9*(1+(D371))^4)*(('Assumptions'!H37+(E371))*(1-'Assumptions'!H42-(0))+'Assumptions'!H47-'Assumptions'!H52*(F371)+'Assumptions'!H57-'Assumptions'!H62*(1)-'Assumptions'!H67-(0))+(('Historical Inputs'!$N$9*(1+(D371))^3)*('Assumptions'!G67+(0))))*'DCF'!H12/(1+(G371))^'DCF'!H13,(('Historical Inputs'!$N$9*(1+(D371))^5)*(('Assumptions'!I37+(E371))*(1-'Assumptions'!I42-(0))+'Assumptions'!I47-'Assumptions'!I52*(F371)+'Assumptions'!I57-'Assumptions'!I62*(1)-'Assumptions'!I67-(0))+(('Historical Inputs'!$N$9*(1+(D371))^4)*('Assumptions'!H67+(0))))*'DCF'!I12/(1+(G371))^'DCF'!I13)+('Historical Inputs'!$N$9*(1+(D371))^5)*(1+(H371))*('Terminal Value'!$E$10+(E371))*(1-'Assumptions'!$E$15-(0))*(1-(H371)/('Terminal Value'!$E$12))/((G371)-(H371))/(1+(G371))^'DCF'!$E$19)+'Equity Bridge'!$E$17)/'Equity Bridge'!$E$20</x:f>
        <x:v>247.08578692107605</x:v>
      </x:c>
      <x:c r="X371" s="255" t="n">
        <x:v>0.14591981338903803</x:v>
      </x:c>
      <x:c r="Y371" s="255" t="n">
        <x:v>0.6296639867025793</x:v>
      </x:c>
      <x:c r="Z371" s="255" t="n">
        <x:v>0.3548367866854961</x:v>
      </x:c>
      <x:c r="AA371" s="255" t="n">
        <x:v>0.8153933381969596</x:v>
      </x:c>
      <x:c r="AB371" s="255" t="n">
        <x:v>0.7281032411003905</x:v>
      </x:c>
    </x:row>
    <x:row r="372" ht="24" customHeight="1">
      <x:c r="C372" s="256" t="n">
        <x:f>341</x:f>
        <x:v>341</x:v>
      </x:c>
      <x:c r="D372" s="258" t="n">
        <x:f>IF(X372&lt;($E$12-$D$12)/($F$12-$D$12),$D$12+SQRT(X372*($F$12-$D$12)*($E$12-$D$12)),$F$12-SQRT((1-X372)*($F$12-$D$12)*($F$12-$E$12)))</x:f>
        <x:v>0.1342728385125783</x:v>
      </x:c>
      <x:c r="E372" s="258" t="n">
        <x:f>IF(Y372&lt;($E$13-$D$13)/($F$13-$D$13),$D$13+SQRT(Y372*($F$13-$D$13)*($E$13-$D$13)),$F$13-SQRT((1-Y372)*($F$13-$D$13)*($F$13-$E$13)))</x:f>
        <x:v>-0.0015478866964400428</x:v>
      </x:c>
      <x:c r="F372" s="260" t="n">
        <x:f>IF(Z372&lt;($E$14-$D$14)/($F$14-$D$14),$D$14+SQRT(Z372*($F$14-$D$14)*($E$14-$D$14)),$F$14-SQRT((1-Z372)*($F$14-$D$14)*($F$14-$E$14)))</x:f>
        <x:v>1.0945686654060192</x:v>
      </x:c>
      <x:c r="G372" s="258" t="n">
        <x:f>IF(AA372&lt;($E$15-$D$15)/($F$15-$D$15),$D$15+SQRT(AA372*($F$15-$D$15)*($E$15-$D$15)),$F$15-SQRT((1-AA372)*($F$15-$D$15)*($F$15-$E$15)))</x:f>
        <x:v>0.0979105871839941</x:v>
      </x:c>
      <x:c r="H372" s="258" t="n">
        <x:f>IF(AB372&lt;($E$16-$D$16)/($F$16-$D$16),$D$16+SQRT(AB372*($F$16-$D$16)*($E$16-$D$16)),$F$16-SQRT((1-AB372)*($F$16-$D$16)*($F$16-$E$16)))</x:f>
        <x:v>0.03757229265415555</x:v>
      </x:c>
      <x:c r="I372" s="262" t="n">
        <x:f>'Historical Inputs'!$N$9*(1+D372)^5</x:f>
        <x:v>623038.793086991</x:v>
      </x:c>
      <x:c r="J372" s="262" t="n">
        <x:f>I372*(1+H372)*('Terminal Value'!$E$10+E372)*(1-'Assumptions'!$E$15)*(1-H372/'Terminal Value'!$E$12)</x:f>
        <x:v>167351.532842288</x:v>
      </x:c>
      <x:c r="K372" s="264" t="n">
        <x:f>((SUM((('Historical Inputs'!$N$9*(1+(D372))^1)*(('Assumptions'!E37+(E372))*(1-'Assumptions'!E42-(0))+'Assumptions'!E47-'Assumptions'!E52*(F372)+'Assumptions'!E57-'Assumptions'!E62*(1)-'Assumptions'!E67-(0))+('Working Capital'!$E$6))*'DCF'!E12/(1+(G372))^'DCF'!E13,(('Historical Inputs'!$N$9*(1+(D372))^2)*(('Assumptions'!F37+(E372))*(1-'Assumptions'!F42-(0))+'Assumptions'!F47-'Assumptions'!F52*(F372)+'Assumptions'!F57-'Assumptions'!F62*(1)-'Assumptions'!F67-(0))+(('Historical Inputs'!$N$9*(1+(D372))^1)*('Assumptions'!E67+(0))))*'DCF'!F12/(1+(G372))^'DCF'!F13,(('Historical Inputs'!$N$9*(1+(D372))^3)*(('Assumptions'!G37+(E372))*(1-'Assumptions'!G42-(0))+'Assumptions'!G47-'Assumptions'!G52*(F372)+'Assumptions'!G57-'Assumptions'!G62*(1)-'Assumptions'!G67-(0))+(('Historical Inputs'!$N$9*(1+(D372))^2)*('Assumptions'!F67+(0))))*'DCF'!G12/(1+(G372))^'DCF'!G13,(('Historical Inputs'!$N$9*(1+(D372))^4)*(('Assumptions'!H37+(E372))*(1-'Assumptions'!H42-(0))+'Assumptions'!H47-'Assumptions'!H52*(F372)+'Assumptions'!H57-'Assumptions'!H62*(1)-'Assumptions'!H67-(0))+(('Historical Inputs'!$N$9*(1+(D372))^3)*('Assumptions'!G67+(0))))*'DCF'!H12/(1+(G372))^'DCF'!H13,(('Historical Inputs'!$N$9*(1+(D372))^5)*(('Assumptions'!I37+(E372))*(1-'Assumptions'!I42-(0))+'Assumptions'!I47-'Assumptions'!I52*(F372)+'Assumptions'!I57-'Assumptions'!I62*(1)-'Assumptions'!I67-(0))+(('Historical Inputs'!$N$9*(1+(D372))^4)*('Assumptions'!H67+(0))))*'DCF'!I12/(1+(G372))^'DCF'!I13)+('Historical Inputs'!$N$9*(1+(D372))^5)*(1+(H372))*('Terminal Value'!$E$10+(E372))*(1-'Assumptions'!$E$15-(0))*(1-(H372)/('Terminal Value'!$E$12))/((G372)-(H372))/(1+(G372))^'DCF'!$E$19)+'Equity Bridge'!$E$17)/'Equity Bridge'!$E$20</x:f>
        <x:v>287.3970457992349</x:v>
      </x:c>
      <x:c r="X372" s="255" t="n">
        <x:v>0.3364594436924575</x:v>
      </x:c>
      <x:c r="Y372" s="255" t="n">
        <x:v>0.46952145671620227</x:v>
      </x:c>
      <x:c r="Z372" s="255" t="n">
        <x:v>0.8412033383676006</x:v>
      </x:c>
      <x:c r="AA372" s="255" t="n">
        <x:v>0.48479852579054583</x:v>
      </x:c>
      <x:c r="AB372" s="255" t="n">
        <x:v>0.9705311852146645</x:v>
      </x:c>
    </x:row>
    <x:row r="373" ht="24" customHeight="1">
      <x:c r="C373" s="256" t="n">
        <x:f>342</x:f>
        <x:v>342</x:v>
      </x:c>
      <x:c r="D373" s="258" t="n">
        <x:f>IF(X373&lt;($E$12-$D$12)/($F$12-$D$12),$D$12+SQRT(X373*($F$12-$D$12)*($E$12-$D$12)),$F$12-SQRT((1-X373)*($F$12-$D$12)*($F$12-$E$12)))</x:f>
        <x:v>0.12458886019701845</x:v>
      </x:c>
      <x:c r="E373" s="258" t="n">
        <x:f>IF(Y373&lt;($E$13-$D$13)/($F$13-$D$13),$D$13+SQRT(Y373*($F$13-$D$13)*($E$13-$D$13)),$F$13-SQRT((1-Y373)*($F$13-$D$13)*($F$13-$E$13)))</x:f>
        <x:v>-0.01956881455660224</x:v>
      </x:c>
      <x:c r="F373" s="260" t="n">
        <x:f>IF(Z373&lt;($E$14-$D$14)/($F$14-$D$14),$D$14+SQRT(Z373*($F$14-$D$14)*($E$14-$D$14)),$F$14-SQRT((1-Z373)*($F$14-$D$14)*($F$14-$E$14)))</x:f>
        <x:v>0.9571152790513062</x:v>
      </x:c>
      <x:c r="G373" s="258" t="n">
        <x:f>IF(AA373&lt;($E$15-$D$15)/($F$15-$D$15),$D$15+SQRT(AA373*($F$15-$D$15)*($E$15-$D$15)),$F$15-SQRT((1-AA373)*($F$15-$D$15)*($F$15-$E$15)))</x:f>
        <x:v>0.09933118078855731</x:v>
      </x:c>
      <x:c r="H373" s="258" t="n">
        <x:f>IF(AB373&lt;($E$16-$D$16)/($F$16-$D$16),$D$16+SQRT(AB373*($F$16-$D$16)*($E$16-$D$16)),$F$16-SQRT((1-AB373)*($F$16-$D$16)*($F$16-$E$16)))</x:f>
        <x:v>0.0313280736083631</x:v>
      </x:c>
      <x:c r="I373" s="262" t="n">
        <x:f>'Historical Inputs'!$N$9*(1+D373)^5</x:f>
        <x:v>596892.7612290847</x:v>
      </x:c>
      <x:c r="J373" s="262" t="n">
        <x:f>I373*(1+H373)*('Terminal Value'!$E$10+E373)*(1-'Assumptions'!$E$15)*(1-H373/'Terminal Value'!$E$12)</x:f>
        <x:v>158005.44694506162</x:v>
      </x:c>
      <x:c r="K373" s="264" t="n">
        <x:f>((SUM((('Historical Inputs'!$N$9*(1+(D373))^1)*(('Assumptions'!E37+(E373))*(1-'Assumptions'!E42-(0))+'Assumptions'!E47-'Assumptions'!E52*(F373)+'Assumptions'!E57-'Assumptions'!E62*(1)-'Assumptions'!E67-(0))+('Working Capital'!$E$6))*'DCF'!E12/(1+(G373))^'DCF'!E13,(('Historical Inputs'!$N$9*(1+(D373))^2)*(('Assumptions'!F37+(E373))*(1-'Assumptions'!F42-(0))+'Assumptions'!F47-'Assumptions'!F52*(F373)+'Assumptions'!F57-'Assumptions'!F62*(1)-'Assumptions'!F67-(0))+(('Historical Inputs'!$N$9*(1+(D373))^1)*('Assumptions'!E67+(0))))*'DCF'!F12/(1+(G373))^'DCF'!F13,(('Historical Inputs'!$N$9*(1+(D373))^3)*(('Assumptions'!G37+(E373))*(1-'Assumptions'!G42-(0))+'Assumptions'!G47-'Assumptions'!G52*(F373)+'Assumptions'!G57-'Assumptions'!G62*(1)-'Assumptions'!G67-(0))+(('Historical Inputs'!$N$9*(1+(D373))^2)*('Assumptions'!F67+(0))))*'DCF'!G12/(1+(G373))^'DCF'!G13,(('Historical Inputs'!$N$9*(1+(D373))^4)*(('Assumptions'!H37+(E373))*(1-'Assumptions'!H42-(0))+'Assumptions'!H47-'Assumptions'!H52*(F373)+'Assumptions'!H57-'Assumptions'!H62*(1)-'Assumptions'!H67-(0))+(('Historical Inputs'!$N$9*(1+(D373))^3)*('Assumptions'!G67+(0))))*'DCF'!H12/(1+(G373))^'DCF'!H13,(('Historical Inputs'!$N$9*(1+(D373))^5)*(('Assumptions'!I37+(E373))*(1-'Assumptions'!I42-(0))+'Assumptions'!I47-'Assumptions'!I52*(F373)+'Assumptions'!I57-'Assumptions'!I62*(1)-'Assumptions'!I67-(0))+(('Historical Inputs'!$N$9*(1+(D373))^4)*('Assumptions'!H67+(0))))*'DCF'!I12/(1+(G373))^'DCF'!I13)+('Historical Inputs'!$N$9*(1+(D373))^5)*(1+(H373))*('Terminal Value'!$E$10+(E373))*(1-'Assumptions'!$E$15-(0))*(1-(H373)/('Terminal Value'!$E$12))/((G373)-(H373))/(1+(G373))^'DCF'!$E$19)+'Equity Bridge'!$E$17)/'Equity Bridge'!$E$20</x:f>
        <x:v>250.44269558903665</x:v>
      </x:c>
      <x:c r="X373" s="255" t="n">
        <x:v>0.1963368191408058</x:v>
      </x:c>
      <x:c r="Y373" s="255" t="n">
        <x:v>0.18521140949809278</x:v>
      </x:c>
      <x:c r="Z373" s="255" t="n">
        <x:v>0.21854634297598485</x:v>
      </x:c>
      <x:c r="AA373" s="255" t="n">
        <x:v>0.5762362508961724</x:v>
      </x:c>
      <x:c r="AB373" s="255" t="n">
        <x:v>0.6239884632901571</x:v>
      </x:c>
    </x:row>
    <x:row r="374" ht="24" customHeight="1">
      <x:c r="C374" s="256" t="n">
        <x:f>343</x:f>
        <x:v>343</x:v>
      </x:c>
      <x:c r="D374" s="258" t="n">
        <x:f>IF(X374&lt;($E$12-$D$12)/($F$12-$D$12),$D$12+SQRT(X374*($F$12-$D$12)*($E$12-$D$12)),$F$12-SQRT((1-X374)*($F$12-$D$12)*($F$12-$E$12)))</x:f>
        <x:v>0.10426238254107834</x:v>
      </x:c>
      <x:c r="E374" s="258" t="n">
        <x:f>IF(Y374&lt;($E$13-$D$13)/($F$13-$D$13),$D$13+SQRT(Y374*($F$13-$D$13)*($E$13-$D$13)),$F$13-SQRT((1-Y374)*($F$13-$D$13)*($F$13-$E$13)))</x:f>
        <x:v>-0.01602794660611507</x:v>
      </x:c>
      <x:c r="F374" s="260" t="n">
        <x:f>IF(Z374&lt;($E$14-$D$14)/($F$14-$D$14),$D$14+SQRT(Z374*($F$14-$D$14)*($E$14-$D$14)),$F$14-SQRT((1-Z374)*($F$14-$D$14)*($F$14-$E$14)))</x:f>
        <x:v>0.8975213898170937</x:v>
      </x:c>
      <x:c r="G374" s="258" t="n">
        <x:f>IF(AA374&lt;($E$15-$D$15)/($F$15-$D$15),$D$15+SQRT(AA374*($F$15-$D$15)*($E$15-$D$15)),$F$15-SQRT((1-AA374)*($F$15-$D$15)*($F$15-$E$15)))</x:f>
        <x:v>0.09362947855493006</x:v>
      </x:c>
      <x:c r="H374" s="258" t="n">
        <x:f>IF(AB374&lt;($E$16-$D$16)/($F$16-$D$16),$D$16+SQRT(AB374*($F$16-$D$16)*($E$16-$D$16)),$F$16-SQRT((1-AB374)*($F$16-$D$16)*($F$16-$E$16)))</x:f>
        <x:v>0.03903934111869687</x:v>
      </x:c>
      <x:c r="I374" s="262" t="n">
        <x:f>'Historical Inputs'!$N$9*(1+D374)^5</x:f>
        <x:v>544864.879470406</x:v>
      </x:c>
      <x:c r="J374" s="262" t="n">
        <x:f>I374*(1+H374)*('Terminal Value'!$E$10+E374)*(1-'Assumptions'!$E$15)*(1-H374/'Terminal Value'!$E$12)</x:f>
        <x:v>139958.7824204446</x:v>
      </x:c>
      <x:c r="K374" s="264" t="n">
        <x:f>((SUM((('Historical Inputs'!$N$9*(1+(D374))^1)*(('Assumptions'!E37+(E374))*(1-'Assumptions'!E42-(0))+'Assumptions'!E47-'Assumptions'!E52*(F374)+'Assumptions'!E57-'Assumptions'!E62*(1)-'Assumptions'!E67-(0))+('Working Capital'!$E$6))*'DCF'!E12/(1+(G374))^'DCF'!E13,(('Historical Inputs'!$N$9*(1+(D374))^2)*(('Assumptions'!F37+(E374))*(1-'Assumptions'!F42-(0))+'Assumptions'!F47-'Assumptions'!F52*(F374)+'Assumptions'!F57-'Assumptions'!F62*(1)-'Assumptions'!F67-(0))+(('Historical Inputs'!$N$9*(1+(D374))^1)*('Assumptions'!E67+(0))))*'DCF'!F12/(1+(G374))^'DCF'!F13,(('Historical Inputs'!$N$9*(1+(D374))^3)*(('Assumptions'!G37+(E374))*(1-'Assumptions'!G42-(0))+'Assumptions'!G47-'Assumptions'!G52*(F374)+'Assumptions'!G57-'Assumptions'!G62*(1)-'Assumptions'!G67-(0))+(('Historical Inputs'!$N$9*(1+(D374))^2)*('Assumptions'!F67+(0))))*'DCF'!G12/(1+(G374))^'DCF'!G13,(('Historical Inputs'!$N$9*(1+(D374))^4)*(('Assumptions'!H37+(E374))*(1-'Assumptions'!H42-(0))+'Assumptions'!H47-'Assumptions'!H52*(F374)+'Assumptions'!H57-'Assumptions'!H62*(1)-'Assumptions'!H67-(0))+(('Historical Inputs'!$N$9*(1+(D374))^3)*('Assumptions'!G67+(0))))*'DCF'!H12/(1+(G374))^'DCF'!H13,(('Historical Inputs'!$N$9*(1+(D374))^5)*(('Assumptions'!I37+(E374))*(1-'Assumptions'!I42-(0))+'Assumptions'!I47-'Assumptions'!I52*(F374)+'Assumptions'!I57-'Assumptions'!I62*(1)-'Assumptions'!I67-(0))+(('Historical Inputs'!$N$9*(1+(D374))^4)*('Assumptions'!H67+(0))))*'DCF'!I12/(1+(G374))^'DCF'!I13)+('Historical Inputs'!$N$9*(1+(D374))^5)*(1+(H374))*('Terminal Value'!$E$10+(E374))*(1-'Assumptions'!$E$15-(0))*(1-(H374)/('Terminal Value'!$E$12))/((G374)-(H374))/(1+(G374))^'DCF'!$E$19)+'Equity Bridge'!$E$17)/'Equity Bridge'!$E$20</x:f>
        <x:v>278.0956351918094</x:v>
      </x:c>
      <x:c r="X374" s="255" t="n">
        <x:v>0.024223592893545365</x:v>
      </x:c>
      <x:c r="Y374" s="255" t="n">
        <x:v>0.23082008235939377</x:v>
      </x:c>
      <x:c r="Z374" s="255" t="n">
        <x:v>0.04301490457425117</x:v>
      </x:c>
      <x:c r="AA374" s="255" t="n">
        <x:v>0.2444920292224696</x:v>
      </x:c>
      <x:c r="AB374" s="255" t="n">
        <x:v>0.9953856725688671</x:v>
      </x:c>
    </x:row>
    <x:row r="375" ht="24" customHeight="1">
      <x:c r="C375" s="256" t="n">
        <x:f>344</x:f>
        <x:v>344</x:v>
      </x:c>
      <x:c r="D375" s="258" t="n">
        <x:f>IF(X375&lt;($E$12-$D$12)/($F$12-$D$12),$D$12+SQRT(X375*($F$12-$D$12)*($E$12-$D$12)),$F$12-SQRT((1-X375)*($F$12-$D$12)*($F$12-$E$12)))</x:f>
        <x:v>0.12118188453059933</x:v>
      </x:c>
      <x:c r="E375" s="258" t="n">
        <x:f>IF(Y375&lt;($E$13-$D$13)/($F$13-$D$13),$D$13+SQRT(Y375*($F$13-$D$13)*($E$13-$D$13)),$F$13-SQRT((1-Y375)*($F$13-$D$13)*($F$13-$E$13)))</x:f>
        <x:v>0.02897459561624123</x:v>
      </x:c>
      <x:c r="F375" s="260" t="n">
        <x:f>IF(Z375&lt;($E$14-$D$14)/($F$14-$D$14),$D$14+SQRT(Z375*($F$14-$D$14)*($E$14-$D$14)),$F$14-SQRT((1-Z375)*($F$14-$D$14)*($F$14-$E$14)))</x:f>
        <x:v>0.9257691013967524</x:v>
      </x:c>
      <x:c r="G375" s="258" t="n">
        <x:f>IF(AA375&lt;($E$15-$D$15)/($F$15-$D$15),$D$15+SQRT(AA375*($F$15-$D$15)*($E$15-$D$15)),$F$15-SQRT((1-AA375)*($F$15-$D$15)*($F$15-$E$15)))</x:f>
        <x:v>0.10731096487396555</x:v>
      </x:c>
      <x:c r="H375" s="258" t="n">
        <x:f>IF(AB375&lt;($E$16-$D$16)/($F$16-$D$16),$D$16+SQRT(AB375*($F$16-$D$16)*($E$16-$D$16)),$F$16-SQRT((1-AB375)*($F$16-$D$16)*($F$16-$E$16)))</x:f>
        <x:v>0.027574994845398364</x:v>
      </x:c>
      <x:c r="I375" s="262" t="n">
        <x:f>'Historical Inputs'!$N$9*(1+D375)^5</x:f>
        <x:v>587905.8560675682</x:v>
      </x:c>
      <x:c r="J375" s="262" t="n">
        <x:f>I375*(1+H375)*('Terminal Value'!$E$10+E375)*(1-'Assumptions'!$E$15)*(1-H375/'Terminal Value'!$E$12)</x:f>
        <x:v>178736.4493064324</x:v>
      </x:c>
      <x:c r="K375" s="264" t="n">
        <x:f>((SUM((('Historical Inputs'!$N$9*(1+(D375))^1)*(('Assumptions'!E37+(E375))*(1-'Assumptions'!E42-(0))+'Assumptions'!E47-'Assumptions'!E52*(F375)+'Assumptions'!E57-'Assumptions'!E62*(1)-'Assumptions'!E67-(0))+('Working Capital'!$E$6))*'DCF'!E12/(1+(G375))^'DCF'!E13,(('Historical Inputs'!$N$9*(1+(D375))^2)*(('Assumptions'!F37+(E375))*(1-'Assumptions'!F42-(0))+'Assumptions'!F47-'Assumptions'!F52*(F375)+'Assumptions'!F57-'Assumptions'!F62*(1)-'Assumptions'!F67-(0))+(('Historical Inputs'!$N$9*(1+(D375))^1)*('Assumptions'!E67+(0))))*'DCF'!F12/(1+(G375))^'DCF'!F13,(('Historical Inputs'!$N$9*(1+(D375))^3)*(('Assumptions'!G37+(E375))*(1-'Assumptions'!G42-(0))+'Assumptions'!G47-'Assumptions'!G52*(F375)+'Assumptions'!G57-'Assumptions'!G62*(1)-'Assumptions'!G67-(0))+(('Historical Inputs'!$N$9*(1+(D375))^2)*('Assumptions'!F67+(0))))*'DCF'!G12/(1+(G375))^'DCF'!G13,(('Historical Inputs'!$N$9*(1+(D375))^4)*(('Assumptions'!H37+(E375))*(1-'Assumptions'!H42-(0))+'Assumptions'!H47-'Assumptions'!H52*(F375)+'Assumptions'!H57-'Assumptions'!H62*(1)-'Assumptions'!H67-(0))+(('Historical Inputs'!$N$9*(1+(D375))^3)*('Assumptions'!G67+(0))))*'DCF'!H12/(1+(G375))^'DCF'!H13,(('Historical Inputs'!$N$9*(1+(D375))^5)*(('Assumptions'!I37+(E375))*(1-'Assumptions'!I42-(0))+'Assumptions'!I47-'Assumptions'!I52*(F375)+'Assumptions'!I57-'Assumptions'!I62*(1)-'Assumptions'!I67-(0))+(('Historical Inputs'!$N$9*(1+(D375))^4)*('Assumptions'!H67+(0))))*'DCF'!I12/(1+(G375))^'DCF'!I13)+('Historical Inputs'!$N$9*(1+(D375))^5)*(1+(H375))*('Terminal Value'!$E$10+(E375))*(1-'Assumptions'!$E$15-(0))*(1-(H375)/('Terminal Value'!$E$12))/((G375)-(H375))/(1+(G375))^'DCF'!$E$19)+'Equity Bridge'!$E$17)/'Equity Bridge'!$E$20</x:f>
        <x:v>246.38889009130864</x:v>
      </x:c>
      <x:c r="X375" s="255" t="n">
        <x:v>0.1559595914135038</x:v>
      </x:c>
      <x:c r="Y375" s="255" t="n">
        <x:v>0.9115864740998835</x:v>
      </x:c>
      <x:c r="Z375" s="255" t="n">
        <x:v>0.10935155669469232</x:v>
      </x:c>
      <x:c r="AA375" s="255" t="n">
        <x:v>0.9244845425385609</x:v>
      </x:c>
      <x:c r="AB375" s="255" t="n">
        <x:v>0.286902734539059</x:v>
      </x:c>
    </x:row>
    <x:row r="376" ht="24" customHeight="1">
      <x:c r="C376" s="256" t="n">
        <x:f>345</x:f>
        <x:v>345</x:v>
      </x:c>
      <x:c r="D376" s="258" t="n">
        <x:f>IF(X376&lt;($E$12-$D$12)/($F$12-$D$12),$D$12+SQRT(X376*($F$12-$D$12)*($E$12-$D$12)),$F$12-SQRT((1-X376)*($F$12-$D$12)*($F$12-$E$12)))</x:f>
        <x:v>0.1508748773511624</x:v>
      </x:c>
      <x:c r="E376" s="258" t="n">
        <x:f>IF(Y376&lt;($E$13-$D$13)/($F$13-$D$13),$D$13+SQRT(Y376*($F$13-$D$13)*($E$13-$D$13)),$F$13-SQRT((1-Y376)*($F$13-$D$13)*($F$13-$E$13)))</x:f>
        <x:v>-0.003314058930867274</x:v>
      </x:c>
      <x:c r="F376" s="260" t="n">
        <x:f>IF(Z376&lt;($E$14-$D$14)/($F$14-$D$14),$D$14+SQRT(Z376*($F$14-$D$14)*($E$14-$D$14)),$F$14-SQRT((1-Z376)*($F$14-$D$14)*($F$14-$E$14)))</x:f>
        <x:v>1.0552717605010906</x:v>
      </x:c>
      <x:c r="G376" s="258" t="n">
        <x:f>IF(AA376&lt;($E$15-$D$15)/($F$15-$D$15),$D$15+SQRT(AA376*($F$15-$D$15)*($E$15-$D$15)),$F$15-SQRT((1-AA376)*($F$15-$D$15)*($F$15-$E$15)))</x:f>
        <x:v>0.10173879880767328</x:v>
      </x:c>
      <x:c r="H376" s="258" t="n">
        <x:f>IF(AB376&lt;($E$16-$D$16)/($F$16-$D$16),$D$16+SQRT(AB376*($F$16-$D$16)*($E$16-$D$16)),$F$16-SQRT((1-AB376)*($F$16-$D$16)*($F$16-$E$16)))</x:f>
        <x:v>0.030669089722404383</x:v>
      </x:c>
      <x:c r="I376" s="262" t="n">
        <x:f>'Historical Inputs'!$N$9*(1+D376)^5</x:f>
        <x:v>669989.4673009423</x:v>
      </x:c>
      <x:c r="J376" s="262" t="n">
        <x:f>I376*(1+H376)*('Terminal Value'!$E$10+E376)*(1-'Assumptions'!$E$15)*(1-H376/'Terminal Value'!$E$12)</x:f>
        <x:v>185536.8889601589</x:v>
      </x:c>
      <x:c r="K376" s="264" t="n">
        <x:f>((SUM((('Historical Inputs'!$N$9*(1+(D376))^1)*(('Assumptions'!E37+(E376))*(1-'Assumptions'!E42-(0))+'Assumptions'!E47-'Assumptions'!E52*(F376)+'Assumptions'!E57-'Assumptions'!E62*(1)-'Assumptions'!E67-(0))+('Working Capital'!$E$6))*'DCF'!E12/(1+(G376))^'DCF'!E13,(('Historical Inputs'!$N$9*(1+(D376))^2)*(('Assumptions'!F37+(E376))*(1-'Assumptions'!F42-(0))+'Assumptions'!F47-'Assumptions'!F52*(F376)+'Assumptions'!F57-'Assumptions'!F62*(1)-'Assumptions'!F67-(0))+(('Historical Inputs'!$N$9*(1+(D376))^1)*('Assumptions'!E67+(0))))*'DCF'!F12/(1+(G376))^'DCF'!F13,(('Historical Inputs'!$N$9*(1+(D376))^3)*(('Assumptions'!G37+(E376))*(1-'Assumptions'!G42-(0))+'Assumptions'!G47-'Assumptions'!G52*(F376)+'Assumptions'!G57-'Assumptions'!G62*(1)-'Assumptions'!G67-(0))+(('Historical Inputs'!$N$9*(1+(D376))^2)*('Assumptions'!F67+(0))))*'DCF'!G12/(1+(G376))^'DCF'!G13,(('Historical Inputs'!$N$9*(1+(D376))^4)*(('Assumptions'!H37+(E376))*(1-'Assumptions'!H42-(0))+'Assumptions'!H47-'Assumptions'!H52*(F376)+'Assumptions'!H57-'Assumptions'!H62*(1)-'Assumptions'!H67-(0))+(('Historical Inputs'!$N$9*(1+(D376))^3)*('Assumptions'!G67+(0))))*'DCF'!H12/(1+(G376))^'DCF'!H13,(('Historical Inputs'!$N$9*(1+(D376))^5)*(('Assumptions'!I37+(E376))*(1-'Assumptions'!I42-(0))+'Assumptions'!I47-'Assumptions'!I52*(F376)+'Assumptions'!I57-'Assumptions'!I62*(1)-'Assumptions'!I67-(0))+(('Historical Inputs'!$N$9*(1+(D376))^4)*('Assumptions'!H67+(0))))*'DCF'!I12/(1+(G376))^'DCF'!I13)+('Historical Inputs'!$N$9*(1+(D376))^5)*(1+(H376))*('Terminal Value'!$E$10+(E376))*(1-'Assumptions'!$E$15-(0))*(1-(H376)/('Terminal Value'!$E$12))/((G376)-(H376))/(1+(G376))^'DCF'!$E$19)+'Equity Bridge'!$E$17)/'Equity Bridge'!$E$20</x:f>
        <x:v>273.9725958815441</x:v>
      </x:c>
      <x:c r="X376" s="255" t="n">
        <x:v>0.6407507659418261</x:v>
      </x:c>
      <x:c r="Y376" s="255" t="n">
        <x:v>0.4359154187021068</x:v>
      </x:c>
      <x:c r="Z376" s="255" t="n">
        <x:v>0.7007676670220907</x:v>
      </x:c>
      <x:c r="AA376" s="255" t="n">
        <x:v>0.7111204233625175</x:v>
      </x:c>
      <x:c r="AB376" s="255" t="n">
        <x:v>0.5646705669573026</x:v>
      </x:c>
    </x:row>
    <x:row r="377" ht="24" customHeight="1">
      <x:c r="C377" s="256" t="n">
        <x:f>346</x:f>
        <x:v>346</x:v>
      </x:c>
      <x:c r="D377" s="258" t="n">
        <x:f>IF(X377&lt;($E$12-$D$12)/($F$12-$D$12),$D$12+SQRT(X377*($F$12-$D$12)*($E$12-$D$12)),$F$12-SQRT((1-X377)*($F$12-$D$12)*($F$12-$E$12)))</x:f>
        <x:v>0.14328027320314654</x:v>
      </x:c>
      <x:c r="E377" s="258" t="n">
        <x:f>IF(Y377&lt;($E$13-$D$13)/($F$13-$D$13),$D$13+SQRT(Y377*($F$13-$D$13)*($E$13-$D$13)),$F$13-SQRT((1-Y377)*($F$13-$D$13)*($F$13-$E$13)))</x:f>
        <x:v>-0.014180566120230872</x:v>
      </x:c>
      <x:c r="F377" s="260" t="n">
        <x:f>IF(Z377&lt;($E$14-$D$14)/($F$14-$D$14),$D$14+SQRT(Z377*($F$14-$D$14)*($E$14-$D$14)),$F$14-SQRT((1-Z377)*($F$14-$D$14)*($F$14-$E$14)))</x:f>
        <x:v>1.0359221940752956</x:v>
      </x:c>
      <x:c r="G377" s="258" t="n">
        <x:f>IF(AA377&lt;($E$15-$D$15)/($F$15-$D$15),$D$15+SQRT(AA377*($F$15-$D$15)*($E$15-$D$15)),$F$15-SQRT((1-AA377)*($F$15-$D$15)*($F$15-$E$15)))</x:f>
        <x:v>0.09956605376122345</x:v>
      </x:c>
      <x:c r="H377" s="258" t="n">
        <x:f>IF(AB377&lt;($E$16-$D$16)/($F$16-$D$16),$D$16+SQRT(AB377*($F$16-$D$16)*($E$16-$D$16)),$F$16-SQRT((1-AB377)*($F$16-$D$16)*($F$16-$E$16)))</x:f>
        <x:v>0.028145781171905235</x:v>
      </x:c>
      <x:c r="I377" s="262" t="n">
        <x:f>'Historical Inputs'!$N$9*(1+D377)^5</x:f>
        <x:v>648173.0591686955</x:v>
      </x:c>
      <x:c r="J377" s="262" t="n">
        <x:f>I377*(1+H377)*('Terminal Value'!$E$10+E377)*(1-'Assumptions'!$E$15)*(1-H377/'Terminal Value'!$E$12)</x:f>
        <x:v>176746.15003223217</x:v>
      </x:c>
      <x:c r="K377" s="264" t="n">
        <x:f>((SUM((('Historical Inputs'!$N$9*(1+(D377))^1)*(('Assumptions'!E37+(E377))*(1-'Assumptions'!E42-(0))+'Assumptions'!E47-'Assumptions'!E52*(F377)+'Assumptions'!E57-'Assumptions'!E62*(1)-'Assumptions'!E67-(0))+('Working Capital'!$E$6))*'DCF'!E12/(1+(G377))^'DCF'!E13,(('Historical Inputs'!$N$9*(1+(D377))^2)*(('Assumptions'!F37+(E377))*(1-'Assumptions'!F42-(0))+'Assumptions'!F47-'Assumptions'!F52*(F377)+'Assumptions'!F57-'Assumptions'!F62*(1)-'Assumptions'!F67-(0))+(('Historical Inputs'!$N$9*(1+(D377))^1)*('Assumptions'!E67+(0))))*'DCF'!F12/(1+(G377))^'DCF'!F13,(('Historical Inputs'!$N$9*(1+(D377))^3)*(('Assumptions'!G37+(E377))*(1-'Assumptions'!G42-(0))+'Assumptions'!G47-'Assumptions'!G52*(F377)+'Assumptions'!G57-'Assumptions'!G62*(1)-'Assumptions'!G67-(0))+(('Historical Inputs'!$N$9*(1+(D377))^2)*('Assumptions'!F67+(0))))*'DCF'!G12/(1+(G377))^'DCF'!G13,(('Historical Inputs'!$N$9*(1+(D377))^4)*(('Assumptions'!H37+(E377))*(1-'Assumptions'!H42-(0))+'Assumptions'!H47-'Assumptions'!H52*(F377)+'Assumptions'!H57-'Assumptions'!H62*(1)-'Assumptions'!H67-(0))+(('Historical Inputs'!$N$9*(1+(D377))^3)*('Assumptions'!G67+(0))))*'DCF'!H12/(1+(G377))^'DCF'!H13,(('Historical Inputs'!$N$9*(1+(D377))^5)*(('Assumptions'!I37+(E377))*(1-'Assumptions'!I42-(0))+'Assumptions'!I47-'Assumptions'!I52*(F377)+'Assumptions'!I57-'Assumptions'!I62*(1)-'Assumptions'!I67-(0))+(('Historical Inputs'!$N$9*(1+(D377))^4)*('Assumptions'!H67+(0))))*'DCF'!I12/(1+(G377))^'DCF'!I13)+('Historical Inputs'!$N$9*(1+(D377))^5)*(1+(H377))*('Terminal Value'!$E$10+(E377))*(1-'Assumptions'!$E$15-(0))*(1-(H377)/('Terminal Value'!$E$12))/((G377)-(H377))/(1+(G377))^'DCF'!$E$19)+'Equity Bridge'!$E$17)/'Equity Bridge'!$E$20</x:f>
        <x:v>262.43497432536844</x:v>
      </x:c>
      <x:c r="X377" s="255" t="n">
        <x:v>0.5004649194164761</x:v>
      </x:c>
      <x:c r="Y377" s="255" t="n">
        <x:v>0.25660636869343045</x:v>
      </x:c>
      <x:c r="Z377" s="255" t="n">
        <x:v>0.6154067657562147</x:v>
      </x:c>
      <x:c r="AA377" s="255" t="n">
        <x:v>0.5905287953274498</x:v>
      </x:c>
      <x:c r="AB377" s="255" t="n">
        <x:v>0.33176875450282906</x:v>
      </x:c>
    </x:row>
    <x:row r="378" ht="24" customHeight="1">
      <x:c r="C378" s="256" t="n">
        <x:f>347</x:f>
        <x:v>347</x:v>
      </x:c>
      <x:c r="D378" s="258" t="n">
        <x:f>IF(X378&lt;($E$12-$D$12)/($F$12-$D$12),$D$12+SQRT(X378*($F$12-$D$12)*($E$12-$D$12)),$F$12-SQRT((1-X378)*($F$12-$D$12)*($F$12-$E$12)))</x:f>
        <x:v>0.1286773237126298</x:v>
      </x:c>
      <x:c r="E378" s="258" t="n">
        <x:f>IF(Y378&lt;($E$13-$D$13)/($F$13-$D$13),$D$13+SQRT(Y378*($F$13-$D$13)*($E$13-$D$13)),$F$13-SQRT((1-Y378)*($F$13-$D$13)*($F$13-$E$13)))</x:f>
        <x:v>0.002909849012055897</x:v>
      </x:c>
      <x:c r="F378" s="260" t="n">
        <x:f>IF(Z378&lt;($E$14-$D$14)/($F$14-$D$14),$D$14+SQRT(Z378*($F$14-$D$14)*($E$14-$D$14)),$F$14-SQRT((1-Z378)*($F$14-$D$14)*($F$14-$E$14)))</x:f>
        <x:v>1.0090929902604826</x:v>
      </x:c>
      <x:c r="G378" s="258" t="n">
        <x:f>IF(AA378&lt;($E$15-$D$15)/($F$15-$D$15),$D$15+SQRT(AA378*($F$15-$D$15)*($E$15-$D$15)),$F$15-SQRT((1-AA378)*($F$15-$D$15)*($F$15-$E$15)))</x:f>
        <x:v>0.08935270410965909</x:v>
      </x:c>
      <x:c r="H378" s="258" t="n">
        <x:f>IF(AB378&lt;($E$16-$D$16)/($F$16-$D$16),$D$16+SQRT(AB378*($F$16-$D$16)*($E$16-$D$16)),$F$16-SQRT((1-AB378)*($F$16-$D$16)*($F$16-$E$16)))</x:f>
        <x:v>0.02884404743979467</x:v>
      </x:c>
      <x:c r="I378" s="262" t="n">
        <x:f>'Historical Inputs'!$N$9*(1+D378)^5</x:f>
        <x:v>607822.0129826015</x:v>
      </x:c>
      <x:c r="J378" s="262" t="n">
        <x:f>I378*(1+H378)*('Terminal Value'!$E$10+E378)*(1-'Assumptions'!$E$15)*(1-H378/'Terminal Value'!$E$12)</x:f>
        <x:v>172498.71200164966</x:v>
      </x:c>
      <x:c r="K378" s="264" t="n">
        <x:f>((SUM((('Historical Inputs'!$N$9*(1+(D378))^1)*(('Assumptions'!E37+(E378))*(1-'Assumptions'!E42-(0))+'Assumptions'!E47-'Assumptions'!E52*(F378)+'Assumptions'!E57-'Assumptions'!E62*(1)-'Assumptions'!E67-(0))+('Working Capital'!$E$6))*'DCF'!E12/(1+(G378))^'DCF'!E13,(('Historical Inputs'!$N$9*(1+(D378))^2)*(('Assumptions'!F37+(E378))*(1-'Assumptions'!F42-(0))+'Assumptions'!F47-'Assumptions'!F52*(F378)+'Assumptions'!F57-'Assumptions'!F62*(1)-'Assumptions'!F67-(0))+(('Historical Inputs'!$N$9*(1+(D378))^1)*('Assumptions'!E67+(0))))*'DCF'!F12/(1+(G378))^'DCF'!F13,(('Historical Inputs'!$N$9*(1+(D378))^3)*(('Assumptions'!G37+(E378))*(1-'Assumptions'!G42-(0))+'Assumptions'!G47-'Assumptions'!G52*(F378)+'Assumptions'!G57-'Assumptions'!G62*(1)-'Assumptions'!G67-(0))+(('Historical Inputs'!$N$9*(1+(D378))^2)*('Assumptions'!F67+(0))))*'DCF'!G12/(1+(G378))^'DCF'!G13,(('Historical Inputs'!$N$9*(1+(D378))^4)*(('Assumptions'!H37+(E378))*(1-'Assumptions'!H42-(0))+'Assumptions'!H47-'Assumptions'!H52*(F378)+'Assumptions'!H57-'Assumptions'!H62*(1)-'Assumptions'!H67-(0))+(('Historical Inputs'!$N$9*(1+(D378))^3)*('Assumptions'!G67+(0))))*'DCF'!H12/(1+(G378))^'DCF'!H13,(('Historical Inputs'!$N$9*(1+(D378))^5)*(('Assumptions'!I37+(E378))*(1-'Assumptions'!I42-(0))+'Assumptions'!I47-'Assumptions'!I52*(F378)+'Assumptions'!I57-'Assumptions'!I62*(1)-'Assumptions'!I67-(0))+(('Historical Inputs'!$N$9*(1+(D378))^4)*('Assumptions'!H67+(0))))*'DCF'!I12/(1+(G378))^'DCF'!I13)+('Historical Inputs'!$N$9*(1+(D378))^5)*(1+(H378))*('Terminal Value'!$E$10+(E378))*(1-'Assumptions'!$E$15-(0))*(1-(H378)/('Terminal Value'!$E$12))/((G378)-(H378))/(1+(G378))^'DCF'!$E$19)+'Equity Bridge'!$E$17)/'Equity Bridge'!$E$20</x:f>
        <x:v>309.7850906742355</x:v>
      </x:c>
      <x:c r="X378" s="255" t="n">
        <x:v>0.25091955714718517</x:v>
      </x:c>
      <x:c r="Y378" s="255" t="n">
        <x:v>0.5565035359865255</x:v>
      </x:c>
      <x:c r="Z378" s="255" t="n">
        <x:v>0.47935019474736895</x:v>
      </x:c>
      <x:c r="AA378" s="255" t="n">
        <x:v>0.08576245310843811</x:v>
      </x:c>
      <x:c r="AB378" s="255" t="n">
        <x:v>0.3910858755866935</x:v>
      </x:c>
    </x:row>
    <x:row r="379" ht="24" customHeight="1">
      <x:c r="C379" s="256" t="n">
        <x:f>348</x:f>
        <x:v>348</x:v>
      </x:c>
      <x:c r="D379" s="258" t="n">
        <x:f>IF(X379&lt;($E$12-$D$12)/($F$12-$D$12),$D$12+SQRT(X379*($F$12-$D$12)*($E$12-$D$12)),$F$12-SQRT((1-X379)*($F$12-$D$12)*($F$12-$E$12)))</x:f>
        <x:v>0.16716721437726245</x:v>
      </x:c>
      <x:c r="E379" s="258" t="n">
        <x:f>IF(Y379&lt;($E$13-$D$13)/($F$13-$D$13),$D$13+SQRT(Y379*($F$13-$D$13)*($E$13-$D$13)),$F$13-SQRT((1-Y379)*($F$13-$D$13)*($F$13-$E$13)))</x:f>
        <x:v>0.008431556110856761</x:v>
      </x:c>
      <x:c r="F379" s="260" t="n">
        <x:f>IF(Z379&lt;($E$14-$D$14)/($F$14-$D$14),$D$14+SQRT(Z379*($F$14-$D$14)*($E$14-$D$14)),$F$14-SQRT((1-Z379)*($F$14-$D$14)*($F$14-$E$14)))</x:f>
        <x:v>0.9172337802989854</x:v>
      </x:c>
      <x:c r="G379" s="258" t="n">
        <x:f>IF(AA379&lt;($E$15-$D$15)/($F$15-$D$15),$D$15+SQRT(AA379*($F$15-$D$15)*($E$15-$D$15)),$F$15-SQRT((1-AA379)*($F$15-$D$15)*($F$15-$E$15)))</x:f>
        <x:v>0.09125499345670299</x:v>
      </x:c>
      <x:c r="H379" s="258" t="n">
        <x:f>IF(AB379&lt;($E$16-$D$16)/($F$16-$D$16),$D$16+SQRT(AB379*($F$16-$D$16)*($E$16-$D$16)),$F$16-SQRT((1-AB379)*($F$16-$D$16)*($F$16-$E$16)))</x:f>
        <x:v>0.021600340438733566</x:v>
      </x:c>
      <x:c r="I379" s="262" t="n">
        <x:f>'Historical Inputs'!$N$9*(1+D379)^5</x:f>
        <x:v>718774.7706909872</x:v>
      </x:c>
      <x:c r="J379" s="262" t="n">
        <x:f>I379*(1+H379)*('Terminal Value'!$E$10+E379)*(1-'Assumptions'!$E$15)*(1-H379/'Terminal Value'!$E$12)</x:f>
        <x:v>214016.4497455161</x:v>
      </x:c>
      <x:c r="K379" s="264" t="n">
        <x:f>((SUM((('Historical Inputs'!$N$9*(1+(D379))^1)*(('Assumptions'!E37+(E379))*(1-'Assumptions'!E42-(0))+'Assumptions'!E47-'Assumptions'!E52*(F379)+'Assumptions'!E57-'Assumptions'!E62*(1)-'Assumptions'!E67-(0))+('Working Capital'!$E$6))*'DCF'!E12/(1+(G379))^'DCF'!E13,(('Historical Inputs'!$N$9*(1+(D379))^2)*(('Assumptions'!F37+(E379))*(1-'Assumptions'!F42-(0))+'Assumptions'!F47-'Assumptions'!F52*(F379)+'Assumptions'!F57-'Assumptions'!F62*(1)-'Assumptions'!F67-(0))+(('Historical Inputs'!$N$9*(1+(D379))^1)*('Assumptions'!E67+(0))))*'DCF'!F12/(1+(G379))^'DCF'!F13,(('Historical Inputs'!$N$9*(1+(D379))^3)*(('Assumptions'!G37+(E379))*(1-'Assumptions'!G42-(0))+'Assumptions'!G47-'Assumptions'!G52*(F379)+'Assumptions'!G57-'Assumptions'!G62*(1)-'Assumptions'!G67-(0))+(('Historical Inputs'!$N$9*(1+(D379))^2)*('Assumptions'!F67+(0))))*'DCF'!G12/(1+(G379))^'DCF'!G13,(('Historical Inputs'!$N$9*(1+(D379))^4)*(('Assumptions'!H37+(E379))*(1-'Assumptions'!H42-(0))+'Assumptions'!H47-'Assumptions'!H52*(F379)+'Assumptions'!H57-'Assumptions'!H62*(1)-'Assumptions'!H67-(0))+(('Historical Inputs'!$N$9*(1+(D379))^3)*('Assumptions'!G67+(0))))*'DCF'!H12/(1+(G379))^'DCF'!H13,(('Historical Inputs'!$N$9*(1+(D379))^5)*(('Assumptions'!I37+(E379))*(1-'Assumptions'!I42-(0))+'Assumptions'!I47-'Assumptions'!I52*(F379)+'Assumptions'!I57-'Assumptions'!I62*(1)-'Assumptions'!I67-(0))+(('Historical Inputs'!$N$9*(1+(D379))^4)*('Assumptions'!H67+(0))))*'DCF'!I12/(1+(G379))^'DCF'!I13)+('Historical Inputs'!$N$9*(1+(D379))^5)*(1+(H379))*('Terminal Value'!$E$10+(E379))*(1-'Assumptions'!$E$15-(0))*(1-(H379)/('Terminal Value'!$E$12))/((G379)-(H379))/(1+(G379))^'DCF'!$E$19)+'Equity Bridge'!$E$17)/'Equity Bridge'!$E$20</x:f>
        <x:v>341.73302198338826</x:v>
      </x:c>
      <x:c r="X379" s="255" t="n">
        <x:v>0.8638643894569612</x:v>
      </x:c>
      <x:c r="Y379" s="255" t="n">
        <x:v>0.65441289452703</x:v>
      </x:c>
      <x:c r="Z379" s="255" t="n">
        <x:v>0.08610249930080438</x:v>
      </x:c>
      <x:c r="AA379" s="255" t="n">
        <x:v>0.14632694522263046</x:v>
      </x:c>
      <x:c r="AB379" s="255" t="n">
        <x:v>0.012805447599229747</x:v>
      </x:c>
    </x:row>
    <x:row r="380" ht="24" customHeight="1">
      <x:c r="C380" s="256" t="n">
        <x:f>349</x:f>
        <x:v>349</x:v>
      </x:c>
      <x:c r="D380" s="258" t="n">
        <x:f>IF(X380&lt;($E$12-$D$12)/($F$12-$D$12),$D$12+SQRT(X380*($F$12-$D$12)*($E$12-$D$12)),$F$12-SQRT((1-X380)*($F$12-$D$12)*($F$12-$E$12)))</x:f>
        <x:v>0.12876034262151337</x:v>
      </x:c>
      <x:c r="E380" s="258" t="n">
        <x:f>IF(Y380&lt;($E$13-$D$13)/($F$13-$D$13),$D$13+SQRT(Y380*($F$13-$D$13)*($E$13-$D$13)),$F$13-SQRT((1-Y380)*($F$13-$D$13)*($F$13-$E$13)))</x:f>
        <x:v>0.005818026880201124</x:v>
      </x:c>
      <x:c r="F380" s="260" t="n">
        <x:f>IF(Z380&lt;($E$14-$D$14)/($F$14-$D$14),$D$14+SQRT(Z380*($F$14-$D$14)*($E$14-$D$14)),$F$14-SQRT((1-Z380)*($F$14-$D$14)*($F$14-$E$14)))</x:f>
        <x:v>0.9501721962768792</x:v>
      </x:c>
      <x:c r="G380" s="258" t="n">
        <x:f>IF(AA380&lt;($E$15-$D$15)/($F$15-$D$15),$D$15+SQRT(AA380*($F$15-$D$15)*($E$15-$D$15)),$F$15-SQRT((1-AA380)*($F$15-$D$15)*($F$15-$E$15)))</x:f>
        <x:v>0.09528288493883107</x:v>
      </x:c>
      <x:c r="H380" s="258" t="n">
        <x:f>IF(AB380&lt;($E$16-$D$16)/($F$16-$D$16),$D$16+SQRT(AB380*($F$16-$D$16)*($E$16-$D$16)),$F$16-SQRT((1-AB380)*($F$16-$D$16)*($F$16-$E$16)))</x:f>
        <x:v>0.03706923895861585</x:v>
      </x:c>
      <x:c r="I380" s="262" t="n">
        <x:f>'Historical Inputs'!$N$9*(1+D380)^5</x:f>
        <x:v>608045.5850478432</x:v>
      </x:c>
      <x:c r="J380" s="262" t="n">
        <x:f>I380*(1+H380)*('Terminal Value'!$E$10+E380)*(1-'Assumptions'!$E$15)*(1-H380/'Terminal Value'!$E$12)</x:f>
        <x:v>166777.8244938933</x:v>
      </x:c>
      <x:c r="K380" s="264" t="n">
        <x:f>((SUM((('Historical Inputs'!$N$9*(1+(D380))^1)*(('Assumptions'!E37+(E380))*(1-'Assumptions'!E42-(0))+'Assumptions'!E47-'Assumptions'!E52*(F380)+'Assumptions'!E57-'Assumptions'!E62*(1)-'Assumptions'!E67-(0))+('Working Capital'!$E$6))*'DCF'!E12/(1+(G380))^'DCF'!E13,(('Historical Inputs'!$N$9*(1+(D380))^2)*(('Assumptions'!F37+(E380))*(1-'Assumptions'!F42-(0))+'Assumptions'!F47-'Assumptions'!F52*(F380)+'Assumptions'!F57-'Assumptions'!F62*(1)-'Assumptions'!F67-(0))+(('Historical Inputs'!$N$9*(1+(D380))^1)*('Assumptions'!E67+(0))))*'DCF'!F12/(1+(G380))^'DCF'!F13,(('Historical Inputs'!$N$9*(1+(D380))^3)*(('Assumptions'!G37+(E380))*(1-'Assumptions'!G42-(0))+'Assumptions'!G47-'Assumptions'!G52*(F380)+'Assumptions'!G57-'Assumptions'!G62*(1)-'Assumptions'!G67-(0))+(('Historical Inputs'!$N$9*(1+(D380))^2)*('Assumptions'!F67+(0))))*'DCF'!G12/(1+(G380))^'DCF'!G13,(('Historical Inputs'!$N$9*(1+(D380))^4)*(('Assumptions'!H37+(E380))*(1-'Assumptions'!H42-(0))+'Assumptions'!H47-'Assumptions'!H52*(F380)+'Assumptions'!H57-'Assumptions'!H62*(1)-'Assumptions'!H67-(0))+(('Historical Inputs'!$N$9*(1+(D380))^3)*('Assumptions'!G67+(0))))*'DCF'!H12/(1+(G380))^'DCF'!H13,(('Historical Inputs'!$N$9*(1+(D380))^5)*(('Assumptions'!I37+(E380))*(1-'Assumptions'!I42-(0))+'Assumptions'!I47-'Assumptions'!I52*(F380)+'Assumptions'!I57-'Assumptions'!I62*(1)-'Assumptions'!I67-(0))+(('Historical Inputs'!$N$9*(1+(D380))^4)*('Assumptions'!H67+(0))))*'DCF'!I12/(1+(G380))^'DCF'!I13)+('Historical Inputs'!$N$9*(1+(D380))^5)*(1+(H380))*('Terminal Value'!$E$10+(E380))*(1-'Assumptions'!$E$15-(0))*(1-(H380)/('Terminal Value'!$E$12))/((G380)-(H380))/(1+(G380))^'DCF'!$E$19)+'Equity Bridge'!$E$17)/'Equity Bridge'!$E$20</x:f>
        <x:v>307.9244337651716</x:v>
      </x:c>
      <x:c r="X380" s="255" t="n">
        <x:v>0.2520971575010116</x:v>
      </x:c>
      <x:c r="Y380" s="255" t="n">
        <x:v>0.6095906502482739</x:v>
      </x:c>
      <x:c r="Z380" s="255" t="n">
        <x:v>0.1911327410844501</x:v>
      </x:c>
      <x:c r="AA380" s="255" t="n">
        <x:v>0.3276459694604068</x:v>
      </x:c>
      <x:c r="AB380" s="255" t="n">
        <x:v>0.9570531985915244</x:v>
      </x:c>
    </x:row>
    <x:row r="381" ht="24" customHeight="1">
      <x:c r="C381" s="256" t="n">
        <x:f>350</x:f>
        <x:v>350</x:v>
      </x:c>
      <x:c r="D381" s="258" t="n">
        <x:f>IF(X381&lt;($E$12-$D$12)/($F$12-$D$12),$D$12+SQRT(X381*($F$12-$D$12)*($E$12-$D$12)),$F$12-SQRT((1-X381)*($F$12-$D$12)*($F$12-$E$12)))</x:f>
        <x:v>0.10934172459031216</x:v>
      </x:c>
      <x:c r="E381" s="258" t="n">
        <x:f>IF(Y381&lt;($E$13-$D$13)/($F$13-$D$13),$D$13+SQRT(Y381*($F$13-$D$13)*($E$13-$D$13)),$F$13-SQRT((1-Y381)*($F$13-$D$13)*($F$13-$E$13)))</x:f>
        <x:v>-0.0007267168004895103</x:v>
      </x:c>
      <x:c r="F381" s="260" t="n">
        <x:f>IF(Z381&lt;($E$14-$D$14)/($F$14-$D$14),$D$14+SQRT(Z381*($F$14-$D$14)*($E$14-$D$14)),$F$14-SQRT((1-Z381)*($F$14-$D$14)*($F$14-$E$14)))</x:f>
        <x:v>1.0260527978850928</x:v>
      </x:c>
      <x:c r="G381" s="258" t="n">
        <x:f>IF(AA381&lt;($E$15-$D$15)/($F$15-$D$15),$D$15+SQRT(AA381*($F$15-$D$15)*($E$15-$D$15)),$F$15-SQRT((1-AA381)*($F$15-$D$15)*($F$15-$E$15)))</x:f>
        <x:v>0.09166391279970754</x:v>
      </x:c>
      <x:c r="H381" s="258" t="n">
        <x:f>IF(AB381&lt;($E$16-$D$16)/($F$16-$D$16),$D$16+SQRT(AB381*($F$16-$D$16)*($E$16-$D$16)),$F$16-SQRT((1-AB381)*($F$16-$D$16)*($F$16-$E$16)))</x:f>
        <x:v>0.03522770611688222</x:v>
      </x:c>
      <x:c r="I381" s="262" t="n">
        <x:f>'Historical Inputs'!$N$9*(1+D381)^5</x:f>
        <x:v>557511.9310086396</x:v>
      </x:c>
      <x:c r="J381" s="262" t="n">
        <x:f>I381*(1+H381)*('Terminal Value'!$E$10+E381)*(1-'Assumptions'!$E$15)*(1-H381/'Terminal Value'!$E$12)</x:f>
        <x:v>151881.36186518997</x:v>
      </x:c>
      <x:c r="K381" s="264" t="n">
        <x:f>((SUM((('Historical Inputs'!$N$9*(1+(D381))^1)*(('Assumptions'!E37+(E381))*(1-'Assumptions'!E42-(0))+'Assumptions'!E47-'Assumptions'!E52*(F381)+'Assumptions'!E57-'Assumptions'!E62*(1)-'Assumptions'!E67-(0))+('Working Capital'!$E$6))*'DCF'!E12/(1+(G381))^'DCF'!E13,(('Historical Inputs'!$N$9*(1+(D381))^2)*(('Assumptions'!F37+(E381))*(1-'Assumptions'!F42-(0))+'Assumptions'!F47-'Assumptions'!F52*(F381)+'Assumptions'!F57-'Assumptions'!F62*(1)-'Assumptions'!F67-(0))+(('Historical Inputs'!$N$9*(1+(D381))^1)*('Assumptions'!E67+(0))))*'DCF'!F12/(1+(G381))^'DCF'!F13,(('Historical Inputs'!$N$9*(1+(D381))^3)*(('Assumptions'!G37+(E381))*(1-'Assumptions'!G42-(0))+'Assumptions'!G47-'Assumptions'!G52*(F381)+'Assumptions'!G57-'Assumptions'!G62*(1)-'Assumptions'!G67-(0))+(('Historical Inputs'!$N$9*(1+(D381))^2)*('Assumptions'!F67+(0))))*'DCF'!G12/(1+(G381))^'DCF'!G13,(('Historical Inputs'!$N$9*(1+(D381))^4)*(('Assumptions'!H37+(E381))*(1-'Assumptions'!H42-(0))+'Assumptions'!H47-'Assumptions'!H52*(F381)+'Assumptions'!H57-'Assumptions'!H62*(1)-'Assumptions'!H67-(0))+(('Historical Inputs'!$N$9*(1+(D381))^3)*('Assumptions'!G67+(0))))*'DCF'!H12/(1+(G381))^'DCF'!H13,(('Historical Inputs'!$N$9*(1+(D381))^5)*(('Assumptions'!I37+(E381))*(1-'Assumptions'!I42-(0))+'Assumptions'!I47-'Assumptions'!I52*(F381)+'Assumptions'!I57-'Assumptions'!I62*(1)-'Assumptions'!I67-(0))+(('Historical Inputs'!$N$9*(1+(D381))^4)*('Assumptions'!H67+(0))))*'DCF'!I12/(1+(G381))^'DCF'!I13)+('Historical Inputs'!$N$9*(1+(D381))^5)*(1+(H381))*('Terminal Value'!$E$10+(E381))*(1-'Assumptions'!$E$15-(0))*(1-(H381)/('Terminal Value'!$E$12))/((G381)-(H381))/(1+(G381))^'DCF'!$E$19)+'Equity Bridge'!$E$17)/'Equity Bridge'!$E$20</x:f>
        <x:v>287.77707166365315</x:v>
      </x:c>
      <x:c r="X381" s="255" t="n">
        <x:v>0.05174353260288511</x:v>
      </x:c>
      <x:c r="Y381" s="255" t="n">
        <x:v>0.48557128745183253</x:v>
      </x:c>
      <x:c r="Z381" s="255" t="n">
        <x:v>0.5677481553770811</x:v>
      </x:c>
      <x:c r="AA381" s="255" t="n">
        <x:v>0.16144620876529292</x:v>
      </x:c>
      <x:c r="AB381" s="255" t="n">
        <x:v>0.8861260554657828</x:v>
      </x:c>
    </x:row>
    <x:row r="382" ht="24" customHeight="1">
      <x:c r="C382" s="256" t="n">
        <x:f>351</x:f>
        <x:v>351</x:v>
      </x:c>
      <x:c r="D382" s="258" t="n">
        <x:f>IF(X382&lt;($E$12-$D$12)/($F$12-$D$12),$D$12+SQRT(X382*($F$12-$D$12)*($E$12-$D$12)),$F$12-SQRT((1-X382)*($F$12-$D$12)*($F$12-$E$12)))</x:f>
        <x:v>0.17714859732154936</x:v>
      </x:c>
      <x:c r="E382" s="258" t="n">
        <x:f>IF(Y382&lt;($E$13-$D$13)/($F$13-$D$13),$D$13+SQRT(Y382*($F$13-$D$13)*($E$13-$D$13)),$F$13-SQRT((1-Y382)*($F$13-$D$13)*($F$13-$E$13)))</x:f>
        <x:v>0.0022914240463007968</x:v>
      </x:c>
      <x:c r="F382" s="260" t="n">
        <x:f>IF(Z382&lt;($E$14-$D$14)/($F$14-$D$14),$D$14+SQRT(Z382*($F$14-$D$14)*($E$14-$D$14)),$F$14-SQRT((1-Z382)*($F$14-$D$14)*($F$14-$E$14)))</x:f>
        <x:v>0.9812771517695886</x:v>
      </x:c>
      <x:c r="G382" s="258" t="n">
        <x:f>IF(AA382&lt;($E$15-$D$15)/($F$15-$D$15),$D$15+SQRT(AA382*($F$15-$D$15)*($E$15-$D$15)),$F$15-SQRT((1-AA382)*($F$15-$D$15)*($F$15-$E$15)))</x:f>
        <x:v>0.09103308607389905</x:v>
      </x:c>
      <x:c r="H382" s="258" t="n">
        <x:f>IF(AB382&lt;($E$16-$D$16)/($F$16-$D$16),$D$16+SQRT(AB382*($F$16-$D$16)*($E$16-$D$16)),$F$16-SQRT((1-AB382)*($F$16-$D$16)*($F$16-$E$16)))</x:f>
        <x:v>0.023837454560090503</x:v>
      </x:c>
      <x:c r="I382" s="262" t="n">
        <x:f>'Historical Inputs'!$N$9*(1+D382)^5</x:f>
        <x:v>750039.0468441331</x:v>
      </x:c>
      <x:c r="J382" s="262" t="n">
        <x:f>I382*(1+H382)*('Terminal Value'!$E$10+E382)*(1-'Assumptions'!$E$15)*(1-H382/'Terminal Value'!$E$12)</x:f>
        <x:v>217685.363359617</x:v>
      </x:c>
      <x:c r="K382" s="264" t="n">
        <x:f>((SUM((('Historical Inputs'!$N$9*(1+(D382))^1)*(('Assumptions'!E37+(E382))*(1-'Assumptions'!E42-(0))+'Assumptions'!E47-'Assumptions'!E52*(F382)+'Assumptions'!E57-'Assumptions'!E62*(1)-'Assumptions'!E67-(0))+('Working Capital'!$E$6))*'DCF'!E12/(1+(G382))^'DCF'!E13,(('Historical Inputs'!$N$9*(1+(D382))^2)*(('Assumptions'!F37+(E382))*(1-'Assumptions'!F42-(0))+'Assumptions'!F47-'Assumptions'!F52*(F382)+'Assumptions'!F57-'Assumptions'!F62*(1)-'Assumptions'!F67-(0))+(('Historical Inputs'!$N$9*(1+(D382))^1)*('Assumptions'!E67+(0))))*'DCF'!F12/(1+(G382))^'DCF'!F13,(('Historical Inputs'!$N$9*(1+(D382))^3)*(('Assumptions'!G37+(E382))*(1-'Assumptions'!G42-(0))+'Assumptions'!G47-'Assumptions'!G52*(F382)+'Assumptions'!G57-'Assumptions'!G62*(1)-'Assumptions'!G67-(0))+(('Historical Inputs'!$N$9*(1+(D382))^2)*('Assumptions'!F67+(0))))*'DCF'!G12/(1+(G382))^'DCF'!G13,(('Historical Inputs'!$N$9*(1+(D382))^4)*(('Assumptions'!H37+(E382))*(1-'Assumptions'!H42-(0))+'Assumptions'!H47-'Assumptions'!H52*(F382)+'Assumptions'!H57-'Assumptions'!H62*(1)-'Assumptions'!H67-(0))+(('Historical Inputs'!$N$9*(1+(D382))^3)*('Assumptions'!G67+(0))))*'DCF'!H12/(1+(G382))^'DCF'!H13,(('Historical Inputs'!$N$9*(1+(D382))^5)*(('Assumptions'!I37+(E382))*(1-'Assumptions'!I42-(0))+'Assumptions'!I47-'Assumptions'!I52*(F382)+'Assumptions'!I57-'Assumptions'!I62*(1)-'Assumptions'!I67-(0))+(('Historical Inputs'!$N$9*(1+(D382))^4)*('Assumptions'!H67+(0))))*'DCF'!I12/(1+(G382))^'DCF'!I13)+('Historical Inputs'!$N$9*(1+(D382))^5)*(1+(H382))*('Terminal Value'!$E$10+(E382))*(1-'Assumptions'!$E$15-(0))*(1-(H382)/('Terminal Value'!$E$12))/((G382)-(H382))/(1+(G382))^'DCF'!$E$19)+'Equity Bridge'!$E$17)/'Equity Bridge'!$E$20</x:f>
        <x:v>353.1312515298747</x:v>
      </x:c>
      <x:c r="X382" s="255" t="n">
        <x:v>0.9481037319965132</x:v>
      </x:c>
      <x:c r="Y382" s="255" t="n">
        <x:v>0.5447783560940228</x:v>
      </x:c>
      <x:c r="Z382" s="255" t="n">
        <x:v>0.3282607728902024</x:v>
      </x:c>
      <x:c r="AA382" s="255" t="n">
        <x:v>0.13843328492142415</x:v>
      </x:c>
      <x:c r="AB382" s="255" t="n">
        <x:v>0.07363028750379708</x:v>
      </x:c>
    </x:row>
    <x:row r="383" ht="24" customHeight="1">
      <x:c r="C383" s="256" t="n">
        <x:f>352</x:f>
        <x:v>352</x:v>
      </x:c>
      <x:c r="D383" s="258" t="n">
        <x:f>IF(X383&lt;($E$12-$D$12)/($F$12-$D$12),$D$12+SQRT(X383*($F$12-$D$12)*($E$12-$D$12)),$F$12-SQRT((1-X383)*($F$12-$D$12)*($F$12-$E$12)))</x:f>
        <x:v>0.12863130558611624</x:v>
      </x:c>
      <x:c r="E383" s="258" t="n">
        <x:f>IF(Y383&lt;($E$13-$D$13)/($F$13-$D$13),$D$13+SQRT(Y383*($F$13-$D$13)*($E$13-$D$13)),$F$13-SQRT((1-Y383)*($F$13-$D$13)*($F$13-$E$13)))</x:f>
        <x:v>0.02373035449079809</x:v>
      </x:c>
      <x:c r="F383" s="260" t="n">
        <x:f>IF(Z383&lt;($E$14-$D$14)/($F$14-$D$14),$D$14+SQRT(Z383*($F$14-$D$14)*($E$14-$D$14)),$F$14-SQRT((1-Z383)*($F$14-$D$14)*($F$14-$E$14)))</x:f>
        <x:v>1.0816976813162589</x:v>
      </x:c>
      <x:c r="G383" s="258" t="n">
        <x:f>IF(AA383&lt;($E$15-$D$15)/($F$15-$D$15),$D$15+SQRT(AA383*($F$15-$D$15)*($E$15-$D$15)),$F$15-SQRT((1-AA383)*($F$15-$D$15)*($F$15-$E$15)))</x:f>
        <x:v>0.09243389214845743</x:v>
      </x:c>
      <x:c r="H383" s="258" t="n">
        <x:f>IF(AB383&lt;($E$16-$D$16)/($F$16-$D$16),$D$16+SQRT(AB383*($F$16-$D$16)*($E$16-$D$16)),$F$16-SQRT((1-AB383)*($F$16-$D$16)*($F$16-$E$16)))</x:f>
        <x:v>0.026447934575212582</x:v>
      </x:c>
      <x:c r="I383" s="262" t="n">
        <x:f>'Historical Inputs'!$N$9*(1+D383)^5</x:f>
        <x:v>607698.1133127925</x:v>
      </x:c>
      <x:c r="J383" s="262" t="n">
        <x:f>I383*(1+H383)*('Terminal Value'!$E$10+E383)*(1-'Assumptions'!$E$15)*(1-H383/'Terminal Value'!$E$12)</x:f>
        <x:v>183486.52147524382</x:v>
      </x:c>
      <x:c r="K383" s="264" t="n">
        <x:f>((SUM((('Historical Inputs'!$N$9*(1+(D383))^1)*(('Assumptions'!E37+(E383))*(1-'Assumptions'!E42-(0))+'Assumptions'!E47-'Assumptions'!E52*(F383)+'Assumptions'!E57-'Assumptions'!E62*(1)-'Assumptions'!E67-(0))+('Working Capital'!$E$6))*'DCF'!E12/(1+(G383))^'DCF'!E13,(('Historical Inputs'!$N$9*(1+(D383))^2)*(('Assumptions'!F37+(E383))*(1-'Assumptions'!F42-(0))+'Assumptions'!F47-'Assumptions'!F52*(F383)+'Assumptions'!F57-'Assumptions'!F62*(1)-'Assumptions'!F67-(0))+(('Historical Inputs'!$N$9*(1+(D383))^1)*('Assumptions'!E67+(0))))*'DCF'!F12/(1+(G383))^'DCF'!F13,(('Historical Inputs'!$N$9*(1+(D383))^3)*(('Assumptions'!G37+(E383))*(1-'Assumptions'!G42-(0))+'Assumptions'!G47-'Assumptions'!G52*(F383)+'Assumptions'!G57-'Assumptions'!G62*(1)-'Assumptions'!G67-(0))+(('Historical Inputs'!$N$9*(1+(D383))^2)*('Assumptions'!F67+(0))))*'DCF'!G12/(1+(G383))^'DCF'!G13,(('Historical Inputs'!$N$9*(1+(D383))^4)*(('Assumptions'!H37+(E383))*(1-'Assumptions'!H42-(0))+'Assumptions'!H47-'Assumptions'!H52*(F383)+'Assumptions'!H57-'Assumptions'!H62*(1)-'Assumptions'!H67-(0))+(('Historical Inputs'!$N$9*(1+(D383))^3)*('Assumptions'!G67+(0))))*'DCF'!H12/(1+(G383))^'DCF'!H13,(('Historical Inputs'!$N$9*(1+(D383))^5)*(('Assumptions'!I37+(E383))*(1-'Assumptions'!I42-(0))+'Assumptions'!I47-'Assumptions'!I52*(F383)+'Assumptions'!I57-'Assumptions'!I62*(1)-'Assumptions'!I67-(0))+(('Historical Inputs'!$N$9*(1+(D383))^4)*('Assumptions'!H67+(0))))*'DCF'!I12/(1+(G383))^'DCF'!I13)+('Historical Inputs'!$N$9*(1+(D383))^5)*(1+(H383))*('Terminal Value'!$E$10+(E383))*(1-'Assumptions'!$E$15-(0))*(1-(H383)/('Terminal Value'!$E$12))/((G383)-(H383))/(1+(G383))^'DCF'!$E$19)+'Equity Bridge'!$E$17)/'Equity Bridge'!$E$20</x:f>
        <x:v>299.41135398778437</x:v>
      </x:c>
      <x:c r="X383" s="255" t="n">
        <x:v>0.25026799030743285</x:v>
      </x:c>
      <x:c r="Y383" s="255" t="n">
        <x:v>0.8619811449641736</x:v>
      </x:c>
      <x:c r="Z383" s="255" t="n">
        <x:v>0.8000651627721508</x:v>
      </x:c>
      <x:c r="AA383" s="255" t="n">
        <x:v>0.19193237133687657</x:v>
      </x:c>
      <x:c r="AB383" s="255" t="n">
        <x:v>0.20787930143110944</x:v>
      </x:c>
    </x:row>
    <x:row r="384" ht="24" customHeight="1">
      <x:c r="C384" s="256" t="n">
        <x:f>353</x:f>
        <x:v>353</x:v>
      </x:c>
      <x:c r="D384" s="258" t="n">
        <x:f>IF(X384&lt;($E$12-$D$12)/($F$12-$D$12),$D$12+SQRT(X384*($F$12-$D$12)*($E$12-$D$12)),$F$12-SQRT((1-X384)*($F$12-$D$12)*($F$12-$E$12)))</x:f>
        <x:v>0.14705292561515826</x:v>
      </x:c>
      <x:c r="E384" s="258" t="n">
        <x:f>IF(Y384&lt;($E$13-$D$13)/($F$13-$D$13),$D$13+SQRT(Y384*($F$13-$D$13)*($E$13-$D$13)),$F$13-SQRT((1-Y384)*($F$13-$D$13)*($F$13-$E$13)))</x:f>
        <x:v>-0.005066135639477651</x:v>
      </x:c>
      <x:c r="F384" s="260" t="n">
        <x:f>IF(Z384&lt;($E$14-$D$14)/($F$14-$D$14),$D$14+SQRT(Z384*($F$14-$D$14)*($E$14-$D$14)),$F$14-SQRT((1-Z384)*($F$14-$D$14)*($F$14-$E$14)))</x:f>
        <x:v>0.9368493488718052</x:v>
      </x:c>
      <x:c r="G384" s="258" t="n">
        <x:f>IF(AA384&lt;($E$15-$D$15)/($F$15-$D$15),$D$15+SQRT(AA384*($F$15-$D$15)*($E$15-$D$15)),$F$15-SQRT((1-AA384)*($F$15-$D$15)*($F$15-$E$15)))</x:f>
        <x:v>0.10232153778752989</x:v>
      </x:c>
      <x:c r="H384" s="258" t="n">
        <x:f>IF(AB384&lt;($E$16-$D$16)/($F$16-$D$16),$D$16+SQRT(AB384*($F$16-$D$16)*($E$16-$D$16)),$F$16-SQRT((1-AB384)*($F$16-$D$16)*($F$16-$E$16)))</x:f>
        <x:v>0.03210206378081365</x:v>
      </x:c>
      <x:c r="I384" s="262" t="n">
        <x:f>'Historical Inputs'!$N$9*(1+D384)^5</x:f>
        <x:v>658938.2385660955</x:v>
      </x:c>
      <x:c r="J384" s="262" t="n">
        <x:f>I384*(1+H384)*('Terminal Value'!$E$10+E384)*(1-'Assumptions'!$E$15)*(1-H384/'Terminal Value'!$E$12)</x:f>
        <x:v>180383.61285748</x:v>
      </x:c>
      <x:c r="K384" s="264" t="n">
        <x:f>((SUM((('Historical Inputs'!$N$9*(1+(D384))^1)*(('Assumptions'!E37+(E384))*(1-'Assumptions'!E42-(0))+'Assumptions'!E47-'Assumptions'!E52*(F384)+'Assumptions'!E57-'Assumptions'!E62*(1)-'Assumptions'!E67-(0))+('Working Capital'!$E$6))*'DCF'!E12/(1+(G384))^'DCF'!E13,(('Historical Inputs'!$N$9*(1+(D384))^2)*(('Assumptions'!F37+(E384))*(1-'Assumptions'!F42-(0))+'Assumptions'!F47-'Assumptions'!F52*(F384)+'Assumptions'!F57-'Assumptions'!F62*(1)-'Assumptions'!F67-(0))+(('Historical Inputs'!$N$9*(1+(D384))^1)*('Assumptions'!E67+(0))))*'DCF'!F12/(1+(G384))^'DCF'!F13,(('Historical Inputs'!$N$9*(1+(D384))^3)*(('Assumptions'!G37+(E384))*(1-'Assumptions'!G42-(0))+'Assumptions'!G47-'Assumptions'!G52*(F384)+'Assumptions'!G57-'Assumptions'!G62*(1)-'Assumptions'!G67-(0))+(('Historical Inputs'!$N$9*(1+(D384))^2)*('Assumptions'!F67+(0))))*'DCF'!G12/(1+(G384))^'DCF'!G13,(('Historical Inputs'!$N$9*(1+(D384))^4)*(('Assumptions'!H37+(E384))*(1-'Assumptions'!H42-(0))+'Assumptions'!H47-'Assumptions'!H52*(F384)+'Assumptions'!H57-'Assumptions'!H62*(1)-'Assumptions'!H67-(0))+(('Historical Inputs'!$N$9*(1+(D384))^3)*('Assumptions'!G67+(0))))*'DCF'!H12/(1+(G384))^'DCF'!H13,(('Historical Inputs'!$N$9*(1+(D384))^5)*(('Assumptions'!I37+(E384))*(1-'Assumptions'!I42-(0))+'Assumptions'!I47-'Assumptions'!I52*(F384)+'Assumptions'!I57-'Assumptions'!I62*(1)-'Assumptions'!I67-(0))+(('Historical Inputs'!$N$9*(1+(D384))^4)*('Assumptions'!H67+(0))))*'DCF'!I12/(1+(G384))^'DCF'!I13)+('Historical Inputs'!$N$9*(1+(D384))^5)*(1+(H384))*('Terminal Value'!$E$10+(E384))*(1-'Assumptions'!$E$15-(0))*(1-(H384)/('Terminal Value'!$E$12))/((G384)-(H384))/(1+(G384))^'DCF'!$E$19)+'Equity Bridge'!$E$17)/'Equity Bridge'!$E$20</x:f>
        <x:v>276.3386925837781</x:v>
      </x:c>
      <x:c r="X384" s="255" t="n">
        <x:v>0.573036298666796</x:v>
      </x:c>
      <x:c r="Y384" s="255" t="n">
        <x:v>0.40381043327396415</x:v>
      </x:c>
      <x:c r="Z384" s="255" t="n">
        <x:v>0.14367255998964823</x:v>
      </x:c>
      <x:c r="AA384" s="255" t="n">
        <x:v>0.7398952997754519</x:v>
      </x:c>
      <x:c r="AB384" s="255" t="n">
        <x:v>0.688113017388322</x:v>
      </x:c>
    </x:row>
    <x:row r="385" ht="24" customHeight="1">
      <x:c r="C385" s="256" t="n">
        <x:f>354</x:f>
        <x:v>354</x:v>
      </x:c>
      <x:c r="D385" s="258" t="n">
        <x:f>IF(X385&lt;($E$12-$D$12)/($F$12-$D$12),$D$12+SQRT(X385*($F$12-$D$12)*($E$12-$D$12)),$F$12-SQRT((1-X385)*($F$12-$D$12)*($F$12-$E$12)))</x:f>
        <x:v>0.13588958797948983</x:v>
      </x:c>
      <x:c r="E385" s="258" t="n">
        <x:f>IF(Y385&lt;($E$13-$D$13)/($F$13-$D$13),$D$13+SQRT(Y385*($F$13-$D$13)*($E$13-$D$13)),$F$13-SQRT((1-Y385)*($F$13-$D$13)*($F$13-$E$13)))</x:f>
        <x:v>-0.016185966025239362</x:v>
      </x:c>
      <x:c r="F385" s="260" t="n">
        <x:f>IF(Z385&lt;($E$14-$D$14)/($F$14-$D$14),$D$14+SQRT(Z385*($F$14-$D$14)*($E$14-$D$14)),$F$14-SQRT((1-Z385)*($F$14-$D$14)*($F$14-$E$14)))</x:f>
        <x:v>1.0592444502614196</x:v>
      </x:c>
      <x:c r="G385" s="258" t="n">
        <x:f>IF(AA385&lt;($E$15-$D$15)/($F$15-$D$15),$D$15+SQRT(AA385*($F$15-$D$15)*($E$15-$D$15)),$F$15-SQRT((1-AA385)*($F$15-$D$15)*($F$15-$E$15)))</x:f>
        <x:v>0.09889143439938028</x:v>
      </x:c>
      <x:c r="H385" s="258" t="n">
        <x:f>IF(AB385&lt;($E$16-$D$16)/($F$16-$D$16),$D$16+SQRT(AB385*($F$16-$D$16)*($E$16-$D$16)),$F$16-SQRT((1-AB385)*($F$16-$D$16)*($F$16-$E$16)))</x:f>
        <x:v>0.030862154055588058</x:v>
      </x:c>
      <x:c r="I385" s="262" t="n">
        <x:f>'Historical Inputs'!$N$9*(1+D385)^5</x:f>
        <x:v>627491.7484335258</x:v>
      </x:c>
      <x:c r="J385" s="262" t="n">
        <x:f>I385*(1+H385)*('Terminal Value'!$E$10+E385)*(1-'Assumptions'!$E$15)*(1-H385/'Terminal Value'!$E$12)</x:f>
        <x:v>167969.4313753907</x:v>
      </x:c>
      <x:c r="K385" s="264" t="n">
        <x:f>((SUM((('Historical Inputs'!$N$9*(1+(D385))^1)*(('Assumptions'!E37+(E385))*(1-'Assumptions'!E42-(0))+'Assumptions'!E47-'Assumptions'!E52*(F385)+'Assumptions'!E57-'Assumptions'!E62*(1)-'Assumptions'!E67-(0))+('Working Capital'!$E$6))*'DCF'!E12/(1+(G385))^'DCF'!E13,(('Historical Inputs'!$N$9*(1+(D385))^2)*(('Assumptions'!F37+(E385))*(1-'Assumptions'!F42-(0))+'Assumptions'!F47-'Assumptions'!F52*(F385)+'Assumptions'!F57-'Assumptions'!F62*(1)-'Assumptions'!F67-(0))+(('Historical Inputs'!$N$9*(1+(D385))^1)*('Assumptions'!E67+(0))))*'DCF'!F12/(1+(G385))^'DCF'!F13,(('Historical Inputs'!$N$9*(1+(D385))^3)*(('Assumptions'!G37+(E385))*(1-'Assumptions'!G42-(0))+'Assumptions'!G47-'Assumptions'!G52*(F385)+'Assumptions'!G57-'Assumptions'!G62*(1)-'Assumptions'!G67-(0))+(('Historical Inputs'!$N$9*(1+(D385))^2)*('Assumptions'!F67+(0))))*'DCF'!G12/(1+(G385))^'DCF'!G13,(('Historical Inputs'!$N$9*(1+(D385))^4)*(('Assumptions'!H37+(E385))*(1-'Assumptions'!H42-(0))+'Assumptions'!H47-'Assumptions'!H52*(F385)+'Assumptions'!H57-'Assumptions'!H62*(1)-'Assumptions'!H67-(0))+(('Historical Inputs'!$N$9*(1+(D385))^3)*('Assumptions'!G67+(0))))*'DCF'!H12/(1+(G385))^'DCF'!H13,(('Historical Inputs'!$N$9*(1+(D385))^5)*(('Assumptions'!I37+(E385))*(1-'Assumptions'!I42-(0))+'Assumptions'!I47-'Assumptions'!I52*(F385)+'Assumptions'!I57-'Assumptions'!I62*(1)-'Assumptions'!I67-(0))+(('Historical Inputs'!$N$9*(1+(D385))^4)*('Assumptions'!H67+(0))))*'DCF'!I12/(1+(G385))^'DCF'!I13)+('Historical Inputs'!$N$9*(1+(D385))^5)*(1+(H385))*('Terminal Value'!$E$10+(E385))*(1-'Assumptions'!$E$15-(0))*(1-(H385)/('Terminal Value'!$E$12))/((G385)-(H385))/(1+(G385))^'DCF'!$E$19)+'Equity Bridge'!$E$17)/'Equity Bridge'!$E$20</x:f>
        <x:v>259.6044903109433</x:v>
      </x:c>
      <x:c r="X385" s="255" t="n">
        <x:v>0.36350713936535906</x:v>
      </x:c>
      <x:c r="Y385" s="255" t="n">
        <x:v>0.22867777872925332</x:v>
      </x:c>
      <x:c r="Z385" s="255" t="n">
        <x:v>0.7169696459684288</x:v>
      </x:c>
      <x:c r="AA385" s="255" t="n">
        <x:v>0.5488174543414048</x:v>
      </x:c>
      <x:c r="AB385" s="255" t="n">
        <x:v>0.5824988574809713</x:v>
      </x:c>
    </x:row>
    <x:row r="386" ht="24" customHeight="1">
      <x:c r="C386" s="256" t="n">
        <x:f>355</x:f>
        <x:v>355</x:v>
      </x:c>
      <x:c r="D386" s="258" t="n">
        <x:f>IF(X386&lt;($E$12-$D$12)/($F$12-$D$12),$D$12+SQRT(X386*($F$12-$D$12)*($E$12-$D$12)),$F$12-SQRT((1-X386)*($F$12-$D$12)*($F$12-$E$12)))</x:f>
        <x:v>0.12228262968053061</x:v>
      </x:c>
      <x:c r="E386" s="258" t="n">
        <x:f>IF(Y386&lt;($E$13-$D$13)/($F$13-$D$13),$D$13+SQRT(Y386*($F$13-$D$13)*($E$13-$D$13)),$F$13-SQRT((1-Y386)*($F$13-$D$13)*($F$13-$E$13)))</x:f>
        <x:v>-0.0011066790459624276</x:v>
      </x:c>
      <x:c r="F386" s="260" t="n">
        <x:f>IF(Z386&lt;($E$14-$D$14)/($F$14-$D$14),$D$14+SQRT(Z386*($F$14-$D$14)*($E$14-$D$14)),$F$14-SQRT((1-Z386)*($F$14-$D$14)*($F$14-$E$14)))</x:f>
        <x:v>0.9474989136161731</x:v>
      </x:c>
      <x:c r="G386" s="258" t="n">
        <x:f>IF(AA386&lt;($E$15-$D$15)/($F$15-$D$15),$D$15+SQRT(AA386*($F$15-$D$15)*($E$15-$D$15)),$F$15-SQRT((1-AA386)*($F$15-$D$15)*($F$15-$E$15)))</x:f>
        <x:v>0.0959940291628796</x:v>
      </x:c>
      <x:c r="H386" s="258" t="n">
        <x:f>IF(AB386&lt;($E$16-$D$16)/($F$16-$D$16),$D$16+SQRT(AB386*($F$16-$D$16)*($E$16-$D$16)),$F$16-SQRT((1-AB386)*($F$16-$D$16)*($F$16-$E$16)))</x:f>
        <x:v>0.027658102253055455</x:v>
      </x:c>
      <x:c r="I386" s="262" t="n">
        <x:f>'Historical Inputs'!$N$9*(1+D386)^5</x:f>
        <x:v>590797.476303567</x:v>
      </x:c>
      <x:c r="J386" s="262" t="n">
        <x:f>I386*(1+H386)*('Terminal Value'!$E$10+E386)*(1-'Assumptions'!$E$15)*(1-H386/'Terminal Value'!$E$12)</x:f>
        <x:v>166953.26200435462</x:v>
      </x:c>
      <x:c r="K386" s="264" t="n">
        <x:f>((SUM((('Historical Inputs'!$N$9*(1+(D386))^1)*(('Assumptions'!E37+(E386))*(1-'Assumptions'!E42-(0))+'Assumptions'!E47-'Assumptions'!E52*(F386)+'Assumptions'!E57-'Assumptions'!E62*(1)-'Assumptions'!E67-(0))+('Working Capital'!$E$6))*'DCF'!E12/(1+(G386))^'DCF'!E13,(('Historical Inputs'!$N$9*(1+(D386))^2)*(('Assumptions'!F37+(E386))*(1-'Assumptions'!F42-(0))+'Assumptions'!F47-'Assumptions'!F52*(F386)+'Assumptions'!F57-'Assumptions'!F62*(1)-'Assumptions'!F67-(0))+(('Historical Inputs'!$N$9*(1+(D386))^1)*('Assumptions'!E67+(0))))*'DCF'!F12/(1+(G386))^'DCF'!F13,(('Historical Inputs'!$N$9*(1+(D386))^3)*(('Assumptions'!G37+(E386))*(1-'Assumptions'!G42-(0))+'Assumptions'!G47-'Assumptions'!G52*(F386)+'Assumptions'!G57-'Assumptions'!G62*(1)-'Assumptions'!G67-(0))+(('Historical Inputs'!$N$9*(1+(D386))^2)*('Assumptions'!F67+(0))))*'DCF'!G12/(1+(G386))^'DCF'!G13,(('Historical Inputs'!$N$9*(1+(D386))^4)*(('Assumptions'!H37+(E386))*(1-'Assumptions'!H42-(0))+'Assumptions'!H47-'Assumptions'!H52*(F386)+'Assumptions'!H57-'Assumptions'!H62*(1)-'Assumptions'!H67-(0))+(('Historical Inputs'!$N$9*(1+(D386))^3)*('Assumptions'!G67+(0))))*'DCF'!H12/(1+(G386))^'DCF'!H13,(('Historical Inputs'!$N$9*(1+(D386))^5)*(('Assumptions'!I37+(E386))*(1-'Assumptions'!I42-(0))+'Assumptions'!I47-'Assumptions'!I52*(F386)+'Assumptions'!I57-'Assumptions'!I62*(1)-'Assumptions'!I67-(0))+(('Historical Inputs'!$N$9*(1+(D386))^4)*('Assumptions'!H67+(0))))*'DCF'!I12/(1+(G386))^'DCF'!I13)+('Historical Inputs'!$N$9*(1+(D386))^5)*(1+(H386))*('Terminal Value'!$E$10+(E386))*(1-'Assumptions'!$E$15-(0))*(1-(H386)/('Terminal Value'!$E$12))/((G386)-(H386))/(1+(G386))^'DCF'!$E$19)+'Equity Bridge'!$E$17)/'Equity Bridge'!$E$20</x:f>
        <x:v>267.97434824654397</x:v>
      </x:c>
      <x:c r="X386" s="255" t="n">
        <x:v>0.16849718226433175</x:v>
      </x:c>
      <x:c r="Y386" s="255" t="n">
        <x:v>0.478111366782906</x:v>
      </x:c>
      <x:c r="Z386" s="255" t="n">
        <x:v>0.18106739345398093</x:v>
      </x:c>
      <x:c r="AA386" s="255" t="n">
        <x:v>0.3671479380028694</x:v>
      </x:c>
      <x:c r="AB386" s="255" t="n">
        <x:v>0.29323265059126546</x:v>
      </x:c>
    </x:row>
    <x:row r="387" ht="24" customHeight="1">
      <x:c r="C387" s="256" t="n">
        <x:f>356</x:f>
        <x:v>356</x:v>
      </x:c>
      <x:c r="D387" s="258" t="n">
        <x:f>IF(X387&lt;($E$12-$D$12)/($F$12-$D$12),$D$12+SQRT(X387*($F$12-$D$12)*($E$12-$D$12)),$F$12-SQRT((1-X387)*($F$12-$D$12)*($F$12-$E$12)))</x:f>
        <x:v>0.1218469960886133</x:v>
      </x:c>
      <x:c r="E387" s="258" t="n">
        <x:f>IF(Y387&lt;($E$13-$D$13)/($F$13-$D$13),$D$13+SQRT(Y387*($F$13-$D$13)*($E$13-$D$13)),$F$13-SQRT((1-Y387)*($F$13-$D$13)*($F$13-$E$13)))</x:f>
        <x:v>0.010755227365558756</x:v>
      </x:c>
      <x:c r="F387" s="260" t="n">
        <x:f>IF(Z387&lt;($E$14-$D$14)/($F$14-$D$14),$D$14+SQRT(Z387*($F$14-$D$14)*($E$14-$D$14)),$F$14-SQRT((1-Z387)*($F$14-$D$14)*($F$14-$E$14)))</x:f>
        <x:v>0.9726305038802333</x:v>
      </x:c>
      <x:c r="G387" s="258" t="n">
        <x:f>IF(AA387&lt;($E$15-$D$15)/($F$15-$D$15),$D$15+SQRT(AA387*($F$15-$D$15)*($E$15-$D$15)),$F$15-SQRT((1-AA387)*($F$15-$D$15)*($F$15-$E$15)))</x:f>
        <x:v>0.09796931850708489</x:v>
      </x:c>
      <x:c r="H387" s="258" t="n">
        <x:f>IF(AB387&lt;($E$16-$D$16)/($F$16-$D$16),$D$16+SQRT(AB387*($F$16-$D$16)*($E$16-$D$16)),$F$16-SQRT((1-AB387)*($F$16-$D$16)*($F$16-$E$16)))</x:f>
        <x:v>0.03716945076409554</x:v>
      </x:c>
      <x:c r="I387" s="262" t="n">
        <x:f>'Historical Inputs'!$N$9*(1+D387)^5</x:f>
        <x:v>589651.724372762</x:v>
      </x:c>
      <x:c r="J387" s="262" t="n">
        <x:f>I387*(1+H387)*('Terminal Value'!$E$10+E387)*(1-'Assumptions'!$E$15)*(1-H387/'Terminal Value'!$E$12)</x:f>
        <x:v>163615.4335522107</x:v>
      </x:c>
      <x:c r="K387" s="264" t="n">
        <x:f>((SUM((('Historical Inputs'!$N$9*(1+(D387))^1)*(('Assumptions'!E37+(E387))*(1-'Assumptions'!E42-(0))+'Assumptions'!E47-'Assumptions'!E52*(F387)+'Assumptions'!E57-'Assumptions'!E62*(1)-'Assumptions'!E67-(0))+('Working Capital'!$E$6))*'DCF'!E12/(1+(G387))^'DCF'!E13,(('Historical Inputs'!$N$9*(1+(D387))^2)*(('Assumptions'!F37+(E387))*(1-'Assumptions'!F42-(0))+'Assumptions'!F47-'Assumptions'!F52*(F387)+'Assumptions'!F57-'Assumptions'!F62*(1)-'Assumptions'!F67-(0))+(('Historical Inputs'!$N$9*(1+(D387))^1)*('Assumptions'!E67+(0))))*'DCF'!F12/(1+(G387))^'DCF'!F13,(('Historical Inputs'!$N$9*(1+(D387))^3)*(('Assumptions'!G37+(E387))*(1-'Assumptions'!G42-(0))+'Assumptions'!G47-'Assumptions'!G52*(F387)+'Assumptions'!G57-'Assumptions'!G62*(1)-'Assumptions'!G67-(0))+(('Historical Inputs'!$N$9*(1+(D387))^2)*('Assumptions'!F67+(0))))*'DCF'!G12/(1+(G387))^'DCF'!G13,(('Historical Inputs'!$N$9*(1+(D387))^4)*(('Assumptions'!H37+(E387))*(1-'Assumptions'!H42-(0))+'Assumptions'!H47-'Assumptions'!H52*(F387)+'Assumptions'!H57-'Assumptions'!H62*(1)-'Assumptions'!H67-(0))+(('Historical Inputs'!$N$9*(1+(D387))^3)*('Assumptions'!G67+(0))))*'DCF'!H12/(1+(G387))^'DCF'!H13,(('Historical Inputs'!$N$9*(1+(D387))^5)*(('Assumptions'!I37+(E387))*(1-'Assumptions'!I42-(0))+'Assumptions'!I47-'Assumptions'!I52*(F387)+'Assumptions'!I57-'Assumptions'!I62*(1)-'Assumptions'!I67-(0))+(('Historical Inputs'!$N$9*(1+(D387))^4)*('Assumptions'!H67+(0))))*'DCF'!I12/(1+(G387))^'DCF'!I13)+('Historical Inputs'!$N$9*(1+(D387))^5)*(1+(H387))*('Terminal Value'!$E$10+(E387))*(1-'Assumptions'!$E$15-(0))*(1-(H387)/('Terminal Value'!$E$12))/((G387)-(H387))/(1+(G387))^'DCF'!$E$19)+'Equity Bridge'!$E$17)/'Equity Bridge'!$E$20</x:f>
        <x:v>287.99429413415777</x:v>
      </x:c>
      <x:c r="X387" s="255" t="n">
        <x:v>0.16347732566672213</x:v>
      </x:c>
      <x:c r="Y387" s="255" t="n">
        <x:v>0.6919695641742023</x:v>
      </x:c>
      <x:c r="Z387" s="255" t="n">
        <x:v>0.28644267584609373</x:v>
      </x:c>
      <x:c r="AA387" s="255" t="n">
        <x:v>0.488661633005431</x:v>
      </x:c>
      <x:c r="AB387" s="255" t="n">
        <x:v>0.9599399551156033</x:v>
      </x:c>
    </x:row>
    <x:row r="388" ht="24" customHeight="1">
      <x:c r="C388" s="256" t="n">
        <x:f>357</x:f>
        <x:v>357</x:v>
      </x:c>
      <x:c r="D388" s="258" t="n">
        <x:f>IF(X388&lt;($E$12-$D$12)/($F$12-$D$12),$D$12+SQRT(X388*($F$12-$D$12)*($E$12-$D$12)),$F$12-SQRT((1-X388)*($F$12-$D$12)*($F$12-$E$12)))</x:f>
        <x:v>0.11980518625285118</x:v>
      </x:c>
      <x:c r="E388" s="258" t="n">
        <x:f>IF(Y388&lt;($E$13-$D$13)/($F$13-$D$13),$D$13+SQRT(Y388*($F$13-$D$13)*($E$13-$D$13)),$F$13-SQRT((1-Y388)*($F$13-$D$13)*($F$13-$E$13)))</x:f>
        <x:v>0.014758083277873119</x:v>
      </x:c>
      <x:c r="F388" s="260" t="n">
        <x:f>IF(Z388&lt;($E$14-$D$14)/($F$14-$D$14),$D$14+SQRT(Z388*($F$14-$D$14)*($E$14-$D$14)),$F$14-SQRT((1-Z388)*($F$14-$D$14)*($F$14-$E$14)))</x:f>
        <x:v>1.1331329047949752</x:v>
      </x:c>
      <x:c r="G388" s="258" t="n">
        <x:f>IF(AA388&lt;($E$15-$D$15)/($F$15-$D$15),$D$15+SQRT(AA388*($F$15-$D$15)*($E$15-$D$15)),$F$15-SQRT((1-AA388)*($F$15-$D$15)*($F$15-$E$15)))</x:f>
        <x:v>0.10690171416727864</x:v>
      </x:c>
      <x:c r="H388" s="258" t="n">
        <x:f>IF(AB388&lt;($E$16-$D$16)/($F$16-$D$16),$D$16+SQRT(AB388*($F$16-$D$16)*($E$16-$D$16)),$F$16-SQRT((1-AB388)*($F$16-$D$16)*($F$16-$E$16)))</x:f>
        <x:v>0.024886608418080935</x:v>
      </x:c>
      <x:c r="I388" s="262" t="n">
        <x:f>'Historical Inputs'!$N$9*(1+D388)^5</x:f>
        <x:v>584305.263769201</x:v>
      </x:c>
      <x:c r="J388" s="262" t="n">
        <x:f>I388*(1+H388)*('Terminal Value'!$E$10+E388)*(1-'Assumptions'!$E$15)*(1-H388/'Terminal Value'!$E$12)</x:f>
        <x:v>173976.1944376059</x:v>
      </x:c>
      <x:c r="K388" s="264" t="n">
        <x:f>((SUM((('Historical Inputs'!$N$9*(1+(D388))^1)*(('Assumptions'!E37+(E388))*(1-'Assumptions'!E42-(0))+'Assumptions'!E47-'Assumptions'!E52*(F388)+'Assumptions'!E57-'Assumptions'!E62*(1)-'Assumptions'!E67-(0))+('Working Capital'!$E$6))*'DCF'!E12/(1+(G388))^'DCF'!E13,(('Historical Inputs'!$N$9*(1+(D388))^2)*(('Assumptions'!F37+(E388))*(1-'Assumptions'!F42-(0))+'Assumptions'!F47-'Assumptions'!F52*(F388)+'Assumptions'!F57-'Assumptions'!F62*(1)-'Assumptions'!F67-(0))+(('Historical Inputs'!$N$9*(1+(D388))^1)*('Assumptions'!E67+(0))))*'DCF'!F12/(1+(G388))^'DCF'!F13,(('Historical Inputs'!$N$9*(1+(D388))^3)*(('Assumptions'!G37+(E388))*(1-'Assumptions'!G42-(0))+'Assumptions'!G47-'Assumptions'!G52*(F388)+'Assumptions'!G57-'Assumptions'!G62*(1)-'Assumptions'!G67-(0))+(('Historical Inputs'!$N$9*(1+(D388))^2)*('Assumptions'!F67+(0))))*'DCF'!G12/(1+(G388))^'DCF'!G13,(('Historical Inputs'!$N$9*(1+(D388))^4)*(('Assumptions'!H37+(E388))*(1-'Assumptions'!H42-(0))+'Assumptions'!H47-'Assumptions'!H52*(F388)+'Assumptions'!H57-'Assumptions'!H62*(1)-'Assumptions'!H67-(0))+(('Historical Inputs'!$N$9*(1+(D388))^3)*('Assumptions'!G67+(0))))*'DCF'!H12/(1+(G388))^'DCF'!H13,(('Historical Inputs'!$N$9*(1+(D388))^5)*(('Assumptions'!I37+(E388))*(1-'Assumptions'!I42-(0))+'Assumptions'!I47-'Assumptions'!I52*(F388)+'Assumptions'!I57-'Assumptions'!I62*(1)-'Assumptions'!I67-(0))+(('Historical Inputs'!$N$9*(1+(D388))^4)*('Assumptions'!H67+(0))))*'DCF'!I12/(1+(G388))^'DCF'!I13)+('Historical Inputs'!$N$9*(1+(D388))^5)*(1+(H388))*('Terminal Value'!$E$10+(E388))*(1-'Assumptions'!$E$15-(0))*(1-(H388)/('Terminal Value'!$E$12))/((G388)-(H388))/(1+(G388))^'DCF'!$E$19)+'Equity Bridge'!$E$17)/'Equity Bridge'!$E$20</x:f>
        <x:v>221.65224063474915</x:v>
      </x:c>
      <x:c r="X388" s="255" t="n">
        <x:v>0.140961006886416</x:v>
      </x:c>
      <x:c r="Y388" s="255" t="n">
        <x:v>0.7516014611501347</x:v>
      </x:c>
      <x:c r="Z388" s="255" t="n">
        <x:v>0.9361255939834595</x:v>
      </x:c>
      <x:c r="AA388" s="255" t="n">
        <x:v>0.913509293882082</x:v>
      </x:c>
      <x:c r="AB388" s="255" t="n">
        <x:v>0.11939470915829742</x:v>
      </x:c>
    </x:row>
    <x:row r="389" ht="24" customHeight="1">
      <x:c r="C389" s="256" t="n">
        <x:f>358</x:f>
        <x:v>358</x:v>
      </x:c>
      <x:c r="D389" s="258" t="n">
        <x:f>IF(X389&lt;($E$12-$D$12)/($F$12-$D$12),$D$12+SQRT(X389*($F$12-$D$12)*($E$12-$D$12)),$F$12-SQRT((1-X389)*($F$12-$D$12)*($F$12-$E$12)))</x:f>
        <x:v>0.15640784053694823</x:v>
      </x:c>
      <x:c r="E389" s="258" t="n">
        <x:f>IF(Y389&lt;($E$13-$D$13)/($F$13-$D$13),$D$13+SQRT(Y389*($F$13-$D$13)*($E$13-$D$13)),$F$13-SQRT((1-Y389)*($F$13-$D$13)*($F$13-$E$13)))</x:f>
        <x:v>0.035077399355020716</x:v>
      </x:c>
      <x:c r="F389" s="260" t="n">
        <x:f>IF(Z389&lt;($E$14-$D$14)/($F$14-$D$14),$D$14+SQRT(Z389*($F$14-$D$14)*($E$14-$D$14)),$F$14-SQRT((1-Z389)*($F$14-$D$14)*($F$14-$E$14)))</x:f>
        <x:v>0.9664760698838033</x:v>
      </x:c>
      <x:c r="G389" s="258" t="n">
        <x:f>IF(AA389&lt;($E$15-$D$15)/($F$15-$D$15),$D$15+SQRT(AA389*($F$15-$D$15)*($E$15-$D$15)),$F$15-SQRT((1-AA389)*($F$15-$D$15)*($F$15-$E$15)))</x:f>
        <x:v>0.1005745075030201</x:v>
      </x:c>
      <x:c r="H389" s="258" t="n">
        <x:f>IF(AB389&lt;($E$16-$D$16)/($F$16-$D$16),$D$16+SQRT(AB389*($F$16-$D$16)*($E$16-$D$16)),$F$16-SQRT((1-AB389)*($F$16-$D$16)*($F$16-$E$16)))</x:f>
        <x:v>0.03359269179811105</x:v>
      </x:c>
      <x:c r="I389" s="262" t="n">
        <x:f>'Historical Inputs'!$N$9*(1+D389)^5</x:f>
        <x:v>686250.3259856174</x:v>
      </x:c>
      <x:c r="J389" s="262" t="n">
        <x:f>I389*(1+H389)*('Terminal Value'!$E$10+E389)*(1-'Assumptions'!$E$15)*(1-H389/'Terminal Value'!$E$12)</x:f>
        <x:v>205414.40903189988</x:v>
      </x:c>
      <x:c r="K389" s="264" t="n">
        <x:f>((SUM((('Historical Inputs'!$N$9*(1+(D389))^1)*(('Assumptions'!E37+(E389))*(1-'Assumptions'!E42-(0))+'Assumptions'!E47-'Assumptions'!E52*(F389)+'Assumptions'!E57-'Assumptions'!E62*(1)-'Assumptions'!E67-(0))+('Working Capital'!$E$6))*'DCF'!E12/(1+(G389))^'DCF'!E13,(('Historical Inputs'!$N$9*(1+(D389))^2)*(('Assumptions'!F37+(E389))*(1-'Assumptions'!F42-(0))+'Assumptions'!F47-'Assumptions'!F52*(F389)+'Assumptions'!F57-'Assumptions'!F62*(1)-'Assumptions'!F67-(0))+(('Historical Inputs'!$N$9*(1+(D389))^1)*('Assumptions'!E67+(0))))*'DCF'!F12/(1+(G389))^'DCF'!F13,(('Historical Inputs'!$N$9*(1+(D389))^3)*(('Assumptions'!G37+(E389))*(1-'Assumptions'!G42-(0))+'Assumptions'!G47-'Assumptions'!G52*(F389)+'Assumptions'!G57-'Assumptions'!G62*(1)-'Assumptions'!G67-(0))+(('Historical Inputs'!$N$9*(1+(D389))^2)*('Assumptions'!F67+(0))))*'DCF'!G12/(1+(G389))^'DCF'!G13,(('Historical Inputs'!$N$9*(1+(D389))^4)*(('Assumptions'!H37+(E389))*(1-'Assumptions'!H42-(0))+'Assumptions'!H47-'Assumptions'!H52*(F389)+'Assumptions'!H57-'Assumptions'!H62*(1)-'Assumptions'!H67-(0))+(('Historical Inputs'!$N$9*(1+(D389))^3)*('Assumptions'!G67+(0))))*'DCF'!H12/(1+(G389))^'DCF'!H13,(('Historical Inputs'!$N$9*(1+(D389))^5)*(('Assumptions'!I37+(E389))*(1-'Assumptions'!I42-(0))+'Assumptions'!I47-'Assumptions'!I52*(F389)+'Assumptions'!I57-'Assumptions'!I62*(1)-'Assumptions'!I67-(0))+(('Historical Inputs'!$N$9*(1+(D389))^4)*('Assumptions'!H67+(0))))*'DCF'!I12/(1+(G389))^'DCF'!I13)+('Historical Inputs'!$N$9*(1+(D389))^5)*(1+(H389))*('Terminal Value'!$E$10+(E389))*(1-'Assumptions'!$E$15-(0))*(1-(H389)/('Terminal Value'!$E$12))/((G389)-(H389))/(1+(G389))^'DCF'!$E$19)+'Equity Bridge'!$E$17)/'Equity Bridge'!$E$20</x:f>
        <x:v>329.05329927383696</x:v>
      </x:c>
      <x:c r="X389" s="255" t="n">
        <x:v>0.7284275676644737</x:v>
      </x:c>
      <x:c r="Y389" s="255" t="n">
        <x:v>0.9554631979980928</x:v>
      </x:c>
      <x:c r="Z389" s="255" t="n">
        <x:v>0.25841285439193573</x:v>
      </x:c>
      <x:c r="AA389" s="255" t="n">
        <x:v>0.6491091500549449</x:v>
      </x:c>
      <x:c r="AB389" s="255" t="n">
        <x:v>0.7947320080300331</x:v>
      </x:c>
    </x:row>
    <x:row r="390" ht="24" customHeight="1">
      <x:c r="C390" s="256" t="n">
        <x:f>359</x:f>
        <x:v>359</x:v>
      </x:c>
      <x:c r="D390" s="258" t="n">
        <x:f>IF(X390&lt;($E$12-$D$12)/($F$12-$D$12),$D$12+SQRT(X390*($F$12-$D$12)*($E$12-$D$12)),$F$12-SQRT((1-X390)*($F$12-$D$12)*($F$12-$E$12)))</x:f>
        <x:v>0.13629599707390588</x:v>
      </x:c>
      <x:c r="E390" s="258" t="n">
        <x:f>IF(Y390&lt;($E$13-$D$13)/($F$13-$D$13),$D$13+SQRT(Y390*($F$13-$D$13)*($E$13-$D$13)),$F$13-SQRT((1-Y390)*($F$13-$D$13)*($F$13-$E$13)))</x:f>
        <x:v>-0.01845531902408762</x:v>
      </x:c>
      <x:c r="F390" s="260" t="n">
        <x:f>IF(Z390&lt;($E$14-$D$14)/($F$14-$D$14),$D$14+SQRT(Z390*($F$14-$D$14)*($E$14-$D$14)),$F$14-SQRT((1-Z390)*($F$14-$D$14)*($F$14-$E$14)))</x:f>
        <x:v>0.9615565748168285</x:v>
      </x:c>
      <x:c r="G390" s="258" t="n">
        <x:f>IF(AA390&lt;($E$15-$D$15)/($F$15-$D$15),$D$15+SQRT(AA390*($F$15-$D$15)*($E$15-$D$15)),$F$15-SQRT((1-AA390)*($F$15-$D$15)*($F$15-$E$15)))</x:f>
        <x:v>0.08817022415434683</x:v>
      </x:c>
      <x:c r="H390" s="258" t="n">
        <x:f>IF(AB390&lt;($E$16-$D$16)/($F$16-$D$16),$D$16+SQRT(AB390*($F$16-$D$16)*($E$16-$D$16)),$F$16-SQRT((1-AB390)*($F$16-$D$16)*($F$16-$E$16)))</x:f>
        <x:v>0.025524372574325</x:v>
      </x:c>
      <x:c r="I390" s="262" t="n">
        <x:f>'Historical Inputs'!$N$9*(1+D390)^5</x:f>
        <x:v>628615.1010326411</x:v>
      </x:c>
      <x:c r="J390" s="262" t="n">
        <x:f>I390*(1+H390)*('Terminal Value'!$E$10+E390)*(1-'Assumptions'!$E$15)*(1-H390/'Terminal Value'!$E$12)</x:f>
        <x:v>171660.73179473262</x:v>
      </x:c>
      <x:c r="K390" s="264" t="n">
        <x:f>((SUM((('Historical Inputs'!$N$9*(1+(D390))^1)*(('Assumptions'!E37+(E390))*(1-'Assumptions'!E42-(0))+'Assumptions'!E47-'Assumptions'!E52*(F390)+'Assumptions'!E57-'Assumptions'!E62*(1)-'Assumptions'!E67-(0))+('Working Capital'!$E$6))*'DCF'!E12/(1+(G390))^'DCF'!E13,(('Historical Inputs'!$N$9*(1+(D390))^2)*(('Assumptions'!F37+(E390))*(1-'Assumptions'!F42-(0))+'Assumptions'!F47-'Assumptions'!F52*(F390)+'Assumptions'!F57-'Assumptions'!F62*(1)-'Assumptions'!F67-(0))+(('Historical Inputs'!$N$9*(1+(D390))^1)*('Assumptions'!E67+(0))))*'DCF'!F12/(1+(G390))^'DCF'!F13,(('Historical Inputs'!$N$9*(1+(D390))^3)*(('Assumptions'!G37+(E390))*(1-'Assumptions'!G42-(0))+'Assumptions'!G47-'Assumptions'!G52*(F390)+'Assumptions'!G57-'Assumptions'!G62*(1)-'Assumptions'!G67-(0))+(('Historical Inputs'!$N$9*(1+(D390))^2)*('Assumptions'!F67+(0))))*'DCF'!G12/(1+(G390))^'DCF'!G13,(('Historical Inputs'!$N$9*(1+(D390))^4)*(('Assumptions'!H37+(E390))*(1-'Assumptions'!H42-(0))+'Assumptions'!H47-'Assumptions'!H52*(F390)+'Assumptions'!H57-'Assumptions'!H62*(1)-'Assumptions'!H67-(0))+(('Historical Inputs'!$N$9*(1+(D390))^3)*('Assumptions'!G67+(0))))*'DCF'!H12/(1+(G390))^'DCF'!H13,(('Historical Inputs'!$N$9*(1+(D390))^5)*(('Assumptions'!I37+(E390))*(1-'Assumptions'!I42-(0))+'Assumptions'!I47-'Assumptions'!I52*(F390)+'Assumptions'!I57-'Assumptions'!I62*(1)-'Assumptions'!I67-(0))+(('Historical Inputs'!$N$9*(1+(D390))^4)*('Assumptions'!H67+(0))))*'DCF'!I12/(1+(G390))^'DCF'!I13)+('Historical Inputs'!$N$9*(1+(D390))^5)*(1+(H390))*('Terminal Value'!$E$10+(E390))*(1-'Assumptions'!$E$15-(0))*(1-(H390)/('Terminal Value'!$E$12))/((G390)-(H390))/(1+(G390))^'DCF'!$E$19)+'Equity Bridge'!$E$17)/'Equity Bridge'!$E$20</x:f>
        <x:v>301.29808232202225</x:v>
      </x:c>
      <x:c r="X390" s="255" t="n">
        <x:v>0.3704706780769834</x:v>
      </x:c>
      <x:c r="Y390" s="255" t="n">
        <x:v>0.19901337957441767</x:v>
      </x:c>
      <x:c r="Z390" s="255" t="n">
        <x:v>0.23704513114024128</x:v>
      </x:c>
      <x:c r="AA390" s="255" t="n">
        <x:v>0.05622097765793099</x:v>
      </x:c>
      <x:c r="AB390" s="255" t="n">
        <x:v>0.1525934616997714</x:v>
      </x:c>
    </x:row>
    <x:row r="391" ht="24" customHeight="1">
      <x:c r="C391" s="256" t="n">
        <x:f>360</x:f>
        <x:v>360</x:v>
      </x:c>
      <x:c r="D391" s="258" t="n">
        <x:f>IF(X391&lt;($E$12-$D$12)/($F$12-$D$12),$D$12+SQRT(X391*($F$12-$D$12)*($E$12-$D$12)),$F$12-SQRT((1-X391)*($F$12-$D$12)*($F$12-$E$12)))</x:f>
        <x:v>0.15153074897901578</x:v>
      </x:c>
      <x:c r="E391" s="258" t="n">
        <x:f>IF(Y391&lt;($E$13-$D$13)/($F$13-$D$13),$D$13+SQRT(Y391*($F$13-$D$13)*($E$13-$D$13)),$F$13-SQRT((1-Y391)*($F$13-$D$13)*($F$13-$E$13)))</x:f>
        <x:v>-0.00576870348058741</x:v>
      </x:c>
      <x:c r="F391" s="260" t="n">
        <x:f>IF(Z391&lt;($E$14-$D$14)/($F$14-$D$14),$D$14+SQRT(Z391*($F$14-$D$14)*($E$14-$D$14)),$F$14-SQRT((1-Z391)*($F$14-$D$14)*($F$14-$E$14)))</x:f>
        <x:v>0.9488399517688832</x:v>
      </x:c>
      <x:c r="G391" s="258" t="n">
        <x:f>IF(AA391&lt;($E$15-$D$15)/($F$15-$D$15),$D$15+SQRT(AA391*($F$15-$D$15)*($E$15-$D$15)),$F$15-SQRT((1-AA391)*($F$15-$D$15)*($F$15-$E$15)))</x:f>
        <x:v>0.09478070613040272</x:v>
      </x:c>
      <x:c r="H391" s="258" t="n">
        <x:f>IF(AB391&lt;($E$16-$D$16)/($F$16-$D$16),$D$16+SQRT(AB391*($F$16-$D$16)*($E$16-$D$16)),$F$16-SQRT((1-AB391)*($F$16-$D$16)*($F$16-$E$16)))</x:f>
        <x:v>0.028704165362569263</x:v>
      </x:c>
      <x:c r="I391" s="262" t="n">
        <x:f>'Historical Inputs'!$N$9*(1+D391)^5</x:f>
        <x:v>671900.7446542995</x:v>
      </x:c>
      <x:c r="J391" s="262" t="n">
        <x:f>I391*(1+H391)*('Terminal Value'!$E$10+E391)*(1-'Assumptions'!$E$15)*(1-H391/'Terminal Value'!$E$12)</x:f>
        <x:v>186703.95285783586</x:v>
      </x:c>
      <x:c r="K391" s="264" t="n">
        <x:f>((SUM((('Historical Inputs'!$N$9*(1+(D391))^1)*(('Assumptions'!E37+(E391))*(1-'Assumptions'!E42-(0))+'Assumptions'!E47-'Assumptions'!E52*(F391)+'Assumptions'!E57-'Assumptions'!E62*(1)-'Assumptions'!E67-(0))+('Working Capital'!$E$6))*'DCF'!E12/(1+(G391))^'DCF'!E13,(('Historical Inputs'!$N$9*(1+(D391))^2)*(('Assumptions'!F37+(E391))*(1-'Assumptions'!F42-(0))+'Assumptions'!F47-'Assumptions'!F52*(F391)+'Assumptions'!F57-'Assumptions'!F62*(1)-'Assumptions'!F67-(0))+(('Historical Inputs'!$N$9*(1+(D391))^1)*('Assumptions'!E67+(0))))*'DCF'!F12/(1+(G391))^'DCF'!F13,(('Historical Inputs'!$N$9*(1+(D391))^3)*(('Assumptions'!G37+(E391))*(1-'Assumptions'!G42-(0))+'Assumptions'!G47-'Assumptions'!G52*(F391)+'Assumptions'!G57-'Assumptions'!G62*(1)-'Assumptions'!G67-(0))+(('Historical Inputs'!$N$9*(1+(D391))^2)*('Assumptions'!F67+(0))))*'DCF'!G12/(1+(G391))^'DCF'!G13,(('Historical Inputs'!$N$9*(1+(D391))^4)*(('Assumptions'!H37+(E391))*(1-'Assumptions'!H42-(0))+'Assumptions'!H47-'Assumptions'!H52*(F391)+'Assumptions'!H57-'Assumptions'!H62*(1)-'Assumptions'!H67-(0))+(('Historical Inputs'!$N$9*(1+(D391))^3)*('Assumptions'!G67+(0))))*'DCF'!H12/(1+(G391))^'DCF'!H13,(('Historical Inputs'!$N$9*(1+(D391))^5)*(('Assumptions'!I37+(E391))*(1-'Assumptions'!I42-(0))+'Assumptions'!I47-'Assumptions'!I52*(F391)+'Assumptions'!I57-'Assumptions'!I62*(1)-'Assumptions'!I67-(0))+(('Historical Inputs'!$N$9*(1+(D391))^4)*('Assumptions'!H67+(0))))*'DCF'!I12/(1+(G391))^'DCF'!I13)+('Historical Inputs'!$N$9*(1+(D391))^5)*(1+(H391))*('Terminal Value'!$E$10+(E391))*(1-'Assumptions'!$E$15-(0))*(1-(H391)/('Terminal Value'!$E$12))/((G391)-(H391))/(1+(G391))^'DCF'!$E$19)+'Equity Bridge'!$E$17)/'Equity Bridge'!$E$20</x:f>
        <x:v>307.0563958590742</x:v>
      </x:c>
      <x:c r="X391" s="255" t="n">
        <x:v>0.6517836308588478</x:v>
      </x:c>
      <x:c r="Y391" s="255" t="n">
        <x:v>0.39128151835764</x:v>
      </x:c>
      <x:c r="Z391" s="255" t="n">
        <x:v>0.18608259172714625</x:v>
      </x:c>
      <x:c r="AA391" s="255" t="n">
        <x:v>0.3011054260758743</x:v>
      </x:c>
      <x:c r="AB391" s="255" t="n">
        <x:v>0.37881247329475254</x:v>
      </x:c>
    </x:row>
    <x:row r="392" ht="24" customHeight="1">
      <x:c r="C392" s="256" t="n">
        <x:f>361</x:f>
        <x:v>361</x:v>
      </x:c>
      <x:c r="D392" s="258" t="n">
        <x:f>IF(X392&lt;($E$12-$D$12)/($F$12-$D$12),$D$12+SQRT(X392*($F$12-$D$12)*($E$12-$D$12)),$F$12-SQRT((1-X392)*($F$12-$D$12)*($F$12-$E$12)))</x:f>
        <x:v>0.15094092518982724</x:v>
      </x:c>
      <x:c r="E392" s="258" t="n">
        <x:f>IF(Y392&lt;($E$13-$D$13)/($F$13-$D$13),$D$13+SQRT(Y392*($F$13-$D$13)*($E$13-$D$13)),$F$13-SQRT((1-Y392)*($F$13-$D$13)*($F$13-$E$13)))</x:f>
        <x:v>-0.003770263149091284</x:v>
      </x:c>
      <x:c r="F392" s="260" t="n">
        <x:f>IF(Z392&lt;($E$14-$D$14)/($F$14-$D$14),$D$14+SQRT(Z392*($F$14-$D$14)*($E$14-$D$14)),$F$14-SQRT((1-Z392)*($F$14-$D$14)*($F$14-$E$14)))</x:f>
        <x:v>0.9639170601230453</x:v>
      </x:c>
      <x:c r="G392" s="258" t="n">
        <x:f>IF(AA392&lt;($E$15-$D$15)/($F$15-$D$15),$D$15+SQRT(AA392*($F$15-$D$15)*($E$15-$D$15)),$F$15-SQRT((1-AA392)*($F$15-$D$15)*($F$15-$E$15)))</x:f>
        <x:v>0.08567623996236004</x:v>
      </x:c>
      <x:c r="H392" s="258" t="n">
        <x:f>IF(AB392&lt;($E$16-$D$16)/($F$16-$D$16),$D$16+SQRT(AB392*($F$16-$D$16)*($E$16-$D$16)),$F$16-SQRT((1-AB392)*($F$16-$D$16)*($F$16-$E$16)))</x:f>
        <x:v>0.028654493449145405</x:v>
      </x:c>
      <x:c r="I392" s="262" t="n">
        <x:f>'Historical Inputs'!$N$9*(1+D392)^5</x:f>
        <x:v>670181.7403121517</x:v>
      </x:c>
      <x:c r="J392" s="262" t="n">
        <x:f>I392*(1+H392)*('Terminal Value'!$E$10+E392)*(1-'Assumptions'!$E$15)*(1-H392/'Terminal Value'!$E$12)</x:f>
        <x:v>187215.54028690036</x:v>
      </x:c>
      <x:c r="K392" s="264" t="n">
        <x:f>((SUM((('Historical Inputs'!$N$9*(1+(D392))^1)*(('Assumptions'!E37+(E392))*(1-'Assumptions'!E42-(0))+'Assumptions'!E47-'Assumptions'!E52*(F392)+'Assumptions'!E57-'Assumptions'!E62*(1)-'Assumptions'!E67-(0))+('Working Capital'!$E$6))*'DCF'!E12/(1+(G392))^'DCF'!E13,(('Historical Inputs'!$N$9*(1+(D392))^2)*(('Assumptions'!F37+(E392))*(1-'Assumptions'!F42-(0))+'Assumptions'!F47-'Assumptions'!F52*(F392)+'Assumptions'!F57-'Assumptions'!F62*(1)-'Assumptions'!F67-(0))+(('Historical Inputs'!$N$9*(1+(D392))^1)*('Assumptions'!E67+(0))))*'DCF'!F12/(1+(G392))^'DCF'!F13,(('Historical Inputs'!$N$9*(1+(D392))^3)*(('Assumptions'!G37+(E392))*(1-'Assumptions'!G42-(0))+'Assumptions'!G47-'Assumptions'!G52*(F392)+'Assumptions'!G57-'Assumptions'!G62*(1)-'Assumptions'!G67-(0))+(('Historical Inputs'!$N$9*(1+(D392))^2)*('Assumptions'!F67+(0))))*'DCF'!G12/(1+(G392))^'DCF'!G13,(('Historical Inputs'!$N$9*(1+(D392))^4)*(('Assumptions'!H37+(E392))*(1-'Assumptions'!H42-(0))+'Assumptions'!H47-'Assumptions'!H52*(F392)+'Assumptions'!H57-'Assumptions'!H62*(1)-'Assumptions'!H67-(0))+(('Historical Inputs'!$N$9*(1+(D392))^3)*('Assumptions'!G67+(0))))*'DCF'!H12/(1+(G392))^'DCF'!H13,(('Historical Inputs'!$N$9*(1+(D392))^5)*(('Assumptions'!I37+(E392))*(1-'Assumptions'!I42-(0))+'Assumptions'!I47-'Assumptions'!I52*(F392)+'Assumptions'!I57-'Assumptions'!I62*(1)-'Assumptions'!I67-(0))+(('Historical Inputs'!$N$9*(1+(D392))^4)*('Assumptions'!H67+(0))))*'DCF'!I12/(1+(G392))^'DCF'!I13)+('Historical Inputs'!$N$9*(1+(D392))^5)*(1+(H392))*('Terminal Value'!$E$10+(E392))*(1-'Assumptions'!$E$15-(0))*(1-(H392)/('Terminal Value'!$E$12))/((G392)-(H392))/(1+(G392))^'DCF'!$E$19)+'Equity Bridge'!$E$17)/'Equity Bridge'!$E$20</x:f>
        <x:v>359.43388224681536</x:v>
      </x:c>
      <x:c r="X392" s="255" t="n">
        <x:v>0.6418695930946469</x:v>
      </x:c>
      <x:c r="Y392" s="255" t="n">
        <x:v>0.4274377138608535</x:v>
      </x:c>
      <x:c r="Z392" s="255" t="n">
        <x:v>0.2471827921348101</x:v>
      </x:c>
      <x:c r="AA392" s="255" t="n">
        <x:v>0.014290311248290055</x:v>
      </x:c>
      <x:c r="AB392" s="255" t="n">
        <x:v>0.37450128430650365</x:v>
      </x:c>
    </x:row>
    <x:row r="393" ht="24" customHeight="1">
      <x:c r="C393" s="256" t="n">
        <x:f>362</x:f>
        <x:v>362</x:v>
      </x:c>
      <x:c r="D393" s="258" t="n">
        <x:f>IF(X393&lt;($E$12-$D$12)/($F$12-$D$12),$D$12+SQRT(X393*($F$12-$D$12)*($E$12-$D$12)),$F$12-SQRT((1-X393)*($F$12-$D$12)*($F$12-$E$12)))</x:f>
        <x:v>0.14357574590107094</x:v>
      </x:c>
      <x:c r="E393" s="258" t="n">
        <x:f>IF(Y393&lt;($E$13-$D$13)/($F$13-$D$13),$D$13+SQRT(Y393*($F$13-$D$13)*($E$13-$D$13)),$F$13-SQRT((1-Y393)*($F$13-$D$13)*($F$13-$E$13)))</x:f>
        <x:v>-0.021981059726675523</x:v>
      </x:c>
      <x:c r="F393" s="260" t="n">
        <x:f>IF(Z393&lt;($E$14-$D$14)/($F$14-$D$14),$D$14+SQRT(Z393*($F$14-$D$14)*($E$14-$D$14)),$F$14-SQRT((1-Z393)*($F$14-$D$14)*($F$14-$E$14)))</x:f>
        <x:v>0.9716459554615611</x:v>
      </x:c>
      <x:c r="G393" s="258" t="n">
        <x:f>IF(AA393&lt;($E$15-$D$15)/($F$15-$D$15),$D$15+SQRT(AA393*($F$15-$D$15)*($E$15-$D$15)),$F$15-SQRT((1-AA393)*($F$15-$D$15)*($F$15-$E$15)))</x:f>
        <x:v>0.09853541666447845</x:v>
      </x:c>
      <x:c r="H393" s="258" t="n">
        <x:f>IF(AB393&lt;($E$16-$D$16)/($F$16-$D$16),$D$16+SQRT(AB393*($F$16-$D$16)*($E$16-$D$16)),$F$16-SQRT((1-AB393)*($F$16-$D$16)*($F$16-$E$16)))</x:f>
        <x:v>0.030013011361319876</x:v>
      </x:c>
      <x:c r="I393" s="262" t="n">
        <x:f>'Historical Inputs'!$N$9*(1+D393)^5</x:f>
        <x:v>649011.0709198337</x:v>
      </x:c>
      <x:c r="J393" s="262" t="n">
        <x:f>I393*(1+H393)*('Terminal Value'!$E$10+E393)*(1-'Assumptions'!$E$15)*(1-H393/'Terminal Value'!$E$12)</x:f>
        <x:v>171824.08817785094</x:v>
      </x:c>
      <x:c r="K393" s="264" t="n">
        <x:f>((SUM((('Historical Inputs'!$N$9*(1+(D393))^1)*(('Assumptions'!E37+(E393))*(1-'Assumptions'!E42-(0))+'Assumptions'!E47-'Assumptions'!E52*(F393)+'Assumptions'!E57-'Assumptions'!E62*(1)-'Assumptions'!E67-(0))+('Working Capital'!$E$6))*'DCF'!E12/(1+(G393))^'DCF'!E13,(('Historical Inputs'!$N$9*(1+(D393))^2)*(('Assumptions'!F37+(E393))*(1-'Assumptions'!F42-(0))+'Assumptions'!F47-'Assumptions'!F52*(F393)+'Assumptions'!F57-'Assumptions'!F62*(1)-'Assumptions'!F67-(0))+(('Historical Inputs'!$N$9*(1+(D393))^1)*('Assumptions'!E67+(0))))*'DCF'!F12/(1+(G393))^'DCF'!F13,(('Historical Inputs'!$N$9*(1+(D393))^3)*(('Assumptions'!G37+(E393))*(1-'Assumptions'!G42-(0))+'Assumptions'!G47-'Assumptions'!G52*(F393)+'Assumptions'!G57-'Assumptions'!G62*(1)-'Assumptions'!G67-(0))+(('Historical Inputs'!$N$9*(1+(D393))^2)*('Assumptions'!F67+(0))))*'DCF'!G12/(1+(G393))^'DCF'!G13,(('Historical Inputs'!$N$9*(1+(D393))^4)*(('Assumptions'!H37+(E393))*(1-'Assumptions'!H42-(0))+'Assumptions'!H47-'Assumptions'!H52*(F393)+'Assumptions'!H57-'Assumptions'!H62*(1)-'Assumptions'!H67-(0))+(('Historical Inputs'!$N$9*(1+(D393))^3)*('Assumptions'!G67+(0))))*'DCF'!H12/(1+(G393))^'DCF'!H13,(('Historical Inputs'!$N$9*(1+(D393))^5)*(('Assumptions'!I37+(E393))*(1-'Assumptions'!I42-(0))+'Assumptions'!I47-'Assumptions'!I52*(F393)+'Assumptions'!I57-'Assumptions'!I62*(1)-'Assumptions'!I67-(0))+(('Historical Inputs'!$N$9*(1+(D393))^4)*('Assumptions'!H67+(0))))*'DCF'!I12/(1+(G393))^'DCF'!I13)+('Historical Inputs'!$N$9*(1+(D393))^5)*(1+(H393))*('Terminal Value'!$E$10+(E393))*(1-'Assumptions'!$E$15-(0))*(1-(H393)/('Terminal Value'!$E$12))/((G393)-(H393))/(1+(G393))^'DCF'!$E$19)+'Equity Bridge'!$E$17)/'Equity Bridge'!$E$20</x:f>
        <x:v>268.87613146089996</x:v>
      </x:c>
      <x:c r="X393" s="255" t="n">
        <x:v>0.506354164493073</x:v>
      </x:c>
      <x:c r="Y393" s="255" t="n">
        <x:v>0.15701220280802486</x:v>
      </x:c>
      <x:c r="Z393" s="255" t="n">
        <x:v>0.28186168533630684</x:v>
      </x:c>
      <x:c r="AA393" s="255" t="n">
        <x:v>0.5259896861695387</x:v>
      </x:c>
      <x:c r="AB393" s="255" t="n">
        <x:v>0.5013002896543708</x:v>
      </x:c>
    </x:row>
    <x:row r="394" ht="24" customHeight="1">
      <x:c r="C394" s="256" t="n">
        <x:f>363</x:f>
        <x:v>363</x:v>
      </x:c>
      <x:c r="D394" s="258" t="n">
        <x:f>IF(X394&lt;($E$12-$D$12)/($F$12-$D$12),$D$12+SQRT(X394*($F$12-$D$12)*($E$12-$D$12)),$F$12-SQRT((1-X394)*($F$12-$D$12)*($F$12-$E$12)))</x:f>
        <x:v>0.15941531118210384</x:v>
      </x:c>
      <x:c r="E394" s="258" t="n">
        <x:f>IF(Y394&lt;($E$13-$D$13)/($F$13-$D$13),$D$13+SQRT(Y394*($F$13-$D$13)*($E$13-$D$13)),$F$13-SQRT((1-Y394)*($F$13-$D$13)*($F$13-$E$13)))</x:f>
        <x:v>-0.007165905136552311</x:v>
      </x:c>
      <x:c r="F394" s="260" t="n">
        <x:f>IF(Z394&lt;($E$14-$D$14)/($F$14-$D$14),$D$14+SQRT(Z394*($F$14-$D$14)*($E$14-$D$14)),$F$14-SQRT((1-Z394)*($F$14-$D$14)*($F$14-$E$14)))</x:f>
        <x:v>0.9734127813838729</x:v>
      </x:c>
      <x:c r="G394" s="258" t="n">
        <x:f>IF(AA394&lt;($E$15-$D$15)/($F$15-$D$15),$D$15+SQRT(AA394*($F$15-$D$15)*($E$15-$D$15)),$F$15-SQRT((1-AA394)*($F$15-$D$15)*($F$15-$E$15)))</x:f>
        <x:v>0.10513703693241638</x:v>
      </x:c>
      <x:c r="H394" s="258" t="n">
        <x:f>IF(AB394&lt;($E$16-$D$16)/($F$16-$D$16),$D$16+SQRT(AB394*($F$16-$D$16)*($E$16-$D$16)),$F$16-SQRT((1-AB394)*($F$16-$D$16)*($F$16-$E$16)))</x:f>
        <x:v>0.031542126940278845</x:v>
      </x:c>
      <x:c r="I394" s="262" t="n">
        <x:f>'Historical Inputs'!$N$9*(1+D394)^5</x:f>
        <x:v>695220.5207957184</x:v>
      </x:c>
      <x:c r="J394" s="262" t="n">
        <x:f>I394*(1+H394)*('Terminal Value'!$E$10+E394)*(1-'Assumptions'!$E$15)*(1-H394/'Terminal Value'!$E$12)</x:f>
        <x:v>189832.2650922705</x:v>
      </x:c>
      <x:c r="K394" s="264" t="n">
        <x:f>((SUM((('Historical Inputs'!$N$9*(1+(D394))^1)*(('Assumptions'!E37+(E394))*(1-'Assumptions'!E42-(0))+'Assumptions'!E47-'Assumptions'!E52*(F394)+'Assumptions'!E57-'Assumptions'!E62*(1)-'Assumptions'!E67-(0))+('Working Capital'!$E$6))*'DCF'!E12/(1+(G394))^'DCF'!E13,(('Historical Inputs'!$N$9*(1+(D394))^2)*(('Assumptions'!F37+(E394))*(1-'Assumptions'!F42-(0))+'Assumptions'!F47-'Assumptions'!F52*(F394)+'Assumptions'!F57-'Assumptions'!F62*(1)-'Assumptions'!F67-(0))+(('Historical Inputs'!$N$9*(1+(D394))^1)*('Assumptions'!E67+(0))))*'DCF'!F12/(1+(G394))^'DCF'!F13,(('Historical Inputs'!$N$9*(1+(D394))^3)*(('Assumptions'!G37+(E394))*(1-'Assumptions'!G42-(0))+'Assumptions'!G47-'Assumptions'!G52*(F394)+'Assumptions'!G57-'Assumptions'!G62*(1)-'Assumptions'!G67-(0))+(('Historical Inputs'!$N$9*(1+(D394))^2)*('Assumptions'!F67+(0))))*'DCF'!G12/(1+(G394))^'DCF'!G13,(('Historical Inputs'!$N$9*(1+(D394))^4)*(('Assumptions'!H37+(E394))*(1-'Assumptions'!H42-(0))+'Assumptions'!H47-'Assumptions'!H52*(F394)+'Assumptions'!H57-'Assumptions'!H62*(1)-'Assumptions'!H67-(0))+(('Historical Inputs'!$N$9*(1+(D394))^3)*('Assumptions'!G67+(0))))*'DCF'!H12/(1+(G394))^'DCF'!H13,(('Historical Inputs'!$N$9*(1+(D394))^5)*(('Assumptions'!I37+(E394))*(1-'Assumptions'!I42-(0))+'Assumptions'!I47-'Assumptions'!I52*(F394)+'Assumptions'!I57-'Assumptions'!I62*(1)-'Assumptions'!I67-(0))+(('Historical Inputs'!$N$9*(1+(D394))^4)*('Assumptions'!H67+(0))))*'DCF'!I12/(1+(G394))^'DCF'!I13)+('Historical Inputs'!$N$9*(1+(D394))^5)*(1+(H394))*('Terminal Value'!$E$10+(E394))*(1-'Assumptions'!$E$15-(0))*(1-(H394)/('Terminal Value'!$E$12))/((G394)-(H394))/(1+(G394))^'DCF'!$E$19)+'Equity Bridge'!$E$17)/'Equity Bridge'!$E$20</x:f>
        <x:v>273.66304968018375</x:v>
      </x:c>
      <x:c r="X394" s="255" t="n">
        <x:v>0.7709477241381845</x:v>
      </x:c>
      <x:c r="Y394" s="255" t="n">
        <x:v>0.36695193655416714</x:v>
      </x:c>
      <x:c r="Z394" s="255" t="n">
        <x:v>0.2901088496934021</x:v>
      </x:c>
      <x:c r="AA394" s="255" t="n">
        <x:v>0.8576592692391715</x:v>
      </x:c>
      <x:c r="AB394" s="255" t="n">
        <x:v>0.6423219165282152</x:v>
      </x:c>
    </x:row>
    <x:row r="395" ht="24" customHeight="1">
      <x:c r="C395" s="256" t="n">
        <x:f>364</x:f>
        <x:v>364</x:v>
      </x:c>
      <x:c r="D395" s="258" t="n">
        <x:f>IF(X395&lt;($E$12-$D$12)/($F$12-$D$12),$D$12+SQRT(X395*($F$12-$D$12)*($E$12-$D$12)),$F$12-SQRT((1-X395)*($F$12-$D$12)*($F$12-$E$12)))</x:f>
        <x:v>0.1339008391826777</x:v>
      </x:c>
      <x:c r="E395" s="258" t="n">
        <x:f>IF(Y395&lt;($E$13-$D$13)/($F$13-$D$13),$D$13+SQRT(Y395*($F$13-$D$13)*($E$13-$D$13)),$F$13-SQRT((1-Y395)*($F$13-$D$13)*($F$13-$E$13)))</x:f>
        <x:v>0.01185449368774863</x:v>
      </x:c>
      <x:c r="F395" s="260" t="n">
        <x:f>IF(Z395&lt;($E$14-$D$14)/($F$14-$D$14),$D$14+SQRT(Z395*($F$14-$D$14)*($E$14-$D$14)),$F$14-SQRT((1-Z395)*($F$14-$D$14)*($F$14-$E$14)))</x:f>
        <x:v>0.9508863912329003</x:v>
      </x:c>
      <x:c r="G395" s="258" t="n">
        <x:f>IF(AA395&lt;($E$15-$D$15)/($F$15-$D$15),$D$15+SQRT(AA395*($F$15-$D$15)*($E$15-$D$15)),$F$15-SQRT((1-AA395)*($F$15-$D$15)*($F$15-$E$15)))</x:f>
        <x:v>0.10120987291230868</x:v>
      </x:c>
      <x:c r="H395" s="258" t="n">
        <x:f>IF(AB395&lt;($E$16-$D$16)/($F$16-$D$16),$D$16+SQRT(AB395*($F$16-$D$16)*($E$16-$D$16)),$F$16-SQRT((1-AB395)*($F$16-$D$16)*($F$16-$E$16)))</x:f>
        <x:v>0.030299937758454173</x:v>
      </x:c>
      <x:c r="I395" s="262" t="n">
        <x:f>'Historical Inputs'!$N$9*(1+D395)^5</x:f>
        <x:v>622017.7951770651</x:v>
      </x:c>
      <x:c r="J395" s="262" t="n">
        <x:f>I395*(1+H395)*('Terminal Value'!$E$10+E395)*(1-'Assumptions'!$E$15)*(1-H395/'Terminal Value'!$E$12)</x:f>
        <x:v>179164.63325164327</x:v>
      </x:c>
      <x:c r="K395" s="264" t="n">
        <x:f>((SUM((('Historical Inputs'!$N$9*(1+(D395))^1)*(('Assumptions'!E37+(E395))*(1-'Assumptions'!E42-(0))+'Assumptions'!E47-'Assumptions'!E52*(F395)+'Assumptions'!E57-'Assumptions'!E62*(1)-'Assumptions'!E67-(0))+('Working Capital'!$E$6))*'DCF'!E12/(1+(G395))^'DCF'!E13,(('Historical Inputs'!$N$9*(1+(D395))^2)*(('Assumptions'!F37+(E395))*(1-'Assumptions'!F42-(0))+'Assumptions'!F47-'Assumptions'!F52*(F395)+'Assumptions'!F57-'Assumptions'!F62*(1)-'Assumptions'!F67-(0))+(('Historical Inputs'!$N$9*(1+(D395))^1)*('Assumptions'!E67+(0))))*'DCF'!F12/(1+(G395))^'DCF'!F13,(('Historical Inputs'!$N$9*(1+(D395))^3)*(('Assumptions'!G37+(E395))*(1-'Assumptions'!G42-(0))+'Assumptions'!G47-'Assumptions'!G52*(F395)+'Assumptions'!G57-'Assumptions'!G62*(1)-'Assumptions'!G67-(0))+(('Historical Inputs'!$N$9*(1+(D395))^2)*('Assumptions'!F67+(0))))*'DCF'!G12/(1+(G395))^'DCF'!G13,(('Historical Inputs'!$N$9*(1+(D395))^4)*(('Assumptions'!H37+(E395))*(1-'Assumptions'!H42-(0))+'Assumptions'!H47-'Assumptions'!H52*(F395)+'Assumptions'!H57-'Assumptions'!H62*(1)-'Assumptions'!H67-(0))+(('Historical Inputs'!$N$9*(1+(D395))^3)*('Assumptions'!G67+(0))))*'DCF'!H12/(1+(G395))^'DCF'!H13,(('Historical Inputs'!$N$9*(1+(D395))^5)*(('Assumptions'!I37+(E395))*(1-'Assumptions'!I42-(0))+'Assumptions'!I47-'Assumptions'!I52*(F395)+'Assumptions'!I57-'Assumptions'!I62*(1)-'Assumptions'!I67-(0))+(('Historical Inputs'!$N$9*(1+(D395))^4)*('Assumptions'!H67+(0))))*'DCF'!I12/(1+(G395))^'DCF'!I13)+('Historical Inputs'!$N$9*(1+(D395))^5)*(1+(H395))*('Terminal Value'!$E$10+(E395))*(1-'Assumptions'!$E$15-(0))*(1-(H395)/('Terminal Value'!$E$12))/((G395)-(H395))/(1+(G395))^'DCF'!$E$19)+'Equity Bridge'!$E$17)/'Equity Bridge'!$E$20</x:f>
        <x:v>274.05049371067315</x:v>
      </x:c>
      <x:c r="X395" s="255" t="n">
        <x:v>0.33038397786366214</x:v>
      </x:c>
      <x:c r="Y395" s="255" t="n">
        <x:v>0.7089840696363982</x:v>
      </x:c>
      <x:c r="Z395" s="255" t="n">
        <x:v>0.19386788449519687</x:v>
      </x:c>
      <x:c r="AA395" s="255" t="n">
        <x:v>0.6836961247942343</x:v>
      </x:c>
      <x:c r="AB395" s="255" t="n">
        <x:v>0.5295439625506849</x:v>
      </x:c>
    </x:row>
    <x:row r="396" ht="24" customHeight="1">
      <x:c r="C396" s="256" t="n">
        <x:f>365</x:f>
        <x:v>365</x:v>
      </x:c>
      <x:c r="D396" s="258" t="n">
        <x:f>IF(X396&lt;($E$12-$D$12)/($F$12-$D$12),$D$12+SQRT(X396*($F$12-$D$12)*($E$12-$D$12)),$F$12-SQRT((1-X396)*($F$12-$D$12)*($F$12-$E$12)))</x:f>
        <x:v>0.16338691024707058</x:v>
      </x:c>
      <x:c r="E396" s="258" t="n">
        <x:f>IF(Y396&lt;($E$13-$D$13)/($F$13-$D$13),$D$13+SQRT(Y396*($F$13-$D$13)*($E$13-$D$13)),$F$13-SQRT((1-Y396)*($F$13-$D$13)*($F$13-$E$13)))</x:f>
        <x:v>-0.03258021092192012</x:v>
      </x:c>
      <x:c r="F396" s="260" t="n">
        <x:f>IF(Z396&lt;($E$14-$D$14)/($F$14-$D$14),$D$14+SQRT(Z396*($F$14-$D$14)*($E$14-$D$14)),$F$14-SQRT((1-Z396)*($F$14-$D$14)*($F$14-$E$14)))</x:f>
        <x:v>0.9187406484736813</x:v>
      </x:c>
      <x:c r="G396" s="258" t="n">
        <x:f>IF(AA396&lt;($E$15-$D$15)/($F$15-$D$15),$D$15+SQRT(AA396*($F$15-$D$15)*($E$15-$D$15)),$F$15-SQRT((1-AA396)*($F$15-$D$15)*($F$15-$E$15)))</x:f>
        <x:v>0.09065925280369318</x:v>
      </x:c>
      <x:c r="H396" s="258" t="n">
        <x:f>IF(AB396&lt;($E$16-$D$16)/($F$16-$D$16),$D$16+SQRT(AB396*($F$16-$D$16)*($E$16-$D$16)),$F$16-SQRT((1-AB396)*($F$16-$D$16)*($F$16-$E$16)))</x:f>
        <x:v>0.030683870397707085</x:v>
      </x:c>
      <x:c r="I396" s="262" t="n">
        <x:f>'Historical Inputs'!$N$9*(1+D396)^5</x:f>
        <x:v>707209.8343276702</x:v>
      </x:c>
      <x:c r="J396" s="262" t="n">
        <x:f>I396*(1+H396)*('Terminal Value'!$E$10+E396)*(1-'Assumptions'!$E$15)*(1-H396/'Terminal Value'!$E$12)</x:f>
        <x:v>181382.18870125248</x:v>
      </x:c>
      <x:c r="K396" s="264" t="n">
        <x:f>((SUM((('Historical Inputs'!$N$9*(1+(D396))^1)*(('Assumptions'!E37+(E396))*(1-'Assumptions'!E42-(0))+'Assumptions'!E47-'Assumptions'!E52*(F396)+'Assumptions'!E57-'Assumptions'!E62*(1)-'Assumptions'!E67-(0))+('Working Capital'!$E$6))*'DCF'!E12/(1+(G396))^'DCF'!E13,(('Historical Inputs'!$N$9*(1+(D396))^2)*(('Assumptions'!F37+(E396))*(1-'Assumptions'!F42-(0))+'Assumptions'!F47-'Assumptions'!F52*(F396)+'Assumptions'!F57-'Assumptions'!F62*(1)-'Assumptions'!F67-(0))+(('Historical Inputs'!$N$9*(1+(D396))^1)*('Assumptions'!E67+(0))))*'DCF'!F12/(1+(G396))^'DCF'!F13,(('Historical Inputs'!$N$9*(1+(D396))^3)*(('Assumptions'!G37+(E396))*(1-'Assumptions'!G42-(0))+'Assumptions'!G47-'Assumptions'!G52*(F396)+'Assumptions'!G57-'Assumptions'!G62*(1)-'Assumptions'!G67-(0))+(('Historical Inputs'!$N$9*(1+(D396))^2)*('Assumptions'!F67+(0))))*'DCF'!G12/(1+(G396))^'DCF'!G13,(('Historical Inputs'!$N$9*(1+(D396))^4)*(('Assumptions'!H37+(E396))*(1-'Assumptions'!H42-(0))+'Assumptions'!H47-'Assumptions'!H52*(F396)+'Assumptions'!H57-'Assumptions'!H62*(1)-'Assumptions'!H67-(0))+(('Historical Inputs'!$N$9*(1+(D396))^3)*('Assumptions'!G67+(0))))*'DCF'!H12/(1+(G396))^'DCF'!H13,(('Historical Inputs'!$N$9*(1+(D396))^5)*(('Assumptions'!I37+(E396))*(1-'Assumptions'!I42-(0))+'Assumptions'!I47-'Assumptions'!I52*(F396)+'Assumptions'!I57-'Assumptions'!I62*(1)-'Assumptions'!I67-(0))+(('Historical Inputs'!$N$9*(1+(D396))^4)*('Assumptions'!H67+(0))))*'DCF'!I12/(1+(G396))^'DCF'!I13)+('Historical Inputs'!$N$9*(1+(D396))^5)*(1+(H396))*('Terminal Value'!$E$10+(E396))*(1-'Assumptions'!$E$15-(0))*(1-(H396)/('Terminal Value'!$E$12))/((G396)-(H396))/(1+(G396))^'DCF'!$E$19)+'Equity Bridge'!$E$17)/'Equity Bridge'!$E$20</x:f>
        <x:v>328.2868610727249</x:v>
      </x:c>
      <x:c r="X396" s="255" t="n">
        <x:v>0.821555286851776</x:v>
      </x:c>
      <x:c r="Y396" s="255" t="n">
        <x:v>0.060689810304958236</x:v>
      </x:c>
      <x:c r="Z396" s="255" t="n">
        <x:v>0.09000527147775683</x:v>
      </x:c>
      <x:c r="AA396" s="255" t="n">
        <x:v>0.12563024283789648</x:v>
      </x:c>
      <x:c r="AB396" s="255" t="n">
        <x:v>0.5660486461664083</x:v>
      </x:c>
    </x:row>
    <x:row r="397" ht="24" customHeight="1">
      <x:c r="C397" s="256" t="n">
        <x:f>366</x:f>
        <x:v>366</x:v>
      </x:c>
      <x:c r="D397" s="258" t="n">
        <x:f>IF(X397&lt;($E$12-$D$12)/($F$12-$D$12),$D$12+SQRT(X397*($F$12-$D$12)*($E$12-$D$12)),$F$12-SQRT((1-X397)*($F$12-$D$12)*($F$12-$E$12)))</x:f>
        <x:v>0.12095679154380173</x:v>
      </x:c>
      <x:c r="E397" s="258" t="n">
        <x:f>IF(Y397&lt;($E$13-$D$13)/($F$13-$D$13),$D$13+SQRT(Y397*($F$13-$D$13)*($E$13-$D$13)),$F$13-SQRT((1-Y397)*($F$13-$D$13)*($F$13-$E$13)))</x:f>
        <x:v>0.016655058581082294</x:v>
      </x:c>
      <x:c r="F397" s="260" t="n">
        <x:f>IF(Z397&lt;($E$14-$D$14)/($F$14-$D$14),$D$14+SQRT(Z397*($F$14-$D$14)*($E$14-$D$14)),$F$14-SQRT((1-Z397)*($F$14-$D$14)*($F$14-$E$14)))</x:f>
        <x:v>1.0533049445985674</x:v>
      </x:c>
      <x:c r="G397" s="258" t="n">
        <x:f>IF(AA397&lt;($E$15-$D$15)/($F$15-$D$15),$D$15+SQRT(AA397*($F$15-$D$15)*($E$15-$D$15)),$F$15-SQRT((1-AA397)*($F$15-$D$15)*($F$15-$E$15)))</x:f>
        <x:v>0.10185213031943402</x:v>
      </x:c>
      <x:c r="H397" s="258" t="n">
        <x:f>IF(AB397&lt;($E$16-$D$16)/($F$16-$D$16),$D$16+SQRT(AB397*($F$16-$D$16)*($E$16-$D$16)),$F$16-SQRT((1-AB397)*($F$16-$D$16)*($F$16-$E$16)))</x:f>
        <x:v>0.02405740431123125</x:v>
      </x:c>
      <x:c r="I397" s="262" t="n">
        <x:f>'Historical Inputs'!$N$9*(1+D397)^5</x:f>
        <x:v>587315.9412554224</x:v>
      </x:c>
      <x:c r="J397" s="262" t="n">
        <x:f>I397*(1+H397)*('Terminal Value'!$E$10+E397)*(1-'Assumptions'!$E$15)*(1-H397/'Terminal Value'!$E$12)</x:f>
        <x:v>176361.48052608917</x:v>
      </x:c>
      <x:c r="K397" s="264" t="n">
        <x:f>((SUM((('Historical Inputs'!$N$9*(1+(D397))^1)*(('Assumptions'!E37+(E397))*(1-'Assumptions'!E42-(0))+'Assumptions'!E47-'Assumptions'!E52*(F397)+'Assumptions'!E57-'Assumptions'!E62*(1)-'Assumptions'!E67-(0))+('Working Capital'!$E$6))*'DCF'!E12/(1+(G397))^'DCF'!E13,(('Historical Inputs'!$N$9*(1+(D397))^2)*(('Assumptions'!F37+(E397))*(1-'Assumptions'!F42-(0))+'Assumptions'!F47-'Assumptions'!F52*(F397)+'Assumptions'!F57-'Assumptions'!F62*(1)-'Assumptions'!F67-(0))+(('Historical Inputs'!$N$9*(1+(D397))^1)*('Assumptions'!E67+(0))))*'DCF'!F12/(1+(G397))^'DCF'!F13,(('Historical Inputs'!$N$9*(1+(D397))^3)*(('Assumptions'!G37+(E397))*(1-'Assumptions'!G42-(0))+'Assumptions'!G47-'Assumptions'!G52*(F397)+'Assumptions'!G57-'Assumptions'!G62*(1)-'Assumptions'!G67-(0))+(('Historical Inputs'!$N$9*(1+(D397))^2)*('Assumptions'!F67+(0))))*'DCF'!G12/(1+(G397))^'DCF'!G13,(('Historical Inputs'!$N$9*(1+(D397))^4)*(('Assumptions'!H37+(E397))*(1-'Assumptions'!H42-(0))+'Assumptions'!H47-'Assumptions'!H52*(F397)+'Assumptions'!H57-'Assumptions'!H62*(1)-'Assumptions'!H67-(0))+(('Historical Inputs'!$N$9*(1+(D397))^3)*('Assumptions'!G67+(0))))*'DCF'!H12/(1+(G397))^'DCF'!H13,(('Historical Inputs'!$N$9*(1+(D397))^5)*(('Assumptions'!I37+(E397))*(1-'Assumptions'!I42-(0))+'Assumptions'!I47-'Assumptions'!I52*(F397)+'Assumptions'!I57-'Assumptions'!I62*(1)-'Assumptions'!I67-(0))+(('Historical Inputs'!$N$9*(1+(D397))^4)*('Assumptions'!H67+(0))))*'DCF'!I12/(1+(G397))^'DCF'!I13)+('Historical Inputs'!$N$9*(1+(D397))^5)*(1+(H397))*('Terminal Value'!$E$10+(E397))*(1-'Assumptions'!$E$15-(0))*(1-(H397)/('Terminal Value'!$E$12))/((G397)-(H397))/(1+(G397))^'DCF'!$E$19)+'Equity Bridge'!$E$17)/'Equity Bridge'!$E$20</x:f>
        <x:v>243.77665488499258</x:v>
      </x:c>
      <x:c r="X397" s="255" t="n">
        <x:v>0.15345544848321346</x:v>
      </x:c>
      <x:c r="Y397" s="255" t="n">
        <x:v>0.7776229763537893</x:v>
      </x:c>
      <x:c r="Z397" s="255" t="n">
        <x:v>0.6925794388681515</x:v>
      </x:c>
      <x:c r="AA397" s="255" t="n">
        <x:v>0.716834802044944</x:v>
      </x:c>
      <x:c r="AB397" s="255" t="n">
        <x:v>0.0823126487239898</x:v>
      </x:c>
    </x:row>
    <x:row r="398" ht="24" customHeight="1">
      <x:c r="C398" s="256" t="n">
        <x:f>367</x:f>
        <x:v>367</x:v>
      </x:c>
      <x:c r="D398" s="258" t="n">
        <x:f>IF(X398&lt;($E$12-$D$12)/($F$12-$D$12),$D$12+SQRT(X398*($F$12-$D$12)*($E$12-$D$12)),$F$12-SQRT((1-X398)*($F$12-$D$12)*($F$12-$E$12)))</x:f>
        <x:v>0.11166260605481114</x:v>
      </x:c>
      <x:c r="E398" s="258" t="n">
        <x:f>IF(Y398&lt;($E$13-$D$13)/($F$13-$D$13),$D$13+SQRT(Y398*($F$13-$D$13)*($E$13-$D$13)),$F$13-SQRT((1-Y398)*($F$13-$D$13)*($F$13-$E$13)))</x:f>
        <x:v>-0.0013622459028467537</x:v>
      </x:c>
      <x:c r="F398" s="260" t="n">
        <x:f>IF(Z398&lt;($E$14-$D$14)/($F$14-$D$14),$D$14+SQRT(Z398*($F$14-$D$14)*($E$14-$D$14)),$F$14-SQRT((1-Z398)*($F$14-$D$14)*($F$14-$E$14)))</x:f>
        <x:v>1.0278856430068508</x:v>
      </x:c>
      <x:c r="G398" s="258" t="n">
        <x:f>IF(AA398&lt;($E$15-$D$15)/($F$15-$D$15),$D$15+SQRT(AA398*($F$15-$D$15)*($E$15-$D$15)),$F$15-SQRT((1-AA398)*($F$15-$D$15)*($F$15-$E$15)))</x:f>
        <x:v>0.10198336427091344</x:v>
      </x:c>
      <x:c r="H398" s="258" t="n">
        <x:f>IF(AB398&lt;($E$16-$D$16)/($F$16-$D$16),$D$16+SQRT(AB398*($F$16-$D$16)*($E$16-$D$16)),$F$16-SQRT((1-AB398)*($F$16-$D$16)*($F$16-$E$16)))</x:f>
        <x:v>0.030720922711184602</x:v>
      </x:c>
      <x:c r="I398" s="262" t="n">
        <x:f>'Historical Inputs'!$N$9*(1+D398)^5</x:f>
        <x:v>563368.3073519733</x:v>
      </x:c>
      <x:c r="J398" s="262" t="n">
        <x:f>I398*(1+H398)*('Terminal Value'!$E$10+E398)*(1-'Assumptions'!$E$15)*(1-H398/'Terminal Value'!$E$12)</x:f>
        <x:v>156738.32652440234</x:v>
      </x:c>
      <x:c r="K398" s="264" t="n">
        <x:f>((SUM((('Historical Inputs'!$N$9*(1+(D398))^1)*(('Assumptions'!E37+(E398))*(1-'Assumptions'!E42-(0))+'Assumptions'!E47-'Assumptions'!E52*(F398)+'Assumptions'!E57-'Assumptions'!E62*(1)-'Assumptions'!E67-(0))+('Working Capital'!$E$6))*'DCF'!E12/(1+(G398))^'DCF'!E13,(('Historical Inputs'!$N$9*(1+(D398))^2)*(('Assumptions'!F37+(E398))*(1-'Assumptions'!F42-(0))+'Assumptions'!F47-'Assumptions'!F52*(F398)+'Assumptions'!F57-'Assumptions'!F62*(1)-'Assumptions'!F67-(0))+(('Historical Inputs'!$N$9*(1+(D398))^1)*('Assumptions'!E67+(0))))*'DCF'!F12/(1+(G398))^'DCF'!F13,(('Historical Inputs'!$N$9*(1+(D398))^3)*(('Assumptions'!G37+(E398))*(1-'Assumptions'!G42-(0))+'Assumptions'!G47-'Assumptions'!G52*(F398)+'Assumptions'!G57-'Assumptions'!G62*(1)-'Assumptions'!G67-(0))+(('Historical Inputs'!$N$9*(1+(D398))^2)*('Assumptions'!F67+(0))))*'DCF'!G12/(1+(G398))^'DCF'!G13,(('Historical Inputs'!$N$9*(1+(D398))^4)*(('Assumptions'!H37+(E398))*(1-'Assumptions'!H42-(0))+'Assumptions'!H47-'Assumptions'!H52*(F398)+'Assumptions'!H57-'Assumptions'!H62*(1)-'Assumptions'!H67-(0))+(('Historical Inputs'!$N$9*(1+(D398))^3)*('Assumptions'!G67+(0))))*'DCF'!H12/(1+(G398))^'DCF'!H13,(('Historical Inputs'!$N$9*(1+(D398))^5)*(('Assumptions'!I37+(E398))*(1-'Assumptions'!I42-(0))+'Assumptions'!I47-'Assumptions'!I52*(F398)+'Assumptions'!I57-'Assumptions'!I62*(1)-'Assumptions'!I67-(0))+(('Historical Inputs'!$N$9*(1+(D398))^4)*('Assumptions'!H67+(0))))*'DCF'!I12/(1+(G398))^'DCF'!I13)+('Historical Inputs'!$N$9*(1+(D398))^5)*(1+(H398))*('Terminal Value'!$E$10+(E398))*(1-'Assumptions'!$E$15-(0))*(1-(H398)/('Terminal Value'!$E$12))/((G398)-(H398))/(1+(G398))^'DCF'!$E$19)+'Equity Bridge'!$E$17)/'Equity Bridge'!$E$20</x:f>
        <x:v>234.51406091254702</x:v>
      </x:c>
      <x:c r="X398" s="255" t="n">
        <x:v>0.06775310616034991</x:v>
      </x:c>
      <x:c r="Y398" s="255" t="n">
        <x:v>0.47312622472302945</x:v>
      </x:c>
      <x:c r="Z398" s="255" t="n">
        <x:v>0.5768092588119261</x:v>
      </x:c>
      <x:c r="AA398" s="255" t="n">
        <x:v>0.7233805310692798</x:v>
      </x:c>
      <x:c r="AB398" s="255" t="n">
        <x:v>0.5694936233409518</x:v>
      </x:c>
    </x:row>
    <x:row r="399" ht="24" customHeight="1">
      <x:c r="C399" s="256" t="n">
        <x:f>368</x:f>
        <x:v>368</x:v>
      </x:c>
      <x:c r="D399" s="258" t="n">
        <x:f>IF(X399&lt;($E$12-$D$12)/($F$12-$D$12),$D$12+SQRT(X399*($F$12-$D$12)*($E$12-$D$12)),$F$12-SQRT((1-X399)*($F$12-$D$12)*($F$12-$E$12)))</x:f>
        <x:v>0.1292959336691967</x:v>
      </x:c>
      <x:c r="E399" s="258" t="n">
        <x:f>IF(Y399&lt;($E$13-$D$13)/($F$13-$D$13),$D$13+SQRT(Y399*($F$13-$D$13)*($E$13-$D$13)),$F$13-SQRT((1-Y399)*($F$13-$D$13)*($F$13-$E$13)))</x:f>
        <x:v>-0.024847100639329364</x:v>
      </x:c>
      <x:c r="F399" s="260" t="n">
        <x:f>IF(Z399&lt;($E$14-$D$14)/($F$14-$D$14),$D$14+SQRT(Z399*($F$14-$D$14)*($E$14-$D$14)),$F$14-SQRT((1-Z399)*($F$14-$D$14)*($F$14-$E$14)))</x:f>
        <x:v>1.035601538904561</x:v>
      </x:c>
      <x:c r="G399" s="258" t="n">
        <x:f>IF(AA399&lt;($E$15-$D$15)/($F$15-$D$15),$D$15+SQRT(AA399*($F$15-$D$15)*($E$15-$D$15)),$F$15-SQRT((1-AA399)*($F$15-$D$15)*($F$15-$E$15)))</x:f>
        <x:v>0.10274641889957632</x:v>
      </x:c>
      <x:c r="H399" s="258" t="n">
        <x:f>IF(AB399&lt;($E$16-$D$16)/($F$16-$D$16),$D$16+SQRT(AB399*($F$16-$D$16)*($E$16-$D$16)),$F$16-SQRT((1-AB399)*($F$16-$D$16)*($F$16-$E$16)))</x:f>
        <x:v>0.035788998391652824</x:v>
      </x:c>
      <x:c r="I399" s="262" t="n">
        <x:f>'Historical Inputs'!$N$9*(1+D399)^5</x:f>
        <x:v>609489.527388458</x:v>
      </x:c>
      <x:c r="J399" s="262" t="n">
        <x:f>I399*(1+H399)*('Terminal Value'!$E$10+E399)*(1-'Assumptions'!$E$15)*(1-H399/'Terminal Value'!$E$12)</x:f>
        <x:v>155563.63773093777</x:v>
      </x:c>
      <x:c r="K399" s="264" t="n">
        <x:f>((SUM((('Historical Inputs'!$N$9*(1+(D399))^1)*(('Assumptions'!E37+(E399))*(1-'Assumptions'!E42-(0))+'Assumptions'!E47-'Assumptions'!E52*(F399)+'Assumptions'!E57-'Assumptions'!E62*(1)-'Assumptions'!E67-(0))+('Working Capital'!$E$6))*'DCF'!E12/(1+(G399))^'DCF'!E13,(('Historical Inputs'!$N$9*(1+(D399))^2)*(('Assumptions'!F37+(E399))*(1-'Assumptions'!F42-(0))+'Assumptions'!F47-'Assumptions'!F52*(F399)+'Assumptions'!F57-'Assumptions'!F62*(1)-'Assumptions'!F67-(0))+(('Historical Inputs'!$N$9*(1+(D399))^1)*('Assumptions'!E67+(0))))*'DCF'!F12/(1+(G399))^'DCF'!F13,(('Historical Inputs'!$N$9*(1+(D399))^3)*(('Assumptions'!G37+(E399))*(1-'Assumptions'!G42-(0))+'Assumptions'!G47-'Assumptions'!G52*(F399)+'Assumptions'!G57-'Assumptions'!G62*(1)-'Assumptions'!G67-(0))+(('Historical Inputs'!$N$9*(1+(D399))^2)*('Assumptions'!F67+(0))))*'DCF'!G12/(1+(G399))^'DCF'!G13,(('Historical Inputs'!$N$9*(1+(D399))^4)*(('Assumptions'!H37+(E399))*(1-'Assumptions'!H42-(0))+'Assumptions'!H47-'Assumptions'!H52*(F399)+'Assumptions'!H57-'Assumptions'!H62*(1)-'Assumptions'!H67-(0))+(('Historical Inputs'!$N$9*(1+(D399))^3)*('Assumptions'!G67+(0))))*'DCF'!H12/(1+(G399))^'DCF'!H13,(('Historical Inputs'!$N$9*(1+(D399))^5)*(('Assumptions'!I37+(E399))*(1-'Assumptions'!I42-(0))+'Assumptions'!I47-'Assumptions'!I52*(F399)+'Assumptions'!I57-'Assumptions'!I62*(1)-'Assumptions'!I67-(0))+(('Historical Inputs'!$N$9*(1+(D399))^4)*('Assumptions'!H67+(0))))*'DCF'!I12/(1+(G399))^'DCF'!I13)+('Historical Inputs'!$N$9*(1+(D399))^5)*(1+(H399))*('Terminal Value'!$E$10+(E399))*(1-'Assumptions'!$E$15-(0))*(1-(H399)/('Terminal Value'!$E$12))/((G399)-(H399))/(1+(G399))^'DCF'!$E$19)+'Equity Bridge'!$E$17)/'Equity Bridge'!$E$20</x:f>
        <x:v>242.0497371825288</x:v>
      </x:c>
      <x:c r="X399" s="255" t="n">
        <x:v>0.25976063336751376</x:v>
      </x:c>
      <x:c r="Y399" s="255" t="n">
        <x:v>0.12653366924960507</x:v>
      </x:c>
      <x:c r="Z399" s="255" t="n">
        <x:v>0.6139020855635914</x:v>
      </x:c>
      <x:c r="AA399" s="255" t="n">
        <x:v>0.7599239894668365</x:v>
      </x:c>
      <x:c r="AB399" s="255" t="n">
        <x:v>0.9113373272724876</x:v>
      </x:c>
    </x:row>
    <x:row r="400" ht="24" customHeight="1">
      <x:c r="C400" s="256" t="n">
        <x:f>369</x:f>
        <x:v>369</x:v>
      </x:c>
      <x:c r="D400" s="258" t="n">
        <x:f>IF(X400&lt;($E$12-$D$12)/($F$12-$D$12),$D$12+SQRT(X400*($F$12-$D$12)*($E$12-$D$12)),$F$12-SQRT((1-X400)*($F$12-$D$12)*($F$12-$E$12)))</x:f>
        <x:v>0.10388547305355757</x:v>
      </x:c>
      <x:c r="E400" s="258" t="n">
        <x:f>IF(Y400&lt;($E$13-$D$13)/($F$13-$D$13),$D$13+SQRT(Y400*($F$13-$D$13)*($E$13-$D$13)),$F$13-SQRT((1-Y400)*($F$13-$D$13)*($F$13-$E$13)))</x:f>
        <x:v>-0.00045565449627364696</x:v>
      </x:c>
      <x:c r="F400" s="260" t="n">
        <x:f>IF(Z400&lt;($E$14-$D$14)/($F$14-$D$14),$D$14+SQRT(Z400*($F$14-$D$14)*($E$14-$D$14)),$F$14-SQRT((1-Z400)*($F$14-$D$14)*($F$14-$E$14)))</x:f>
        <x:v>0.8950872093340734</x:v>
      </x:c>
      <x:c r="G400" s="258" t="n">
        <x:f>IF(AA400&lt;($E$15-$D$15)/($F$15-$D$15),$D$15+SQRT(AA400*($F$15-$D$15)*($E$15-$D$15)),$F$15-SQRT((1-AA400)*($F$15-$D$15)*($F$15-$E$15)))</x:f>
        <x:v>0.08626283940025484</x:v>
      </x:c>
      <x:c r="H400" s="258" t="n">
        <x:f>IF(AB400&lt;($E$16-$D$16)/($F$16-$D$16),$D$16+SQRT(AB400*($F$16-$D$16)*($E$16-$D$16)),$F$16-SQRT((1-AB400)*($F$16-$D$16)*($F$16-$E$16)))</x:f>
        <x:v>0.02770892442777155</x:v>
      </x:c>
      <x:c r="I400" s="262" t="n">
        <x:f>'Historical Inputs'!$N$9*(1+D400)^5</x:f>
        <x:v>543935.6410828535</x:v>
      </x:c>
      <x:c r="J400" s="262" t="n">
        <x:f>I400*(1+H400)*('Terminal Value'!$E$10+E400)*(1-'Assumptions'!$E$15)*(1-H400/'Terminal Value'!$E$12)</x:f>
        <x:v>153923.66897970776</x:v>
      </x:c>
      <x:c r="K400" s="264" t="n">
        <x:f>((SUM((('Historical Inputs'!$N$9*(1+(D400))^1)*(('Assumptions'!E37+(E400))*(1-'Assumptions'!E42-(0))+'Assumptions'!E47-'Assumptions'!E52*(F400)+'Assumptions'!E57-'Assumptions'!E62*(1)-'Assumptions'!E67-(0))+('Working Capital'!$E$6))*'DCF'!E12/(1+(G400))^'DCF'!E13,(('Historical Inputs'!$N$9*(1+(D400))^2)*(('Assumptions'!F37+(E400))*(1-'Assumptions'!F42-(0))+'Assumptions'!F47-'Assumptions'!F52*(F400)+'Assumptions'!F57-'Assumptions'!F62*(1)-'Assumptions'!F67-(0))+(('Historical Inputs'!$N$9*(1+(D400))^1)*('Assumptions'!E67+(0))))*'DCF'!F12/(1+(G400))^'DCF'!F13,(('Historical Inputs'!$N$9*(1+(D400))^3)*(('Assumptions'!G37+(E400))*(1-'Assumptions'!G42-(0))+'Assumptions'!G47-'Assumptions'!G52*(F400)+'Assumptions'!G57-'Assumptions'!G62*(1)-'Assumptions'!G67-(0))+(('Historical Inputs'!$N$9*(1+(D400))^2)*('Assumptions'!F67+(0))))*'DCF'!G12/(1+(G400))^'DCF'!G13,(('Historical Inputs'!$N$9*(1+(D400))^4)*(('Assumptions'!H37+(E400))*(1-'Assumptions'!H42-(0))+'Assumptions'!H47-'Assumptions'!H52*(F400)+'Assumptions'!H57-'Assumptions'!H62*(1)-'Assumptions'!H67-(0))+(('Historical Inputs'!$N$9*(1+(D400))^3)*('Assumptions'!G67+(0))))*'DCF'!H12/(1+(G400))^'DCF'!H13,(('Historical Inputs'!$N$9*(1+(D400))^5)*(('Assumptions'!I37+(E400))*(1-'Assumptions'!I42-(0))+'Assumptions'!I47-'Assumptions'!I52*(F400)+'Assumptions'!I57-'Assumptions'!I62*(1)-'Assumptions'!I67-(0))+(('Historical Inputs'!$N$9*(1+(D400))^4)*('Assumptions'!H67+(0))))*'DCF'!I12/(1+(G400))^'DCF'!I13)+('Historical Inputs'!$N$9*(1+(D400))^5)*(1+(H400))*('Terminal Value'!$E$10+(E400))*(1-'Assumptions'!$E$15-(0))*(1-(H400)/('Terminal Value'!$E$12))/((G400)-(H400))/(1+(G400))^'DCF'!$E$19)+'Equity Bridge'!$E$17)/'Equity Bridge'!$E$20</x:f>
        <x:v>295.3269743131475</x:v>
      </x:c>
      <x:c r="X400" s="255" t="n">
        <x:v>0.022592795099070084</x:v>
      </x:c>
      <x:c r="Y400" s="255" t="n">
        <x:v>0.49092843427852195</x:v>
      </x:c>
      <x:c r="Z400" s="255" t="n">
        <x:v>0.03872107515303913</x:v>
      </x:c>
      <x:c r="AA400" s="255" t="n">
        <x:v>0.02166626574005681</x:v>
      </x:c>
      <x:c r="AB400" s="255" t="n">
        <x:v>0.2971375791654649</x:v>
      </x:c>
    </x:row>
    <x:row r="401" ht="24" customHeight="1">
      <x:c r="C401" s="256" t="n">
        <x:f>370</x:f>
        <x:v>370</x:v>
      </x:c>
      <x:c r="D401" s="258" t="n">
        <x:f>IF(X401&lt;($E$12-$D$12)/($F$12-$D$12),$D$12+SQRT(X401*($F$12-$D$12)*($E$12-$D$12)),$F$12-SQRT((1-X401)*($F$12-$D$12)*($F$12-$E$12)))</x:f>
        <x:v>0.13610447577475854</x:v>
      </x:c>
      <x:c r="E401" s="258" t="n">
        <x:f>IF(Y401&lt;($E$13-$D$13)/($F$13-$D$13),$D$13+SQRT(Y401*($F$13-$D$13)*($E$13-$D$13)),$F$13-SQRT((1-Y401)*($F$13-$D$13)*($F$13-$E$13)))</x:f>
        <x:v>-0.005298829716012629</x:v>
      </x:c>
      <x:c r="F401" s="260" t="n">
        <x:f>IF(Z401&lt;($E$14-$D$14)/($F$14-$D$14),$D$14+SQRT(Z401*($F$14-$D$14)*($E$14-$D$14)),$F$14-SQRT((1-Z401)*($F$14-$D$14)*($F$14-$E$14)))</x:f>
        <x:v>0.993979910742065</x:v>
      </x:c>
      <x:c r="G401" s="258" t="n">
        <x:f>IF(AA401&lt;($E$15-$D$15)/($F$15-$D$15),$D$15+SQRT(AA401*($F$15-$D$15)*($E$15-$D$15)),$F$15-SQRT((1-AA401)*($F$15-$D$15)*($F$15-$E$15)))</x:f>
        <x:v>0.09256343031081779</x:v>
      </x:c>
      <x:c r="H401" s="258" t="n">
        <x:f>IF(AB401&lt;($E$16-$D$16)/($F$16-$D$16),$D$16+SQRT(AB401*($F$16-$D$16)*($E$16-$D$16)),$F$16-SQRT((1-AB401)*($F$16-$D$16)*($F$16-$E$16)))</x:f>
        <x:v>0.033050756335417195</x:v>
      </x:c>
      <x:c r="I401" s="262" t="n">
        <x:f>'Historical Inputs'!$N$9*(1+D401)^5</x:f>
        <x:v>628085.5180555084</x:v>
      </x:c>
      <x:c r="J401" s="262" t="n">
        <x:f>I401*(1+H401)*('Terminal Value'!$E$10+E401)*(1-'Assumptions'!$E$15)*(1-H401/'Terminal Value'!$E$12)</x:f>
        <x:v>171022.5198984375</x:v>
      </x:c>
      <x:c r="K401" s="264" t="n">
        <x:f>((SUM((('Historical Inputs'!$N$9*(1+(D401))^1)*(('Assumptions'!E37+(E401))*(1-'Assumptions'!E42-(0))+'Assumptions'!E47-'Assumptions'!E52*(F401)+'Assumptions'!E57-'Assumptions'!E62*(1)-'Assumptions'!E67-(0))+('Working Capital'!$E$6))*'DCF'!E12/(1+(G401))^'DCF'!E13,(('Historical Inputs'!$N$9*(1+(D401))^2)*(('Assumptions'!F37+(E401))*(1-'Assumptions'!F42-(0))+'Assumptions'!F47-'Assumptions'!F52*(F401)+'Assumptions'!F57-'Assumptions'!F62*(1)-'Assumptions'!F67-(0))+(('Historical Inputs'!$N$9*(1+(D401))^1)*('Assumptions'!E67+(0))))*'DCF'!F12/(1+(G401))^'DCF'!F13,(('Historical Inputs'!$N$9*(1+(D401))^3)*(('Assumptions'!G37+(E401))*(1-'Assumptions'!G42-(0))+'Assumptions'!G47-'Assumptions'!G52*(F401)+'Assumptions'!G57-'Assumptions'!G62*(1)-'Assumptions'!G67-(0))+(('Historical Inputs'!$N$9*(1+(D401))^2)*('Assumptions'!F67+(0))))*'DCF'!G12/(1+(G401))^'DCF'!G13,(('Historical Inputs'!$N$9*(1+(D401))^4)*(('Assumptions'!H37+(E401))*(1-'Assumptions'!H42-(0))+'Assumptions'!H47-'Assumptions'!H52*(F401)+'Assumptions'!H57-'Assumptions'!H62*(1)-'Assumptions'!H67-(0))+(('Historical Inputs'!$N$9*(1+(D401))^3)*('Assumptions'!G67+(0))))*'DCF'!H12/(1+(G401))^'DCF'!H13,(('Historical Inputs'!$N$9*(1+(D401))^5)*(('Assumptions'!I37+(E401))*(1-'Assumptions'!I42-(0))+'Assumptions'!I47-'Assumptions'!I52*(F401)+'Assumptions'!I57-'Assumptions'!I62*(1)-'Assumptions'!I67-(0))+(('Historical Inputs'!$N$9*(1+(D401))^4)*('Assumptions'!H67+(0))))*'DCF'!I12/(1+(G401))^'DCF'!I13)+('Historical Inputs'!$N$9*(1+(D401))^5)*(1+(H401))*('Terminal Value'!$E$10+(E401))*(1-'Assumptions'!$E$15-(0))*(1-(H401)/('Terminal Value'!$E$12))/((G401)-(H401))/(1+(G401))^'DCF'!$E$19)+'Equity Bridge'!$E$17)/'Equity Bridge'!$E$20</x:f>
        <x:v>308.41073674430015</x:v>
      </x:c>
      <x:c r="X401" s="255" t="n">
        <x:v>0.36718086197721345</x:v>
      </x:c>
      <x:c r="Y401" s="255" t="n">
        <x:v>0.39963892495160713</x:v>
      </x:c>
      <x:c r="Z401" s="255" t="n">
        <x:v>0.39486123232939097</x:v>
      </x:c>
      <x:c r="AA401" s="255" t="n">
        <x:v>0.19732017551714087</x:v>
      </x:c>
      <x:c r="AB401" s="255" t="n">
        <x:v>0.7585400624512788</x:v>
      </x:c>
    </x:row>
    <x:row r="402" ht="24" customHeight="1">
      <x:c r="C402" s="256" t="n">
        <x:f>371</x:f>
        <x:v>371</x:v>
      </x:c>
      <x:c r="D402" s="258" t="n">
        <x:f>IF(X402&lt;($E$12-$D$12)/($F$12-$D$12),$D$12+SQRT(X402*($F$12-$D$12)*($E$12-$D$12)),$F$12-SQRT((1-X402)*($F$12-$D$12)*($F$12-$E$12)))</x:f>
        <x:v>0.13778591179799055</x:v>
      </x:c>
      <x:c r="E402" s="258" t="n">
        <x:f>IF(Y402&lt;($E$13-$D$13)/($F$13-$D$13),$D$13+SQRT(Y402*($F$13-$D$13)*($E$13-$D$13)),$F$13-SQRT((1-Y402)*($F$13-$D$13)*($F$13-$E$13)))</x:f>
        <x:v>-0.044129678415492764</x:v>
      </x:c>
      <x:c r="F402" s="260" t="n">
        <x:f>IF(Z402&lt;($E$14-$D$14)/($F$14-$D$14),$D$14+SQRT(Z402*($F$14-$D$14)*($E$14-$D$14)),$F$14-SQRT((1-Z402)*($F$14-$D$14)*($F$14-$E$14)))</x:f>
        <x:v>1.008332047390113</x:v>
      </x:c>
      <x:c r="G402" s="258" t="n">
        <x:f>IF(AA402&lt;($E$15-$D$15)/($F$15-$D$15),$D$15+SQRT(AA402*($F$15-$D$15)*($E$15-$D$15)),$F$15-SQRT((1-AA402)*($F$15-$D$15)*($F$15-$E$15)))</x:f>
        <x:v>0.09726893866597322</x:v>
      </x:c>
      <x:c r="H402" s="258" t="n">
        <x:f>IF(AB402&lt;($E$16-$D$16)/($F$16-$D$16),$D$16+SQRT(AB402*($F$16-$D$16)*($E$16-$D$16)),$F$16-SQRT((1-AB402)*($F$16-$D$16)*($F$16-$E$16)))</x:f>
        <x:v>0.024762764642086453</x:v>
      </x:c>
      <x:c r="I402" s="262" t="n">
        <x:f>'Historical Inputs'!$N$9*(1+D402)^5</x:f>
        <x:v>632747.1327409113</x:v>
      </x:c>
      <x:c r="J402" s="262" t="n">
        <x:f>I402*(1+H402)*('Terminal Value'!$E$10+E402)*(1-'Assumptions'!$E$15)*(1-H402/'Terminal Value'!$E$12)</x:f>
        <x:v>161745.3028835872</x:v>
      </x:c>
      <x:c r="K402" s="264" t="n">
        <x:f>((SUM((('Historical Inputs'!$N$9*(1+(D402))^1)*(('Assumptions'!E37+(E402))*(1-'Assumptions'!E42-(0))+'Assumptions'!E47-'Assumptions'!E52*(F402)+'Assumptions'!E57-'Assumptions'!E62*(1)-'Assumptions'!E67-(0))+('Working Capital'!$E$6))*'DCF'!E12/(1+(G402))^'DCF'!E13,(('Historical Inputs'!$N$9*(1+(D402))^2)*(('Assumptions'!F37+(E402))*(1-'Assumptions'!F42-(0))+'Assumptions'!F47-'Assumptions'!F52*(F402)+'Assumptions'!F57-'Assumptions'!F62*(1)-'Assumptions'!F67-(0))+(('Historical Inputs'!$N$9*(1+(D402))^1)*('Assumptions'!E67+(0))))*'DCF'!F12/(1+(G402))^'DCF'!F13,(('Historical Inputs'!$N$9*(1+(D402))^3)*(('Assumptions'!G37+(E402))*(1-'Assumptions'!G42-(0))+'Assumptions'!G47-'Assumptions'!G52*(F402)+'Assumptions'!G57-'Assumptions'!G62*(1)-'Assumptions'!G67-(0))+(('Historical Inputs'!$N$9*(1+(D402))^2)*('Assumptions'!F67+(0))))*'DCF'!G12/(1+(G402))^'DCF'!G13,(('Historical Inputs'!$N$9*(1+(D402))^4)*(('Assumptions'!H37+(E402))*(1-'Assumptions'!H42-(0))+'Assumptions'!H47-'Assumptions'!H52*(F402)+'Assumptions'!H57-'Assumptions'!H62*(1)-'Assumptions'!H67-(0))+(('Historical Inputs'!$N$9*(1+(D402))^3)*('Assumptions'!G67+(0))))*'DCF'!H12/(1+(G402))^'DCF'!H13,(('Historical Inputs'!$N$9*(1+(D402))^5)*(('Assumptions'!I37+(E402))*(1-'Assumptions'!I42-(0))+'Assumptions'!I47-'Assumptions'!I52*(F402)+'Assumptions'!I57-'Assumptions'!I62*(1)-'Assumptions'!I67-(0))+(('Historical Inputs'!$N$9*(1+(D402))^4)*('Assumptions'!H67+(0))))*'DCF'!I12/(1+(G402))^'DCF'!I13)+('Historical Inputs'!$N$9*(1+(D402))^5)*(1+(H402))*('Terminal Value'!$E$10+(E402))*(1-'Assumptions'!$E$15-(0))*(1-(H402)/('Terminal Value'!$E$12))/((G402)-(H402))/(1+(G402))^'DCF'!$E$19)+'Equity Bridge'!$E$17)/'Equity Bridge'!$E$20</x:f>
        <x:v>238.50568571816524</x:v>
      </x:c>
      <x:c r="X402" s="255" t="n">
        <x:v>0.3965644084265063</x:v>
      </x:c>
      <x:c r="Y402" s="255" t="n">
        <x:v>0.0068921351011063114</x:v>
      </x:c>
      <x:c r="Z402" s="255" t="n">
        <x:v>0.475191370604773</x:v>
      </x:c>
      <x:c r="AA402" s="255" t="n">
        <x:v>0.4435921612948609</x:v>
      </x:c>
      <x:c r="AB402" s="255" t="n">
        <x:v>0.11341963517954456</x:v>
      </x:c>
    </x:row>
    <x:row r="403" ht="24" customHeight="1">
      <x:c r="C403" s="256" t="n">
        <x:f>372</x:f>
        <x:v>372</x:v>
      </x:c>
      <x:c r="D403" s="258" t="n">
        <x:f>IF(X403&lt;($E$12-$D$12)/($F$12-$D$12),$D$12+SQRT(X403*($F$12-$D$12)*($E$12-$D$12)),$F$12-SQRT((1-X403)*($F$12-$D$12)*($F$12-$E$12)))</x:f>
        <x:v>0.11290044415759208</x:v>
      </x:c>
      <x:c r="E403" s="258" t="n">
        <x:f>IF(Y403&lt;($E$13-$D$13)/($F$13-$D$13),$D$13+SQRT(Y403*($F$13-$D$13)*($E$13-$D$13)),$F$13-SQRT((1-Y403)*($F$13-$D$13)*($F$13-$E$13)))</x:f>
        <x:v>-0.028880587426410448</x:v>
      </x:c>
      <x:c r="F403" s="260" t="n">
        <x:f>IF(Z403&lt;($E$14-$D$14)/($F$14-$D$14),$D$14+SQRT(Z403*($F$14-$D$14)*($E$14-$D$14)),$F$14-SQRT((1-Z403)*($F$14-$D$14)*($F$14-$E$14)))</x:f>
        <x:v>1.0691914066738226</x:v>
      </x:c>
      <x:c r="G403" s="258" t="n">
        <x:f>IF(AA403&lt;($E$15-$D$15)/($F$15-$D$15),$D$15+SQRT(AA403*($F$15-$D$15)*($E$15-$D$15)),$F$15-SQRT((1-AA403)*($F$15-$D$15)*($F$15-$E$15)))</x:f>
        <x:v>0.09139642572145289</x:v>
      </x:c>
      <x:c r="H403" s="258" t="n">
        <x:f>IF(AB403&lt;($E$16-$D$16)/($F$16-$D$16),$D$16+SQRT(AB403*($F$16-$D$16)*($E$16-$D$16)),$F$16-SQRT((1-AB403)*($F$16-$D$16)*($F$16-$E$16)))</x:f>
        <x:v>0.02857328808386783</x:v>
      </x:c>
      <x:c r="I403" s="262" t="n">
        <x:f>'Historical Inputs'!$N$9*(1+D403)^5</x:f>
        <x:v>566511.8578473503</x:v>
      </x:c>
      <x:c r="J403" s="262" t="n">
        <x:f>I403*(1+H403)*('Terminal Value'!$E$10+E403)*(1-'Assumptions'!$E$15)*(1-H403/'Terminal Value'!$E$12)</x:f>
        <x:v>148284.72113486708</x:v>
      </x:c>
      <x:c r="K403" s="264" t="n">
        <x:f>((SUM((('Historical Inputs'!$N$9*(1+(D403))^1)*(('Assumptions'!E37+(E403))*(1-'Assumptions'!E42-(0))+'Assumptions'!E47-'Assumptions'!E52*(F403)+'Assumptions'!E57-'Assumptions'!E62*(1)-'Assumptions'!E67-(0))+('Working Capital'!$E$6))*'DCF'!E12/(1+(G403))^'DCF'!E13,(('Historical Inputs'!$N$9*(1+(D403))^2)*(('Assumptions'!F37+(E403))*(1-'Assumptions'!F42-(0))+'Assumptions'!F47-'Assumptions'!F52*(F403)+'Assumptions'!F57-'Assumptions'!F62*(1)-'Assumptions'!F67-(0))+(('Historical Inputs'!$N$9*(1+(D403))^1)*('Assumptions'!E67+(0))))*'DCF'!F12/(1+(G403))^'DCF'!F13,(('Historical Inputs'!$N$9*(1+(D403))^3)*(('Assumptions'!G37+(E403))*(1-'Assumptions'!G42-(0))+'Assumptions'!G47-'Assumptions'!G52*(F403)+'Assumptions'!G57-'Assumptions'!G62*(1)-'Assumptions'!G67-(0))+(('Historical Inputs'!$N$9*(1+(D403))^2)*('Assumptions'!F67+(0))))*'DCF'!G12/(1+(G403))^'DCF'!G13,(('Historical Inputs'!$N$9*(1+(D403))^4)*(('Assumptions'!H37+(E403))*(1-'Assumptions'!H42-(0))+'Assumptions'!H47-'Assumptions'!H52*(F403)+'Assumptions'!H57-'Assumptions'!H62*(1)-'Assumptions'!H67-(0))+(('Historical Inputs'!$N$9*(1+(D403))^3)*('Assumptions'!G67+(0))))*'DCF'!H12/(1+(G403))^'DCF'!H13,(('Historical Inputs'!$N$9*(1+(D403))^5)*(('Assumptions'!I37+(E403))*(1-'Assumptions'!I42-(0))+'Assumptions'!I47-'Assumptions'!I52*(F403)+'Assumptions'!I57-'Assumptions'!I62*(1)-'Assumptions'!I67-(0))+(('Historical Inputs'!$N$9*(1+(D403))^4)*('Assumptions'!H67+(0))))*'DCF'!I12/(1+(G403))^'DCF'!I13)+('Historical Inputs'!$N$9*(1+(D403))^5)*(1+(H403))*('Terminal Value'!$E$10+(E403))*(1-'Assumptions'!$E$15-(0))*(1-(H403)/('Terminal Value'!$E$12))/((G403)-(H403))/(1+(G403))^'DCF'!$E$19)+'Equity Bridge'!$E$17)/'Equity Bridge'!$E$20</x:f>
        <x:v>251.33696125350153</x:v>
      </x:c>
      <x:c r="X403" s="255" t="n">
        <x:v>0.07717280817900729</x:v>
      </x:c>
      <x:c r="Y403" s="255" t="n">
        <x:v>0.0892059174906985</x:v>
      </x:c>
      <x:c r="Z403" s="255" t="n">
        <x:v>0.7555587416003825</x:v>
      </x:c>
      <x:c r="AA403" s="255" t="n">
        <x:v>0.1514721506275286</x:v>
      </x:c>
      <x:c r="AB403" s="255" t="n">
        <x:v>0.36750634284495065</x:v>
      </x:c>
    </x:row>
    <x:row r="404" ht="24" customHeight="1">
      <x:c r="C404" s="256" t="n">
        <x:f>373</x:f>
        <x:v>373</x:v>
      </x:c>
      <x:c r="D404" s="258" t="n">
        <x:f>IF(X404&lt;($E$12-$D$12)/($F$12-$D$12),$D$12+SQRT(X404*($F$12-$D$12)*($E$12-$D$12)),$F$12-SQRT((1-X404)*($F$12-$D$12)*($F$12-$E$12)))</x:f>
        <x:v>0.1696835895734631</x:v>
      </x:c>
      <x:c r="E404" s="258" t="n">
        <x:f>IF(Y404&lt;($E$13-$D$13)/($F$13-$D$13),$D$13+SQRT(Y404*($F$13-$D$13)*($E$13-$D$13)),$F$13-SQRT((1-Y404)*($F$13-$D$13)*($F$13-$E$13)))</x:f>
        <x:v>0.0029413512766812075</x:v>
      </x:c>
      <x:c r="F404" s="260" t="n">
        <x:f>IF(Z404&lt;($E$14-$D$14)/($F$14-$D$14),$D$14+SQRT(Z404*($F$14-$D$14)*($E$14-$D$14)),$F$14-SQRT((1-Z404)*($F$14-$D$14)*($F$14-$E$14)))</x:f>
        <x:v>1.0298290310537286</x:v>
      </x:c>
      <x:c r="G404" s="258" t="n">
        <x:f>IF(AA404&lt;($E$15-$D$15)/($F$15-$D$15),$D$15+SQRT(AA404*($F$15-$D$15)*($E$15-$D$15)),$F$15-SQRT((1-AA404)*($F$15-$D$15)*($F$15-$E$15)))</x:f>
        <x:v>0.08722102886297912</x:v>
      </x:c>
      <x:c r="H404" s="258" t="n">
        <x:f>IF(AB404&lt;($E$16-$D$16)/($F$16-$D$16),$D$16+SQRT(AB404*($F$16-$D$16)*($E$16-$D$16)),$F$16-SQRT((1-AB404)*($F$16-$D$16)*($F$16-$E$16)))</x:f>
        <x:v>0.02959747126069326</x:v>
      </x:c>
      <x:c r="I404" s="262" t="n">
        <x:f>'Historical Inputs'!$N$9*(1+D404)^5</x:f>
        <x:v>726556.529995824</x:v>
      </x:c>
      <x:c r="J404" s="262" t="n">
        <x:f>I404*(1+H404)*('Terminal Value'!$E$10+E404)*(1-'Assumptions'!$E$15)*(1-H404/'Terminal Value'!$E$12)</x:f>
        <x:v>205454.06709031187</x:v>
      </x:c>
      <x:c r="K404" s="264" t="n">
        <x:f>((SUM((('Historical Inputs'!$N$9*(1+(D404))^1)*(('Assumptions'!E37+(E404))*(1-'Assumptions'!E42-(0))+'Assumptions'!E47-'Assumptions'!E52*(F404)+'Assumptions'!E57-'Assumptions'!E62*(1)-'Assumptions'!E67-(0))+('Working Capital'!$E$6))*'DCF'!E12/(1+(G404))^'DCF'!E13,(('Historical Inputs'!$N$9*(1+(D404))^2)*(('Assumptions'!F37+(E404))*(1-'Assumptions'!F42-(0))+'Assumptions'!F47-'Assumptions'!F52*(F404)+'Assumptions'!F57-'Assumptions'!F62*(1)-'Assumptions'!F67-(0))+(('Historical Inputs'!$N$9*(1+(D404))^1)*('Assumptions'!E67+(0))))*'DCF'!F12/(1+(G404))^'DCF'!F13,(('Historical Inputs'!$N$9*(1+(D404))^3)*(('Assumptions'!G37+(E404))*(1-'Assumptions'!G42-(0))+'Assumptions'!G47-'Assumptions'!G52*(F404)+'Assumptions'!G57-'Assumptions'!G62*(1)-'Assumptions'!G67-(0))+(('Historical Inputs'!$N$9*(1+(D404))^2)*('Assumptions'!F67+(0))))*'DCF'!G12/(1+(G404))^'DCF'!G13,(('Historical Inputs'!$N$9*(1+(D404))^4)*(('Assumptions'!H37+(E404))*(1-'Assumptions'!H42-(0))+'Assumptions'!H47-'Assumptions'!H52*(F404)+'Assumptions'!H57-'Assumptions'!H62*(1)-'Assumptions'!H67-(0))+(('Historical Inputs'!$N$9*(1+(D404))^3)*('Assumptions'!G67+(0))))*'DCF'!H12/(1+(G404))^'DCF'!H13,(('Historical Inputs'!$N$9*(1+(D404))^5)*(('Assumptions'!I37+(E404))*(1-'Assumptions'!I42-(0))+'Assumptions'!I47-'Assumptions'!I52*(F404)+'Assumptions'!I57-'Assumptions'!I62*(1)-'Assumptions'!I67-(0))+(('Historical Inputs'!$N$9*(1+(D404))^4)*('Assumptions'!H67+(0))))*'DCF'!I12/(1+(G404))^'DCF'!I13)+('Historical Inputs'!$N$9*(1+(D404))^5)*(1+(H404))*('Terminal Value'!$E$10+(E404))*(1-'Assumptions'!$E$15-(0))*(1-(H404)/('Terminal Value'!$E$12))/((G404)-(H404))/(1+(G404))^'DCF'!$E$19)+'Equity Bridge'!$E$17)/'Equity Bridge'!$E$20</x:f>
        <x:v>383.3109697477868</x:v>
      </x:c>
      <x:c r="X404" s="255" t="n">
        <x:v>0.8888586583664698</x:v>
      </x:c>
      <x:c r="Y404" s="255" t="n">
        <x:v>0.5570967160670574</x:v>
      </x:c>
      <x:c r="Z404" s="255" t="n">
        <x:v>0.586312018969816</x:v>
      </x:c>
      <x:c r="AA404" s="255" t="n">
        <x:v>0.0370039612048223</x:v>
      </x:c>
      <x:c r="AB404" s="255" t="n">
        <x:v>0.4605572729991655</x:v>
      </x:c>
    </x:row>
    <x:row r="405" ht="24" customHeight="1">
      <x:c r="C405" s="256" t="n">
        <x:f>374</x:f>
        <x:v>374</x:v>
      </x:c>
      <x:c r="D405" s="258" t="n">
        <x:f>IF(X405&lt;($E$12-$D$12)/($F$12-$D$12),$D$12+SQRT(X405*($F$12-$D$12)*($E$12-$D$12)),$F$12-SQRT((1-X405)*($F$12-$D$12)*($F$12-$E$12)))</x:f>
        <x:v>0.17091488607944585</x:v>
      </x:c>
      <x:c r="E405" s="258" t="n">
        <x:f>IF(Y405&lt;($E$13-$D$13)/($F$13-$D$13),$D$13+SQRT(Y405*($F$13-$D$13)*($E$13-$D$13)),$F$13-SQRT((1-Y405)*($F$13-$D$13)*($F$13-$E$13)))</x:f>
        <x:v>0.015671003618600944</x:v>
      </x:c>
      <x:c r="F405" s="260" t="n">
        <x:f>IF(Z405&lt;($E$14-$D$14)/($F$14-$D$14),$D$14+SQRT(Z405*($F$14-$D$14)*($E$14-$D$14)),$F$14-SQRT((1-Z405)*($F$14-$D$14)*($F$14-$E$14)))</x:f>
        <x:v>0.9935795612142924</x:v>
      </x:c>
      <x:c r="G405" s="258" t="n">
        <x:f>IF(AA405&lt;($E$15-$D$15)/($F$15-$D$15),$D$15+SQRT(AA405*($F$15-$D$15)*($E$15-$D$15)),$F$15-SQRT((1-AA405)*($F$15-$D$15)*($F$15-$E$15)))</x:f>
        <x:v>0.09616802083585091</x:v>
      </x:c>
      <x:c r="H405" s="258" t="n">
        <x:f>IF(AB405&lt;($E$16-$D$16)/($F$16-$D$16),$D$16+SQRT(AB405*($F$16-$D$16)*($E$16-$D$16)),$F$16-SQRT((1-AB405)*($F$16-$D$16)*($F$16-$E$16)))</x:f>
        <x:v>0.03684084269202386</x:v>
      </x:c>
      <x:c r="I405" s="262" t="n">
        <x:f>'Historical Inputs'!$N$9*(1+D405)^5</x:f>
        <x:v>730388.7285838161</x:v>
      </x:c>
      <x:c r="J405" s="262" t="n">
        <x:f>I405*(1+H405)*('Terminal Value'!$E$10+E405)*(1-'Assumptions'!$E$15)*(1-H405/'Terminal Value'!$E$12)</x:f>
        <x:v>205441.100985303</x:v>
      </x:c>
      <x:c r="K405" s="264" t="n">
        <x:f>((SUM((('Historical Inputs'!$N$9*(1+(D405))^1)*(('Assumptions'!E37+(E405))*(1-'Assumptions'!E42-(0))+'Assumptions'!E47-'Assumptions'!E52*(F405)+'Assumptions'!E57-'Assumptions'!E62*(1)-'Assumptions'!E67-(0))+('Working Capital'!$E$6))*'DCF'!E12/(1+(G405))^'DCF'!E13,(('Historical Inputs'!$N$9*(1+(D405))^2)*(('Assumptions'!F37+(E405))*(1-'Assumptions'!F42-(0))+'Assumptions'!F47-'Assumptions'!F52*(F405)+'Assumptions'!F57-'Assumptions'!F62*(1)-'Assumptions'!F67-(0))+(('Historical Inputs'!$N$9*(1+(D405))^1)*('Assumptions'!E67+(0))))*'DCF'!F12/(1+(G405))^'DCF'!F13,(('Historical Inputs'!$N$9*(1+(D405))^3)*(('Assumptions'!G37+(E405))*(1-'Assumptions'!G42-(0))+'Assumptions'!G47-'Assumptions'!G52*(F405)+'Assumptions'!G57-'Assumptions'!G62*(1)-'Assumptions'!G67-(0))+(('Historical Inputs'!$N$9*(1+(D405))^2)*('Assumptions'!F67+(0))))*'DCF'!G12/(1+(G405))^'DCF'!G13,(('Historical Inputs'!$N$9*(1+(D405))^4)*(('Assumptions'!H37+(E405))*(1-'Assumptions'!H42-(0))+'Assumptions'!H47-'Assumptions'!H52*(F405)+'Assumptions'!H57-'Assumptions'!H62*(1)-'Assumptions'!H67-(0))+(('Historical Inputs'!$N$9*(1+(D405))^3)*('Assumptions'!G67+(0))))*'DCF'!H12/(1+(G405))^'DCF'!H13,(('Historical Inputs'!$N$9*(1+(D405))^5)*(('Assumptions'!I37+(E405))*(1-'Assumptions'!I42-(0))+'Assumptions'!I47-'Assumptions'!I52*(F405)+'Assumptions'!I57-'Assumptions'!I62*(1)-'Assumptions'!I67-(0))+(('Historical Inputs'!$N$9*(1+(D405))^4)*('Assumptions'!H67+(0))))*'DCF'!I12/(1+(G405))^'DCF'!I13)+('Historical Inputs'!$N$9*(1+(D405))^5)*(1+(H405))*('Terminal Value'!$E$10+(E405))*(1-'Assumptions'!$E$15-(0))*(1-(H405)/('Terminal Value'!$E$12))/((G405)-(H405))/(1+(G405))^'DCF'!$E$19)+'Equity Bridge'!$E$17)/'Equity Bridge'!$E$20</x:f>
        <x:v>366.2405659651638</x:v>
      </x:c>
      <x:c r="X405" s="255" t="n">
        <x:v>0.9001657940559967</x:v>
      </x:c>
      <x:c r="Y405" s="255" t="n">
        <x:v>0.7643040014891781</x:v>
      </x:c>
      <x:c r="Z405" s="255" t="n">
        <x:v>0.3926683885426423</x:v>
      </x:c>
      <x:c r="AA405" s="255" t="n">
        <x:v>0.37715489949637915</x:v>
      </x:c>
      <x:c r="AB405" s="255" t="n">
        <x:v>0.9500986255173048</x:v>
      </x:c>
    </x:row>
    <x:row r="406" ht="24" customHeight="1">
      <x:c r="C406" s="256" t="n">
        <x:f>375</x:f>
        <x:v>375</x:v>
      </x:c>
      <x:c r="D406" s="258" t="n">
        <x:f>IF(X406&lt;($E$12-$D$12)/($F$12-$D$12),$D$12+SQRT(X406*($F$12-$D$12)*($E$12-$D$12)),$F$12-SQRT((1-X406)*($F$12-$D$12)*($F$12-$E$12)))</x:f>
        <x:v>0.16400838643360033</x:v>
      </x:c>
      <x:c r="E406" s="258" t="n">
        <x:f>IF(Y406&lt;($E$13-$D$13)/($F$13-$D$13),$D$13+SQRT(Y406*($F$13-$D$13)*($E$13-$D$13)),$F$13-SQRT((1-Y406)*($F$13-$D$13)*($F$13-$E$13)))</x:f>
        <x:v>-0.0010854287850058514</x:v>
      </x:c>
      <x:c r="F406" s="260" t="n">
        <x:f>IF(Z406&lt;($E$14-$D$14)/($F$14-$D$14),$D$14+SQRT(Z406*($F$14-$D$14)*($E$14-$D$14)),$F$14-SQRT((1-Z406)*($F$14-$D$14)*($F$14-$E$14)))</x:f>
        <x:v>1.0067496834735212</x:v>
      </x:c>
      <x:c r="G406" s="258" t="n">
        <x:f>IF(AA406&lt;($E$15-$D$15)/($F$15-$D$15),$D$15+SQRT(AA406*($F$15-$D$15)*($E$15-$D$15)),$F$15-SQRT((1-AA406)*($F$15-$D$15)*($F$15-$E$15)))</x:f>
        <x:v>0.09680637860964818</x:v>
      </x:c>
      <x:c r="H406" s="258" t="n">
        <x:f>IF(AB406&lt;($E$16-$D$16)/($F$16-$D$16),$D$16+SQRT(AB406*($F$16-$D$16)*($E$16-$D$16)),$F$16-SQRT((1-AB406)*($F$16-$D$16)*($F$16-$E$16)))</x:f>
        <x:v>0.025183961902527502</x:v>
      </x:c>
      <x:c r="I406" s="262" t="n">
        <x:f>'Historical Inputs'!$N$9*(1+D406)^5</x:f>
        <x:v>709100.79549858</x:v>
      </x:c>
      <x:c r="J406" s="262" t="n">
        <x:f>I406*(1+H406)*('Terminal Value'!$E$10+E406)*(1-'Assumptions'!$E$15)*(1-H406/'Terminal Value'!$E$12)</x:f>
        <x:v>202782.71852216907</x:v>
      </x:c>
      <x:c r="K406" s="264" t="n">
        <x:f>((SUM((('Historical Inputs'!$N$9*(1+(D406))^1)*(('Assumptions'!E37+(E406))*(1-'Assumptions'!E42-(0))+'Assumptions'!E47-'Assumptions'!E52*(F406)+'Assumptions'!E57-'Assumptions'!E62*(1)-'Assumptions'!E67-(0))+('Working Capital'!$E$6))*'DCF'!E12/(1+(G406))^'DCF'!E13,(('Historical Inputs'!$N$9*(1+(D406))^2)*(('Assumptions'!F37+(E406))*(1-'Assumptions'!F42-(0))+'Assumptions'!F47-'Assumptions'!F52*(F406)+'Assumptions'!F57-'Assumptions'!F62*(1)-'Assumptions'!F67-(0))+(('Historical Inputs'!$N$9*(1+(D406))^1)*('Assumptions'!E67+(0))))*'DCF'!F12/(1+(G406))^'DCF'!F13,(('Historical Inputs'!$N$9*(1+(D406))^3)*(('Assumptions'!G37+(E406))*(1-'Assumptions'!G42-(0))+'Assumptions'!G47-'Assumptions'!G52*(F406)+'Assumptions'!G57-'Assumptions'!G62*(1)-'Assumptions'!G67-(0))+(('Historical Inputs'!$N$9*(1+(D406))^2)*('Assumptions'!F67+(0))))*'DCF'!G12/(1+(G406))^'DCF'!G13,(('Historical Inputs'!$N$9*(1+(D406))^4)*(('Assumptions'!H37+(E406))*(1-'Assumptions'!H42-(0))+'Assumptions'!H47-'Assumptions'!H52*(F406)+'Assumptions'!H57-'Assumptions'!H62*(1)-'Assumptions'!H67-(0))+(('Historical Inputs'!$N$9*(1+(D406))^3)*('Assumptions'!G67+(0))))*'DCF'!H12/(1+(G406))^'DCF'!H13,(('Historical Inputs'!$N$9*(1+(D406))^5)*(('Assumptions'!I37+(E406))*(1-'Assumptions'!I42-(0))+'Assumptions'!I47-'Assumptions'!I52*(F406)+'Assumptions'!I57-'Assumptions'!I62*(1)-'Assumptions'!I67-(0))+(('Historical Inputs'!$N$9*(1+(D406))^4)*('Assumptions'!H67+(0))))*'DCF'!I12/(1+(G406))^'DCF'!I13)+('Historical Inputs'!$N$9*(1+(D406))^5)*(1+(H406))*('Terminal Value'!$E$10+(E406))*(1-'Assumptions'!$E$15-(0))*(1-(H406)/('Terminal Value'!$E$12))/((G406)-(H406))/(1+(G406))^'DCF'!$E$19)+'Equity Bridge'!$E$17)/'Equity Bridge'!$E$20</x:f>
        <x:v>304.5923475704552</x:v>
      </x:c>
      <x:c r="X406" s="255" t="n">
        <x:v>0.8289034655358217</x:v>
      </x:c>
      <x:c r="Y406" s="255" t="n">
        <x:v>0.4785270554293468</x:v>
      </x:c>
      <x:c r="Z406" s="255" t="n">
        <x:v>0.4664902166059397</x:v>
      </x:c>
      <x:c r="AA406" s="255" t="n">
        <x:v>0.41502180154813184</x:v>
      </x:c>
      <x:c r="AB406" s="255" t="n">
        <x:v>0.13436730503428296</x:v>
      </x:c>
    </x:row>
    <x:row r="407" ht="24" customHeight="1">
      <x:c r="C407" s="256" t="n">
        <x:f>376</x:f>
        <x:v>376</x:v>
      </x:c>
      <x:c r="D407" s="258" t="n">
        <x:f>IF(X407&lt;($E$12-$D$12)/($F$12-$D$12),$D$12+SQRT(X407*($F$12-$D$12)*($E$12-$D$12)),$F$12-SQRT((1-X407)*($F$12-$D$12)*($F$12-$E$12)))</x:f>
        <x:v>0.1252162028197393</x:v>
      </x:c>
      <x:c r="E407" s="258" t="n">
        <x:f>IF(Y407&lt;($E$13-$D$13)/($F$13-$D$13),$D$13+SQRT(Y407*($F$13-$D$13)*($E$13-$D$13)),$F$13-SQRT((1-Y407)*($F$13-$D$13)*($F$13-$E$13)))</x:f>
        <x:v>-0.01386986404367907</x:v>
      </x:c>
      <x:c r="F407" s="260" t="n">
        <x:f>IF(Z407&lt;($E$14-$D$14)/($F$14-$D$14),$D$14+SQRT(Z407*($F$14-$D$14)*($E$14-$D$14)),$F$14-SQRT((1-Z407)*($F$14-$D$14)*($F$14-$E$14)))</x:f>
        <x:v>1.0245899654287607</x:v>
      </x:c>
      <x:c r="G407" s="258" t="n">
        <x:f>IF(AA407&lt;($E$15-$D$15)/($F$15-$D$15),$D$15+SQRT(AA407*($F$15-$D$15)*($E$15-$D$15)),$F$15-SQRT((1-AA407)*($F$15-$D$15)*($F$15-$E$15)))</x:f>
        <x:v>0.09629240806791853</x:v>
      </x:c>
      <x:c r="H407" s="258" t="n">
        <x:f>IF(AB407&lt;($E$16-$D$16)/($F$16-$D$16),$D$16+SQRT(AB407*($F$16-$D$16)*($E$16-$D$16)),$F$16-SQRT((1-AB407)*($F$16-$D$16)*($F$16-$E$16)))</x:f>
        <x:v>0.027348331175411758</x:v>
      </x:c>
      <x:c r="I407" s="262" t="n">
        <x:f>'Historical Inputs'!$N$9*(1+D407)^5</x:f>
        <x:v>598559.4782462243</x:v>
      </x:c>
      <x:c r="J407" s="262" t="n">
        <x:f>I407*(1+H407)*('Terminal Value'!$E$10+E407)*(1-'Assumptions'!$E$15)*(1-H407/'Terminal Value'!$E$12)</x:f>
        <x:v>163979.47887163117</x:v>
      </x:c>
      <x:c r="K407" s="264" t="n">
        <x:f>((SUM((('Historical Inputs'!$N$9*(1+(D407))^1)*(('Assumptions'!E37+(E407))*(1-'Assumptions'!E42-(0))+'Assumptions'!E47-'Assumptions'!E52*(F407)+'Assumptions'!E57-'Assumptions'!E62*(1)-'Assumptions'!E67-(0))+('Working Capital'!$E$6))*'DCF'!E12/(1+(G407))^'DCF'!E13,(('Historical Inputs'!$N$9*(1+(D407))^2)*(('Assumptions'!F37+(E407))*(1-'Assumptions'!F42-(0))+'Assumptions'!F47-'Assumptions'!F52*(F407)+'Assumptions'!F57-'Assumptions'!F62*(1)-'Assumptions'!F67-(0))+(('Historical Inputs'!$N$9*(1+(D407))^1)*('Assumptions'!E67+(0))))*'DCF'!F12/(1+(G407))^'DCF'!F13,(('Historical Inputs'!$N$9*(1+(D407))^3)*(('Assumptions'!G37+(E407))*(1-'Assumptions'!G42-(0))+'Assumptions'!G47-'Assumptions'!G52*(F407)+'Assumptions'!G57-'Assumptions'!G62*(1)-'Assumptions'!G67-(0))+(('Historical Inputs'!$N$9*(1+(D407))^2)*('Assumptions'!F67+(0))))*'DCF'!G12/(1+(G407))^'DCF'!G13,(('Historical Inputs'!$N$9*(1+(D407))^4)*(('Assumptions'!H37+(E407))*(1-'Assumptions'!H42-(0))+'Assumptions'!H47-'Assumptions'!H52*(F407)+'Assumptions'!H57-'Assumptions'!H62*(1)-'Assumptions'!H67-(0))+(('Historical Inputs'!$N$9*(1+(D407))^3)*('Assumptions'!G67+(0))))*'DCF'!H12/(1+(G407))^'DCF'!H13,(('Historical Inputs'!$N$9*(1+(D407))^5)*(('Assumptions'!I37+(E407))*(1-'Assumptions'!I42-(0))+'Assumptions'!I47-'Assumptions'!I52*(F407)+'Assumptions'!I57-'Assumptions'!I62*(1)-'Assumptions'!I67-(0))+(('Historical Inputs'!$N$9*(1+(D407))^4)*('Assumptions'!H67+(0))))*'DCF'!I12/(1+(G407))^'DCF'!I13)+('Historical Inputs'!$N$9*(1+(D407))^5)*(1+(H407))*('Terminal Value'!$E$10+(E407))*(1-'Assumptions'!$E$15-(0))*(1-(H407)/('Terminal Value'!$E$12))/((G407)-(H407))/(1+(G407))^'DCF'!$E$19)+'Equity Bridge'!$E$17)/'Equity Bridge'!$E$20</x:f>
        <x:v>255.36316126897137</x:v>
      </x:c>
      <x:c r="X407" s="255" t="n">
        <x:v>0.20427784995738396</x:v>
      </x:c>
      <x:c r="Y407" s="255" t="n">
        <x:v>0.2610773448444469</x:v>
      </x:c>
      <x:c r="Z407" s="255" t="n">
        <x:v>0.5604474253102378</x:v>
      </x:c>
      <x:c r="AA407" s="255" t="n">
        <x:v>0.3843913866419476</x:v>
      </x:c>
      <x:c r="AB407" s="255" t="n">
        <x:v>0.26998985531764175</x:v>
      </x:c>
    </x:row>
    <x:row r="408" ht="24" customHeight="1">
      <x:c r="C408" s="256" t="n">
        <x:f>377</x:f>
        <x:v>377</x:v>
      </x:c>
      <x:c r="D408" s="258" t="n">
        <x:f>IF(X408&lt;($E$12-$D$12)/($F$12-$D$12),$D$12+SQRT(X408*($F$12-$D$12)*($E$12-$D$12)),$F$12-SQRT((1-X408)*($F$12-$D$12)*($F$12-$E$12)))</x:f>
        <x:v>0.1299330573327523</x:v>
      </x:c>
      <x:c r="E408" s="258" t="n">
        <x:f>IF(Y408&lt;($E$13-$D$13)/($F$13-$D$13),$D$13+SQRT(Y408*($F$13-$D$13)*($E$13-$D$13)),$F$13-SQRT((1-Y408)*($F$13-$D$13)*($F$13-$E$13)))</x:f>
        <x:v>0.03117529076359326</x:v>
      </x:c>
      <x:c r="F408" s="260" t="n">
        <x:f>IF(Z408&lt;($E$14-$D$14)/($F$14-$D$14),$D$14+SQRT(Z408*($F$14-$D$14)*($E$14-$D$14)),$F$14-SQRT((1-Z408)*($F$14-$D$14)*($F$14-$E$14)))</x:f>
        <x:v>0.9753181627811021</x:v>
      </x:c>
      <x:c r="G408" s="258" t="n">
        <x:f>IF(AA408&lt;($E$15-$D$15)/($F$15-$D$15),$D$15+SQRT(AA408*($F$15-$D$15)*($E$15-$D$15)),$F$15-SQRT((1-AA408)*($F$15-$D$15)*($F$15-$E$15)))</x:f>
        <x:v>0.09883028699648269</x:v>
      </x:c>
      <x:c r="H408" s="258" t="n">
        <x:f>IF(AB408&lt;($E$16-$D$16)/($F$16-$D$16),$D$16+SQRT(AB408*($F$16-$D$16)*($E$16-$D$16)),$F$16-SQRT((1-AB408)*($F$16-$D$16)*($F$16-$E$16)))</x:f>
        <x:v>0.033080867137230935</x:v>
      </x:c>
      <x:c r="I408" s="262" t="n">
        <x:f>'Historical Inputs'!$N$9*(1+D408)^5</x:f>
        <x:v>611210.7706849251</x:v>
      </x:c>
      <x:c r="J408" s="262" t="n">
        <x:f>I408*(1+H408)*('Terminal Value'!$E$10+E408)*(1-'Assumptions'!$E$15)*(1-H408/'Terminal Value'!$E$12)</x:f>
        <x:v>181779.66271004424</x:v>
      </x:c>
      <x:c r="K408" s="264" t="n">
        <x:f>((SUM((('Historical Inputs'!$N$9*(1+(D408))^1)*(('Assumptions'!E37+(E408))*(1-'Assumptions'!E42-(0))+'Assumptions'!E47-'Assumptions'!E52*(F408)+'Assumptions'!E57-'Assumptions'!E62*(1)-'Assumptions'!E67-(0))+('Working Capital'!$E$6))*'DCF'!E12/(1+(G408))^'DCF'!E13,(('Historical Inputs'!$N$9*(1+(D408))^2)*(('Assumptions'!F37+(E408))*(1-'Assumptions'!F42-(0))+'Assumptions'!F47-'Assumptions'!F52*(F408)+'Assumptions'!F57-'Assumptions'!F62*(1)-'Assumptions'!F67-(0))+(('Historical Inputs'!$N$9*(1+(D408))^1)*('Assumptions'!E67+(0))))*'DCF'!F12/(1+(G408))^'DCF'!F13,(('Historical Inputs'!$N$9*(1+(D408))^3)*(('Assumptions'!G37+(E408))*(1-'Assumptions'!G42-(0))+'Assumptions'!G47-'Assumptions'!G52*(F408)+'Assumptions'!G57-'Assumptions'!G62*(1)-'Assumptions'!G67-(0))+(('Historical Inputs'!$N$9*(1+(D408))^2)*('Assumptions'!F67+(0))))*'DCF'!G12/(1+(G408))^'DCF'!G13,(('Historical Inputs'!$N$9*(1+(D408))^4)*(('Assumptions'!H37+(E408))*(1-'Assumptions'!H42-(0))+'Assumptions'!H47-'Assumptions'!H52*(F408)+'Assumptions'!H57-'Assumptions'!H62*(1)-'Assumptions'!H67-(0))+(('Historical Inputs'!$N$9*(1+(D408))^3)*('Assumptions'!G67+(0))))*'DCF'!H12/(1+(G408))^'DCF'!H13,(('Historical Inputs'!$N$9*(1+(D408))^5)*(('Assumptions'!I37+(E408))*(1-'Assumptions'!I42-(0))+'Assumptions'!I47-'Assumptions'!I52*(F408)+'Assumptions'!I57-'Assumptions'!I62*(1)-'Assumptions'!I67-(0))+(('Historical Inputs'!$N$9*(1+(D408))^4)*('Assumptions'!H67+(0))))*'DCF'!I12/(1+(G408))^'DCF'!I13)+('Historical Inputs'!$N$9*(1+(D408))^5)*(1+(H408))*('Terminal Value'!$E$10+(E408))*(1-'Assumptions'!$E$15-(0))*(1-(H408)/('Terminal Value'!$E$12))/((G408)-(H408))/(1+(G408))^'DCF'!$E$19)+'Equity Bridge'!$E$17)/'Equity Bridge'!$E$20</x:f>
        <x:v>298.6678858321245</x:v>
      </x:c>
      <x:c r="X408" s="255" t="n">
        <x:v>0.269026316097669</x:v>
      </x:c>
      <x:c r="Y408" s="255" t="n">
        <x:v>0.9291260644329485</x:v>
      </x:c>
      <x:c r="Z408" s="255" t="n">
        <x:v>0.2991360366253488</x:v>
      </x:c>
      <x:c r="AA408" s="255" t="n">
        <x:v>0.5449367660519757</x:v>
      </x:c>
      <x:c r="AB408" s="255" t="n">
        <x:v>0.7606280021367458</x:v>
      </x:c>
    </x:row>
    <x:row r="409" ht="24" customHeight="1">
      <x:c r="C409" s="256" t="n">
        <x:f>378</x:f>
        <x:v>378</x:v>
      </x:c>
      <x:c r="D409" s="258" t="n">
        <x:f>IF(X409&lt;($E$12-$D$12)/($F$12-$D$12),$D$12+SQRT(X409*($F$12-$D$12)*($E$12-$D$12)),$F$12-SQRT((1-X409)*($F$12-$D$12)*($F$12-$E$12)))</x:f>
        <x:v>0.14209483953887492</x:v>
      </x:c>
      <x:c r="E409" s="258" t="n">
        <x:f>IF(Y409&lt;($E$13-$D$13)/($F$13-$D$13),$D$13+SQRT(Y409*($F$13-$D$13)*($E$13-$D$13)),$F$13-SQRT((1-Y409)*($F$13-$D$13)*($F$13-$E$13)))</x:f>
        <x:v>0.01621100516963806</x:v>
      </x:c>
      <x:c r="F409" s="260" t="n">
        <x:f>IF(Z409&lt;($E$14-$D$14)/($F$14-$D$14),$D$14+SQRT(Z409*($F$14-$D$14)*($E$14-$D$14)),$F$14-SQRT((1-Z409)*($F$14-$D$14)*($F$14-$E$14)))</x:f>
        <x:v>0.9801962787926781</x:v>
      </x:c>
      <x:c r="G409" s="258" t="n">
        <x:f>IF(AA409&lt;($E$15-$D$15)/($F$15-$D$15),$D$15+SQRT(AA409*($F$15-$D$15)*($E$15-$D$15)),$F$15-SQRT((1-AA409)*($F$15-$D$15)*($F$15-$E$15)))</x:f>
        <x:v>0.1026154794823275</x:v>
      </x:c>
      <x:c r="H409" s="258" t="n">
        <x:f>IF(AB409&lt;($E$16-$D$16)/($F$16-$D$16),$D$16+SQRT(AB409*($F$16-$D$16)*($E$16-$D$16)),$F$16-SQRT((1-AB409)*($F$16-$D$16)*($F$16-$E$16)))</x:f>
        <x:v>0.028601819495126815</x:v>
      </x:c>
      <x:c r="I409" s="262" t="n">
        <x:f>'Historical Inputs'!$N$9*(1+D409)^5</x:f>
        <x:v>644819.6626247787</x:v>
      </x:c>
      <x:c r="J409" s="262" t="n">
        <x:f>I409*(1+H409)*('Terminal Value'!$E$10+E409)*(1-'Assumptions'!$E$15)*(1-H409/'Terminal Value'!$E$12)</x:f>
        <x:v>189262.82500259517</x:v>
      </x:c>
      <x:c r="K409" s="264" t="n">
        <x:f>((SUM((('Historical Inputs'!$N$9*(1+(D409))^1)*(('Assumptions'!E37+(E409))*(1-'Assumptions'!E42-(0))+'Assumptions'!E47-'Assumptions'!E52*(F409)+'Assumptions'!E57-'Assumptions'!E62*(1)-'Assumptions'!E67-(0))+('Working Capital'!$E$6))*'DCF'!E12/(1+(G409))^'DCF'!E13,(('Historical Inputs'!$N$9*(1+(D409))^2)*(('Assumptions'!F37+(E409))*(1-'Assumptions'!F42-(0))+'Assumptions'!F47-'Assumptions'!F52*(F409)+'Assumptions'!F57-'Assumptions'!F62*(1)-'Assumptions'!F67-(0))+(('Historical Inputs'!$N$9*(1+(D409))^1)*('Assumptions'!E67+(0))))*'DCF'!F12/(1+(G409))^'DCF'!F13,(('Historical Inputs'!$N$9*(1+(D409))^3)*(('Assumptions'!G37+(E409))*(1-'Assumptions'!G42-(0))+'Assumptions'!G47-'Assumptions'!G52*(F409)+'Assumptions'!G57-'Assumptions'!G62*(1)-'Assumptions'!G67-(0))+(('Historical Inputs'!$N$9*(1+(D409))^2)*('Assumptions'!F67+(0))))*'DCF'!G12/(1+(G409))^'DCF'!G13,(('Historical Inputs'!$N$9*(1+(D409))^4)*(('Assumptions'!H37+(E409))*(1-'Assumptions'!H42-(0))+'Assumptions'!H47-'Assumptions'!H52*(F409)+'Assumptions'!H57-'Assumptions'!H62*(1)-'Assumptions'!H67-(0))+(('Historical Inputs'!$N$9*(1+(D409))^3)*('Assumptions'!G67+(0))))*'DCF'!H12/(1+(G409))^'DCF'!H13,(('Historical Inputs'!$N$9*(1+(D409))^5)*(('Assumptions'!I37+(E409))*(1-'Assumptions'!I42-(0))+'Assumptions'!I47-'Assumptions'!I52*(F409)+'Assumptions'!I57-'Assumptions'!I62*(1)-'Assumptions'!I67-(0))+(('Historical Inputs'!$N$9*(1+(D409))^4)*('Assumptions'!H67+(0))))*'DCF'!I12/(1+(G409))^'DCF'!I13)+('Historical Inputs'!$N$9*(1+(D409))^5)*(1+(H409))*('Terminal Value'!$E$10+(E409))*(1-'Assumptions'!$E$15-(0))*(1-(H409)/('Terminal Value'!$E$12))/((G409)-(H409))/(1+(G409))^'DCF'!$E$19)+'Equity Bridge'!$E$17)/'Equity Bridge'!$E$20</x:f>
        <x:v>275.7046664155255</x:v>
      </x:c>
      <x:c r="X409" s="255" t="n">
        <x:v>0.4770264877900794</x:v>
      </x:c>
      <x:c r="Y409" s="255" t="n">
        <x:v>0.7716607656707548</x:v>
      </x:c>
      <x:c r="Z409" s="255" t="n">
        <x:v>0.32287754307544303</x:v>
      </x:c>
      <x:c r="AA409" s="255" t="n">
        <x:v>0.7538370989216617</x:v>
      </x:c>
      <x:c r="AB409" s="255" t="n">
        <x:v>0.3699564931337189</x:v>
      </x:c>
    </x:row>
    <x:row r="410" ht="24" customHeight="1">
      <x:c r="C410" s="256" t="n">
        <x:f>379</x:f>
        <x:v>379</x:v>
      </x:c>
      <x:c r="D410" s="258" t="n">
        <x:f>IF(X410&lt;($E$12-$D$12)/($F$12-$D$12),$D$12+SQRT(X410*($F$12-$D$12)*($E$12-$D$12)),$F$12-SQRT((1-X410)*($F$12-$D$12)*($F$12-$E$12)))</x:f>
        <x:v>0.12079017758561023</x:v>
      </x:c>
      <x:c r="E410" s="258" t="n">
        <x:f>IF(Y410&lt;($E$13-$D$13)/($F$13-$D$13),$D$13+SQRT(Y410*($F$13-$D$13)*($E$13-$D$13)),$F$13-SQRT((1-Y410)*($F$13-$D$13)*($F$13-$E$13)))</x:f>
        <x:v>0.016720469905525302</x:v>
      </x:c>
      <x:c r="F410" s="260" t="n">
        <x:f>IF(Z410&lt;($E$14-$D$14)/($F$14-$D$14),$D$14+SQRT(Z410*($F$14-$D$14)*($E$14-$D$14)),$F$14-SQRT((1-Z410)*($F$14-$D$14)*($F$14-$E$14)))</x:f>
        <x:v>1.0503126609058053</x:v>
      </x:c>
      <x:c r="G410" s="258" t="n">
        <x:f>IF(AA410&lt;($E$15-$D$15)/($F$15-$D$15),$D$15+SQRT(AA410*($F$15-$D$15)*($E$15-$D$15)),$F$15-SQRT((1-AA410)*($F$15-$D$15)*($F$15-$E$15)))</x:f>
        <x:v>0.10068878901381766</x:v>
      </x:c>
      <x:c r="H410" s="258" t="n">
        <x:f>IF(AB410&lt;($E$16-$D$16)/($F$16-$D$16),$D$16+SQRT(AB410*($F$16-$D$16)*($E$16-$D$16)),$F$16-SQRT((1-AB410)*($F$16-$D$16)*($F$16-$E$16)))</x:f>
        <x:v>0.038144974293229536</x:v>
      </x:c>
      <x:c r="I410" s="262" t="n">
        <x:f>'Historical Inputs'!$N$9*(1+D410)^5</x:f>
        <x:v>586879.5910353167</x:v>
      </x:c>
      <x:c r="J410" s="262" t="n">
        <x:f>I410*(1+H410)*('Terminal Value'!$E$10+E410)*(1-'Assumptions'!$E$15)*(1-H410/'Terminal Value'!$E$12)</x:f>
        <x:v>164375.85599070098</x:v>
      </x:c>
      <x:c r="K410" s="264" t="n">
        <x:f>((SUM((('Historical Inputs'!$N$9*(1+(D410))^1)*(('Assumptions'!E37+(E410))*(1-'Assumptions'!E42-(0))+'Assumptions'!E47-'Assumptions'!E52*(F410)+'Assumptions'!E57-'Assumptions'!E62*(1)-'Assumptions'!E67-(0))+('Working Capital'!$E$6))*'DCF'!E12/(1+(G410))^'DCF'!E13,(('Historical Inputs'!$N$9*(1+(D410))^2)*(('Assumptions'!F37+(E410))*(1-'Assumptions'!F42-(0))+'Assumptions'!F47-'Assumptions'!F52*(F410)+'Assumptions'!F57-'Assumptions'!F62*(1)-'Assumptions'!F67-(0))+(('Historical Inputs'!$N$9*(1+(D410))^1)*('Assumptions'!E67+(0))))*'DCF'!F12/(1+(G410))^'DCF'!F13,(('Historical Inputs'!$N$9*(1+(D410))^3)*(('Assumptions'!G37+(E410))*(1-'Assumptions'!G42-(0))+'Assumptions'!G47-'Assumptions'!G52*(F410)+'Assumptions'!G57-'Assumptions'!G62*(1)-'Assumptions'!G67-(0))+(('Historical Inputs'!$N$9*(1+(D410))^2)*('Assumptions'!F67+(0))))*'DCF'!G12/(1+(G410))^'DCF'!G13,(('Historical Inputs'!$N$9*(1+(D410))^4)*(('Assumptions'!H37+(E410))*(1-'Assumptions'!H42-(0))+'Assumptions'!H47-'Assumptions'!H52*(F410)+'Assumptions'!H57-'Assumptions'!H62*(1)-'Assumptions'!H67-(0))+(('Historical Inputs'!$N$9*(1+(D410))^3)*('Assumptions'!G67+(0))))*'DCF'!H12/(1+(G410))^'DCF'!H13,(('Historical Inputs'!$N$9*(1+(D410))^5)*(('Assumptions'!I37+(E410))*(1-'Assumptions'!I42-(0))+'Assumptions'!I47-'Assumptions'!I52*(F410)+'Assumptions'!I57-'Assumptions'!I62*(1)-'Assumptions'!I67-(0))+(('Historical Inputs'!$N$9*(1+(D410))^4)*('Assumptions'!H67+(0))))*'DCF'!I12/(1+(G410))^'DCF'!I13)+('Historical Inputs'!$N$9*(1+(D410))^5)*(1+(H410))*('Terminal Value'!$E$10+(E410))*(1-'Assumptions'!$E$15-(0))*(1-(H410)/('Terminal Value'!$E$12))/((G410)-(H410))/(1+(G410))^'DCF'!$E$19)+'Equity Bridge'!$E$17)/'Equity Bridge'!$E$20</x:f>
        <x:v>275.8665494127143</x:v>
      </x:c>
      <x:c r="X410" s="255" t="n">
        <x:v>0.15161493321595965</x:v>
      </x:c>
      <x:c r="Y410" s="255" t="n">
        <x:v>0.7784945753381906</x:v>
      </x:c>
      <x:c r="Z410" s="255" t="n">
        <x:v>0.6799100073557085</x:v>
      </x:c>
      <x:c r="AA410" s="255" t="n">
        <x:v>0.6554625524449519</x:v>
      </x:c>
      <x:c r="AB410" s="255" t="n">
        <x:v>0.9827943981361037</x:v>
      </x:c>
    </x:row>
    <x:row r="411" ht="24" customHeight="1">
      <x:c r="C411" s="256" t="n">
        <x:f>380</x:f>
        <x:v>380</x:v>
      </x:c>
      <x:c r="D411" s="258" t="n">
        <x:f>IF(X411&lt;($E$12-$D$12)/($F$12-$D$12),$D$12+SQRT(X411*($F$12-$D$12)*($E$12-$D$12)),$F$12-SQRT((1-X411)*($F$12-$D$12)*($F$12-$E$12)))</x:f>
        <x:v>0.1428799266114415</x:v>
      </x:c>
      <x:c r="E411" s="258" t="n">
        <x:f>IF(Y411&lt;($E$13-$D$13)/($F$13-$D$13),$D$13+SQRT(Y411*($F$13-$D$13)*($E$13-$D$13)),$F$13-SQRT((1-Y411)*($F$13-$D$13)*($F$13-$E$13)))</x:f>
        <x:v>0.0011010531576511676</x:v>
      </x:c>
      <x:c r="F411" s="260" t="n">
        <x:f>IF(Z411&lt;($E$14-$D$14)/($F$14-$D$14),$D$14+SQRT(Z411*($F$14-$D$14)*($E$14-$D$14)),$F$14-SQRT((1-Z411)*($F$14-$D$14)*($F$14-$E$14)))</x:f>
        <x:v>0.9800641476208091</x:v>
      </x:c>
      <x:c r="G411" s="258" t="n">
        <x:f>IF(AA411&lt;($E$15-$D$15)/($F$15-$D$15),$D$15+SQRT(AA411*($F$15-$D$15)*($E$15-$D$15)),$F$15-SQRT((1-AA411)*($F$15-$D$15)*($F$15-$E$15)))</x:f>
        <x:v>0.10762173661796673</x:v>
      </x:c>
      <x:c r="H411" s="258" t="n">
        <x:f>IF(AB411&lt;($E$16-$D$16)/($F$16-$D$16),$D$16+SQRT(AB411*($F$16-$D$16)*($E$16-$D$16)),$F$16-SQRT((1-AB411)*($F$16-$D$16)*($F$16-$E$16)))</x:f>
        <x:v>0.030522294383559884</x:v>
      </x:c>
      <x:c r="I411" s="262" t="n">
        <x:f>'Historical Inputs'!$N$9*(1+D411)^5</x:f>
        <x:v>647038.9881584629</x:v>
      </x:c>
      <x:c r="J411" s="262" t="n">
        <x:f>I411*(1+H411)*('Terminal Value'!$E$10+E411)*(1-'Assumptions'!$E$15)*(1-H411/'Terminal Value'!$E$12)</x:f>
        <x:v>181306.8496359585</x:v>
      </x:c>
      <x:c r="K411" s="264" t="n">
        <x:f>((SUM((('Historical Inputs'!$N$9*(1+(D411))^1)*(('Assumptions'!E37+(E411))*(1-'Assumptions'!E42-(0))+'Assumptions'!E47-'Assumptions'!E52*(F411)+'Assumptions'!E57-'Assumptions'!E62*(1)-'Assumptions'!E67-(0))+('Working Capital'!$E$6))*'DCF'!E12/(1+(G411))^'DCF'!E13,(('Historical Inputs'!$N$9*(1+(D411))^2)*(('Assumptions'!F37+(E411))*(1-'Assumptions'!F42-(0))+'Assumptions'!F47-'Assumptions'!F52*(F411)+'Assumptions'!F57-'Assumptions'!F62*(1)-'Assumptions'!F67-(0))+(('Historical Inputs'!$N$9*(1+(D411))^1)*('Assumptions'!E67+(0))))*'DCF'!F12/(1+(G411))^'DCF'!F13,(('Historical Inputs'!$N$9*(1+(D411))^3)*(('Assumptions'!G37+(E411))*(1-'Assumptions'!G42-(0))+'Assumptions'!G47-'Assumptions'!G52*(F411)+'Assumptions'!G57-'Assumptions'!G62*(1)-'Assumptions'!G67-(0))+(('Historical Inputs'!$N$9*(1+(D411))^2)*('Assumptions'!F67+(0))))*'DCF'!G12/(1+(G411))^'DCF'!G13,(('Historical Inputs'!$N$9*(1+(D411))^4)*(('Assumptions'!H37+(E411))*(1-'Assumptions'!H42-(0))+'Assumptions'!H47-'Assumptions'!H52*(F411)+'Assumptions'!H57-'Assumptions'!H62*(1)-'Assumptions'!H67-(0))+(('Historical Inputs'!$N$9*(1+(D411))^3)*('Assumptions'!G67+(0))))*'DCF'!H12/(1+(G411))^'DCF'!H13,(('Historical Inputs'!$N$9*(1+(D411))^5)*(('Assumptions'!I37+(E411))*(1-'Assumptions'!I42-(0))+'Assumptions'!I47-'Assumptions'!I52*(F411)+'Assumptions'!I57-'Assumptions'!I62*(1)-'Assumptions'!I67-(0))+(('Historical Inputs'!$N$9*(1+(D411))^4)*('Assumptions'!H67+(0))))*'DCF'!I12/(1+(G411))^'DCF'!I13)+('Historical Inputs'!$N$9*(1+(D411))^5)*(1+(H411))*('Terminal Value'!$E$10+(E411))*(1-'Assumptions'!$E$15-(0))*(1-(H411)/('Terminal Value'!$E$12))/((G411)-(H411))/(1+(G411))^'DCF'!$E$19)+'Equity Bridge'!$E$17)/'Equity Bridge'!$E$20</x:f>
        <x:v>250.46443325239665</x:v>
      </x:c>
      <x:c r="X411" s="255" t="n">
        <x:v>0.49248653586785973</x:v>
      </x:c>
      <x:c r="Y411" s="255" t="n">
        <x:v>0.5217785995418286</x:v>
      </x:c>
      <x:c r="Z411" s="255" t="n">
        <x:v>0.3222225237395735</x:v>
      </x:c>
      <x:c r="AA411" s="255" t="n">
        <x:v>0.9323215409329759</x:v>
      </x:c>
      <x:c r="AB411" s="255" t="n">
        <x:v>0.5508654812404975</x:v>
      </x:c>
    </x:row>
    <x:row r="412" ht="24" customHeight="1">
      <x:c r="C412" s="256" t="n">
        <x:f>381</x:f>
        <x:v>381</x:v>
      </x:c>
      <x:c r="D412" s="258" t="n">
        <x:f>IF(X412&lt;($E$12-$D$12)/($F$12-$D$12),$D$12+SQRT(X412*($F$12-$D$12)*($E$12-$D$12)),$F$12-SQRT((1-X412)*($F$12-$D$12)*($F$12-$E$12)))</x:f>
        <x:v>0.11542288856960692</x:v>
      </x:c>
      <x:c r="E412" s="258" t="n">
        <x:f>IF(Y412&lt;($E$13-$D$13)/($F$13-$D$13),$D$13+SQRT(Y412*($F$13-$D$13)*($E$13-$D$13)),$F$13-SQRT((1-Y412)*($F$13-$D$13)*($F$13-$E$13)))</x:f>
        <x:v>-0.0059582604548311865</x:v>
      </x:c>
      <x:c r="F412" s="260" t="n">
        <x:f>IF(Z412&lt;($E$14-$D$14)/($F$14-$D$14),$D$14+SQRT(Z412*($F$14-$D$14)*($E$14-$D$14)),$F$14-SQRT((1-Z412)*($F$14-$D$14)*($F$14-$E$14)))</x:f>
        <x:v>1.047348571209576</x:v>
      </x:c>
      <x:c r="G412" s="258" t="n">
        <x:f>IF(AA412&lt;($E$15-$D$15)/($F$15-$D$15),$D$15+SQRT(AA412*($F$15-$D$15)*($E$15-$D$15)),$F$15-SQRT((1-AA412)*($F$15-$D$15)*($F$15-$E$15)))</x:f>
        <x:v>0.09169185116182639</x:v>
      </x:c>
      <x:c r="H412" s="258" t="n">
        <x:f>IF(AB412&lt;($E$16-$D$16)/($F$16-$D$16),$D$16+SQRT(AB412*($F$16-$D$16)*($E$16-$D$16)),$F$16-SQRT((1-AB412)*($F$16-$D$16)*($F$16-$E$16)))</x:f>
        <x:v>0.0263102293515978</x:v>
      </x:c>
      <x:c r="I412" s="262" t="n">
        <x:f>'Historical Inputs'!$N$9*(1+D412)^5</x:f>
        <x:v>572961.1640366872</x:v>
      </x:c>
      <x:c r="J412" s="262" t="n">
        <x:f>I412*(1+H412)*('Terminal Value'!$E$10+E412)*(1-'Assumptions'!$E$15)*(1-H412/'Terminal Value'!$E$12)</x:f>
        <x:v>160983.1066880117</x:v>
      </x:c>
      <x:c r="K412" s="264" t="n">
        <x:f>((SUM((('Historical Inputs'!$N$9*(1+(D412))^1)*(('Assumptions'!E37+(E412))*(1-'Assumptions'!E42-(0))+'Assumptions'!E47-'Assumptions'!E52*(F412)+'Assumptions'!E57-'Assumptions'!E62*(1)-'Assumptions'!E67-(0))+('Working Capital'!$E$6))*'DCF'!E12/(1+(G412))^'DCF'!E13,(('Historical Inputs'!$N$9*(1+(D412))^2)*(('Assumptions'!F37+(E412))*(1-'Assumptions'!F42-(0))+'Assumptions'!F47-'Assumptions'!F52*(F412)+'Assumptions'!F57-'Assumptions'!F62*(1)-'Assumptions'!F67-(0))+(('Historical Inputs'!$N$9*(1+(D412))^1)*('Assumptions'!E67+(0))))*'DCF'!F12/(1+(G412))^'DCF'!F13,(('Historical Inputs'!$N$9*(1+(D412))^3)*(('Assumptions'!G37+(E412))*(1-'Assumptions'!G42-(0))+'Assumptions'!G47-'Assumptions'!G52*(F412)+'Assumptions'!G57-'Assumptions'!G62*(1)-'Assumptions'!G67-(0))+(('Historical Inputs'!$N$9*(1+(D412))^2)*('Assumptions'!F67+(0))))*'DCF'!G12/(1+(G412))^'DCF'!G13,(('Historical Inputs'!$N$9*(1+(D412))^4)*(('Assumptions'!H37+(E412))*(1-'Assumptions'!H42-(0))+'Assumptions'!H47-'Assumptions'!H52*(F412)+'Assumptions'!H57-'Assumptions'!H62*(1)-'Assumptions'!H67-(0))+(('Historical Inputs'!$N$9*(1+(D412))^3)*('Assumptions'!G67+(0))))*'DCF'!H12/(1+(G412))^'DCF'!H13,(('Historical Inputs'!$N$9*(1+(D412))^5)*(('Assumptions'!I37+(E412))*(1-'Assumptions'!I42-(0))+'Assumptions'!I47-'Assumptions'!I52*(F412)+'Assumptions'!I57-'Assumptions'!I62*(1)-'Assumptions'!I67-(0))+(('Historical Inputs'!$N$9*(1+(D412))^4)*('Assumptions'!H67+(0))))*'DCF'!I12/(1+(G412))^'DCF'!I13)+('Historical Inputs'!$N$9*(1+(D412))^5)*(1+(H412))*('Terminal Value'!$E$10+(E412))*(1-'Assumptions'!$E$15-(0))*(1-(H412)/('Terminal Value'!$E$12))/((G412)-(H412))/(1+(G412))^'DCF'!$E$19)+'Equity Bridge'!$E$17)/'Equity Bridge'!$E$20</x:f>
        <x:v>266.1437295183016</x:v>
      </x:c>
      <x:c r="X412" s="255" t="n">
        <x:v>0.09826512969855916</x:v>
      </x:c>
      <x:c r="Y412" s="255" t="n">
        <x:v>0.3879349644328973</x:v>
      </x:c>
      <x:c r="Z412" s="255" t="n">
        <x:v>0.6671077326891733</x:v>
      </x:c>
      <x:c r="AA412" s="255" t="n">
        <x:v>0.16250631597027154</x:v>
      </x:c>
      <x:c r="AB412" s="255" t="n">
        <x:v>0.1990949723488321</x:v>
      </x:c>
    </x:row>
    <x:row r="413" ht="24" customHeight="1">
      <x:c r="C413" s="256" t="n">
        <x:f>382</x:f>
        <x:v>382</x:v>
      </x:c>
      <x:c r="D413" s="258" t="n">
        <x:f>IF(X413&lt;($E$12-$D$12)/($F$12-$D$12),$D$12+SQRT(X413*($F$12-$D$12)*($E$12-$D$12)),$F$12-SQRT((1-X413)*($F$12-$D$12)*($F$12-$E$12)))</x:f>
        <x:v>0.181612767898986</x:v>
      </x:c>
      <x:c r="E413" s="258" t="n">
        <x:f>IF(Y413&lt;($E$13-$D$13)/($F$13-$D$13),$D$13+SQRT(Y413*($F$13-$D$13)*($E$13-$D$13)),$F$13-SQRT((1-Y413)*($F$13-$D$13)*($F$13-$E$13)))</x:f>
        <x:v>-0.003383639999964397</x:v>
      </x:c>
      <x:c r="F413" s="260" t="n">
        <x:f>IF(Z413&lt;($E$14-$D$14)/($F$14-$D$14),$D$14+SQRT(Z413*($F$14-$D$14)*($E$14-$D$14)),$F$14-SQRT((1-Z413)*($F$14-$D$14)*($F$14-$E$14)))</x:f>
        <x:v>0.9941848883861</x:v>
      </x:c>
      <x:c r="G413" s="258" t="n">
        <x:f>IF(AA413&lt;($E$15-$D$15)/($F$15-$D$15),$D$15+SQRT(AA413*($F$15-$D$15)*($E$15-$D$15)),$F$15-SQRT((1-AA413)*($F$15-$D$15)*($F$15-$E$15)))</x:f>
        <x:v>0.0867765418690344</x:v>
      </x:c>
      <x:c r="H413" s="258" t="n">
        <x:f>IF(AB413&lt;($E$16-$D$16)/($F$16-$D$16),$D$16+SQRT(AB413*($F$16-$D$16)*($E$16-$D$16)),$F$16-SQRT((1-AB413)*($F$16-$D$16)*($F$16-$E$16)))</x:f>
        <x:v>0.02154650497847447</x:v>
      </x:c>
      <x:c r="I413" s="262" t="n">
        <x:f>'Historical Inputs'!$N$9*(1+D413)^5</x:f>
        <x:v>764369.4154863624</x:v>
      </x:c>
      <x:c r="J413" s="262" t="n">
        <x:f>I413*(1+H413)*('Terminal Value'!$E$10+E413)*(1-'Assumptions'!$E$15)*(1-H413/'Terminal Value'!$E$12)</x:f>
        <x:v>221063.53856985635</x:v>
      </x:c>
      <x:c r="K413" s="264" t="n">
        <x:f>((SUM((('Historical Inputs'!$N$9*(1+(D413))^1)*(('Assumptions'!E37+(E413))*(1-'Assumptions'!E42-(0))+'Assumptions'!E47-'Assumptions'!E52*(F413)+'Assumptions'!E57-'Assumptions'!E62*(1)-'Assumptions'!E67-(0))+('Working Capital'!$E$6))*'DCF'!E12/(1+(G413))^'DCF'!E13,(('Historical Inputs'!$N$9*(1+(D413))^2)*(('Assumptions'!F37+(E413))*(1-'Assumptions'!F42-(0))+'Assumptions'!F47-'Assumptions'!F52*(F413)+'Assumptions'!F57-'Assumptions'!F62*(1)-'Assumptions'!F67-(0))+(('Historical Inputs'!$N$9*(1+(D413))^1)*('Assumptions'!E67+(0))))*'DCF'!F12/(1+(G413))^'DCF'!F13,(('Historical Inputs'!$N$9*(1+(D413))^3)*(('Assumptions'!G37+(E413))*(1-'Assumptions'!G42-(0))+'Assumptions'!G47-'Assumptions'!G52*(F413)+'Assumptions'!G57-'Assumptions'!G62*(1)-'Assumptions'!G67-(0))+(('Historical Inputs'!$N$9*(1+(D413))^2)*('Assumptions'!F67+(0))))*'DCF'!G12/(1+(G413))^'DCF'!G13,(('Historical Inputs'!$N$9*(1+(D413))^4)*(('Assumptions'!H37+(E413))*(1-'Assumptions'!H42-(0))+'Assumptions'!H47-'Assumptions'!H52*(F413)+'Assumptions'!H57-'Assumptions'!H62*(1)-'Assumptions'!H67-(0))+(('Historical Inputs'!$N$9*(1+(D413))^3)*('Assumptions'!G67+(0))))*'DCF'!H12/(1+(G413))^'DCF'!H13,(('Historical Inputs'!$N$9*(1+(D413))^5)*(('Assumptions'!I37+(E413))*(1-'Assumptions'!I42-(0))+'Assumptions'!I47-'Assumptions'!I52*(F413)+'Assumptions'!I57-'Assumptions'!I62*(1)-'Assumptions'!I67-(0))+(('Historical Inputs'!$N$9*(1+(D413))^4)*('Assumptions'!H67+(0))))*'DCF'!I12/(1+(G413))^'DCF'!I13)+('Historical Inputs'!$N$9*(1+(D413))^5)*(1+(H413))*('Terminal Value'!$E$10+(E413))*(1-'Assumptions'!$E$15-(0))*(1-(H413)/('Terminal Value'!$E$12))/((G413)-(H413))/(1+(G413))^'DCF'!$E$19)+'Equity Bridge'!$E$17)/'Equity Bridge'!$E$20</x:f>
        <x:v>371.4518831576259</x:v>
      </x:c>
      <x:c r="X413" s="255" t="n">
        <x:v>0.9728822700963766</x:v>
      </x:c>
      <x:c r="Y413" s="255" t="n">
        <x:v>0.4346170039305839</x:v>
      </x:c>
      <x:c r="Z413" s="255" t="n">
        <x:v>0.39598632455070715</x:v>
      </x:c>
      <x:c r="AA413" s="255" t="n">
        <x:v>0.02938166892679539</x:v>
      </x:c>
      <x:c r="AB413" s="255" t="n">
        <x:v>0.01195838824223161</x:v>
      </x:c>
    </x:row>
    <x:row r="414" ht="24" customHeight="1">
      <x:c r="C414" s="256" t="n">
        <x:f>383</x:f>
        <x:v>383</x:v>
      </x:c>
      <x:c r="D414" s="258" t="n">
        <x:f>IF(X414&lt;($E$12-$D$12)/($F$12-$D$12),$D$12+SQRT(X414*($F$12-$D$12)*($E$12-$D$12)),$F$12-SQRT((1-X414)*($F$12-$D$12)*($F$12-$E$12)))</x:f>
        <x:v>0.13437030568432584</x:v>
      </x:c>
      <x:c r="E414" s="258" t="n">
        <x:f>IF(Y414&lt;($E$13-$D$13)/($F$13-$D$13),$D$13+SQRT(Y414*($F$13-$D$13)*($E$13-$D$13)),$F$13-SQRT((1-Y414)*($F$13-$D$13)*($F$13-$E$13)))</x:f>
        <x:v>-0.0061003316169353575</x:v>
      </x:c>
      <x:c r="F414" s="260" t="n">
        <x:f>IF(Z414&lt;($E$14-$D$14)/($F$14-$D$14),$D$14+SQRT(Z414*($F$14-$D$14)*($E$14-$D$14)),$F$14-SQRT((1-Z414)*($F$14-$D$14)*($F$14-$E$14)))</x:f>
        <x:v>1.0559530403141402</x:v>
      </x:c>
      <x:c r="G414" s="258" t="n">
        <x:f>IF(AA414&lt;($E$15-$D$15)/($F$15-$D$15),$D$15+SQRT(AA414*($F$15-$D$15)*($E$15-$D$15)),$F$15-SQRT((1-AA414)*($F$15-$D$15)*($F$15-$E$15)))</x:f>
        <x:v>0.1069469875105344</x:v>
      </x:c>
      <x:c r="H414" s="258" t="n">
        <x:f>IF(AB414&lt;($E$16-$D$16)/($F$16-$D$16),$D$16+SQRT(AB414*($F$16-$D$16)*($E$16-$D$16)),$F$16-SQRT((1-AB414)*($F$16-$D$16)*($F$16-$E$16)))</x:f>
        <x:v>0.03240255820317026</x:v>
      </x:c>
      <x:c r="I414" s="262" t="n">
        <x:f>'Historical Inputs'!$N$9*(1+D414)^5</x:f>
        <x:v>623306.5252592305</x:v>
      </x:c>
      <x:c r="J414" s="262" t="n">
        <x:f>I414*(1+H414)*('Terminal Value'!$E$10+E414)*(1-'Assumptions'!$E$15)*(1-H414/'Terminal Value'!$E$12)</x:f>
        <x:v>169927.52708151043</x:v>
      </x:c>
      <x:c r="K414" s="264" t="n">
        <x:f>((SUM((('Historical Inputs'!$N$9*(1+(D414))^1)*(('Assumptions'!E37+(E414))*(1-'Assumptions'!E42-(0))+'Assumptions'!E47-'Assumptions'!E52*(F414)+'Assumptions'!E57-'Assumptions'!E62*(1)-'Assumptions'!E67-(0))+('Working Capital'!$E$6))*'DCF'!E12/(1+(G414))^'DCF'!E13,(('Historical Inputs'!$N$9*(1+(D414))^2)*(('Assumptions'!F37+(E414))*(1-'Assumptions'!F42-(0))+'Assumptions'!F47-'Assumptions'!F52*(F414)+'Assumptions'!F57-'Assumptions'!F62*(1)-'Assumptions'!F67-(0))+(('Historical Inputs'!$N$9*(1+(D414))^1)*('Assumptions'!E67+(0))))*'DCF'!F12/(1+(G414))^'DCF'!F13,(('Historical Inputs'!$N$9*(1+(D414))^3)*(('Assumptions'!G37+(E414))*(1-'Assumptions'!G42-(0))+'Assumptions'!G47-'Assumptions'!G52*(F414)+'Assumptions'!G57-'Assumptions'!G62*(1)-'Assumptions'!G67-(0))+(('Historical Inputs'!$N$9*(1+(D414))^2)*('Assumptions'!F67+(0))))*'DCF'!G12/(1+(G414))^'DCF'!G13,(('Historical Inputs'!$N$9*(1+(D414))^4)*(('Assumptions'!H37+(E414))*(1-'Assumptions'!H42-(0))+'Assumptions'!H47-'Assumptions'!H52*(F414)+'Assumptions'!H57-'Assumptions'!H62*(1)-'Assumptions'!H67-(0))+(('Historical Inputs'!$N$9*(1+(D414))^3)*('Assumptions'!G67+(0))))*'DCF'!H12/(1+(G414))^'DCF'!H13,(('Historical Inputs'!$N$9*(1+(D414))^5)*(('Assumptions'!I37+(E414))*(1-'Assumptions'!I42-(0))+'Assumptions'!I47-'Assumptions'!I52*(F414)+'Assumptions'!I57-'Assumptions'!I62*(1)-'Assumptions'!I67-(0))+(('Historical Inputs'!$N$9*(1+(D414))^4)*('Assumptions'!H67+(0))))*'DCF'!I12/(1+(G414))^'DCF'!I13)+('Historical Inputs'!$N$9*(1+(D414))^5)*(1+(H414))*('Terminal Value'!$E$10+(E414))*(1-'Assumptions'!$E$15-(0))*(1-(H414)/('Terminal Value'!$E$12))/((G414)-(H414))/(1+(G414))^'DCF'!$E$19)+'Equity Bridge'!$E$17)/'Equity Bridge'!$E$20</x:f>
        <x:v>237.6043610711054</x:v>
      </x:c>
      <x:c r="X414" s="255" t="n">
        <x:v>0.33806042192211194</x:v>
      </x:c>
      <x:c r="Y414" s="255" t="n">
        <x:v>0.3854361768286091</x:v>
      </x:c>
      <x:c r="Z414" s="255" t="n">
        <x:v>0.7035781915037183</x:v>
      </x:c>
      <x:c r="AA414" s="255" t="n">
        <x:v>0.9147600491579349</x:v>
      </x:c>
      <x:c r="AB414" s="255" t="n">
        <x:v>0.711394390718923</x:v>
      </x:c>
    </x:row>
    <x:row r="415" ht="24" customHeight="1">
      <x:c r="C415" s="256" t="n">
        <x:f>384</x:f>
        <x:v>384</x:v>
      </x:c>
      <x:c r="D415" s="258" t="n">
        <x:f>IF(X415&lt;($E$12-$D$12)/($F$12-$D$12),$D$12+SQRT(X415*($F$12-$D$12)*($E$12-$D$12)),$F$12-SQRT((1-X415)*($F$12-$D$12)*($F$12-$E$12)))</x:f>
        <x:v>0.18297572581852875</x:v>
      </x:c>
      <x:c r="E415" s="258" t="n">
        <x:f>IF(Y415&lt;($E$13-$D$13)/($F$13-$D$13),$D$13+SQRT(Y415*($F$13-$D$13)*($E$13-$D$13)),$F$13-SQRT((1-Y415)*($F$13-$D$13)*($F$13-$E$13)))</x:f>
        <x:v>0.002101645050536463</x:v>
      </x:c>
      <x:c r="F415" s="260" t="n">
        <x:f>IF(Z415&lt;($E$14-$D$14)/($F$14-$D$14),$D$14+SQRT(Z415*($F$14-$D$14)*($E$14-$D$14)),$F$14-SQRT((1-Z415)*($F$14-$D$14)*($F$14-$E$14)))</x:f>
        <x:v>1.0527349282051315</x:v>
      </x:c>
      <x:c r="G415" s="258" t="n">
        <x:f>IF(AA415&lt;($E$15-$D$15)/($F$15-$D$15),$D$15+SQRT(AA415*($F$15-$D$15)*($E$15-$D$15)),$F$15-SQRT((1-AA415)*($F$15-$D$15)*($F$15-$E$15)))</x:f>
        <x:v>0.0907672964318863</x:v>
      </x:c>
      <x:c r="H415" s="258" t="n">
        <x:f>IF(AB415&lt;($E$16-$D$16)/($F$16-$D$16),$D$16+SQRT(AB415*($F$16-$D$16)*($E$16-$D$16)),$F$16-SQRT((1-AB415)*($F$16-$D$16)*($F$16-$E$16)))</x:f>
        <x:v>0.02867363206209119</x:v>
      </x:c>
      <x:c r="I415" s="262" t="n">
        <x:f>'Historical Inputs'!$N$9*(1+D415)^5</x:f>
        <x:v>768787.9929326904</x:v>
      </x:c>
      <x:c r="J415" s="262" t="n">
        <x:f>I415*(1+H415)*('Terminal Value'!$E$10+E415)*(1-'Assumptions'!$E$15)*(1-H415/'Terminal Value'!$E$12)</x:f>
        <x:v>217923.59206481848</x:v>
      </x:c>
      <x:c r="K415" s="264" t="n">
        <x:f>((SUM((('Historical Inputs'!$N$9*(1+(D415))^1)*(('Assumptions'!E37+(E415))*(1-'Assumptions'!E42-(0))+'Assumptions'!E47-'Assumptions'!E52*(F415)+'Assumptions'!E57-'Assumptions'!E62*(1)-'Assumptions'!E67-(0))+('Working Capital'!$E$6))*'DCF'!E12/(1+(G415))^'DCF'!E13,(('Historical Inputs'!$N$9*(1+(D415))^2)*(('Assumptions'!F37+(E415))*(1-'Assumptions'!F42-(0))+'Assumptions'!F47-'Assumptions'!F52*(F415)+'Assumptions'!F57-'Assumptions'!F62*(1)-'Assumptions'!F67-(0))+(('Historical Inputs'!$N$9*(1+(D415))^1)*('Assumptions'!E67+(0))))*'DCF'!F12/(1+(G415))^'DCF'!F13,(('Historical Inputs'!$N$9*(1+(D415))^3)*(('Assumptions'!G37+(E415))*(1-'Assumptions'!G42-(0))+'Assumptions'!G47-'Assumptions'!G52*(F415)+'Assumptions'!G57-'Assumptions'!G62*(1)-'Assumptions'!G67-(0))+(('Historical Inputs'!$N$9*(1+(D415))^2)*('Assumptions'!F67+(0))))*'DCF'!G12/(1+(G415))^'DCF'!G13,(('Historical Inputs'!$N$9*(1+(D415))^4)*(('Assumptions'!H37+(E415))*(1-'Assumptions'!H42-(0))+'Assumptions'!H47-'Assumptions'!H52*(F415)+'Assumptions'!H57-'Assumptions'!H62*(1)-'Assumptions'!H67-(0))+(('Historical Inputs'!$N$9*(1+(D415))^3)*('Assumptions'!G67+(0))))*'DCF'!H12/(1+(G415))^'DCF'!H13,(('Historical Inputs'!$N$9*(1+(D415))^5)*(('Assumptions'!I37+(E415))*(1-'Assumptions'!I42-(0))+'Assumptions'!I47-'Assumptions'!I52*(F415)+'Assumptions'!I57-'Assumptions'!I62*(1)-'Assumptions'!I67-(0))+(('Historical Inputs'!$N$9*(1+(D415))^4)*('Assumptions'!H67+(0))))*'DCF'!I12/(1+(G415))^'DCF'!I13)+('Historical Inputs'!$N$9*(1+(D415))^5)*(1+(H415))*('Terminal Value'!$E$10+(E415))*(1-'Assumptions'!$E$15-(0))*(1-(H415)/('Terminal Value'!$E$12))/((G415)-(H415))/(1+(G415))^'DCF'!$E$19)+'Equity Bridge'!$E$17)/'Equity Bridge'!$E$20</x:f>
        <x:v>373.5892543413035</x:v>
      </x:c>
      <x:c r="X415" s="255" t="n">
        <x:v>0.9788589904811152</x:v>
      </x:c>
      <x:c r="Y415" s="255" t="n">
        <x:v>0.5411495186270404</x:v>
      </x:c>
      <x:c r="Z415" s="255" t="n">
        <x:v>0.6901856947036028</x:v>
      </x:c>
      <x:c r="AA415" s="255" t="n">
        <x:v>0.1292667058044149</x:v>
      </x:c>
      <x:c r="AB415" s="255" t="n">
        <x:v>0.37615946574268155</x:v>
      </x:c>
    </x:row>
    <x:row r="416" ht="24" customHeight="1">
      <x:c r="C416" s="256" t="n">
        <x:f>385</x:f>
        <x:v>385</x:v>
      </x:c>
      <x:c r="D416" s="258" t="n">
        <x:f>IF(X416&lt;($E$12-$D$12)/($F$12-$D$12),$D$12+SQRT(X416*($F$12-$D$12)*($E$12-$D$12)),$F$12-SQRT((1-X416)*($F$12-$D$12)*($F$12-$E$12)))</x:f>
        <x:v>0.1077906483818671</x:v>
      </x:c>
      <x:c r="E416" s="258" t="n">
        <x:f>IF(Y416&lt;($E$13-$D$13)/($F$13-$D$13),$D$13+SQRT(Y416*($F$13-$D$13)*($E$13-$D$13)),$F$13-SQRT((1-Y416)*($F$13-$D$13)*($F$13-$E$13)))</x:f>
        <x:v>-0.023084638452934264</x:v>
      </x:c>
      <x:c r="F416" s="260" t="n">
        <x:f>IF(Z416&lt;($E$14-$D$14)/($F$14-$D$14),$D$14+SQRT(Z416*($F$14-$D$14)*($E$14-$D$14)),$F$14-SQRT((1-Z416)*($F$14-$D$14)*($F$14-$E$14)))</x:f>
        <x:v>0.9864656241930894</x:v>
      </x:c>
      <x:c r="G416" s="258" t="n">
        <x:f>IF(AA416&lt;($E$15-$D$15)/($F$15-$D$15),$D$15+SQRT(AA416*($F$15-$D$15)*($E$15-$D$15)),$F$15-SQRT((1-AA416)*($F$15-$D$15)*($F$15-$E$15)))</x:f>
        <x:v>0.10457396225615627</x:v>
      </x:c>
      <x:c r="H416" s="258" t="n">
        <x:f>IF(AB416&lt;($E$16-$D$16)/($F$16-$D$16),$D$16+SQRT(AB416*($F$16-$D$16)*($E$16-$D$16)),$F$16-SQRT((1-AB416)*($F$16-$D$16)*($F$16-$E$16)))</x:f>
        <x:v>0.021680071931367225</x:v>
      </x:c>
      <x:c r="I416" s="262" t="n">
        <x:f>'Historical Inputs'!$N$9*(1+D416)^5</x:f>
        <x:v>553625.2624943445</x:v>
      </x:c>
      <x:c r="J416" s="262" t="n">
        <x:f>I416*(1+H416)*('Terminal Value'!$E$10+E416)*(1-'Assumptions'!$E$15)*(1-H416/'Terminal Value'!$E$12)</x:f>
        <x:v>152066.8434779758</x:v>
      </x:c>
      <x:c r="K416" s="264" t="n">
        <x:f>((SUM((('Historical Inputs'!$N$9*(1+(D416))^1)*(('Assumptions'!E37+(E416))*(1-'Assumptions'!E42-(0))+'Assumptions'!E47-'Assumptions'!E52*(F416)+'Assumptions'!E57-'Assumptions'!E62*(1)-'Assumptions'!E67-(0))+('Working Capital'!$E$6))*'DCF'!E12/(1+(G416))^'DCF'!E13,(('Historical Inputs'!$N$9*(1+(D416))^2)*(('Assumptions'!F37+(E416))*(1-'Assumptions'!F42-(0))+'Assumptions'!F47-'Assumptions'!F52*(F416)+'Assumptions'!F57-'Assumptions'!F62*(1)-'Assumptions'!F67-(0))+(('Historical Inputs'!$N$9*(1+(D416))^1)*('Assumptions'!E67+(0))))*'DCF'!F12/(1+(G416))^'DCF'!F13,(('Historical Inputs'!$N$9*(1+(D416))^3)*(('Assumptions'!G37+(E416))*(1-'Assumptions'!G42-(0))+'Assumptions'!G47-'Assumptions'!G52*(F416)+'Assumptions'!G57-'Assumptions'!G62*(1)-'Assumptions'!G67-(0))+(('Historical Inputs'!$N$9*(1+(D416))^2)*('Assumptions'!F67+(0))))*'DCF'!G12/(1+(G416))^'DCF'!G13,(('Historical Inputs'!$N$9*(1+(D416))^4)*(('Assumptions'!H37+(E416))*(1-'Assumptions'!H42-(0))+'Assumptions'!H47-'Assumptions'!H52*(F416)+'Assumptions'!H57-'Assumptions'!H62*(1)-'Assumptions'!H67-(0))+(('Historical Inputs'!$N$9*(1+(D416))^3)*('Assumptions'!G67+(0))))*'DCF'!H12/(1+(G416))^'DCF'!H13,(('Historical Inputs'!$N$9*(1+(D416))^5)*(('Assumptions'!I37+(E416))*(1-'Assumptions'!I42-(0))+'Assumptions'!I47-'Assumptions'!I52*(F416)+'Assumptions'!I57-'Assumptions'!I62*(1)-'Assumptions'!I67-(0))+(('Historical Inputs'!$N$9*(1+(D416))^4)*('Assumptions'!H67+(0))))*'DCF'!I12/(1+(G416))^'DCF'!I13)+('Historical Inputs'!$N$9*(1+(D416))^5)*(1+(H416))*('Terminal Value'!$E$10+(E416))*(1-'Assumptions'!$E$15-(0))*(1-(H416)/('Terminal Value'!$E$12))/((G416)-(H416))/(1+(G416))^'DCF'!$E$19)+'Equity Bridge'!$E$17)/'Equity Bridge'!$E$20</x:f>
        <x:v>199.30631733378095</x:v>
      </x:c>
      <x:c r="X416" s="255" t="n">
        <x:v>0.042245260172747545</x:v>
      </x:c>
      <x:c r="Y416" s="255" t="n">
        <x:v>0.144887337441853</x:v>
      </x:c>
      <x:c r="Z416" s="255" t="n">
        <x:v>0.3547212683125618</x:v>
      </x:c>
      <x:c r="AA416" s="255" t="n">
        <x:v>0.8369259344731755</x:v>
      </x:c>
      <x:c r="AB416" s="255" t="n">
        <x:v>0.014113208472840033</x:v>
      </x:c>
    </x:row>
    <x:row r="417" ht="24" customHeight="1">
      <x:c r="C417" s="256" t="n">
        <x:f>386</x:f>
        <x:v>386</x:v>
      </x:c>
      <x:c r="D417" s="258" t="n">
        <x:f>IF(X417&lt;($E$12-$D$12)/($F$12-$D$12),$D$12+SQRT(X417*($F$12-$D$12)*($E$12-$D$12)),$F$12-SQRT((1-X417)*($F$12-$D$12)*($F$12-$E$12)))</x:f>
        <x:v>0.14741098274644907</x:v>
      </x:c>
      <x:c r="E417" s="258" t="n">
        <x:f>IF(Y417&lt;($E$13-$D$13)/($F$13-$D$13),$D$13+SQRT(Y417*($F$13-$D$13)*($E$13-$D$13)),$F$13-SQRT((1-Y417)*($F$13-$D$13)*($F$13-$E$13)))</x:f>
        <x:v>0.0069758710748861474</x:v>
      </x:c>
      <x:c r="F417" s="260" t="n">
        <x:f>IF(Z417&lt;($E$14-$D$14)/($F$14-$D$14),$D$14+SQRT(Z417*($F$14-$D$14)*($E$14-$D$14)),$F$14-SQRT((1-Z417)*($F$14-$D$14)*($F$14-$E$14)))</x:f>
        <x:v>0.9974698322780393</x:v>
      </x:c>
      <x:c r="G417" s="258" t="n">
        <x:f>IF(AA417&lt;($E$15-$D$15)/($F$15-$D$15),$D$15+SQRT(AA417*($F$15-$D$15)*($E$15-$D$15)),$F$15-SQRT((1-AA417)*($F$15-$D$15)*($F$15-$E$15)))</x:f>
        <x:v>0.10320329865368066</x:v>
      </x:c>
      <x:c r="H417" s="258" t="n">
        <x:f>IF(AB417&lt;($E$16-$D$16)/($F$16-$D$16),$D$16+SQRT(AB417*($F$16-$D$16)*($E$16-$D$16)),$F$16-SQRT((1-AB417)*($F$16-$D$16)*($F$16-$E$16)))</x:f>
        <x:v>0.023846456363288793</x:v>
      </x:c>
      <x:c r="I417" s="262" t="n">
        <x:f>'Historical Inputs'!$N$9*(1+D417)^5</x:f>
        <x:v>659967.3317918436</x:v>
      </x:c>
      <x:c r="J417" s="262" t="n">
        <x:f>I417*(1+H417)*('Terminal Value'!$E$10+E417)*(1-'Assumptions'!$E$15)*(1-H417/'Terminal Value'!$E$12)</x:f>
        <x:v>193765.88087457008</x:v>
      </x:c>
      <x:c r="K417" s="264" t="n">
        <x:f>((SUM((('Historical Inputs'!$N$9*(1+(D417))^1)*(('Assumptions'!E37+(E417))*(1-'Assumptions'!E42-(0))+'Assumptions'!E47-'Assumptions'!E52*(F417)+'Assumptions'!E57-'Assumptions'!E62*(1)-'Assumptions'!E67-(0))+('Working Capital'!$E$6))*'DCF'!E12/(1+(G417))^'DCF'!E13,(('Historical Inputs'!$N$9*(1+(D417))^2)*(('Assumptions'!F37+(E417))*(1-'Assumptions'!F42-(0))+'Assumptions'!F47-'Assumptions'!F52*(F417)+'Assumptions'!F57-'Assumptions'!F62*(1)-'Assumptions'!F67-(0))+(('Historical Inputs'!$N$9*(1+(D417))^1)*('Assumptions'!E67+(0))))*'DCF'!F12/(1+(G417))^'DCF'!F13,(('Historical Inputs'!$N$9*(1+(D417))^3)*(('Assumptions'!G37+(E417))*(1-'Assumptions'!G42-(0))+'Assumptions'!G47-'Assumptions'!G52*(F417)+'Assumptions'!G57-'Assumptions'!G62*(1)-'Assumptions'!G67-(0))+(('Historical Inputs'!$N$9*(1+(D417))^2)*('Assumptions'!F67+(0))))*'DCF'!G12/(1+(G417))^'DCF'!G13,(('Historical Inputs'!$N$9*(1+(D417))^4)*(('Assumptions'!H37+(E417))*(1-'Assumptions'!H42-(0))+'Assumptions'!H47-'Assumptions'!H52*(F417)+'Assumptions'!H57-'Assumptions'!H62*(1)-'Assumptions'!H67-(0))+(('Historical Inputs'!$N$9*(1+(D417))^3)*('Assumptions'!G67+(0))))*'DCF'!H12/(1+(G417))^'DCF'!H13,(('Historical Inputs'!$N$9*(1+(D417))^5)*(('Assumptions'!I37+(E417))*(1-'Assumptions'!I42-(0))+'Assumptions'!I47-'Assumptions'!I52*(F417)+'Assumptions'!I57-'Assumptions'!I62*(1)-'Assumptions'!I67-(0))+(('Historical Inputs'!$N$9*(1+(D417))^4)*('Assumptions'!H67+(0))))*'DCF'!I12/(1+(G417))^'DCF'!I13)+('Historical Inputs'!$N$9*(1+(D417))^5)*(1+(H417))*('Terminal Value'!$E$10+(E417))*(1-'Assumptions'!$E$15-(0))*(1-(H417)/('Terminal Value'!$E$12))/((G417)-(H417))/(1+(G417))^'DCF'!$E$19)+'Equity Bridge'!$E$17)/'Equity Bridge'!$E$20</x:f>
        <x:v>263.3367777515993</x:v>
      </x:c>
      <x:c r="X417" s="255" t="n">
        <x:v>0.5796281401422058</x:v>
      </x:c>
      <x:c r="Y417" s="255" t="n">
        <x:v>0.6297848660470363</x:v>
      </x:c>
      <x:c r="Z417" s="255" t="n">
        <x:v>0.41423526537358213</x:v>
      </x:c>
      <x:c r="AA417" s="255" t="n">
        <x:v>0.780565838107562</x:v>
      </x:c>
      <x:c r="AB417" s="255" t="n">
        <x:v>0.0739761327734243</x:v>
      </x:c>
    </x:row>
    <x:row r="418" ht="24" customHeight="1">
      <x:c r="C418" s="256" t="n">
        <x:f>387</x:f>
        <x:v>387</x:v>
      </x:c>
      <x:c r="D418" s="258" t="n">
        <x:f>IF(X418&lt;($E$12-$D$12)/($F$12-$D$12),$D$12+SQRT(X418*($F$12-$D$12)*($E$12-$D$12)),$F$12-SQRT((1-X418)*($F$12-$D$12)*($F$12-$E$12)))</x:f>
        <x:v>0.13459077601053887</x:v>
      </x:c>
      <x:c r="E418" s="258" t="n">
        <x:f>IF(Y418&lt;($E$13-$D$13)/($F$13-$D$13),$D$13+SQRT(Y418*($F$13-$D$13)*($E$13-$D$13)),$F$13-SQRT((1-Y418)*($F$13-$D$13)*($F$13-$E$13)))</x:f>
        <x:v>0.04588383860037393</x:v>
      </x:c>
      <x:c r="F418" s="260" t="n">
        <x:f>IF(Z418&lt;($E$14-$D$14)/($F$14-$D$14),$D$14+SQRT(Z418*($F$14-$D$14)*($E$14-$D$14)),$F$14-SQRT((1-Z418)*($F$14-$D$14)*($F$14-$E$14)))</x:f>
        <x:v>0.9184152921501678</x:v>
      </x:c>
      <x:c r="G418" s="258" t="n">
        <x:f>IF(AA418&lt;($E$15-$D$15)/($F$15-$D$15),$D$15+SQRT(AA418*($F$15-$D$15)*($E$15-$D$15)),$F$15-SQRT((1-AA418)*($F$15-$D$15)*($F$15-$E$15)))</x:f>
        <x:v>0.09934194080907419</x:v>
      </x:c>
      <x:c r="H418" s="258" t="n">
        <x:f>IF(AB418&lt;($E$16-$D$16)/($F$16-$D$16),$D$16+SQRT(AB418*($F$16-$D$16)*($E$16-$D$16)),$F$16-SQRT((1-AB418)*($F$16-$D$16)*($F$16-$E$16)))</x:f>
        <x:v>0.02713918415351044</x:v>
      </x:c>
      <x:c r="I418" s="262" t="n">
        <x:f>'Historical Inputs'!$N$9*(1+D418)^5</x:f>
        <x:v>623912.4738606493</x:v>
      </x:c>
      <x:c r="J418" s="262" t="n">
        <x:f>I418*(1+H418)*('Terminal Value'!$E$10+E418)*(1-'Assumptions'!$E$15)*(1-H418/'Terminal Value'!$E$12)</x:f>
        <x:v>197574.66167800658</x:v>
      </x:c>
      <x:c r="K418" s="264" t="n">
        <x:f>((SUM((('Historical Inputs'!$N$9*(1+(D418))^1)*(('Assumptions'!E37+(E418))*(1-'Assumptions'!E42-(0))+'Assumptions'!E47-'Assumptions'!E52*(F418)+'Assumptions'!E57-'Assumptions'!E62*(1)-'Assumptions'!E67-(0))+('Working Capital'!$E$6))*'DCF'!E12/(1+(G418))^'DCF'!E13,(('Historical Inputs'!$N$9*(1+(D418))^2)*(('Assumptions'!F37+(E418))*(1-'Assumptions'!F42-(0))+'Assumptions'!F47-'Assumptions'!F52*(F418)+'Assumptions'!F57-'Assumptions'!F62*(1)-'Assumptions'!F67-(0))+(('Historical Inputs'!$N$9*(1+(D418))^1)*('Assumptions'!E67+(0))))*'DCF'!F12/(1+(G418))^'DCF'!F13,(('Historical Inputs'!$N$9*(1+(D418))^3)*(('Assumptions'!G37+(E418))*(1-'Assumptions'!G42-(0))+'Assumptions'!G47-'Assumptions'!G52*(F418)+'Assumptions'!G57-'Assumptions'!G62*(1)-'Assumptions'!G67-(0))+(('Historical Inputs'!$N$9*(1+(D418))^2)*('Assumptions'!F67+(0))))*'DCF'!G12/(1+(G418))^'DCF'!G13,(('Historical Inputs'!$N$9*(1+(D418))^4)*(('Assumptions'!H37+(E418))*(1-'Assumptions'!H42-(0))+'Assumptions'!H47-'Assumptions'!H52*(F418)+'Assumptions'!H57-'Assumptions'!H62*(1)-'Assumptions'!H67-(0))+(('Historical Inputs'!$N$9*(1+(D418))^3)*('Assumptions'!G67+(0))))*'DCF'!H12/(1+(G418))^'DCF'!H13,(('Historical Inputs'!$N$9*(1+(D418))^5)*(('Assumptions'!I37+(E418))*(1-'Assumptions'!I42-(0))+'Assumptions'!I47-'Assumptions'!I52*(F418)+'Assumptions'!I57-'Assumptions'!I62*(1)-'Assumptions'!I67-(0))+(('Historical Inputs'!$N$9*(1+(D418))^4)*('Assumptions'!H67+(0))))*'DCF'!I12/(1+(G418))^'DCF'!I13)+('Historical Inputs'!$N$9*(1+(D418))^5)*(1+(H418))*('Terminal Value'!$E$10+(E418))*(1-'Assumptions'!$E$15-(0))*(1-(H418)/('Terminal Value'!$E$12))/((G418)-(H418))/(1+(G418))^'DCF'!$E$19)+'Equity Bridge'!$E$17)/'Equity Bridge'!$E$20</x:f>
        <x:v>303.0014275713533</x:v>
      </x:c>
      <x:c r="X418" s="255" t="n">
        <x:v>0.34169584699662836</x:v>
      </x:c>
      <x:c r="Y418" s="255" t="n">
        <x:v>0.9966114430664457</x:v>
      </x:c>
      <x:c r="Z418" s="255" t="n">
        <x:v>0.08915527999986328</x:v>
      </x:c>
      <x:c r="AA418" s="255" t="n">
        <x:v>0.5768963809521159</x:v>
      </x:c>
      <x:c r="AB418" s="255" t="n">
        <x:v>0.25483975188867314</x:v>
      </x:c>
    </x:row>
    <x:row r="419" ht="24" customHeight="1">
      <x:c r="C419" s="256" t="n">
        <x:f>388</x:f>
        <x:v>388</x:v>
      </x:c>
      <x:c r="D419" s="258" t="n">
        <x:f>IF(X419&lt;($E$12-$D$12)/($F$12-$D$12),$D$12+SQRT(X419*($F$12-$D$12)*($E$12-$D$12)),$F$12-SQRT((1-X419)*($F$12-$D$12)*($F$12-$E$12)))</x:f>
        <x:v>0.1186248906851122</x:v>
      </x:c>
      <x:c r="E419" s="258" t="n">
        <x:f>IF(Y419&lt;($E$13-$D$13)/($F$13-$D$13),$D$13+SQRT(Y419*($F$13-$D$13)*($E$13-$D$13)),$F$13-SQRT((1-Y419)*($F$13-$D$13)*($F$13-$E$13)))</x:f>
        <x:v>-0.0030832358886031044</x:v>
      </x:c>
      <x:c r="F419" s="260" t="n">
        <x:f>IF(Z419&lt;($E$14-$D$14)/($F$14-$D$14),$D$14+SQRT(Z419*($F$14-$D$14)*($E$14-$D$14)),$F$14-SQRT((1-Z419)*($F$14-$D$14)*($F$14-$E$14)))</x:f>
        <x:v>1.0733252046659039</x:v>
      </x:c>
      <x:c r="G419" s="258" t="n">
        <x:f>IF(AA419&lt;($E$15-$D$15)/($F$15-$D$15),$D$15+SQRT(AA419*($F$15-$D$15)*($E$15-$D$15)),$F$15-SQRT((1-AA419)*($F$15-$D$15)*($F$15-$E$15)))</x:f>
        <x:v>0.09431361123511957</x:v>
      </x:c>
      <x:c r="H419" s="258" t="n">
        <x:f>IF(AB419&lt;($E$16-$D$16)/($F$16-$D$16),$D$16+SQRT(AB419*($F$16-$D$16)*($E$16-$D$16)),$F$16-SQRT((1-AB419)*($F$16-$D$16)*($F$16-$E$16)))</x:f>
        <x:v>0.024494908470924604</x:v>
      </x:c>
      <x:c r="I419" s="262" t="n">
        <x:f>'Historical Inputs'!$N$9*(1+D419)^5</x:f>
        <x:v>581232.4050303062</x:v>
      </x:c>
      <x:c r="J419" s="262" t="n">
        <x:f>I419*(1+H419)*('Terminal Value'!$E$10+E419)*(1-'Assumptions'!$E$15)*(1-H419/'Terminal Value'!$E$12)</x:f>
        <x:v>165923.8350662396</x:v>
      </x:c>
      <x:c r="K419" s="264" t="n">
        <x:f>((SUM((('Historical Inputs'!$N$9*(1+(D419))^1)*(('Assumptions'!E37+(E419))*(1-'Assumptions'!E42-(0))+'Assumptions'!E47-'Assumptions'!E52*(F419)+'Assumptions'!E57-'Assumptions'!E62*(1)-'Assumptions'!E67-(0))+('Working Capital'!$E$6))*'DCF'!E12/(1+(G419))^'DCF'!E13,(('Historical Inputs'!$N$9*(1+(D419))^2)*(('Assumptions'!F37+(E419))*(1-'Assumptions'!F42-(0))+'Assumptions'!F47-'Assumptions'!F52*(F419)+'Assumptions'!F57-'Assumptions'!F62*(1)-'Assumptions'!F67-(0))+(('Historical Inputs'!$N$9*(1+(D419))^1)*('Assumptions'!E67+(0))))*'DCF'!F12/(1+(G419))^'DCF'!F13,(('Historical Inputs'!$N$9*(1+(D419))^3)*(('Assumptions'!G37+(E419))*(1-'Assumptions'!G42-(0))+'Assumptions'!G47-'Assumptions'!G52*(F419)+'Assumptions'!G57-'Assumptions'!G62*(1)-'Assumptions'!G67-(0))+(('Historical Inputs'!$N$9*(1+(D419))^2)*('Assumptions'!F67+(0))))*'DCF'!G12/(1+(G419))^'DCF'!G13,(('Historical Inputs'!$N$9*(1+(D419))^4)*(('Assumptions'!H37+(E419))*(1-'Assumptions'!H42-(0))+'Assumptions'!H47-'Assumptions'!H52*(F419)+'Assumptions'!H57-'Assumptions'!H62*(1)-'Assumptions'!H67-(0))+(('Historical Inputs'!$N$9*(1+(D419))^3)*('Assumptions'!G67+(0))))*'DCF'!H12/(1+(G419))^'DCF'!H13,(('Historical Inputs'!$N$9*(1+(D419))^5)*(('Assumptions'!I37+(E419))*(1-'Assumptions'!I42-(0))+'Assumptions'!I47-'Assumptions'!I52*(F419)+'Assumptions'!I57-'Assumptions'!I62*(1)-'Assumptions'!I67-(0))+(('Historical Inputs'!$N$9*(1+(D419))^4)*('Assumptions'!H67+(0))))*'DCF'!I12/(1+(G419))^'DCF'!I13)+('Historical Inputs'!$N$9*(1+(D419))^5)*(1+(H419))*('Terminal Value'!$E$10+(E419))*(1-'Assumptions'!$E$15-(0))*(1-(H419)/('Terminal Value'!$E$12))/((G419)-(H419))/(1+(G419))^'DCF'!$E$19)+'Equity Bridge'!$E$17)/'Equity Bridge'!$E$20</x:f>
        <x:v>255.33319457387552</x:v>
      </x:c>
      <x:c r="X419" s="255" t="n">
        <x:v>0.1287057540900408</x:v>
      </x:c>
      <x:c r="Y419" s="255" t="n">
        <x:v>0.44023655093689185</x:v>
      </x:c>
      <x:c r="Z419" s="255" t="n">
        <x:v>0.7707642318152127</x:v>
      </x:c>
      <x:c r="AA419" s="255" t="n">
        <x:v>0.2774251900916548</x:v>
      </x:c>
      <x:c r="AB419" s="255" t="n">
        <x:v>0.10102101080994896</x:v>
      </x:c>
    </x:row>
    <x:row r="420" ht="24" customHeight="1">
      <x:c r="C420" s="256" t="n">
        <x:f>389</x:f>
        <x:v>389</x:v>
      </x:c>
      <x:c r="D420" s="258" t="n">
        <x:f>IF(X420&lt;($E$12-$D$12)/($F$12-$D$12),$D$12+SQRT(X420*($F$12-$D$12)*($E$12-$D$12)),$F$12-SQRT((1-X420)*($F$12-$D$12)*($F$12-$E$12)))</x:f>
        <x:v>0.12683375240399375</x:v>
      </x:c>
      <x:c r="E420" s="258" t="n">
        <x:f>IF(Y420&lt;($E$13-$D$13)/($F$13-$D$13),$D$13+SQRT(Y420*($F$13-$D$13)*($E$13-$D$13)),$F$13-SQRT((1-Y420)*($F$13-$D$13)*($F$13-$E$13)))</x:f>
        <x:v>0.03753626882891986</x:v>
      </x:c>
      <x:c r="F420" s="260" t="n">
        <x:f>IF(Z420&lt;($E$14-$D$14)/($F$14-$D$14),$D$14+SQRT(Z420*($F$14-$D$14)*($E$14-$D$14)),$F$14-SQRT((1-Z420)*($F$14-$D$14)*($F$14-$E$14)))</x:f>
        <x:v>0.878883861368155</x:v>
      </x:c>
      <x:c r="G420" s="258" t="n">
        <x:f>IF(AA420&lt;($E$15-$D$15)/($F$15-$D$15),$D$15+SQRT(AA420*($F$15-$D$15)*($E$15-$D$15)),$F$15-SQRT((1-AA420)*($F$15-$D$15)*($F$15-$E$15)))</x:f>
        <x:v>0.08745642304548479</x:v>
      </x:c>
      <x:c r="H420" s="258" t="n">
        <x:f>IF(AB420&lt;($E$16-$D$16)/($F$16-$D$16),$D$16+SQRT(AB420*($F$16-$D$16)*($E$16-$D$16)),$F$16-SQRT((1-AB420)*($F$16-$D$16)*($F$16-$E$16)))</x:f>
        <x:v>0.027880055878027124</x:v>
      </x:c>
      <x:c r="I420" s="262" t="n">
        <x:f>'Historical Inputs'!$N$9*(1+D420)^5</x:f>
        <x:v>602874.1481714149</x:v>
      </x:c>
      <x:c r="J420" s="262" t="n">
        <x:f>I420*(1+H420)*('Terminal Value'!$E$10+E420)*(1-'Assumptions'!$E$15)*(1-H420/'Terminal Value'!$E$12)</x:f>
        <x:v>186669.92262271154</x:v>
      </x:c>
      <x:c r="K420" s="264" t="n">
        <x:f>((SUM((('Historical Inputs'!$N$9*(1+(D420))^1)*(('Assumptions'!E37+(E420))*(1-'Assumptions'!E42-(0))+'Assumptions'!E47-'Assumptions'!E52*(F420)+'Assumptions'!E57-'Assumptions'!E62*(1)-'Assumptions'!E67-(0))+('Working Capital'!$E$6))*'DCF'!E12/(1+(G420))^'DCF'!E13,(('Historical Inputs'!$N$9*(1+(D420))^2)*(('Assumptions'!F37+(E420))*(1-'Assumptions'!F42-(0))+'Assumptions'!F47-'Assumptions'!F52*(F420)+'Assumptions'!F57-'Assumptions'!F62*(1)-'Assumptions'!F67-(0))+(('Historical Inputs'!$N$9*(1+(D420))^1)*('Assumptions'!E67+(0))))*'DCF'!F12/(1+(G420))^'DCF'!F13,(('Historical Inputs'!$N$9*(1+(D420))^3)*(('Assumptions'!G37+(E420))*(1-'Assumptions'!G42-(0))+'Assumptions'!G47-'Assumptions'!G52*(F420)+'Assumptions'!G57-'Assumptions'!G62*(1)-'Assumptions'!G67-(0))+(('Historical Inputs'!$N$9*(1+(D420))^2)*('Assumptions'!F67+(0))))*'DCF'!G12/(1+(G420))^'DCF'!G13,(('Historical Inputs'!$N$9*(1+(D420))^4)*(('Assumptions'!H37+(E420))*(1-'Assumptions'!H42-(0))+'Assumptions'!H47-'Assumptions'!H52*(F420)+'Assumptions'!H57-'Assumptions'!H62*(1)-'Assumptions'!H67-(0))+(('Historical Inputs'!$N$9*(1+(D420))^3)*('Assumptions'!G67+(0))))*'DCF'!H12/(1+(G420))^'DCF'!H13,(('Historical Inputs'!$N$9*(1+(D420))^5)*(('Assumptions'!I37+(E420))*(1-'Assumptions'!I42-(0))+'Assumptions'!I47-'Assumptions'!I52*(F420)+'Assumptions'!I57-'Assumptions'!I62*(1)-'Assumptions'!I67-(0))+(('Historical Inputs'!$N$9*(1+(D420))^4)*('Assumptions'!H67+(0))))*'DCF'!I12/(1+(G420))^'DCF'!I13)+('Historical Inputs'!$N$9*(1+(D420))^5)*(1+(H420))*('Terminal Value'!$E$10+(E420))*(1-'Assumptions'!$E$15-(0))*(1-(H420)/('Terminal Value'!$E$12))/((G420)-(H420))/(1+(G420))^'DCF'!$E$19)+'Equity Bridge'!$E$17)/'Equity Bridge'!$E$20</x:f>
        <x:v>352.41113879997215</x:v>
      </x:c>
      <x:c r="X420" s="255" t="n">
        <x:v>0.22547936726066542</x:v>
      </x:c>
      <x:c r="Y420" s="255" t="n">
        <x:v>0.968931081059009</x:v>
      </x:c>
      <x:c r="Z420" s="255" t="n">
        <x:v>0.01589099900066282</x:v>
      </x:c>
      <x:c r="AA420" s="255" t="n">
        <x:v>0.041396266691944406</x:v>
      </x:c>
      <x:c r="AB420" s="255" t="n">
        <x:v>0.3104764032041494</x:v>
      </x:c>
    </x:row>
    <x:row r="421" ht="24" customHeight="1">
      <x:c r="C421" s="256" t="n">
        <x:f>390</x:f>
        <x:v>390</x:v>
      </x:c>
      <x:c r="D421" s="258" t="n">
        <x:f>IF(X421&lt;($E$12-$D$12)/($F$12-$D$12),$D$12+SQRT(X421*($F$12-$D$12)*($E$12-$D$12)),$F$12-SQRT((1-X421)*($F$12-$D$12)*($F$12-$E$12)))</x:f>
        <x:v>0.14511507898688936</x:v>
      </x:c>
      <x:c r="E421" s="258" t="n">
        <x:f>IF(Y421&lt;($E$13-$D$13)/($F$13-$D$13),$D$13+SQRT(Y421*($F$13-$D$13)*($E$13-$D$13)),$F$13-SQRT((1-Y421)*($F$13-$D$13)*($F$13-$E$13)))</x:f>
        <x:v>-0.014695191015443199</x:v>
      </x:c>
      <x:c r="F421" s="260" t="n">
        <x:f>IF(Z421&lt;($E$14-$D$14)/($F$14-$D$14),$D$14+SQRT(Z421*($F$14-$D$14)*($E$14-$D$14)),$F$14-SQRT((1-Z421)*($F$14-$D$14)*($F$14-$E$14)))</x:f>
        <x:v>1.0400380613749174</x:v>
      </x:c>
      <x:c r="G421" s="258" t="n">
        <x:f>IF(AA421&lt;($E$15-$D$15)/($F$15-$D$15),$D$15+SQRT(AA421*($F$15-$D$15)*($E$15-$D$15)),$F$15-SQRT((1-AA421)*($F$15-$D$15)*($F$15-$E$15)))</x:f>
        <x:v>0.10954850799235148</x:v>
      </x:c>
      <x:c r="H421" s="258" t="n">
        <x:f>IF(AB421&lt;($E$16-$D$16)/($F$16-$D$16),$D$16+SQRT(AB421*($F$16-$D$16)*($E$16-$D$16)),$F$16-SQRT((1-AB421)*($F$16-$D$16)*($F$16-$E$16)))</x:f>
        <x:v>0.02977171459581532</x:v>
      </x:c>
      <x:c r="I421" s="262" t="n">
        <x:f>'Historical Inputs'!$N$9*(1+D421)^5</x:f>
        <x:v>653390.9181137647</x:v>
      </x:c>
      <x:c r="J421" s="262" t="n">
        <x:f>I421*(1+H421)*('Terminal Value'!$E$10+E421)*(1-'Assumptions'!$E$15)*(1-H421/'Terminal Value'!$E$12)</x:f>
        <x:v>176526.61679992158</x:v>
      </x:c>
      <x:c r="K421" s="264" t="n">
        <x:f>((SUM((('Historical Inputs'!$N$9*(1+(D421))^1)*(('Assumptions'!E37+(E421))*(1-'Assumptions'!E42-(0))+'Assumptions'!E47-'Assumptions'!E52*(F421)+'Assumptions'!E57-'Assumptions'!E62*(1)-'Assumptions'!E67-(0))+('Working Capital'!$E$6))*'DCF'!E12/(1+(G421))^'DCF'!E13,(('Historical Inputs'!$N$9*(1+(D421))^2)*(('Assumptions'!F37+(E421))*(1-'Assumptions'!F42-(0))+'Assumptions'!F47-'Assumptions'!F52*(F421)+'Assumptions'!F57-'Assumptions'!F62*(1)-'Assumptions'!F67-(0))+(('Historical Inputs'!$N$9*(1+(D421))^1)*('Assumptions'!E67+(0))))*'DCF'!F12/(1+(G421))^'DCF'!F13,(('Historical Inputs'!$N$9*(1+(D421))^3)*(('Assumptions'!G37+(E421))*(1-'Assumptions'!G42-(0))+'Assumptions'!G47-'Assumptions'!G52*(F421)+'Assumptions'!G57-'Assumptions'!G62*(1)-'Assumptions'!G67-(0))+(('Historical Inputs'!$N$9*(1+(D421))^2)*('Assumptions'!F67+(0))))*'DCF'!G12/(1+(G421))^'DCF'!G13,(('Historical Inputs'!$N$9*(1+(D421))^4)*(('Assumptions'!H37+(E421))*(1-'Assumptions'!H42-(0))+'Assumptions'!H47-'Assumptions'!H52*(F421)+'Assumptions'!H57-'Assumptions'!H62*(1)-'Assumptions'!H67-(0))+(('Historical Inputs'!$N$9*(1+(D421))^3)*('Assumptions'!G67+(0))))*'DCF'!H12/(1+(G421))^'DCF'!H13,(('Historical Inputs'!$N$9*(1+(D421))^5)*(('Assumptions'!I37+(E421))*(1-'Assumptions'!I42-(0))+'Assumptions'!I47-'Assumptions'!I52*(F421)+'Assumptions'!I57-'Assumptions'!I62*(1)-'Assumptions'!I67-(0))+(('Historical Inputs'!$N$9*(1+(D421))^4)*('Assumptions'!H67+(0))))*'DCF'!I12/(1+(G421))^'DCF'!I13)+('Historical Inputs'!$N$9*(1+(D421))^5)*(1+(H421))*('Terminal Value'!$E$10+(E421))*(1-'Assumptions'!$E$15-(0))*(1-(H421)/('Terminal Value'!$E$12))/((G421)-(H421))/(1+(G421))^'DCF'!$E$19)+'Equity Bridge'!$E$17)/'Equity Bridge'!$E$20</x:f>
        <x:v>230.66440082382746</x:v>
      </x:c>
      <x:c r="X421" s="255" t="n">
        <x:v>0.5364706679340561</x:v>
      </x:c>
      <x:c r="Y421" s="255" t="n">
        <x:v>0.24928590748720858</x:v>
      </x:c>
      <x:c r="Z421" s="255" t="n">
        <x:v>0.6344596884472189</x:v>
      </x:c>
      <x:c r="AA421" s="255" t="n">
        <x:v>0.9713300720246264</x:v>
      </x:c>
      <x:c r="AB421" s="255" t="n">
        <x:v>0.4774320307103508</x:v>
      </x:c>
    </x:row>
    <x:row r="422" ht="24" customHeight="1">
      <x:c r="C422" s="256" t="n">
        <x:f>391</x:f>
        <x:v>391</x:v>
      </x:c>
      <x:c r="D422" s="258" t="n">
        <x:f>IF(X422&lt;($E$12-$D$12)/($F$12-$D$12),$D$12+SQRT(X422*($F$12-$D$12)*($E$12-$D$12)),$F$12-SQRT((1-X422)*($F$12-$D$12)*($F$12-$E$12)))</x:f>
        <x:v>0.14957298837756478</x:v>
      </x:c>
      <x:c r="E422" s="258" t="n">
        <x:f>IF(Y422&lt;($E$13-$D$13)/($F$13-$D$13),$D$13+SQRT(Y422*($F$13-$D$13)*($E$13-$D$13)),$F$13-SQRT((1-Y422)*($F$13-$D$13)*($F$13-$E$13)))</x:f>
        <x:v>0.014146356933192418</x:v>
      </x:c>
      <x:c r="F422" s="260" t="n">
        <x:f>IF(Z422&lt;($E$14-$D$14)/($F$14-$D$14),$D$14+SQRT(Z422*($F$14-$D$14)*($E$14-$D$14)),$F$14-SQRT((1-Z422)*($F$14-$D$14)*($F$14-$E$14)))</x:f>
        <x:v>1.0503973247234903</x:v>
      </x:c>
      <x:c r="G422" s="258" t="n">
        <x:f>IF(AA422&lt;($E$15-$D$15)/($F$15-$D$15),$D$15+SQRT(AA422*($F$15-$D$15)*($E$15-$D$15)),$F$15-SQRT((1-AA422)*($F$15-$D$15)*($F$15-$E$15)))</x:f>
        <x:v>0.09395196023709719</x:v>
      </x:c>
      <x:c r="H422" s="258" t="n">
        <x:f>IF(AB422&lt;($E$16-$D$16)/($F$16-$D$16),$D$16+SQRT(AB422*($F$16-$D$16)*($E$16-$D$16)),$F$16-SQRT((1-AB422)*($F$16-$D$16)*($F$16-$E$16)))</x:f>
        <x:v>0.03567935217591052</x:v>
      </x:c>
      <x:c r="I422" s="262" t="n">
        <x:f>'Historical Inputs'!$N$9*(1+D422)^5</x:f>
        <x:v>666208.514496451</x:v>
      </x:c>
      <x:c r="J422" s="262" t="n">
        <x:f>I422*(1+H422)*('Terminal Value'!$E$10+E422)*(1-'Assumptions'!$E$15)*(1-H422/'Terminal Value'!$E$12)</x:f>
        <x:v>187819.84253145094</x:v>
      </x:c>
      <x:c r="K422" s="264" t="n">
        <x:f>((SUM((('Historical Inputs'!$N$9*(1+(D422))^1)*(('Assumptions'!E37+(E422))*(1-'Assumptions'!E42-(0))+'Assumptions'!E47-'Assumptions'!E52*(F422)+'Assumptions'!E57-'Assumptions'!E62*(1)-'Assumptions'!E67-(0))+('Working Capital'!$E$6))*'DCF'!E12/(1+(G422))^'DCF'!E13,(('Historical Inputs'!$N$9*(1+(D422))^2)*(('Assumptions'!F37+(E422))*(1-'Assumptions'!F42-(0))+'Assumptions'!F47-'Assumptions'!F52*(F422)+'Assumptions'!F57-'Assumptions'!F62*(1)-'Assumptions'!F67-(0))+(('Historical Inputs'!$N$9*(1+(D422))^1)*('Assumptions'!E67+(0))))*'DCF'!F12/(1+(G422))^'DCF'!F13,(('Historical Inputs'!$N$9*(1+(D422))^3)*(('Assumptions'!G37+(E422))*(1-'Assumptions'!G42-(0))+'Assumptions'!G47-'Assumptions'!G52*(F422)+'Assumptions'!G57-'Assumptions'!G62*(1)-'Assumptions'!G67-(0))+(('Historical Inputs'!$N$9*(1+(D422))^2)*('Assumptions'!F67+(0))))*'DCF'!G12/(1+(G422))^'DCF'!G13,(('Historical Inputs'!$N$9*(1+(D422))^4)*(('Assumptions'!H37+(E422))*(1-'Assumptions'!H42-(0))+'Assumptions'!H47-'Assumptions'!H52*(F422)+'Assumptions'!H57-'Assumptions'!H62*(1)-'Assumptions'!H67-(0))+(('Historical Inputs'!$N$9*(1+(D422))^3)*('Assumptions'!G67+(0))))*'DCF'!H12/(1+(G422))^'DCF'!H13,(('Historical Inputs'!$N$9*(1+(D422))^5)*(('Assumptions'!I37+(E422))*(1-'Assumptions'!I42-(0))+'Assumptions'!I47-'Assumptions'!I52*(F422)+'Assumptions'!I57-'Assumptions'!I62*(1)-'Assumptions'!I67-(0))+(('Historical Inputs'!$N$9*(1+(D422))^4)*('Assumptions'!H67+(0))))*'DCF'!I12/(1+(G422))^'DCF'!I13)+('Historical Inputs'!$N$9*(1+(D422))^5)*(1+(H422))*('Terminal Value'!$E$10+(E422))*(1-'Assumptions'!$E$15-(0))*(1-(H422)/('Terminal Value'!$E$12))/((G422)-(H422))/(1+(G422))^'DCF'!$E$19)+'Equity Bridge'!$E$17)/'Equity Bridge'!$E$20</x:f>
        <x:v>340.1930111148699</x:v>
      </x:c>
      <x:c r="X422" s="255" t="n">
        <x:v>0.6183410443341961</x:v>
      </x:c>
      <x:c r="Y422" s="255" t="n">
        <x:v>0.7429032557675921</x:v>
      </x:c>
      <x:c r="Z422" s="255" t="n">
        <x:v>0.6802719935730169</x:v>
      </x:c>
      <x:c r="AA422" s="255" t="n">
        <x:v>0.2597566639670257</x:v>
      </x:c>
      <x:c r="AB422" s="255" t="n">
        <x:v>0.9066600119009542</x:v>
      </x:c>
    </x:row>
    <x:row r="423" ht="24" customHeight="1">
      <x:c r="C423" s="256" t="n">
        <x:f>392</x:f>
        <x:v>392</x:v>
      </x:c>
      <x:c r="D423" s="258" t="n">
        <x:f>IF(X423&lt;($E$12-$D$12)/($F$12-$D$12),$D$12+SQRT(X423*($F$12-$D$12)*($E$12-$D$12)),$F$12-SQRT((1-X423)*($F$12-$D$12)*($F$12-$E$12)))</x:f>
        <x:v>0.14034176780113894</x:v>
      </x:c>
      <x:c r="E423" s="258" t="n">
        <x:f>IF(Y423&lt;($E$13-$D$13)/($F$13-$D$13),$D$13+SQRT(Y423*($F$13-$D$13)*($E$13-$D$13)),$F$13-SQRT((1-Y423)*($F$13-$D$13)*($F$13-$E$13)))</x:f>
        <x:v>-0.002851540650681654</x:v>
      </x:c>
      <x:c r="F423" s="260" t="n">
        <x:f>IF(Z423&lt;($E$14-$D$14)/($F$14-$D$14),$D$14+SQRT(Z423*($F$14-$D$14)*($E$14-$D$14)),$F$14-SQRT((1-Z423)*($F$14-$D$14)*($F$14-$E$14)))</x:f>
        <x:v>0.9929919883807272</x:v>
      </x:c>
      <x:c r="G423" s="258" t="n">
        <x:f>IF(AA423&lt;($E$15-$D$15)/($F$15-$D$15),$D$15+SQRT(AA423*($F$15-$D$15)*($E$15-$D$15)),$F$15-SQRT((1-AA423)*($F$15-$D$15)*($F$15-$E$15)))</x:f>
        <x:v>0.09649702767298811</x:v>
      </x:c>
      <x:c r="H423" s="258" t="n">
        <x:f>IF(AB423&lt;($E$16-$D$16)/($F$16-$D$16),$D$16+SQRT(AB423*($F$16-$D$16)*($E$16-$D$16)),$F$16-SQRT((1-AB423)*($F$16-$D$16)*($F$16-$E$16)))</x:f>
        <x:v>0.025085796326153775</x:v>
      </x:c>
      <x:c r="I423" s="262" t="n">
        <x:f>'Historical Inputs'!$N$9*(1+D423)^5</x:f>
        <x:v>639885.9648157712</x:v>
      </x:c>
      <x:c r="J423" s="262" t="n">
        <x:f>I423*(1+H423)*('Terminal Value'!$E$10+E423)*(1-'Assumptions'!$E$15)*(1-H423/'Terminal Value'!$E$12)</x:f>
        <x:v>182263.9387174337</x:v>
      </x:c>
      <x:c r="K423" s="264" t="n">
        <x:f>((SUM((('Historical Inputs'!$N$9*(1+(D423))^1)*(('Assumptions'!E37+(E423))*(1-'Assumptions'!E42-(0))+'Assumptions'!E47-'Assumptions'!E52*(F423)+'Assumptions'!E57-'Assumptions'!E62*(1)-'Assumptions'!E67-(0))+('Working Capital'!$E$6))*'DCF'!E12/(1+(G423))^'DCF'!E13,(('Historical Inputs'!$N$9*(1+(D423))^2)*(('Assumptions'!F37+(E423))*(1-'Assumptions'!F42-(0))+'Assumptions'!F47-'Assumptions'!F52*(F423)+'Assumptions'!F57-'Assumptions'!F62*(1)-'Assumptions'!F67-(0))+(('Historical Inputs'!$N$9*(1+(D423))^1)*('Assumptions'!E67+(0))))*'DCF'!F12/(1+(G423))^'DCF'!F13,(('Historical Inputs'!$N$9*(1+(D423))^3)*(('Assumptions'!G37+(E423))*(1-'Assumptions'!G42-(0))+'Assumptions'!G47-'Assumptions'!G52*(F423)+'Assumptions'!G57-'Assumptions'!G62*(1)-'Assumptions'!G67-(0))+(('Historical Inputs'!$N$9*(1+(D423))^2)*('Assumptions'!F67+(0))))*'DCF'!G12/(1+(G423))^'DCF'!G13,(('Historical Inputs'!$N$9*(1+(D423))^4)*(('Assumptions'!H37+(E423))*(1-'Assumptions'!H42-(0))+'Assumptions'!H47-'Assumptions'!H52*(F423)+'Assumptions'!H57-'Assumptions'!H62*(1)-'Assumptions'!H67-(0))+(('Historical Inputs'!$N$9*(1+(D423))^3)*('Assumptions'!G67+(0))))*'DCF'!H12/(1+(G423))^'DCF'!H13,(('Historical Inputs'!$N$9*(1+(D423))^5)*(('Assumptions'!I37+(E423))*(1-'Assumptions'!I42-(0))+'Assumptions'!I47-'Assumptions'!I52*(F423)+'Assumptions'!I57-'Assumptions'!I62*(1)-'Assumptions'!I67-(0))+(('Historical Inputs'!$N$9*(1+(D423))^4)*('Assumptions'!H67+(0))))*'DCF'!I12/(1+(G423))^'DCF'!I13)+('Historical Inputs'!$N$9*(1+(D423))^5)*(1+(H423))*('Terminal Value'!$E$10+(E423))*(1-'Assumptions'!$E$15-(0))*(1-(H423)/('Terminal Value'!$E$12))/((G423)-(H423))/(1+(G423))^'DCF'!$E$19)+'Equity Bridge'!$E$17)/'Equity Bridge'!$E$20</x:f>
        <x:v>276.9590264343441</x:v>
      </x:c>
      <x:c r="X423" s="255" t="n">
        <x:v>0.44339466070759215</x:v>
      </x:c>
      <x:c r="Y423" s="255" t="n">
        <x:v>0.44459544380286486</x:v>
      </x:c>
      <x:c r="Z423" s="255" t="n">
        <x:v>0.38946111887760027</x:v>
      </x:c>
      <x:c r="AA423" s="255" t="n">
        <x:v>0.3964451625165115</x:v>
      </x:c>
      <x:c r="AB423" s="255" t="n">
        <x:v>0.12932662135559625</x:v>
      </x:c>
    </x:row>
    <x:row r="424" ht="24" customHeight="1">
      <x:c r="C424" s="256" t="n">
        <x:f>393</x:f>
        <x:v>393</x:v>
      </x:c>
      <x:c r="D424" s="258" t="n">
        <x:f>IF(X424&lt;($E$12-$D$12)/($F$12-$D$12),$D$12+SQRT(X424*($F$12-$D$12)*($E$12-$D$12)),$F$12-SQRT((1-X424)*($F$12-$D$12)*($F$12-$E$12)))</x:f>
        <x:v>0.17793709923777173</x:v>
      </x:c>
      <x:c r="E424" s="258" t="n">
        <x:f>IF(Y424&lt;($E$13-$D$13)/($F$13-$D$13),$D$13+SQRT(Y424*($F$13-$D$13)*($E$13-$D$13)),$F$13-SQRT((1-Y424)*($F$13-$D$13)*($F$13-$E$13)))</x:f>
        <x:v>-0.0026809715519387906</x:v>
      </x:c>
      <x:c r="F424" s="260" t="n">
        <x:f>IF(Z424&lt;($E$14-$D$14)/($F$14-$D$14),$D$14+SQRT(Z424*($F$14-$D$14)*($E$14-$D$14)),$F$14-SQRT((1-Z424)*($F$14-$D$14)*($F$14-$E$14)))</x:f>
        <x:v>0.8930975298673896</x:v>
      </x:c>
      <x:c r="G424" s="258" t="n">
        <x:f>IF(AA424&lt;($E$15-$D$15)/($F$15-$D$15),$D$15+SQRT(AA424*($F$15-$D$15)*($E$15-$D$15)),$F$15-SQRT((1-AA424)*($F$15-$D$15)*($F$15-$E$15)))</x:f>
        <x:v>0.10443486611830043</x:v>
      </x:c>
      <x:c r="H424" s="258" t="n">
        <x:f>IF(AB424&lt;($E$16-$D$16)/($F$16-$D$16),$D$16+SQRT(AB424*($F$16-$D$16)*($E$16-$D$16)),$F$16-SQRT((1-AB424)*($F$16-$D$16)*($F$16-$E$16)))</x:f>
        <x:v>0.035865796673926066</x:v>
      </x:c>
      <x:c r="I424" s="262" t="n">
        <x:f>'Historical Inputs'!$N$9*(1+D424)^5</x:f>
        <x:v>752554.4474275915</x:v>
      </x:c>
      <x:c r="J424" s="262" t="n">
        <x:f>I424*(1+H424)*('Terminal Value'!$E$10+E424)*(1-'Assumptions'!$E$15)*(1-H424/'Terminal Value'!$E$12)</x:f>
        <x:v>203347.9823679027</x:v>
      </x:c>
      <x:c r="K424" s="264" t="n">
        <x:f>((SUM((('Historical Inputs'!$N$9*(1+(D424))^1)*(('Assumptions'!E37+(E424))*(1-'Assumptions'!E42-(0))+'Assumptions'!E47-'Assumptions'!E52*(F424)+'Assumptions'!E57-'Assumptions'!E62*(1)-'Assumptions'!E67-(0))+('Working Capital'!$E$6))*'DCF'!E12/(1+(G424))^'DCF'!E13,(('Historical Inputs'!$N$9*(1+(D424))^2)*(('Assumptions'!F37+(E424))*(1-'Assumptions'!F42-(0))+'Assumptions'!F47-'Assumptions'!F52*(F424)+'Assumptions'!F57-'Assumptions'!F62*(1)-'Assumptions'!F67-(0))+(('Historical Inputs'!$N$9*(1+(D424))^1)*('Assumptions'!E67+(0))))*'DCF'!F12/(1+(G424))^'DCF'!F13,(('Historical Inputs'!$N$9*(1+(D424))^3)*(('Assumptions'!G37+(E424))*(1-'Assumptions'!G42-(0))+'Assumptions'!G47-'Assumptions'!G52*(F424)+'Assumptions'!G57-'Assumptions'!G62*(1)-'Assumptions'!G67-(0))+(('Historical Inputs'!$N$9*(1+(D424))^2)*('Assumptions'!F67+(0))))*'DCF'!G12/(1+(G424))^'DCF'!G13,(('Historical Inputs'!$N$9*(1+(D424))^4)*(('Assumptions'!H37+(E424))*(1-'Assumptions'!H42-(0))+'Assumptions'!H47-'Assumptions'!H52*(F424)+'Assumptions'!H57-'Assumptions'!H62*(1)-'Assumptions'!H67-(0))+(('Historical Inputs'!$N$9*(1+(D424))^3)*('Assumptions'!G67+(0))))*'DCF'!H12/(1+(G424))^'DCF'!H13,(('Historical Inputs'!$N$9*(1+(D424))^5)*(('Assumptions'!I37+(E424))*(1-'Assumptions'!I42-(0))+'Assumptions'!I47-'Assumptions'!I52*(F424)+'Assumptions'!I57-'Assumptions'!I62*(1)-'Assumptions'!I67-(0))+(('Historical Inputs'!$N$9*(1+(D424))^4)*('Assumptions'!H67+(0))))*'DCF'!I12/(1+(G424))^'DCF'!I13)+('Historical Inputs'!$N$9*(1+(D424))^5)*(1+(H424))*('Terminal Value'!$E$10+(E424))*(1-'Assumptions'!$E$15-(0))*(1-(H424)/('Terminal Value'!$E$12))/((G424)-(H424))/(1+(G424))^'DCF'!$E$19)+'Equity Bridge'!$E$17)/'Equity Bridge'!$E$20</x:f>
        <x:v>316.81141942162327</x:v>
      </x:c>
      <x:c r="X424" s="255" t="n">
        <x:v>0.9530599943777871</x:v>
      </x:c>
      <x:c r="Y424" s="255" t="n">
        <x:v>0.44781809065368516</x:v>
      </x:c>
      <x:c r="Z424" s="255" t="n">
        <x:v>0.03537899201277217</x:v>
      </x:c>
      <x:c r="AA424" s="255" t="n">
        <x:v>0.8315871433547987</x:v>
      </x:c>
      <x:c r="AB424" s="255" t="n">
        <x:v>0.9145418142933962</x:v>
      </x:c>
    </x:row>
    <x:row r="425" ht="24" customHeight="1">
      <x:c r="C425" s="256" t="n">
        <x:f>394</x:f>
        <x:v>394</x:v>
      </x:c>
      <x:c r="D425" s="258" t="n">
        <x:f>IF(X425&lt;($E$12-$D$12)/($F$12-$D$12),$D$12+SQRT(X425*($F$12-$D$12)*($E$12-$D$12)),$F$12-SQRT((1-X425)*($F$12-$D$12)*($F$12-$E$12)))</x:f>
        <x:v>0.11495872754880113</x:v>
      </x:c>
      <x:c r="E425" s="258" t="n">
        <x:f>IF(Y425&lt;($E$13-$D$13)/($F$13-$D$13),$D$13+SQRT(Y425*($F$13-$D$13)*($E$13-$D$13)),$F$13-SQRT((1-Y425)*($F$13-$D$13)*($F$13-$E$13)))</x:f>
        <x:v>-0.026384071604789387</x:v>
      </x:c>
      <x:c r="F425" s="260" t="n">
        <x:f>IF(Z425&lt;($E$14-$D$14)/($F$14-$D$14),$D$14+SQRT(Z425*($F$14-$D$14)*($E$14-$D$14)),$F$14-SQRT((1-Z425)*($F$14-$D$14)*($F$14-$E$14)))</x:f>
        <x:v>0.9842205199077396</x:v>
      </x:c>
      <x:c r="G425" s="258" t="n">
        <x:f>IF(AA425&lt;($E$15-$D$15)/($F$15-$D$15),$D$15+SQRT(AA425*($F$15-$D$15)*($E$15-$D$15)),$F$15-SQRT((1-AA425)*($F$15-$D$15)*($F$15-$E$15)))</x:f>
        <x:v>0.08746065871839649</x:v>
      </x:c>
      <x:c r="H425" s="258" t="n">
        <x:f>IF(AB425&lt;($E$16-$D$16)/($F$16-$D$16),$D$16+SQRT(AB425*($F$16-$D$16)*($E$16-$D$16)),$F$16-SQRT((1-AB425)*($F$16-$D$16)*($F$16-$E$16)))</x:f>
        <x:v>0.027728958296949508</x:v>
      </x:c>
      <x:c r="I425" s="262" t="n">
        <x:f>'Historical Inputs'!$N$9*(1+D425)^5</x:f>
        <x:v>571770.0238999355</x:v>
      </x:c>
      <x:c r="J425" s="262" t="n">
        <x:f>I425*(1+H425)*('Terminal Value'!$E$10+E425)*(1-'Assumptions'!$E$15)*(1-H425/'Terminal Value'!$E$12)</x:f>
        <x:v>151285.61364234154</x:v>
      </x:c>
      <x:c r="K425" s="264" t="n">
        <x:f>((SUM((('Historical Inputs'!$N$9*(1+(D425))^1)*(('Assumptions'!E37+(E425))*(1-'Assumptions'!E42-(0))+'Assumptions'!E47-'Assumptions'!E52*(F425)+'Assumptions'!E57-'Assumptions'!E62*(1)-'Assumptions'!E67-(0))+('Working Capital'!$E$6))*'DCF'!E12/(1+(G425))^'DCF'!E13,(('Historical Inputs'!$N$9*(1+(D425))^2)*(('Assumptions'!F37+(E425))*(1-'Assumptions'!F42-(0))+'Assumptions'!F47-'Assumptions'!F52*(F425)+'Assumptions'!F57-'Assumptions'!F62*(1)-'Assumptions'!F67-(0))+(('Historical Inputs'!$N$9*(1+(D425))^1)*('Assumptions'!E67+(0))))*'DCF'!F12/(1+(G425))^'DCF'!F13,(('Historical Inputs'!$N$9*(1+(D425))^3)*(('Assumptions'!G37+(E425))*(1-'Assumptions'!G42-(0))+'Assumptions'!G47-'Assumptions'!G52*(F425)+'Assumptions'!G57-'Assumptions'!G62*(1)-'Assumptions'!G67-(0))+(('Historical Inputs'!$N$9*(1+(D425))^2)*('Assumptions'!F67+(0))))*'DCF'!G12/(1+(G425))^'DCF'!G13,(('Historical Inputs'!$N$9*(1+(D425))^4)*(('Assumptions'!H37+(E425))*(1-'Assumptions'!H42-(0))+'Assumptions'!H47-'Assumptions'!H52*(F425)+'Assumptions'!H57-'Assumptions'!H62*(1)-'Assumptions'!H67-(0))+(('Historical Inputs'!$N$9*(1+(D425))^3)*('Assumptions'!G67+(0))))*'DCF'!H12/(1+(G425))^'DCF'!H13,(('Historical Inputs'!$N$9*(1+(D425))^5)*(('Assumptions'!I37+(E425))*(1-'Assumptions'!I42-(0))+'Assumptions'!I47-'Assumptions'!I52*(F425)+'Assumptions'!I57-'Assumptions'!I62*(1)-'Assumptions'!I67-(0))+(('Historical Inputs'!$N$9*(1+(D425))^4)*('Assumptions'!H67+(0))))*'DCF'!I12/(1+(G425))^'DCF'!I13)+('Historical Inputs'!$N$9*(1+(D425))^5)*(1+(H425))*('Terminal Value'!$E$10+(E425))*(1-'Assumptions'!$E$15-(0))*(1-(H425)/('Terminal Value'!$E$12))/((G425)-(H425))/(1+(G425))^'DCF'!$E$19)+'Equity Bridge'!$E$17)/'Equity Bridge'!$E$20</x:f>
        <x:v>276.87304248412346</x:v>
      </x:c>
      <x:c r="X425" s="255" t="n">
        <x:v>0.09419280625531379</x:v>
      </x:c>
      <x:c r="Y425" s="255" t="n">
        <x:v>0.11154241479354299</x:v>
      </x:c>
      <x:c r="Z425" s="255" t="n">
        <x:v>0.34314567551055086</x:v>
      </x:c>
      <x:c r="AA425" s="255" t="n">
        <x:v>0.04147755719165891</x:v>
      </x:c>
      <x:c r="AB425" s="255" t="n">
        <x:v>0.2986839817799234</x:v>
      </x:c>
    </x:row>
    <x:row r="426" ht="24" customHeight="1">
      <x:c r="C426" s="256" t="n">
        <x:f>395</x:f>
        <x:v>395</x:v>
      </x:c>
      <x:c r="D426" s="258" t="n">
        <x:f>IF(X426&lt;($E$12-$D$12)/($F$12-$D$12),$D$12+SQRT(X426*($F$12-$D$12)*($E$12-$D$12)),$F$12-SQRT((1-X426)*($F$12-$D$12)*($F$12-$E$12)))</x:f>
        <x:v>0.1263629484078994</x:v>
      </x:c>
      <x:c r="E426" s="258" t="n">
        <x:f>IF(Y426&lt;($E$13-$D$13)/($F$13-$D$13),$D$13+SQRT(Y426*($F$13-$D$13)*($E$13-$D$13)),$F$13-SQRT((1-Y426)*($F$13-$D$13)*($F$13-$E$13)))</x:f>
        <x:v>-0.014047350067352506</x:v>
      </x:c>
      <x:c r="F426" s="260" t="n">
        <x:f>IF(Z426&lt;($E$14-$D$14)/($F$14-$D$14),$D$14+SQRT(Z426*($F$14-$D$14)*($E$14-$D$14)),$F$14-SQRT((1-Z426)*($F$14-$D$14)*($F$14-$E$14)))</x:f>
        <x:v>1.0142427610551645</x:v>
      </x:c>
      <x:c r="G426" s="258" t="n">
        <x:f>IF(AA426&lt;($E$15-$D$15)/($F$15-$D$15),$D$15+SQRT(AA426*($F$15-$D$15)*($E$15-$D$15)),$F$15-SQRT((1-AA426)*($F$15-$D$15)*($F$15-$E$15)))</x:f>
        <x:v>0.1015193908965657</x:v>
      </x:c>
      <x:c r="H426" s="258" t="n">
        <x:f>IF(AB426&lt;($E$16-$D$16)/($F$16-$D$16),$D$16+SQRT(AB426*($F$16-$D$16)*($E$16-$D$16)),$F$16-SQRT((1-AB426)*($F$16-$D$16)*($F$16-$E$16)))</x:f>
        <x:v>0.0269585785378028</x:v>
      </x:c>
      <x:c r="I426" s="262" t="n">
        <x:f>'Historical Inputs'!$N$9*(1+D426)^5</x:f>
        <x:v>601615.7616654038</x:v>
      </x:c>
      <x:c r="J426" s="262" t="n">
        <x:f>I426*(1+H426)*('Terminal Value'!$E$10+E426)*(1-'Assumptions'!$E$15)*(1-H426/'Terminal Value'!$E$12)</x:f>
        <x:v>165050.26474073587</x:v>
      </x:c>
      <x:c r="K426" s="264" t="n">
        <x:f>((SUM((('Historical Inputs'!$N$9*(1+(D426))^1)*(('Assumptions'!E37+(E426))*(1-'Assumptions'!E42-(0))+'Assumptions'!E47-'Assumptions'!E52*(F426)+'Assumptions'!E57-'Assumptions'!E62*(1)-'Assumptions'!E67-(0))+('Working Capital'!$E$6))*'DCF'!E12/(1+(G426))^'DCF'!E13,(('Historical Inputs'!$N$9*(1+(D426))^2)*(('Assumptions'!F37+(E426))*(1-'Assumptions'!F42-(0))+'Assumptions'!F47-'Assumptions'!F52*(F426)+'Assumptions'!F57-'Assumptions'!F62*(1)-'Assumptions'!F67-(0))+(('Historical Inputs'!$N$9*(1+(D426))^1)*('Assumptions'!E67+(0))))*'DCF'!F12/(1+(G426))^'DCF'!F13,(('Historical Inputs'!$N$9*(1+(D426))^3)*(('Assumptions'!G37+(E426))*(1-'Assumptions'!G42-(0))+'Assumptions'!G47-'Assumptions'!G52*(F426)+'Assumptions'!G57-'Assumptions'!G62*(1)-'Assumptions'!G67-(0))+(('Historical Inputs'!$N$9*(1+(D426))^2)*('Assumptions'!F67+(0))))*'DCF'!G12/(1+(G426))^'DCF'!G13,(('Historical Inputs'!$N$9*(1+(D426))^4)*(('Assumptions'!H37+(E426))*(1-'Assumptions'!H42-(0))+'Assumptions'!H47-'Assumptions'!H52*(F426)+'Assumptions'!H57-'Assumptions'!H62*(1)-'Assumptions'!H67-(0))+(('Historical Inputs'!$N$9*(1+(D426))^3)*('Assumptions'!G67+(0))))*'DCF'!H12/(1+(G426))^'DCF'!H13,(('Historical Inputs'!$N$9*(1+(D426))^5)*(('Assumptions'!I37+(E426))*(1-'Assumptions'!I42-(0))+'Assumptions'!I47-'Assumptions'!I52*(F426)+'Assumptions'!I57-'Assumptions'!I62*(1)-'Assumptions'!I67-(0))+(('Historical Inputs'!$N$9*(1+(D426))^4)*('Assumptions'!H67+(0))))*'DCF'!I12/(1+(G426))^'DCF'!I13)+('Historical Inputs'!$N$9*(1+(D426))^5)*(1+(H426))*('Terminal Value'!$E$10+(E426))*(1-'Assumptions'!$E$15-(0))*(1-(H426)/('Terminal Value'!$E$12))/((G426)-(H426))/(1+(G426))^'DCF'!$E$19)+'Equity Bridge'!$E$17)/'Equity Bridge'!$E$20</x:f>
        <x:v>236.86156155146864</x:v>
      </x:c>
      <x:c r="X426" s="255" t="n">
        <x:v>0.21920047496846318</x:v>
      </x:c>
      <x:c r="Y426" s="255" t="n">
        <x:v>0.2585186074358996</x:v>
      </x:c>
      <x:c r="Z426" s="255" t="n">
        <x:v>0.5070606882798763</x:v>
      </x:c>
      <x:c r="AA426" s="255" t="n">
        <x:v>0.6998952470121768</x:v>
      </x:c>
      <x:c r="AB426" s="255" t="n">
        <x:v>0.2421090763338487</x:v>
      </x:c>
    </x:row>
    <x:row r="427" ht="24" customHeight="1">
      <x:c r="C427" s="256" t="n">
        <x:f>396</x:f>
        <x:v>396</x:v>
      </x:c>
      <x:c r="D427" s="258" t="n">
        <x:f>IF(X427&lt;($E$12-$D$12)/($F$12-$D$12),$D$12+SQRT(X427*($F$12-$D$12)*($E$12-$D$12)),$F$12-SQRT((1-X427)*($F$12-$D$12)*($F$12-$E$12)))</x:f>
        <x:v>0.17456008197833853</x:v>
      </x:c>
      <x:c r="E427" s="258" t="n">
        <x:f>IF(Y427&lt;($E$13-$D$13)/($F$13-$D$13),$D$13+SQRT(Y427*($F$13-$D$13)*($E$13-$D$13)),$F$13-SQRT((1-Y427)*($F$13-$D$13)*($F$13-$E$13)))</x:f>
        <x:v>0.015478556981188801</x:v>
      </x:c>
      <x:c r="F427" s="260" t="n">
        <x:f>IF(Z427&lt;($E$14-$D$14)/($F$14-$D$14),$D$14+SQRT(Z427*($F$14-$D$14)*($E$14-$D$14)),$F$14-SQRT((1-Z427)*($F$14-$D$14)*($F$14-$E$14)))</x:f>
        <x:v>1.0435236155321403</x:v>
      </x:c>
      <x:c r="G427" s="258" t="n">
        <x:f>IF(AA427&lt;($E$15-$D$15)/($F$15-$D$15),$D$15+SQRT(AA427*($F$15-$D$15)*($E$15-$D$15)),$F$15-SQRT((1-AA427)*($F$15-$D$15)*($F$15-$E$15)))</x:f>
        <x:v>0.10537049157179085</x:v>
      </x:c>
      <x:c r="H427" s="258" t="n">
        <x:f>IF(AB427&lt;($E$16-$D$16)/($F$16-$D$16),$D$16+SQRT(AB427*($F$16-$D$16)*($E$16-$D$16)),$F$16-SQRT((1-AB427)*($F$16-$D$16)*($F$16-$E$16)))</x:f>
        <x:v>0.021663276098397355</x:v>
      </x:c>
      <x:c r="I427" s="262" t="n">
        <x:f>'Historical Inputs'!$N$9*(1+D427)^5</x:f>
        <x:v>741828.665454256</x:v>
      </x:c>
      <x:c r="J427" s="262" t="n">
        <x:f>I427*(1+H427)*('Terminal Value'!$E$10+E427)*(1-'Assumptions'!$E$15)*(1-H427/'Terminal Value'!$E$12)</x:f>
        <x:v>224626.39342316546</x:v>
      </x:c>
      <x:c r="K427" s="264" t="n">
        <x:f>((SUM((('Historical Inputs'!$N$9*(1+(D427))^1)*(('Assumptions'!E37+(E427))*(1-'Assumptions'!E42-(0))+'Assumptions'!E47-'Assumptions'!E52*(F427)+'Assumptions'!E57-'Assumptions'!E62*(1)-'Assumptions'!E67-(0))+('Working Capital'!$E$6))*'DCF'!E12/(1+(G427))^'DCF'!E13,(('Historical Inputs'!$N$9*(1+(D427))^2)*(('Assumptions'!F37+(E427))*(1-'Assumptions'!F42-(0))+'Assumptions'!F47-'Assumptions'!F52*(F427)+'Assumptions'!F57-'Assumptions'!F62*(1)-'Assumptions'!F67-(0))+(('Historical Inputs'!$N$9*(1+(D427))^1)*('Assumptions'!E67+(0))))*'DCF'!F12/(1+(G427))^'DCF'!F13,(('Historical Inputs'!$N$9*(1+(D427))^3)*(('Assumptions'!G37+(E427))*(1-'Assumptions'!G42-(0))+'Assumptions'!G47-'Assumptions'!G52*(F427)+'Assumptions'!G57-'Assumptions'!G62*(1)-'Assumptions'!G67-(0))+(('Historical Inputs'!$N$9*(1+(D427))^2)*('Assumptions'!F67+(0))))*'DCF'!G12/(1+(G427))^'DCF'!G13,(('Historical Inputs'!$N$9*(1+(D427))^4)*(('Assumptions'!H37+(E427))*(1-'Assumptions'!H42-(0))+'Assumptions'!H47-'Assumptions'!H52*(F427)+'Assumptions'!H57-'Assumptions'!H62*(1)-'Assumptions'!H67-(0))+(('Historical Inputs'!$N$9*(1+(D427))^3)*('Assumptions'!G67+(0))))*'DCF'!H12/(1+(G427))^'DCF'!H13,(('Historical Inputs'!$N$9*(1+(D427))^5)*(('Assumptions'!I37+(E427))*(1-'Assumptions'!I42-(0))+'Assumptions'!I47-'Assumptions'!I52*(F427)+'Assumptions'!I57-'Assumptions'!I62*(1)-'Assumptions'!I67-(0))+(('Historical Inputs'!$N$9*(1+(D427))^4)*('Assumptions'!H67+(0))))*'DCF'!I12/(1+(G427))^'DCF'!I13)+('Historical Inputs'!$N$9*(1+(D427))^5)*(1+(H427))*('Terminal Value'!$E$10+(E427))*(1-'Assumptions'!$E$15-(0))*(1-(H427)/('Terminal Value'!$E$12))/((G427)-(H427))/(1+(G427))^'DCF'!$E$19)+'Equity Bridge'!$E$17)/'Equity Bridge'!$E$20</x:f>
        <x:v>285.1497993022899</x:v>
      </x:c>
      <x:c r="X427" s="255" t="n">
        <x:v>0.9300848880661566</x:v>
      </x:c>
      <x:c r="Y427" s="255" t="n">
        <x:v>0.7616539943797943</x:v>
      </x:c>
      <x:c r="Z427" s="255" t="n">
        <x:v>0.6502163014838077</x:v>
      </x:c>
      <x:c r="AA427" s="255" t="n">
        <x:v>0.8658422227291735</x:v>
      </x:c>
      <x:c r="AB427" s="255" t="n">
        <x:v>0.01383243689749969</x:v>
      </x:c>
    </x:row>
    <x:row r="428" ht="24" customHeight="1">
      <x:c r="C428" s="256" t="n">
        <x:f>397</x:f>
        <x:v>397</x:v>
      </x:c>
      <x:c r="D428" s="258" t="n">
        <x:f>IF(X428&lt;($E$12-$D$12)/($F$12-$D$12),$D$12+SQRT(X428*($F$12-$D$12)*($E$12-$D$12)),$F$12-SQRT((1-X428)*($F$12-$D$12)*($F$12-$E$12)))</x:f>
        <x:v>0.15929638996936782</x:v>
      </x:c>
      <x:c r="E428" s="258" t="n">
        <x:f>IF(Y428&lt;($E$13-$D$13)/($F$13-$D$13),$D$13+SQRT(Y428*($F$13-$D$13)*($E$13-$D$13)),$F$13-SQRT((1-Y428)*($F$13-$D$13)*($F$13-$E$13)))</x:f>
        <x:v>0.0012294931350593785</x:v>
      </x:c>
      <x:c r="F428" s="260" t="n">
        <x:f>IF(Z428&lt;($E$14-$D$14)/($F$14-$D$14),$D$14+SQRT(Z428*($F$14-$D$14)*($E$14-$D$14)),$F$14-SQRT((1-Z428)*($F$14-$D$14)*($F$14-$E$14)))</x:f>
        <x:v>1.0057032441216316</x:v>
      </x:c>
      <x:c r="G428" s="258" t="n">
        <x:f>IF(AA428&lt;($E$15-$D$15)/($F$15-$D$15),$D$15+SQRT(AA428*($F$15-$D$15)*($E$15-$D$15)),$F$15-SQRT((1-AA428)*($F$15-$D$15)*($F$15-$E$15)))</x:f>
        <x:v>0.09788761023589904</x:v>
      </x:c>
      <x:c r="H428" s="258" t="n">
        <x:f>IF(AB428&lt;($E$16-$D$16)/($F$16-$D$16),$D$16+SQRT(AB428*($F$16-$D$16)*($E$16-$D$16)),$F$16-SQRT((1-AB428)*($F$16-$D$16)*($F$16-$E$16)))</x:f>
        <x:v>0.029563453360933384</x:v>
      </x:c>
      <x:c r="I428" s="262" t="n">
        <x:f>'Historical Inputs'!$N$9*(1+D428)^5</x:f>
        <x:v>694864.0501326784</x:v>
      </x:c>
      <x:c r="J428" s="262" t="n">
        <x:f>I428*(1+H428)*('Terminal Value'!$E$10+E428)*(1-'Assumptions'!$E$15)*(1-H428/'Terminal Value'!$E$12)</x:f>
        <x:v>195689.9524801597</x:v>
      </x:c>
      <x:c r="K428" s="264" t="n">
        <x:f>((SUM((('Historical Inputs'!$N$9*(1+(D428))^1)*(('Assumptions'!E37+(E428))*(1-'Assumptions'!E42-(0))+'Assumptions'!E47-'Assumptions'!E52*(F428)+'Assumptions'!E57-'Assumptions'!E62*(1)-'Assumptions'!E67-(0))+('Working Capital'!$E$6))*'DCF'!E12/(1+(G428))^'DCF'!E13,(('Historical Inputs'!$N$9*(1+(D428))^2)*(('Assumptions'!F37+(E428))*(1-'Assumptions'!F42-(0))+'Assumptions'!F47-'Assumptions'!F52*(F428)+'Assumptions'!F57-'Assumptions'!F62*(1)-'Assumptions'!F67-(0))+(('Historical Inputs'!$N$9*(1+(D428))^1)*('Assumptions'!E67+(0))))*'DCF'!F12/(1+(G428))^'DCF'!F13,(('Historical Inputs'!$N$9*(1+(D428))^3)*(('Assumptions'!G37+(E428))*(1-'Assumptions'!G42-(0))+'Assumptions'!G47-'Assumptions'!G52*(F428)+'Assumptions'!G57-'Assumptions'!G62*(1)-'Assumptions'!G67-(0))+(('Historical Inputs'!$N$9*(1+(D428))^2)*('Assumptions'!F67+(0))))*'DCF'!G12/(1+(G428))^'DCF'!G13,(('Historical Inputs'!$N$9*(1+(D428))^4)*(('Assumptions'!H37+(E428))*(1-'Assumptions'!H42-(0))+'Assumptions'!H47-'Assumptions'!H52*(F428)+'Assumptions'!H57-'Assumptions'!H62*(1)-'Assumptions'!H67-(0))+(('Historical Inputs'!$N$9*(1+(D428))^3)*('Assumptions'!G67+(0))))*'DCF'!H12/(1+(G428))^'DCF'!H13,(('Historical Inputs'!$N$9*(1+(D428))^5)*(('Assumptions'!I37+(E428))*(1-'Assumptions'!I42-(0))+'Assumptions'!I47-'Assumptions'!I52*(F428)+'Assumptions'!I57-'Assumptions'!I62*(1)-'Assumptions'!I67-(0))+(('Historical Inputs'!$N$9*(1+(D428))^4)*('Assumptions'!H67+(0))))*'DCF'!I12/(1+(G428))^'DCF'!I13)+('Historical Inputs'!$N$9*(1+(D428))^5)*(1+(H428))*('Terminal Value'!$E$10+(E428))*(1-'Assumptions'!$E$15-(0))*(1-(H428)/('Terminal Value'!$E$12))/((G428)-(H428))/(1+(G428))^'DCF'!$E$19)+'Equity Bridge'!$E$17)/'Equity Bridge'!$E$20</x:f>
        <x:v>305.8138938438237</x:v>
      </x:c>
      <x:c r="X428" s="255" t="n">
        <x:v>0.7693350967788806</x:v>
      </x:c>
      <x:c r="Y428" s="255" t="n">
        <x:v>0.524287532027356</x:v>
      </x:c>
      <x:c r="Z428" s="255" t="n">
        <x:v>0.46069672364488157</x:v>
      </x:c>
      <x:c r="AA428" s="255" t="n">
        <x:v>0.48329136774695614</x:v>
      </x:c>
      <x:c r="AB428" s="255" t="n">
        <x:v>0.4572982009337403</x:v>
      </x:c>
    </x:row>
    <x:row r="429" ht="24" customHeight="1">
      <x:c r="C429" s="256" t="n">
        <x:f>398</x:f>
        <x:v>398</x:v>
      </x:c>
      <x:c r="D429" s="258" t="n">
        <x:f>IF(X429&lt;($E$12-$D$12)/($F$12-$D$12),$D$12+SQRT(X429*($F$12-$D$12)*($E$12-$D$12)),$F$12-SQRT((1-X429)*($F$12-$D$12)*($F$12-$E$12)))</x:f>
        <x:v>0.1707862411601457</x:v>
      </x:c>
      <x:c r="E429" s="258" t="n">
        <x:f>IF(Y429&lt;($E$13-$D$13)/($F$13-$D$13),$D$13+SQRT(Y429*($F$13-$D$13)*($E$13-$D$13)),$F$13-SQRT((1-Y429)*($F$13-$D$13)*($F$13-$E$13)))</x:f>
        <x:v>0.0371293733570914</x:v>
      </x:c>
      <x:c r="F429" s="260" t="n">
        <x:f>IF(Z429&lt;($E$14-$D$14)/($F$14-$D$14),$D$14+SQRT(Z429*($F$14-$D$14)*($E$14-$D$14)),$F$14-SQRT((1-Z429)*($F$14-$D$14)*($F$14-$E$14)))</x:f>
        <x:v>1.0015525931426934</x:v>
      </x:c>
      <x:c r="G429" s="258" t="n">
        <x:f>IF(AA429&lt;($E$15-$D$15)/($F$15-$D$15),$D$15+SQRT(AA429*($F$15-$D$15)*($E$15-$D$15)),$F$15-SQRT((1-AA429)*($F$15-$D$15)*($F$15-$E$15)))</x:f>
        <x:v>0.09038680656953893</x:v>
      </x:c>
      <x:c r="H429" s="258" t="n">
        <x:f>IF(AB429&lt;($E$16-$D$16)/($F$16-$D$16),$D$16+SQRT(AB429*($F$16-$D$16)*($E$16-$D$16)),$F$16-SQRT((1-AB429)*($F$16-$D$16)*($F$16-$E$16)))</x:f>
        <x:v>0.028650517444969728</x:v>
      </x:c>
      <x:c r="I429" s="262" t="n">
        <x:f>'Historical Inputs'!$N$9*(1+D429)^5</x:f>
        <x:v>729987.588603246</x:v>
      </x:c>
      <x:c r="J429" s="262" t="n">
        <x:f>I429*(1+H429)*('Terminal Value'!$E$10+E429)*(1-'Assumptions'!$E$15)*(1-H429/'Terminal Value'!$E$12)</x:f>
        <x:v>224975.95500920631</x:v>
      </x:c>
      <x:c r="K429" s="264" t="n">
        <x:f>((SUM((('Historical Inputs'!$N$9*(1+(D429))^1)*(('Assumptions'!E37+(E429))*(1-'Assumptions'!E42-(0))+'Assumptions'!E47-'Assumptions'!E52*(F429)+'Assumptions'!E57-'Assumptions'!E62*(1)-'Assumptions'!E67-(0))+('Working Capital'!$E$6))*'DCF'!E12/(1+(G429))^'DCF'!E13,(('Historical Inputs'!$N$9*(1+(D429))^2)*(('Assumptions'!F37+(E429))*(1-'Assumptions'!F42-(0))+'Assumptions'!F47-'Assumptions'!F52*(F429)+'Assumptions'!F57-'Assumptions'!F62*(1)-'Assumptions'!F67-(0))+(('Historical Inputs'!$N$9*(1+(D429))^1)*('Assumptions'!E67+(0))))*'DCF'!F12/(1+(G429))^'DCF'!F13,(('Historical Inputs'!$N$9*(1+(D429))^3)*(('Assumptions'!G37+(E429))*(1-'Assumptions'!G42-(0))+'Assumptions'!G47-'Assumptions'!G52*(F429)+'Assumptions'!G57-'Assumptions'!G62*(1)-'Assumptions'!G67-(0))+(('Historical Inputs'!$N$9*(1+(D429))^2)*('Assumptions'!F67+(0))))*'DCF'!G12/(1+(G429))^'DCF'!G13,(('Historical Inputs'!$N$9*(1+(D429))^4)*(('Assumptions'!H37+(E429))*(1-'Assumptions'!H42-(0))+'Assumptions'!H47-'Assumptions'!H52*(F429)+'Assumptions'!H57-'Assumptions'!H62*(1)-'Assumptions'!H67-(0))+(('Historical Inputs'!$N$9*(1+(D429))^3)*('Assumptions'!G67+(0))))*'DCF'!H12/(1+(G429))^'DCF'!H13,(('Historical Inputs'!$N$9*(1+(D429))^5)*(('Assumptions'!I37+(E429))*(1-'Assumptions'!I42-(0))+'Assumptions'!I47-'Assumptions'!I52*(F429)+'Assumptions'!I57-'Assumptions'!I62*(1)-'Assumptions'!I67-(0))+(('Historical Inputs'!$N$9*(1+(D429))^4)*('Assumptions'!H67+(0))))*'DCF'!I12/(1+(G429))^'DCF'!I13)+('Historical Inputs'!$N$9*(1+(D429))^5)*(1+(H429))*('Terminal Value'!$E$10+(E429))*(1-'Assumptions'!$E$15-(0))*(1-(H429)/('Terminal Value'!$E$12))/((G429)-(H429))/(1+(G429))^'DCF'!$E$19)+'Equity Bridge'!$E$17)/'Equity Bridge'!$E$20</x:f>
        <x:v>395.29237687562204</x:v>
      </x:c>
      <x:c r="X429" s="255" t="n">
        <x:v>0.8990128032528981</x:v>
      </x:c>
      <x:c r="Y429" s="255" t="n">
        <x:v>0.9668693939637703</x:v>
      </x:c>
      <x:c r="Z429" s="255" t="n">
        <x:v>0.4374089530230092</x:v>
      </x:c>
      <x:c r="AA429" s="255" t="n">
        <x:v>0.11669078495870522</x:v>
      </x:c>
      <x:c r="AB429" s="255" t="n">
        <x:v>0.37415726032862806</x:v>
      </x:c>
    </x:row>
    <x:row r="430" ht="24" customHeight="1">
      <x:c r="C430" s="256" t="n">
        <x:f>399</x:f>
        <x:v>399</x:v>
      </x:c>
      <x:c r="D430" s="258" t="n">
        <x:f>IF(X430&lt;($E$12-$D$12)/($F$12-$D$12),$D$12+SQRT(X430*($F$12-$D$12)*($E$12-$D$12)),$F$12-SQRT((1-X430)*($F$12-$D$12)*($F$12-$E$12)))</x:f>
        <x:v>0.11173251452273283</x:v>
      </x:c>
      <x:c r="E430" s="258" t="n">
        <x:f>IF(Y430&lt;($E$13-$D$13)/($F$13-$D$13),$D$13+SQRT(Y430*($F$13-$D$13)*($E$13-$D$13)),$F$13-SQRT((1-Y430)*($F$13-$D$13)*($F$13-$E$13)))</x:f>
        <x:v>0.03499882153354517</x:v>
      </x:c>
      <x:c r="F430" s="260" t="n">
        <x:f>IF(Z430&lt;($E$14-$D$14)/($F$14-$D$14),$D$14+SQRT(Z430*($F$14-$D$14)*($E$14-$D$14)),$F$14-SQRT((1-Z430)*($F$14-$D$14)*($F$14-$E$14)))</x:f>
        <x:v>1.073902894087443</x:v>
      </x:c>
      <x:c r="G430" s="258" t="n">
        <x:f>IF(AA430&lt;($E$15-$D$15)/($F$15-$D$15),$D$15+SQRT(AA430*($F$15-$D$15)*($E$15-$D$15)),$F$15-SQRT((1-AA430)*($F$15-$D$15)*($F$15-$E$15)))</x:f>
        <x:v>0.08784530218309942</x:v>
      </x:c>
      <x:c r="H430" s="258" t="n">
        <x:f>IF(AB430&lt;($E$16-$D$16)/($F$16-$D$16),$D$16+SQRT(AB430*($F$16-$D$16)*($E$16-$D$16)),$F$16-SQRT((1-AB430)*($F$16-$D$16)*($F$16-$E$16)))</x:f>
        <x:v>0.02404049410030317</x:v>
      </x:c>
      <x:c r="I430" s="262" t="n">
        <x:f>'Historical Inputs'!$N$9*(1+D430)^5</x:f>
        <x:v>563545.4706783423</x:v>
      </x:c>
      <x:c r="J430" s="262" t="n">
        <x:f>I430*(1+H430)*('Terminal Value'!$E$10+E430)*(1-'Assumptions'!$E$15)*(1-H430/'Terminal Value'!$E$12)</x:f>
        <x:v>176687.93686128993</x:v>
      </x:c>
      <x:c r="K430" s="264" t="n">
        <x:f>((SUM((('Historical Inputs'!$N$9*(1+(D430))^1)*(('Assumptions'!E37+(E430))*(1-'Assumptions'!E42-(0))+'Assumptions'!E47-'Assumptions'!E52*(F430)+'Assumptions'!E57-'Assumptions'!E62*(1)-'Assumptions'!E67-(0))+('Working Capital'!$E$6))*'DCF'!E12/(1+(G430))^'DCF'!E13,(('Historical Inputs'!$N$9*(1+(D430))^2)*(('Assumptions'!F37+(E430))*(1-'Assumptions'!F42-(0))+'Assumptions'!F47-'Assumptions'!F52*(F430)+'Assumptions'!F57-'Assumptions'!F62*(1)-'Assumptions'!F67-(0))+(('Historical Inputs'!$N$9*(1+(D430))^1)*('Assumptions'!E67+(0))))*'DCF'!F12/(1+(G430))^'DCF'!F13,(('Historical Inputs'!$N$9*(1+(D430))^3)*(('Assumptions'!G37+(E430))*(1-'Assumptions'!G42-(0))+'Assumptions'!G47-'Assumptions'!G52*(F430)+'Assumptions'!G57-'Assumptions'!G62*(1)-'Assumptions'!G67-(0))+(('Historical Inputs'!$N$9*(1+(D430))^2)*('Assumptions'!F67+(0))))*'DCF'!G12/(1+(G430))^'DCF'!G13,(('Historical Inputs'!$N$9*(1+(D430))^4)*(('Assumptions'!H37+(E430))*(1-'Assumptions'!H42-(0))+'Assumptions'!H47-'Assumptions'!H52*(F430)+'Assumptions'!H57-'Assumptions'!H62*(1)-'Assumptions'!H67-(0))+(('Historical Inputs'!$N$9*(1+(D430))^3)*('Assumptions'!G67+(0))))*'DCF'!H12/(1+(G430))^'DCF'!H13,(('Historical Inputs'!$N$9*(1+(D430))^5)*(('Assumptions'!I37+(E430))*(1-'Assumptions'!I42-(0))+'Assumptions'!I47-'Assumptions'!I52*(F430)+'Assumptions'!I57-'Assumptions'!I62*(1)-'Assumptions'!I67-(0))+(('Historical Inputs'!$N$9*(1+(D430))^4)*('Assumptions'!H67+(0))))*'DCF'!I12/(1+(G430))^'DCF'!I13)+('Historical Inputs'!$N$9*(1+(D430))^5)*(1+(H430))*('Terminal Value'!$E$10+(E430))*(1-'Assumptions'!$E$15-(0))*(1-(H430)/('Terminal Value'!$E$12))/((G430)-(H430))/(1+(G430))^'DCF'!$E$19)+'Equity Bridge'!$E$17)/'Equity Bridge'!$E$20</x:f>
        <x:v>303.686492914336</x:v>
      </x:c>
      <x:c r="X430" s="255" t="n">
        <x:v>0.06826876607698162</x:v>
      </x:c>
      <x:c r="Y430" s="255" t="n">
        <x:v>0.9549929289235144</x:v>
      </x:c>
      <x:c r="Z430" s="255" t="n">
        <x:v>0.7728502840068205</x:v>
      </x:c>
      <x:c r="AA430" s="255" t="n">
        <x:v>0.04919198559758098</x:v>
      </x:c>
      <x:c r="AB430" s="255" t="n">
        <x:v>0.08162796287292373</x:v>
      </x:c>
    </x:row>
    <x:row r="431" ht="24" customHeight="1">
      <x:c r="C431" s="256" t="n">
        <x:f>400</x:f>
        <x:v>400</x:v>
      </x:c>
      <x:c r="D431" s="258" t="n">
        <x:f>IF(X431&lt;($E$12-$D$12)/($F$12-$D$12),$D$12+SQRT(X431*($F$12-$D$12)*($E$12-$D$12)),$F$12-SQRT((1-X431)*($F$12-$D$12)*($F$12-$E$12)))</x:f>
        <x:v>0.14768004338683488</x:v>
      </x:c>
      <x:c r="E431" s="258" t="n">
        <x:f>IF(Y431&lt;($E$13-$D$13)/($F$13-$D$13),$D$13+SQRT(Y431*($F$13-$D$13)*($E$13-$D$13)),$F$13-SQRT((1-Y431)*($F$13-$D$13)*($F$13-$E$13)))</x:f>
        <x:v>-0.004624566564556003</x:v>
      </x:c>
      <x:c r="F431" s="260" t="n">
        <x:f>IF(Z431&lt;($E$14-$D$14)/($F$14-$D$14),$D$14+SQRT(Z431*($F$14-$D$14)*($E$14-$D$14)),$F$14-SQRT((1-Z431)*($F$14-$D$14)*($F$14-$E$14)))</x:f>
        <x:v>1.0927063626774427</x:v>
      </x:c>
      <x:c r="G431" s="258" t="n">
        <x:f>IF(AA431&lt;($E$15-$D$15)/($F$15-$D$15),$D$15+SQRT(AA431*($F$15-$D$15)*($E$15-$D$15)),$F$15-SQRT((1-AA431)*($F$15-$D$15)*($F$15-$E$15)))</x:f>
        <x:v>0.0871326641670733</x:v>
      </x:c>
      <x:c r="H431" s="258" t="n">
        <x:f>IF(AB431&lt;($E$16-$D$16)/($F$16-$D$16),$D$16+SQRT(AB431*($F$16-$D$16)*($E$16-$D$16)),$F$16-SQRT((1-AB431)*($F$16-$D$16)*($F$16-$E$16)))</x:f>
        <x:v>0.0325673453373352</x:v>
      </x:c>
      <x:c r="I431" s="262" t="n">
        <x:f>'Historical Inputs'!$N$9*(1+D431)^5</x:f>
        <x:v>660741.4856643288</x:v>
      </x:c>
      <x:c r="J431" s="262" t="n">
        <x:f>I431*(1+H431)*('Terminal Value'!$E$10+E431)*(1-'Assumptions'!$E$15)*(1-H431/'Terminal Value'!$E$12)</x:f>
        <x:v>180659.08130912573</x:v>
      </x:c>
      <x:c r="K431" s="264" t="n">
        <x:f>((SUM((('Historical Inputs'!$N$9*(1+(D431))^1)*(('Assumptions'!E37+(E431))*(1-'Assumptions'!E42-(0))+'Assumptions'!E47-'Assumptions'!E52*(F431)+'Assumptions'!E57-'Assumptions'!E62*(1)-'Assumptions'!E67-(0))+('Working Capital'!$E$6))*'DCF'!E12/(1+(G431))^'DCF'!E13,(('Historical Inputs'!$N$9*(1+(D431))^2)*(('Assumptions'!F37+(E431))*(1-'Assumptions'!F42-(0))+'Assumptions'!F47-'Assumptions'!F52*(F431)+'Assumptions'!F57-'Assumptions'!F62*(1)-'Assumptions'!F67-(0))+(('Historical Inputs'!$N$9*(1+(D431))^1)*('Assumptions'!E67+(0))))*'DCF'!F12/(1+(G431))^'DCF'!F13,(('Historical Inputs'!$N$9*(1+(D431))^3)*(('Assumptions'!G37+(E431))*(1-'Assumptions'!G42-(0))+'Assumptions'!G47-'Assumptions'!G52*(F431)+'Assumptions'!G57-'Assumptions'!G62*(1)-'Assumptions'!G67-(0))+(('Historical Inputs'!$N$9*(1+(D431))^2)*('Assumptions'!F67+(0))))*'DCF'!G12/(1+(G431))^'DCF'!G13,(('Historical Inputs'!$N$9*(1+(D431))^4)*(('Assumptions'!H37+(E431))*(1-'Assumptions'!H42-(0))+'Assumptions'!H47-'Assumptions'!H52*(F431)+'Assumptions'!H57-'Assumptions'!H62*(1)-'Assumptions'!H67-(0))+(('Historical Inputs'!$N$9*(1+(D431))^3)*('Assumptions'!G67+(0))))*'DCF'!H12/(1+(G431))^'DCF'!H13,(('Historical Inputs'!$N$9*(1+(D431))^5)*(('Assumptions'!I37+(E431))*(1-'Assumptions'!I42-(0))+'Assumptions'!I47-'Assumptions'!I52*(F431)+'Assumptions'!I57-'Assumptions'!I62*(1)-'Assumptions'!I67-(0))+(('Historical Inputs'!$N$9*(1+(D431))^4)*('Assumptions'!H67+(0))))*'DCF'!I12/(1+(G431))^'DCF'!I13)+('Historical Inputs'!$N$9*(1+(D431))^5)*(1+(H431))*('Terminal Value'!$E$10+(E431))*(1-'Assumptions'!$E$15-(0))*(1-(H431)/('Terminal Value'!$E$12))/((G431)-(H431))/(1+(G431))^'DCF'!$E$19)+'Equity Bridge'!$E$17)/'Equity Bridge'!$E$20</x:f>
        <x:v>350.5374897040741</x:v>
      </x:c>
      <x:c r="X431" s="255" t="n">
        <x:v>0.5845478072701294</x:v>
      </x:c>
      <x:c r="Y431" s="255" t="n">
        <x:v>0.41178599189088183</x:v>
      </x:c>
      <x:c r="Z431" s="255" t="n">
        <x:v>0.8355439341442221</x:v>
      </x:c>
      <x:c r="AA431" s="255" t="n">
        <x:v>0.03541870750513554</x:v>
      </x:c>
      <x:c r="AB431" s="255" t="n">
        <x:v>0.7237782233278361</x:v>
      </x:c>
    </x:row>
    <x:row r="432" ht="24" customHeight="1">
      <x:c r="C432" s="256" t="n">
        <x:f>401</x:f>
        <x:v>401</x:v>
      </x:c>
      <x:c r="D432" s="258" t="n">
        <x:f>IF(X432&lt;($E$12-$D$12)/($F$12-$D$12),$D$12+SQRT(X432*($F$12-$D$12)*($E$12-$D$12)),$F$12-SQRT((1-X432)*($F$12-$D$12)*($F$12-$E$12)))</x:f>
        <x:v>0.1768311971621536</x:v>
      </x:c>
      <x:c r="E432" s="258" t="n">
        <x:f>IF(Y432&lt;($E$13-$D$13)/($F$13-$D$13),$D$13+SQRT(Y432*($F$13-$D$13)*($E$13-$D$13)),$F$13-SQRT((1-Y432)*($F$13-$D$13)*($F$13-$E$13)))</x:f>
        <x:v>0.02185166173808648</x:v>
      </x:c>
      <x:c r="F432" s="260" t="n">
        <x:f>IF(Z432&lt;($E$14-$D$14)/($F$14-$D$14),$D$14+SQRT(Z432*($F$14-$D$14)*($E$14-$D$14)),$F$14-SQRT((1-Z432)*($F$14-$D$14)*($F$14-$E$14)))</x:f>
        <x:v>1.0885187414233306</x:v>
      </x:c>
      <x:c r="G432" s="258" t="n">
        <x:f>IF(AA432&lt;($E$15-$D$15)/($F$15-$D$15),$D$15+SQRT(AA432*($F$15-$D$15)*($E$15-$D$15)),$F$15-SQRT((1-AA432)*($F$15-$D$15)*($F$15-$E$15)))</x:f>
        <x:v>0.09737259070522575</x:v>
      </x:c>
      <x:c r="H432" s="258" t="n">
        <x:f>IF(AB432&lt;($E$16-$D$16)/($F$16-$D$16),$D$16+SQRT(AB432*($F$16-$D$16)*($E$16-$D$16)),$F$16-SQRT((1-AB432)*($F$16-$D$16)*($F$16-$E$16)))</x:f>
        <x:v>0.03632320184653646</x:v>
      </x:c>
      <x:c r="I432" s="262" t="n">
        <x:f>'Historical Inputs'!$N$9*(1+D432)^5</x:f>
        <x:v>749028.4090694087</x:v>
      </x:c>
      <x:c r="J432" s="262" t="n">
        <x:f>I432*(1+H432)*('Terminal Value'!$E$10+E432)*(1-'Assumptions'!$E$15)*(1-H432/'Terminal Value'!$E$12)</x:f>
        <x:v>214387.9579892867</x:v>
      </x:c>
      <x:c r="K432" s="264" t="n">
        <x:f>((SUM((('Historical Inputs'!$N$9*(1+(D432))^1)*(('Assumptions'!E37+(E432))*(1-'Assumptions'!E42-(0))+'Assumptions'!E47-'Assumptions'!E52*(F432)+'Assumptions'!E57-'Assumptions'!E62*(1)-'Assumptions'!E67-(0))+('Working Capital'!$E$6))*'DCF'!E12/(1+(G432))^'DCF'!E13,(('Historical Inputs'!$N$9*(1+(D432))^2)*(('Assumptions'!F37+(E432))*(1-'Assumptions'!F42-(0))+'Assumptions'!F47-'Assumptions'!F52*(F432)+'Assumptions'!F57-'Assumptions'!F62*(1)-'Assumptions'!F67-(0))+(('Historical Inputs'!$N$9*(1+(D432))^1)*('Assumptions'!E67+(0))))*'DCF'!F12/(1+(G432))^'DCF'!F13,(('Historical Inputs'!$N$9*(1+(D432))^3)*(('Assumptions'!G37+(E432))*(1-'Assumptions'!G42-(0))+'Assumptions'!G47-'Assumptions'!G52*(F432)+'Assumptions'!G57-'Assumptions'!G62*(1)-'Assumptions'!G67-(0))+(('Historical Inputs'!$N$9*(1+(D432))^2)*('Assumptions'!F67+(0))))*'DCF'!G12/(1+(G432))^'DCF'!G13,(('Historical Inputs'!$N$9*(1+(D432))^4)*(('Assumptions'!H37+(E432))*(1-'Assumptions'!H42-(0))+'Assumptions'!H47-'Assumptions'!H52*(F432)+'Assumptions'!H57-'Assumptions'!H62*(1)-'Assumptions'!H67-(0))+(('Historical Inputs'!$N$9*(1+(D432))^3)*('Assumptions'!G67+(0))))*'DCF'!H12/(1+(G432))^'DCF'!H13,(('Historical Inputs'!$N$9*(1+(D432))^5)*(('Assumptions'!I37+(E432))*(1-'Assumptions'!I42-(0))+'Assumptions'!I47-'Assumptions'!I52*(F432)+'Assumptions'!I57-'Assumptions'!I62*(1)-'Assumptions'!I67-(0))+(('Historical Inputs'!$N$9*(1+(D432))^4)*('Assumptions'!H67+(0))))*'DCF'!I12/(1+(G432))^'DCF'!I13)+('Historical Inputs'!$N$9*(1+(D432))^5)*(1+(H432))*('Terminal Value'!$E$10+(E432))*(1-'Assumptions'!$E$15-(0))*(1-(H432)/('Terminal Value'!$E$12))/((G432)-(H432))/(1+(G432))^'DCF'!$E$19)+'Equity Bridge'!$E$17)/'Equity Bridge'!$E$20</x:f>
        <x:v>364.71168477586986</x:v>
      </x:c>
      <x:c r="X432" s="255" t="n">
        <x:v>0.9460384568221382</x:v>
      </x:c>
      <x:c r="Y432" s="255" t="n">
        <x:v>0.841534210618579</x:v>
      </x:c>
      <x:c r="Z432" s="255" t="n">
        <x:v>0.8224561283737397</x:v>
      </x:c>
      <x:c r="AA432" s="255" t="n">
        <x:v>0.45012472529510394</x:v>
      </x:c>
      <x:c r="AB432" s="255" t="n">
        <x:v>0.9324057766934354</x:v>
      </x:c>
    </x:row>
    <x:row r="433" ht="24" customHeight="1">
      <x:c r="C433" s="256" t="n">
        <x:f>402</x:f>
        <x:v>402</x:v>
      </x:c>
      <x:c r="D433" s="258" t="n">
        <x:f>IF(X433&lt;($E$12-$D$12)/($F$12-$D$12),$D$12+SQRT(X433*($F$12-$D$12)*($E$12-$D$12)),$F$12-SQRT((1-X433)*($F$12-$D$12)*($F$12-$E$12)))</x:f>
        <x:v>0.1311842556274479</x:v>
      </x:c>
      <x:c r="E433" s="258" t="n">
        <x:f>IF(Y433&lt;($E$13-$D$13)/($F$13-$D$13),$D$13+SQRT(Y433*($F$13-$D$13)*($E$13-$D$13)),$F$13-SQRT((1-Y433)*($F$13-$D$13)*($F$13-$E$13)))</x:f>
        <x:v>-0.0055883171345203</x:v>
      </x:c>
      <x:c r="F433" s="260" t="n">
        <x:f>IF(Z433&lt;($E$14-$D$14)/($F$14-$D$14),$D$14+SQRT(Z433*($F$14-$D$14)*($E$14-$D$14)),$F$14-SQRT((1-Z433)*($F$14-$D$14)*($F$14-$E$14)))</x:f>
        <x:v>1.0465243993697078</x:v>
      </x:c>
      <x:c r="G433" s="258" t="n">
        <x:f>IF(AA433&lt;($E$15-$D$15)/($F$15-$D$15),$D$15+SQRT(AA433*($F$15-$D$15)*($E$15-$D$15)),$F$15-SQRT((1-AA433)*($F$15-$D$15)*($F$15-$E$15)))</x:f>
        <x:v>0.09827895999317109</x:v>
      </x:c>
      <x:c r="H433" s="258" t="n">
        <x:f>IF(AB433&lt;($E$16-$D$16)/($F$16-$D$16),$D$16+SQRT(AB433*($F$16-$D$16)*($E$16-$D$16)),$F$16-SQRT((1-AB433)*($F$16-$D$16)*($F$16-$E$16)))</x:f>
        <x:v>0.03146216258045614</x:v>
      </x:c>
      <x:c r="I433" s="262" t="n">
        <x:f>'Historical Inputs'!$N$9*(1+D433)^5</x:f>
        <x:v>614602.3051805318</x:v>
      </x:c>
      <x:c r="J433" s="262" t="n">
        <x:f>I433*(1+H433)*('Terminal Value'!$E$10+E433)*(1-'Assumptions'!$E$15)*(1-H433/'Terminal Value'!$E$12)</x:f>
        <x:v>168560.05530952997</x:v>
      </x:c>
      <x:c r="K433" s="264" t="n">
        <x:f>((SUM((('Historical Inputs'!$N$9*(1+(D433))^1)*(('Assumptions'!E37+(E433))*(1-'Assumptions'!E42-(0))+'Assumptions'!E47-'Assumptions'!E52*(F433)+'Assumptions'!E57-'Assumptions'!E62*(1)-'Assumptions'!E67-(0))+('Working Capital'!$E$6))*'DCF'!E12/(1+(G433))^'DCF'!E13,(('Historical Inputs'!$N$9*(1+(D433))^2)*(('Assumptions'!F37+(E433))*(1-'Assumptions'!F42-(0))+'Assumptions'!F47-'Assumptions'!F52*(F433)+'Assumptions'!F57-'Assumptions'!F62*(1)-'Assumptions'!F67-(0))+(('Historical Inputs'!$N$9*(1+(D433))^1)*('Assumptions'!E67+(0))))*'DCF'!F12/(1+(G433))^'DCF'!F13,(('Historical Inputs'!$N$9*(1+(D433))^3)*(('Assumptions'!G37+(E433))*(1-'Assumptions'!G42-(0))+'Assumptions'!G47-'Assumptions'!G52*(F433)+'Assumptions'!G57-'Assumptions'!G62*(1)-'Assumptions'!G67-(0))+(('Historical Inputs'!$N$9*(1+(D433))^2)*('Assumptions'!F67+(0))))*'DCF'!G12/(1+(G433))^'DCF'!G13,(('Historical Inputs'!$N$9*(1+(D433))^4)*(('Assumptions'!H37+(E433))*(1-'Assumptions'!H42-(0))+'Assumptions'!H47-'Assumptions'!H52*(F433)+'Assumptions'!H57-'Assumptions'!H62*(1)-'Assumptions'!H67-(0))+(('Historical Inputs'!$N$9*(1+(D433))^3)*('Assumptions'!G67+(0))))*'DCF'!H12/(1+(G433))^'DCF'!H13,(('Historical Inputs'!$N$9*(1+(D433))^5)*(('Assumptions'!I37+(E433))*(1-'Assumptions'!I42-(0))+'Assumptions'!I47-'Assumptions'!I52*(F433)+'Assumptions'!I57-'Assumptions'!I62*(1)-'Assumptions'!I67-(0))+(('Historical Inputs'!$N$9*(1+(D433))^4)*('Assumptions'!H67+(0))))*'DCF'!I12/(1+(G433))^'DCF'!I13)+('Historical Inputs'!$N$9*(1+(D433))^5)*(1+(H433))*('Terminal Value'!$E$10+(E433))*(1-'Assumptions'!$E$15-(0))*(1-(H433)/('Terminal Value'!$E$12))/((G433)-(H433))/(1+(G433))^'DCF'!$E$19)+'Equity Bridge'!$E$17)/'Equity Bridge'!$E$20</x:f>
        <x:v>267.0238195053238</x:v>
      </x:c>
      <x:c r="X433" s="255" t="n">
        <x:v>0.28769501276506804</x:v>
      </x:c>
      <x:c r="Y433" s="255" t="n">
        <x:v>0.39447951498878864</x:v>
      </x:c>
      <x:c r="Z433" s="255" t="n">
        <x:v>0.6635034287310145</x:v>
      </x:c>
      <x:c r="AA433" s="255" t="n">
        <x:v>0.5091966970702715</x:v>
      </x:c>
      <x:c r="AB433" s="255" t="n">
        <x:v>0.6355266609871832</x:v>
      </x:c>
    </x:row>
    <x:row r="434" ht="24" customHeight="1">
      <x:c r="C434" s="256" t="n">
        <x:f>403</x:f>
        <x:v>403</x:v>
      </x:c>
      <x:c r="D434" s="258" t="n">
        <x:f>IF(X434&lt;($E$12-$D$12)/($F$12-$D$12),$D$12+SQRT(X434*($F$12-$D$12)*($E$12-$D$12)),$F$12-SQRT((1-X434)*($F$12-$D$12)*($F$12-$E$12)))</x:f>
        <x:v>0.16876615762614658</x:v>
      </x:c>
      <x:c r="E434" s="258" t="n">
        <x:f>IF(Y434&lt;($E$13-$D$13)/($F$13-$D$13),$D$13+SQRT(Y434*($F$13-$D$13)*($E$13-$D$13)),$F$13-SQRT((1-Y434)*($F$13-$D$13)*($F$13-$E$13)))</x:f>
        <x:v>-0.004725475402656228</x:v>
      </x:c>
      <x:c r="F434" s="260" t="n">
        <x:f>IF(Z434&lt;($E$14-$D$14)/($F$14-$D$14),$D$14+SQRT(Z434*($F$14-$D$14)*($E$14-$D$14)),$F$14-SQRT((1-Z434)*($F$14-$D$14)*($F$14-$E$14)))</x:f>
        <x:v>0.9432609920424325</x:v>
      </x:c>
      <x:c r="G434" s="258" t="n">
        <x:f>IF(AA434&lt;($E$15-$D$15)/($F$15-$D$15),$D$15+SQRT(AA434*($F$15-$D$15)*($E$15-$D$15)),$F$15-SQRT((1-AA434)*($F$15-$D$15)*($F$15-$E$15)))</x:f>
        <x:v>0.10791979535250305</x:v>
      </x:c>
      <x:c r="H434" s="258" t="n">
        <x:f>IF(AB434&lt;($E$16-$D$16)/($F$16-$D$16),$D$16+SQRT(AB434*($F$16-$D$16)*($E$16-$D$16)),$F$16-SQRT((1-AB434)*($F$16-$D$16)*($F$16-$E$16)))</x:f>
        <x:v>0.027758690375272548</x:v>
      </x:c>
      <x:c r="I434" s="262" t="n">
        <x:f>'Historical Inputs'!$N$9*(1+D434)^5</x:f>
        <x:v>723711.6522604027</x:v>
      </x:c>
      <x:c r="J434" s="262" t="n">
        <x:f>I434*(1+H434)*('Terminal Value'!$E$10+E434)*(1-'Assumptions'!$E$15)*(1-H434/'Terminal Value'!$E$12)</x:f>
        <x:v>202559.61278300444</x:v>
      </x:c>
      <x:c r="K434" s="264" t="n">
        <x:f>((SUM((('Historical Inputs'!$N$9*(1+(D434))^1)*(('Assumptions'!E37+(E434))*(1-'Assumptions'!E42-(0))+'Assumptions'!E47-'Assumptions'!E52*(F434)+'Assumptions'!E57-'Assumptions'!E62*(1)-'Assumptions'!E67-(0))+('Working Capital'!$E$6))*'DCF'!E12/(1+(G434))^'DCF'!E13,(('Historical Inputs'!$N$9*(1+(D434))^2)*(('Assumptions'!F37+(E434))*(1-'Assumptions'!F42-(0))+'Assumptions'!F47-'Assumptions'!F52*(F434)+'Assumptions'!F57-'Assumptions'!F62*(1)-'Assumptions'!F67-(0))+(('Historical Inputs'!$N$9*(1+(D434))^1)*('Assumptions'!E67+(0))))*'DCF'!F12/(1+(G434))^'DCF'!F13,(('Historical Inputs'!$N$9*(1+(D434))^3)*(('Assumptions'!G37+(E434))*(1-'Assumptions'!G42-(0))+'Assumptions'!G47-'Assumptions'!G52*(F434)+'Assumptions'!G57-'Assumptions'!G62*(1)-'Assumptions'!G67-(0))+(('Historical Inputs'!$N$9*(1+(D434))^2)*('Assumptions'!F67+(0))))*'DCF'!G12/(1+(G434))^'DCF'!G13,(('Historical Inputs'!$N$9*(1+(D434))^4)*(('Assumptions'!H37+(E434))*(1-'Assumptions'!H42-(0))+'Assumptions'!H47-'Assumptions'!H52*(F434)+'Assumptions'!H57-'Assumptions'!H62*(1)-'Assumptions'!H67-(0))+(('Historical Inputs'!$N$9*(1+(D434))^3)*('Assumptions'!G67+(0))))*'DCF'!H12/(1+(G434))^'DCF'!H13,(('Historical Inputs'!$N$9*(1+(D434))^5)*(('Assumptions'!I37+(E434))*(1-'Assumptions'!I42-(0))+'Assumptions'!I47-'Assumptions'!I52*(F434)+'Assumptions'!I57-'Assumptions'!I62*(1)-'Assumptions'!I67-(0))+(('Historical Inputs'!$N$9*(1+(D434))^4)*('Assumptions'!H67+(0))))*'DCF'!I12/(1+(G434))^'DCF'!I13)+('Historical Inputs'!$N$9*(1+(D434))^5)*(1+(H434))*('Terminal Value'!$E$10+(E434))*(1-'Assumptions'!$E$15-(0))*(1-(H434)/('Terminal Value'!$E$12))/((G434)-(H434))/(1+(G434))^'DCF'!$E$19)+'Equity Bridge'!$E$17)/'Equity Bridge'!$E$20</x:f>
        <x:v>270.59502503710763</x:v>
      </x:c>
      <x:c r="X434" s="255" t="n">
        <x:v>0.8800395141483056</x:v>
      </x:c>
      <x:c r="Y434" s="255" t="n">
        <x:v>0.4099565155030973</x:v>
      </x:c>
      <x:c r="Z434" s="255" t="n">
        <x:v>0.1656688121283556</x:v>
      </x:c>
      <x:c r="AA434" s="255" t="n">
        <x:v>0.9394346838942482</x:v>
      </x:c>
      <x:c r="AB434" s="255" t="n">
        <x:v>0.3009863816967344</x:v>
      </x:c>
    </x:row>
    <x:row r="435" ht="24" customHeight="1">
      <x:c r="C435" s="256" t="n">
        <x:f>404</x:f>
        <x:v>404</x:v>
      </x:c>
      <x:c r="D435" s="258" t="n">
        <x:f>IF(X435&lt;($E$12-$D$12)/($F$12-$D$12),$D$12+SQRT(X435*($F$12-$D$12)*($E$12-$D$12)),$F$12-SQRT((1-X435)*($F$12-$D$12)*($F$12-$E$12)))</x:f>
        <x:v>0.1114304328037967</x:v>
      </x:c>
      <x:c r="E435" s="258" t="n">
        <x:f>IF(Y435&lt;($E$13-$D$13)/($F$13-$D$13),$D$13+SQRT(Y435*($F$13-$D$13)*($E$13-$D$13)),$F$13-SQRT((1-Y435)*($F$13-$D$13)*($F$13-$E$13)))</x:f>
        <x:v>-0.00943588584917425</x:v>
      </x:c>
      <x:c r="F435" s="260" t="n">
        <x:f>IF(Z435&lt;($E$14-$D$14)/($F$14-$D$14),$D$14+SQRT(Z435*($F$14-$D$14)*($E$14-$D$14)),$F$14-SQRT((1-Z435)*($F$14-$D$14)*($F$14-$E$14)))</x:f>
        <x:v>0.8929339411186316</x:v>
      </x:c>
      <x:c r="G435" s="258" t="n">
        <x:f>IF(AA435&lt;($E$15-$D$15)/($F$15-$D$15),$D$15+SQRT(AA435*($F$15-$D$15)*($E$15-$D$15)),$F$15-SQRT((1-AA435)*($F$15-$D$15)*($F$15-$E$15)))</x:f>
        <x:v>0.107884428467078</x:v>
      </x:c>
      <x:c r="H435" s="258" t="n">
        <x:f>IF(AB435&lt;($E$16-$D$16)/($F$16-$D$16),$D$16+SQRT(AB435*($F$16-$D$16)*($E$16-$D$16)),$F$16-SQRT((1-AB435)*($F$16-$D$16)*($F$16-$E$16)))</x:f>
        <x:v>0.02480375832700068</x:v>
      </x:c>
      <x:c r="I435" s="262" t="n">
        <x:f>'Historical Inputs'!$N$9*(1+D435)^5</x:f>
        <x:v>562780.2493082016</x:v>
      </x:c>
      <x:c r="J435" s="262" t="n">
        <x:f>I435*(1+H435)*('Terminal Value'!$E$10+E435)*(1-'Assumptions'!$E$15)*(1-H435/'Terminal Value'!$E$12)</x:f>
        <x:v>157854.39228844174</x:v>
      </x:c>
      <x:c r="K435" s="264" t="n">
        <x:f>((SUM((('Historical Inputs'!$N$9*(1+(D435))^1)*(('Assumptions'!E37+(E435))*(1-'Assumptions'!E42-(0))+'Assumptions'!E47-'Assumptions'!E52*(F435)+'Assumptions'!E57-'Assumptions'!E62*(1)-'Assumptions'!E67-(0))+('Working Capital'!$E$6))*'DCF'!E12/(1+(G435))^'DCF'!E13,(('Historical Inputs'!$N$9*(1+(D435))^2)*(('Assumptions'!F37+(E435))*(1-'Assumptions'!F42-(0))+'Assumptions'!F47-'Assumptions'!F52*(F435)+'Assumptions'!F57-'Assumptions'!F62*(1)-'Assumptions'!F67-(0))+(('Historical Inputs'!$N$9*(1+(D435))^1)*('Assumptions'!E67+(0))))*'DCF'!F12/(1+(G435))^'DCF'!F13,(('Historical Inputs'!$N$9*(1+(D435))^3)*(('Assumptions'!G37+(E435))*(1-'Assumptions'!G42-(0))+'Assumptions'!G47-'Assumptions'!G52*(F435)+'Assumptions'!G57-'Assumptions'!G62*(1)-'Assumptions'!G67-(0))+(('Historical Inputs'!$N$9*(1+(D435))^2)*('Assumptions'!F67+(0))))*'DCF'!G12/(1+(G435))^'DCF'!G13,(('Historical Inputs'!$N$9*(1+(D435))^4)*(('Assumptions'!H37+(E435))*(1-'Assumptions'!H42-(0))+'Assumptions'!H47-'Assumptions'!H52*(F435)+'Assumptions'!H57-'Assumptions'!H62*(1)-'Assumptions'!H67-(0))+(('Historical Inputs'!$N$9*(1+(D435))^3)*('Assumptions'!G67+(0))))*'DCF'!H12/(1+(G435))^'DCF'!H13,(('Historical Inputs'!$N$9*(1+(D435))^5)*(('Assumptions'!I37+(E435))*(1-'Assumptions'!I42-(0))+'Assumptions'!I47-'Assumptions'!I52*(F435)+'Assumptions'!I57-'Assumptions'!I62*(1)-'Assumptions'!I67-(0))+(('Historical Inputs'!$N$9*(1+(D435))^4)*('Assumptions'!H67+(0))))*'DCF'!I12/(1+(G435))^'DCF'!I13)+('Historical Inputs'!$N$9*(1+(D435))^5)*(1+(H435))*('Terminal Value'!$E$10+(E435))*(1-'Assumptions'!$E$15-(0))*(1-(H435)/('Terminal Value'!$E$12))/((G435)-(H435))/(1+(G435))^'DCF'!$E$19)+'Equity Bridge'!$E$17)/'Equity Bridge'!$E$20</x:f>
        <x:v>210.59343090238968</x:v>
      </x:c>
      <x:c r="X435" s="255" t="n">
        <x:v>0.06605457331316333</x:v>
      </x:c>
      <x:c r="Y435" s="255" t="n">
        <x:v>0.3290894713682444</x:v>
      </x:c>
      <x:c r="Z435" s="255" t="n">
        <x:v>0.03511091999958338</x:v>
      </x:c>
      <x:c r="AA435" s="255" t="n">
        <x:v>0.9386113023447855</x:v>
      </x:c>
      <x:c r="AB435" s="255" t="n">
        <x:v>0.11538047032114185</x:v>
      </x:c>
    </x:row>
    <x:row r="436" ht="24" customHeight="1">
      <x:c r="C436" s="256" t="n">
        <x:f>405</x:f>
        <x:v>405</x:v>
      </x:c>
      <x:c r="D436" s="258" t="n">
        <x:f>IF(X436&lt;($E$12-$D$12)/($F$12-$D$12),$D$12+SQRT(X436*($F$12-$D$12)*($E$12-$D$12)),$F$12-SQRT((1-X436)*($F$12-$D$12)*($F$12-$E$12)))</x:f>
        <x:v>0.1196803922998653</x:v>
      </x:c>
      <x:c r="E436" s="258" t="n">
        <x:f>IF(Y436&lt;($E$13-$D$13)/($F$13-$D$13),$D$13+SQRT(Y436*($F$13-$D$13)*($E$13-$D$13)),$F$13-SQRT((1-Y436)*($F$13-$D$13)*($F$13-$E$13)))</x:f>
        <x:v>0.013144853697725473</x:v>
      </x:c>
      <x:c r="F436" s="260" t="n">
        <x:f>IF(Z436&lt;($E$14-$D$14)/($F$14-$D$14),$D$14+SQRT(Z436*($F$14-$D$14)*($E$14-$D$14)),$F$14-SQRT((1-Z436)*($F$14-$D$14)*($F$14-$E$14)))</x:f>
        <x:v>0.9880300263517058</x:v>
      </x:c>
      <x:c r="G436" s="258" t="n">
        <x:f>IF(AA436&lt;($E$15-$D$15)/($F$15-$D$15),$D$15+SQRT(AA436*($F$15-$D$15)*($E$15-$D$15)),$F$15-SQRT((1-AA436)*($F$15-$D$15)*($F$15-$E$15)))</x:f>
        <x:v>0.09778851833052969</x:v>
      </x:c>
      <x:c r="H436" s="258" t="n">
        <x:f>IF(AB436&lt;($E$16-$D$16)/($F$16-$D$16),$D$16+SQRT(AB436*($F$16-$D$16)*($E$16-$D$16)),$F$16-SQRT((1-AB436)*($F$16-$D$16)*($F$16-$E$16)))</x:f>
        <x:v>0.027687099868495414</x:v>
      </x:c>
      <x:c r="I436" s="262" t="n">
        <x:f>'Historical Inputs'!$N$9*(1+D436)^5</x:f>
        <x:v>583979.7539660754</x:v>
      </x:c>
      <x:c r="J436" s="262" t="n">
        <x:f>I436*(1+H436)*('Terminal Value'!$E$10+E436)*(1-'Assumptions'!$E$15)*(1-H436/'Terminal Value'!$E$12)</x:f>
        <x:v>170898.72650196616</x:v>
      </x:c>
      <x:c r="K436" s="264" t="n">
        <x:f>((SUM((('Historical Inputs'!$N$9*(1+(D436))^1)*(('Assumptions'!E37+(E436))*(1-'Assumptions'!E42-(0))+'Assumptions'!E47-'Assumptions'!E52*(F436)+'Assumptions'!E57-'Assumptions'!E62*(1)-'Assumptions'!E67-(0))+('Working Capital'!$E$6))*'DCF'!E12/(1+(G436))^'DCF'!E13,(('Historical Inputs'!$N$9*(1+(D436))^2)*(('Assumptions'!F37+(E436))*(1-'Assumptions'!F42-(0))+'Assumptions'!F47-'Assumptions'!F52*(F436)+'Assumptions'!F57-'Assumptions'!F62*(1)-'Assumptions'!F67-(0))+(('Historical Inputs'!$N$9*(1+(D436))^1)*('Assumptions'!E67+(0))))*'DCF'!F12/(1+(G436))^'DCF'!F13,(('Historical Inputs'!$N$9*(1+(D436))^3)*(('Assumptions'!G37+(E436))*(1-'Assumptions'!G42-(0))+'Assumptions'!G47-'Assumptions'!G52*(F436)+'Assumptions'!G57-'Assumptions'!G62*(1)-'Assumptions'!G67-(0))+(('Historical Inputs'!$N$9*(1+(D436))^2)*('Assumptions'!F67+(0))))*'DCF'!G12/(1+(G436))^'DCF'!G13,(('Historical Inputs'!$N$9*(1+(D436))^4)*(('Assumptions'!H37+(E436))*(1-'Assumptions'!H42-(0))+'Assumptions'!H47-'Assumptions'!H52*(F436)+'Assumptions'!H57-'Assumptions'!H62*(1)-'Assumptions'!H67-(0))+(('Historical Inputs'!$N$9*(1+(D436))^3)*('Assumptions'!G67+(0))))*'DCF'!H12/(1+(G436))^'DCF'!H13,(('Historical Inputs'!$N$9*(1+(D436))^5)*(('Assumptions'!I37+(E436))*(1-'Assumptions'!I42-(0))+'Assumptions'!I47-'Assumptions'!I52*(F436)+'Assumptions'!I57-'Assumptions'!I62*(1)-'Assumptions'!I67-(0))+(('Historical Inputs'!$N$9*(1+(D436))^4)*('Assumptions'!H67+(0))))*'DCF'!I12/(1+(G436))^'DCF'!I13)+('Historical Inputs'!$N$9*(1+(D436))^5)*(1+(H436))*('Terminal Value'!$E$10+(E436))*(1-'Assumptions'!$E$15-(0))*(1-(H436)/('Terminal Value'!$E$12))/((G436)-(H436))/(1+(G436))^'DCF'!$E$19)+'Equity Bridge'!$E$17)/'Equity Bridge'!$E$20</x:f>
        <x:v>265.4867622937872</x:v>
      </x:c>
      <x:c r="X436" s="255" t="n">
        <x:v>0.13963890143922086</x:v>
      </x:c>
      <x:c r="Y436" s="255" t="n">
        <x:v>0.7283396382075881</x:v>
      </x:c>
      <x:c r="Z436" s="255" t="n">
        <x:v>0.3629007271362401</x:v>
      </x:c>
      <x:c r="AA436" s="255" t="n">
        <x:v>0.4768183784077855</x:v>
      </x:c>
      <x:c r="AB436" s="255" t="n">
        <x:v>0.2954575219411111</x:v>
      </x:c>
    </x:row>
    <x:row r="437" ht="24" customHeight="1">
      <x:c r="C437" s="256" t="n">
        <x:f>406</x:f>
        <x:v>406</x:v>
      </x:c>
      <x:c r="D437" s="258" t="n">
        <x:f>IF(X437&lt;($E$12-$D$12)/($F$12-$D$12),$D$12+SQRT(X437*($F$12-$D$12)*($E$12-$D$12)),$F$12-SQRT((1-X437)*($F$12-$D$12)*($F$12-$E$12)))</x:f>
        <x:v>0.14391430376507747</x:v>
      </x:c>
      <x:c r="E437" s="258" t="n">
        <x:f>IF(Y437&lt;($E$13-$D$13)/($F$13-$D$13),$D$13+SQRT(Y437*($F$13-$D$13)*($E$13-$D$13)),$F$13-SQRT((1-Y437)*($F$13-$D$13)*($F$13-$E$13)))</x:f>
        <x:v>0.024962100257339227</x:v>
      </x:c>
      <x:c r="F437" s="260" t="n">
        <x:f>IF(Z437&lt;($E$14-$D$14)/($F$14-$D$14),$D$14+SQRT(Z437*($F$14-$D$14)*($E$14-$D$14)),$F$14-SQRT((1-Z437)*($F$14-$D$14)*($F$14-$E$14)))</x:f>
        <x:v>0.9844916765206615</x:v>
      </x:c>
      <x:c r="G437" s="258" t="n">
        <x:f>IF(AA437&lt;($E$15-$D$15)/($F$15-$D$15),$D$15+SQRT(AA437*($F$15-$D$15)*($E$15-$D$15)),$F$15-SQRT((1-AA437)*($F$15-$D$15)*($F$15-$E$15)))</x:f>
        <x:v>0.10753247332398161</x:v>
      </x:c>
      <x:c r="H437" s="258" t="n">
        <x:f>IF(AB437&lt;($E$16-$D$16)/($F$16-$D$16),$D$16+SQRT(AB437*($F$16-$D$16)*($E$16-$D$16)),$F$16-SQRT((1-AB437)*($F$16-$D$16)*($F$16-$E$16)))</x:f>
        <x:v>0.029835824602739935</x:v>
      </x:c>
      <x:c r="I437" s="262" t="n">
        <x:f>'Historical Inputs'!$N$9*(1+D437)^5</x:f>
        <x:v>649972.3449889082</x:v>
      </x:c>
      <x:c r="J437" s="262" t="n">
        <x:f>I437*(1+H437)*('Terminal Value'!$E$10+E437)*(1-'Assumptions'!$E$15)*(1-H437/'Terminal Value'!$E$12)</x:f>
        <x:v>193615.9799802232</x:v>
      </x:c>
      <x:c r="K437" s="264" t="n">
        <x:f>((SUM((('Historical Inputs'!$N$9*(1+(D437))^1)*(('Assumptions'!E37+(E437))*(1-'Assumptions'!E42-(0))+'Assumptions'!E47-'Assumptions'!E52*(F437)+'Assumptions'!E57-'Assumptions'!E62*(1)-'Assumptions'!E67-(0))+('Working Capital'!$E$6))*'DCF'!E12/(1+(G437))^'DCF'!E13,(('Historical Inputs'!$N$9*(1+(D437))^2)*(('Assumptions'!F37+(E437))*(1-'Assumptions'!F42-(0))+'Assumptions'!F47-'Assumptions'!F52*(F437)+'Assumptions'!F57-'Assumptions'!F62*(1)-'Assumptions'!F67-(0))+(('Historical Inputs'!$N$9*(1+(D437))^1)*('Assumptions'!E67+(0))))*'DCF'!F12/(1+(G437))^'DCF'!F13,(('Historical Inputs'!$N$9*(1+(D437))^3)*(('Assumptions'!G37+(E437))*(1-'Assumptions'!G42-(0))+'Assumptions'!G47-'Assumptions'!G52*(F437)+'Assumptions'!G57-'Assumptions'!G62*(1)-'Assumptions'!G67-(0))+(('Historical Inputs'!$N$9*(1+(D437))^2)*('Assumptions'!F67+(0))))*'DCF'!G12/(1+(G437))^'DCF'!G13,(('Historical Inputs'!$N$9*(1+(D437))^4)*(('Assumptions'!H37+(E437))*(1-'Assumptions'!H42-(0))+'Assumptions'!H47-'Assumptions'!H52*(F437)+'Assumptions'!H57-'Assumptions'!H62*(1)-'Assumptions'!H67-(0))+(('Historical Inputs'!$N$9*(1+(D437))^3)*('Assumptions'!G67+(0))))*'DCF'!H12/(1+(G437))^'DCF'!H13,(('Historical Inputs'!$N$9*(1+(D437))^5)*(('Assumptions'!I37+(E437))*(1-'Assumptions'!I42-(0))+'Assumptions'!I47-'Assumptions'!I52*(F437)+'Assumptions'!I57-'Assumptions'!I62*(1)-'Assumptions'!I67-(0))+(('Historical Inputs'!$N$9*(1+(D437))^4)*('Assumptions'!H67+(0))))*'DCF'!I12/(1+(G437))^'DCF'!I13)+('Historical Inputs'!$N$9*(1+(D437))^5)*(1+(H437))*('Terminal Value'!$E$10+(E437))*(1-'Assumptions'!$E$15-(0))*(1-(H437)/('Terminal Value'!$E$12))/((G437)-(H437))/(1+(G437))^'DCF'!$E$19)+'Equity Bridge'!$E$17)/'Equity Bridge'!$E$20</x:f>
        <x:v>266.8894960370884</x:v>
      </x:c>
      <x:c r="X437" s="255" t="n">
        <x:v>0.5130592348709297</x:v>
      </x:c>
      <x:c r="Y437" s="255" t="n">
        <x:v>0.8746207152952935</x:v>
      </x:c>
      <x:c r="Z437" s="255" t="n">
        <x:v>0.3445335438731094</x:v>
      </x:c>
      <x:c r="AA437" s="255" t="n">
        <x:v>0.9301144507173416</x:v>
      </x:c>
      <x:c r="AB437" s="255" t="n">
        <x:v>0.48371722807932105</x:v>
      </x:c>
    </x:row>
    <x:row r="438" ht="24" customHeight="1">
      <x:c r="C438" s="256" t="n">
        <x:f>407</x:f>
        <x:v>407</x:v>
      </x:c>
      <x:c r="D438" s="258" t="n">
        <x:f>IF(X438&lt;($E$12-$D$12)/($F$12-$D$12),$D$12+SQRT(X438*($F$12-$D$12)*($E$12-$D$12)),$F$12-SQRT((1-X438)*($F$12-$D$12)*($F$12-$E$12)))</x:f>
        <x:v>0.15150955409969336</x:v>
      </x:c>
      <x:c r="E438" s="258" t="n">
        <x:f>IF(Y438&lt;($E$13-$D$13)/($F$13-$D$13),$D$13+SQRT(Y438*($F$13-$D$13)*($E$13-$D$13)),$F$13-SQRT((1-Y438)*($F$13-$D$13)*($F$13-$E$13)))</x:f>
        <x:v>0.0023346813258370985</x:v>
      </x:c>
      <x:c r="F438" s="260" t="n">
        <x:f>IF(Z438&lt;($E$14-$D$14)/($F$14-$D$14),$D$14+SQRT(Z438*($F$14-$D$14)*($E$14-$D$14)),$F$14-SQRT((1-Z438)*($F$14-$D$14)*($F$14-$E$14)))</x:f>
        <x:v>0.9160524338416413</x:v>
      </x:c>
      <x:c r="G438" s="258" t="n">
        <x:f>IF(AA438&lt;($E$15-$D$15)/($F$15-$D$15),$D$15+SQRT(AA438*($F$15-$D$15)*($E$15-$D$15)),$F$15-SQRT((1-AA438)*($F$15-$D$15)*($F$15-$E$15)))</x:f>
        <x:v>0.10581054671977655</x:v>
      </x:c>
      <x:c r="H438" s="258" t="n">
        <x:f>IF(AB438&lt;($E$16-$D$16)/($F$16-$D$16),$D$16+SQRT(AB438*($F$16-$D$16)*($E$16-$D$16)),$F$16-SQRT((1-AB438)*($F$16-$D$16)*($F$16-$E$16)))</x:f>
        <x:v>0.03471383813536788</x:v>
      </x:c>
      <x:c r="I438" s="262" t="n">
        <x:f>'Historical Inputs'!$N$9*(1+D438)^5</x:f>
        <x:v>671838.9124757303</x:v>
      </x:c>
      <x:c r="J438" s="262" t="n">
        <x:f>I438*(1+H438)*('Terminal Value'!$E$10+E438)*(1-'Assumptions'!$E$15)*(1-H438/'Terminal Value'!$E$12)</x:f>
        <x:v>184913.81910534267</x:v>
      </x:c>
      <x:c r="K438" s="264" t="n">
        <x:f>((SUM((('Historical Inputs'!$N$9*(1+(D438))^1)*(('Assumptions'!E37+(E438))*(1-'Assumptions'!E42-(0))+'Assumptions'!E47-'Assumptions'!E52*(F438)+'Assumptions'!E57-'Assumptions'!E62*(1)-'Assumptions'!E67-(0))+('Working Capital'!$E$6))*'DCF'!E12/(1+(G438))^'DCF'!E13,(('Historical Inputs'!$N$9*(1+(D438))^2)*(('Assumptions'!F37+(E438))*(1-'Assumptions'!F42-(0))+'Assumptions'!F47-'Assumptions'!F52*(F438)+'Assumptions'!F57-'Assumptions'!F62*(1)-'Assumptions'!F67-(0))+(('Historical Inputs'!$N$9*(1+(D438))^1)*('Assumptions'!E67+(0))))*'DCF'!F12/(1+(G438))^'DCF'!F13,(('Historical Inputs'!$N$9*(1+(D438))^3)*(('Assumptions'!G37+(E438))*(1-'Assumptions'!G42-(0))+'Assumptions'!G47-'Assumptions'!G52*(F438)+'Assumptions'!G57-'Assumptions'!G62*(1)-'Assumptions'!G67-(0))+(('Historical Inputs'!$N$9*(1+(D438))^2)*('Assumptions'!F67+(0))))*'DCF'!G12/(1+(G438))^'DCF'!G13,(('Historical Inputs'!$N$9*(1+(D438))^4)*(('Assumptions'!H37+(E438))*(1-'Assumptions'!H42-(0))+'Assumptions'!H47-'Assumptions'!H52*(F438)+'Assumptions'!H57-'Assumptions'!H62*(1)-'Assumptions'!H67-(0))+(('Historical Inputs'!$N$9*(1+(D438))^3)*('Assumptions'!G67+(0))))*'DCF'!H12/(1+(G438))^'DCF'!H13,(('Historical Inputs'!$N$9*(1+(D438))^5)*(('Assumptions'!I37+(E438))*(1-'Assumptions'!I42-(0))+'Assumptions'!I47-'Assumptions'!I52*(F438)+'Assumptions'!I57-'Assumptions'!I62*(1)-'Assumptions'!I67-(0))+(('Historical Inputs'!$N$9*(1+(D438))^4)*('Assumptions'!H67+(0))))*'DCF'!I12/(1+(G438))^'DCF'!I13)+('Historical Inputs'!$N$9*(1+(D438))^5)*(1+(H438))*('Terminal Value'!$E$10+(E438))*(1-'Assumptions'!$E$15-(0))*(1-(H438)/('Terminal Value'!$E$12))/((G438)-(H438))/(1+(G438))^'DCF'!$E$19)+'Equity Bridge'!$E$17)/'Equity Bridge'!$E$20</x:f>
        <x:v>278.9386730703422</x:v>
      </x:c>
      <x:c r="X438" s="255" t="n">
        <x:v>0.6514297876872389</x:v>
      </x:c>
      <x:c r="Y438" s="255" t="n">
        <x:v>0.5456034791380995</x:v>
      </x:c>
      <x:c r="Z438" s="255" t="n">
        <x:v>0.0831033145981791</x:v>
      </x:c>
      <x:c r="AA438" s="255" t="n">
        <x:v>0.8806082246088831</x:v>
      </x:c>
      <x:c r="AB438" s="255" t="n">
        <x:v>0.8602824637045454</x:v>
      </x:c>
    </x:row>
    <x:row r="439" ht="24" customHeight="1">
      <x:c r="C439" s="256" t="n">
        <x:f>408</x:f>
        <x:v>408</x:v>
      </x:c>
      <x:c r="D439" s="258" t="n">
        <x:f>IF(X439&lt;($E$12-$D$12)/($F$12-$D$12),$D$12+SQRT(X439*($F$12-$D$12)*($E$12-$D$12)),$F$12-SQRT((1-X439)*($F$12-$D$12)*($F$12-$E$12)))</x:f>
        <x:v>0.1357701753617946</x:v>
      </x:c>
      <x:c r="E439" s="258" t="n">
        <x:f>IF(Y439&lt;($E$13-$D$13)/($F$13-$D$13),$D$13+SQRT(Y439*($F$13-$D$13)*($E$13-$D$13)),$F$13-SQRT((1-Y439)*($F$13-$D$13)*($F$13-$E$13)))</x:f>
        <x:v>0.011697682312961151</x:v>
      </x:c>
      <x:c r="F439" s="260" t="n">
        <x:f>IF(Z439&lt;($E$14-$D$14)/($F$14-$D$14),$D$14+SQRT(Z439*($F$14-$D$14)*($E$14-$D$14)),$F$14-SQRT((1-Z439)*($F$14-$D$14)*($F$14-$E$14)))</x:f>
        <x:v>1.0362832694664836</x:v>
      </x:c>
      <x:c r="G439" s="258" t="n">
        <x:f>IF(AA439&lt;($E$15-$D$15)/($F$15-$D$15),$D$15+SQRT(AA439*($F$15-$D$15)*($E$15-$D$15)),$F$15-SQRT((1-AA439)*($F$15-$D$15)*($F$15-$E$15)))</x:f>
        <x:v>0.10124569612665926</x:v>
      </x:c>
      <x:c r="H439" s="258" t="n">
        <x:f>IF(AB439&lt;($E$16-$D$16)/($F$16-$D$16),$D$16+SQRT(AB439*($F$16-$D$16)*($E$16-$D$16)),$F$16-SQRT((1-AB439)*($F$16-$D$16)*($F$16-$E$16)))</x:f>
        <x:v>0.03376108055341848</x:v>
      </x:c>
      <x:c r="I439" s="262" t="n">
        <x:f>'Historical Inputs'!$N$9*(1+D439)^5</x:f>
        <x:v>627161.9862792871</x:v>
      </x:c>
      <x:c r="J439" s="262" t="n">
        <x:f>I439*(1+H439)*('Terminal Value'!$E$10+E439)*(1-'Assumptions'!$E$15)*(1-H439/'Terminal Value'!$E$12)</x:f>
        <x:v>177488.82947729813</x:v>
      </x:c>
      <x:c r="K439" s="264" t="n">
        <x:f>((SUM((('Historical Inputs'!$N$9*(1+(D439))^1)*(('Assumptions'!E37+(E439))*(1-'Assumptions'!E42-(0))+'Assumptions'!E47-'Assumptions'!E52*(F439)+'Assumptions'!E57-'Assumptions'!E62*(1)-'Assumptions'!E67-(0))+('Working Capital'!$E$6))*'DCF'!E12/(1+(G439))^'DCF'!E13,(('Historical Inputs'!$N$9*(1+(D439))^2)*(('Assumptions'!F37+(E439))*(1-'Assumptions'!F42-(0))+'Assumptions'!F47-'Assumptions'!F52*(F439)+'Assumptions'!F57-'Assumptions'!F62*(1)-'Assumptions'!F67-(0))+(('Historical Inputs'!$N$9*(1+(D439))^1)*('Assumptions'!E67+(0))))*'DCF'!F12/(1+(G439))^'DCF'!F13,(('Historical Inputs'!$N$9*(1+(D439))^3)*(('Assumptions'!G37+(E439))*(1-'Assumptions'!G42-(0))+'Assumptions'!G47-'Assumptions'!G52*(F439)+'Assumptions'!G57-'Assumptions'!G62*(1)-'Assumptions'!G67-(0))+(('Historical Inputs'!$N$9*(1+(D439))^2)*('Assumptions'!F67+(0))))*'DCF'!G12/(1+(G439))^'DCF'!G13,(('Historical Inputs'!$N$9*(1+(D439))^4)*(('Assumptions'!H37+(E439))*(1-'Assumptions'!H42-(0))+'Assumptions'!H47-'Assumptions'!H52*(F439)+'Assumptions'!H57-'Assumptions'!H62*(1)-'Assumptions'!H67-(0))+(('Historical Inputs'!$N$9*(1+(D439))^3)*('Assumptions'!G67+(0))))*'DCF'!H12/(1+(G439))^'DCF'!H13,(('Historical Inputs'!$N$9*(1+(D439))^5)*(('Assumptions'!I37+(E439))*(1-'Assumptions'!I42-(0))+'Assumptions'!I47-'Assumptions'!I52*(F439)+'Assumptions'!I57-'Assumptions'!I62*(1)-'Assumptions'!I67-(0))+(('Historical Inputs'!$N$9*(1+(D439))^4)*('Assumptions'!H67+(0))))*'DCF'!I12/(1+(G439))^'DCF'!I13)+('Historical Inputs'!$N$9*(1+(D439))^5)*(1+(H439))*('Terminal Value'!$E$10+(E439))*(1-'Assumptions'!$E$15-(0))*(1-(H439)/('Terminal Value'!$E$12))/((G439)-(H439))/(1+(G439))^'DCF'!$E$19)+'Equity Bridge'!$E$17)/'Equity Bridge'!$E$20</x:f>
        <x:v>277.8394816680311</x:v>
      </x:c>
      <x:c r="X439" s="255" t="n">
        <x:v>0.36147364471063337</x:v>
      </x:c>
      <x:c r="Y439" s="255" t="n">
        <x:v>0.7065864919602302</x:v>
      </x:c>
      <x:c r="Z439" s="255" t="n">
        <x:v>0.6170976020487996</x:v>
      </x:c>
      <x:c r="AA439" s="255" t="n">
        <x:v>0.6855927784730803</x:v>
      </x:c>
      <x:c r="AB439" s="255" t="n">
        <x:v>0.8053794206953344</x:v>
      </x:c>
    </x:row>
    <x:row r="440" ht="24" customHeight="1">
      <x:c r="C440" s="256" t="n">
        <x:f>409</x:f>
        <x:v>409</x:v>
      </x:c>
      <x:c r="D440" s="258" t="n">
        <x:f>IF(X440&lt;($E$12-$D$12)/($F$12-$D$12),$D$12+SQRT(X440*($F$12-$D$12)*($E$12-$D$12)),$F$12-SQRT((1-X440)*($F$12-$D$12)*($F$12-$E$12)))</x:f>
        <x:v>0.1670339344430573</x:v>
      </x:c>
      <x:c r="E440" s="258" t="n">
        <x:f>IF(Y440&lt;($E$13-$D$13)/($F$13-$D$13),$D$13+SQRT(Y440*($F$13-$D$13)*($E$13-$D$13)),$F$13-SQRT((1-Y440)*($F$13-$D$13)*($F$13-$E$13)))</x:f>
        <x:v>0.025526220076926717</x:v>
      </x:c>
      <x:c r="F440" s="260" t="n">
        <x:f>IF(Z440&lt;($E$14-$D$14)/($F$14-$D$14),$D$14+SQRT(Z440*($F$14-$D$14)*($E$14-$D$14)),$F$14-SQRT((1-Z440)*($F$14-$D$14)*($F$14-$E$14)))</x:f>
        <x:v>0.9882817774532211</x:v>
      </x:c>
      <x:c r="G440" s="258" t="n">
        <x:f>IF(AA440&lt;($E$15-$D$15)/($F$15-$D$15),$D$15+SQRT(AA440*($F$15-$D$15)*($E$15-$D$15)),$F$15-SQRT((1-AA440)*($F$15-$D$15)*($F$15-$E$15)))</x:f>
        <x:v>0.09738062367611264</x:v>
      </x:c>
      <x:c r="H440" s="258" t="n">
        <x:f>IF(AB440&lt;($E$16-$D$16)/($F$16-$D$16),$D$16+SQRT(AB440*($F$16-$D$16)*($E$16-$D$16)),$F$16-SQRT((1-AB440)*($F$16-$D$16)*($F$16-$E$16)))</x:f>
        <x:v>0.03701293351396778</x:v>
      </x:c>
      <x:c r="I440" s="262" t="n">
        <x:f>'Historical Inputs'!$N$9*(1+D440)^5</x:f>
        <x:v>718364.476532289</x:v>
      </x:c>
      <x:c r="J440" s="262" t="n">
        <x:f>I440*(1+H440)*('Terminal Value'!$E$10+E440)*(1-'Assumptions'!$E$15)*(1-H440/'Terminal Value'!$E$12)</x:f>
        <x:v>206665.73699904175</x:v>
      </x:c>
      <x:c r="K440" s="264" t="n">
        <x:f>((SUM((('Historical Inputs'!$N$9*(1+(D440))^1)*(('Assumptions'!E37+(E440))*(1-'Assumptions'!E42-(0))+'Assumptions'!E47-'Assumptions'!E52*(F440)+'Assumptions'!E57-'Assumptions'!E62*(1)-'Assumptions'!E67-(0))+('Working Capital'!$E$6))*'DCF'!E12/(1+(G440))^'DCF'!E13,(('Historical Inputs'!$N$9*(1+(D440))^2)*(('Assumptions'!F37+(E440))*(1-'Assumptions'!F42-(0))+'Assumptions'!F47-'Assumptions'!F52*(F440)+'Assumptions'!F57-'Assumptions'!F62*(1)-'Assumptions'!F67-(0))+(('Historical Inputs'!$N$9*(1+(D440))^1)*('Assumptions'!E67+(0))))*'DCF'!F12/(1+(G440))^'DCF'!F13,(('Historical Inputs'!$N$9*(1+(D440))^3)*(('Assumptions'!G37+(E440))*(1-'Assumptions'!G42-(0))+'Assumptions'!G47-'Assumptions'!G52*(F440)+'Assumptions'!G57-'Assumptions'!G62*(1)-'Assumptions'!G67-(0))+(('Historical Inputs'!$N$9*(1+(D440))^2)*('Assumptions'!F67+(0))))*'DCF'!G12/(1+(G440))^'DCF'!G13,(('Historical Inputs'!$N$9*(1+(D440))^4)*(('Assumptions'!H37+(E440))*(1-'Assumptions'!H42-(0))+'Assumptions'!H47-'Assumptions'!H52*(F440)+'Assumptions'!H57-'Assumptions'!H62*(1)-'Assumptions'!H67-(0))+(('Historical Inputs'!$N$9*(1+(D440))^3)*('Assumptions'!G67+(0))))*'DCF'!H12/(1+(G440))^'DCF'!H13,(('Historical Inputs'!$N$9*(1+(D440))^5)*(('Assumptions'!I37+(E440))*(1-'Assumptions'!I42-(0))+'Assumptions'!I47-'Assumptions'!I52*(F440)+'Assumptions'!I57-'Assumptions'!I62*(1)-'Assumptions'!I67-(0))+(('Historical Inputs'!$N$9*(1+(D440))^4)*('Assumptions'!H67+(0))))*'DCF'!I12/(1+(G440))^'DCF'!I13)+('Historical Inputs'!$N$9*(1+(D440))^5)*(1+(H440))*('Terminal Value'!$E$10+(E440))*(1-'Assumptions'!$E$15-(0))*(1-(H440)/('Terminal Value'!$E$12))/((G440)-(H440))/(1+(G440))^'DCF'!$E$19)+'Equity Bridge'!$E$17)/'Equity Bridge'!$E$20</x:f>
        <x:v>362.79538139181676</x:v>
      </x:c>
      <x:c r="X440" s="255" t="n">
        <x:v>0.8624699376207088</x:v>
      </x:c>
      <x:c r="Y440" s="255" t="n">
        <x:v>0.880206819255395</x:v>
      </x:c>
      <x:c r="Z440" s="255" t="n">
        <x:v>0.3642257138213749</x:v>
      </x:c>
      <x:c r="AA440" s="255" t="n">
        <x:v>0.45063298878215596</x:v>
      </x:c>
      <x:c r="AB440" s="255" t="n">
        <x:v>0.9553871690401158</x:v>
      </x:c>
    </x:row>
    <x:row r="441" ht="24" customHeight="1">
      <x:c r="C441" s="256" t="n">
        <x:f>410</x:f>
        <x:v>410</x:v>
      </x:c>
      <x:c r="D441" s="258" t="n">
        <x:f>IF(X441&lt;($E$12-$D$12)/($F$12-$D$12),$D$12+SQRT(X441*($F$12-$D$12)*($E$12-$D$12)),$F$12-SQRT((1-X441)*($F$12-$D$12)*($F$12-$E$12)))</x:f>
        <x:v>0.12174410368130775</x:v>
      </x:c>
      <x:c r="E441" s="258" t="n">
        <x:f>IF(Y441&lt;($E$13-$D$13)/($F$13-$D$13),$D$13+SQRT(Y441*($F$13-$D$13)*($E$13-$D$13)),$F$13-SQRT((1-Y441)*($F$13-$D$13)*($F$13-$E$13)))</x:f>
        <x:v>0.013485605064049548</x:v>
      </x:c>
      <x:c r="F441" s="260" t="n">
        <x:f>IF(Z441&lt;($E$14-$D$14)/($F$14-$D$14),$D$14+SQRT(Z441*($F$14-$D$14)*($E$14-$D$14)),$F$14-SQRT((1-Z441)*($F$14-$D$14)*($F$14-$E$14)))</x:f>
        <x:v>1.1238766785596122</x:v>
      </x:c>
      <x:c r="G441" s="258" t="n">
        <x:f>IF(AA441&lt;($E$15-$D$15)/($F$15-$D$15),$D$15+SQRT(AA441*($F$15-$D$15)*($E$15-$D$15)),$F$15-SQRT((1-AA441)*($F$15-$D$15)*($F$15-$E$15)))</x:f>
        <x:v>0.0919799897753976</x:v>
      </x:c>
      <x:c r="H441" s="258" t="n">
        <x:f>IF(AB441&lt;($E$16-$D$16)/($F$16-$D$16),$D$16+SQRT(AB441*($F$16-$D$16)*($E$16-$D$16)),$F$16-SQRT((1-AB441)*($F$16-$D$16)*($F$16-$E$16)))</x:f>
        <x:v>0.03620277878586348</x:v>
      </x:c>
      <x:c r="I441" s="262" t="n">
        <x:f>'Historical Inputs'!$N$9*(1+D441)^5</x:f>
        <x:v>589381.3686221035</x:v>
      </x:c>
      <x:c r="J441" s="262" t="n">
        <x:f>I441*(1+H441)*('Terminal Value'!$E$10+E441)*(1-'Assumptions'!$E$15)*(1-H441/'Terminal Value'!$E$12)</x:f>
        <x:v>165450.4952172969</x:v>
      </x:c>
      <x:c r="K441" s="264" t="n">
        <x:f>((SUM((('Historical Inputs'!$N$9*(1+(D441))^1)*(('Assumptions'!E37+(E441))*(1-'Assumptions'!E42-(0))+'Assumptions'!E47-'Assumptions'!E52*(F441)+'Assumptions'!E57-'Assumptions'!E62*(1)-'Assumptions'!E67-(0))+('Working Capital'!$E$6))*'DCF'!E12/(1+(G441))^'DCF'!E13,(('Historical Inputs'!$N$9*(1+(D441))^2)*(('Assumptions'!F37+(E441))*(1-'Assumptions'!F42-(0))+'Assumptions'!F47-'Assumptions'!F52*(F441)+'Assumptions'!F57-'Assumptions'!F62*(1)-'Assumptions'!F67-(0))+(('Historical Inputs'!$N$9*(1+(D441))^1)*('Assumptions'!E67+(0))))*'DCF'!F12/(1+(G441))^'DCF'!F13,(('Historical Inputs'!$N$9*(1+(D441))^3)*(('Assumptions'!G37+(E441))*(1-'Assumptions'!G42-(0))+'Assumptions'!G47-'Assumptions'!G52*(F441)+'Assumptions'!G57-'Assumptions'!G62*(1)-'Assumptions'!G67-(0))+(('Historical Inputs'!$N$9*(1+(D441))^2)*('Assumptions'!F67+(0))))*'DCF'!G12/(1+(G441))^'DCF'!G13,(('Historical Inputs'!$N$9*(1+(D441))^4)*(('Assumptions'!H37+(E441))*(1-'Assumptions'!H42-(0))+'Assumptions'!H47-'Assumptions'!H52*(F441)+'Assumptions'!H57-'Assumptions'!H62*(1)-'Assumptions'!H67-(0))+(('Historical Inputs'!$N$9*(1+(D441))^3)*('Assumptions'!G67+(0))))*'DCF'!H12/(1+(G441))^'DCF'!H13,(('Historical Inputs'!$N$9*(1+(D441))^5)*(('Assumptions'!I37+(E441))*(1-'Assumptions'!I42-(0))+'Assumptions'!I47-'Assumptions'!I52*(F441)+'Assumptions'!I57-'Assumptions'!I62*(1)-'Assumptions'!I67-(0))+(('Historical Inputs'!$N$9*(1+(D441))^4)*('Assumptions'!H67+(0))))*'DCF'!I12/(1+(G441))^'DCF'!I13)+('Historical Inputs'!$N$9*(1+(D441))^5)*(1+(H441))*('Terminal Value'!$E$10+(E441))*(1-'Assumptions'!$E$15-(0))*(1-(H441)/('Terminal Value'!$E$12))/((G441)-(H441))/(1+(G441))^'DCF'!$E$19)+'Equity Bridge'!$E$17)/'Equity Bridge'!$E$20</x:f>
        <x:v>310.6332114165547</x:v>
      </x:c>
      <x:c r="X441" s="255" t="n">
        <x:v>0.1623027665255471</x:v>
      </x:c>
      <x:c r="Y441" s="255" t="n">
        <x:v>0.7333397924922872</x:v>
      </x:c>
      <x:c r="Z441" s="255" t="n">
        <x:v>0.9172177133269055</x:v>
      </x:c>
      <x:c r="AA441" s="255" t="n">
        <x:v>0.17364197846159213</x:v>
      </x:c>
      <x:c r="AB441" s="255" t="n">
        <x:v>0.9279055552545581</x:v>
      </x:c>
    </x:row>
    <x:row r="442" ht="24" customHeight="1">
      <x:c r="C442" s="256" t="n">
        <x:f>411</x:f>
        <x:v>411</x:v>
      </x:c>
      <x:c r="D442" s="258" t="n">
        <x:f>IF(X442&lt;($E$12-$D$12)/($F$12-$D$12),$D$12+SQRT(X442*($F$12-$D$12)*($E$12-$D$12)),$F$12-SQRT((1-X442)*($F$12-$D$12)*($F$12-$E$12)))</x:f>
        <x:v>0.11901469365252705</x:v>
      </x:c>
      <x:c r="E442" s="258" t="n">
        <x:f>IF(Y442&lt;($E$13-$D$13)/($F$13-$D$13),$D$13+SQRT(Y442*($F$13-$D$13)*($E$13-$D$13)),$F$13-SQRT((1-Y442)*($F$13-$D$13)*($F$13-$E$13)))</x:f>
        <x:v>0.007704696940630251</x:v>
      </x:c>
      <x:c r="F442" s="260" t="n">
        <x:f>IF(Z442&lt;($E$14-$D$14)/($F$14-$D$14),$D$14+SQRT(Z442*($F$14-$D$14)*($E$14-$D$14)),$F$14-SQRT((1-Z442)*($F$14-$D$14)*($F$14-$E$14)))</x:f>
        <x:v>0.8928897129651945</x:v>
      </x:c>
      <x:c r="G442" s="258" t="n">
        <x:f>IF(AA442&lt;($E$15-$D$15)/($F$15-$D$15),$D$15+SQRT(AA442*($F$15-$D$15)*($E$15-$D$15)),$F$15-SQRT((1-AA442)*($F$15-$D$15)*($F$15-$E$15)))</x:f>
        <x:v>0.10381065220146556</x:v>
      </x:c>
      <x:c r="H442" s="258" t="n">
        <x:f>IF(AB442&lt;($E$16-$D$16)/($F$16-$D$16),$D$16+SQRT(AB442*($F$16-$D$16)*($E$16-$D$16)),$F$16-SQRT((1-AB442)*($F$16-$D$16)*($F$16-$E$16)))</x:f>
        <x:v>0.026082907088159923</x:v>
      </x:c>
      <x:c r="I442" s="262" t="n">
        <x:f>'Historical Inputs'!$N$9*(1+D442)^5</x:f>
        <x:v>582245.8103032782</x:v>
      </x:c>
      <x:c r="J442" s="262" t="n">
        <x:f>I442*(1+H442)*('Terminal Value'!$E$10+E442)*(1-'Assumptions'!$E$15)*(1-H442/'Terminal Value'!$E$12)</x:f>
        <x:v>169448.13711715376</x:v>
      </x:c>
      <x:c r="K442" s="264" t="n">
        <x:f>((SUM((('Historical Inputs'!$N$9*(1+(D442))^1)*(('Assumptions'!E37+(E442))*(1-'Assumptions'!E42-(0))+'Assumptions'!E47-'Assumptions'!E52*(F442)+'Assumptions'!E57-'Assumptions'!E62*(1)-'Assumptions'!E67-(0))+('Working Capital'!$E$6))*'DCF'!E12/(1+(G442))^'DCF'!E13,(('Historical Inputs'!$N$9*(1+(D442))^2)*(('Assumptions'!F37+(E442))*(1-'Assumptions'!F42-(0))+'Assumptions'!F47-'Assumptions'!F52*(F442)+'Assumptions'!F57-'Assumptions'!F62*(1)-'Assumptions'!F67-(0))+(('Historical Inputs'!$N$9*(1+(D442))^1)*('Assumptions'!E67+(0))))*'DCF'!F12/(1+(G442))^'DCF'!F13,(('Historical Inputs'!$N$9*(1+(D442))^3)*(('Assumptions'!G37+(E442))*(1-'Assumptions'!G42-(0))+'Assumptions'!G47-'Assumptions'!G52*(F442)+'Assumptions'!G57-'Assumptions'!G62*(1)-'Assumptions'!G67-(0))+(('Historical Inputs'!$N$9*(1+(D442))^2)*('Assumptions'!F67+(0))))*'DCF'!G12/(1+(G442))^'DCF'!G13,(('Historical Inputs'!$N$9*(1+(D442))^4)*(('Assumptions'!H37+(E442))*(1-'Assumptions'!H42-(0))+'Assumptions'!H47-'Assumptions'!H52*(F442)+'Assumptions'!H57-'Assumptions'!H62*(1)-'Assumptions'!H67-(0))+(('Historical Inputs'!$N$9*(1+(D442))^3)*('Assumptions'!G67+(0))))*'DCF'!H12/(1+(G442))^'DCF'!H13,(('Historical Inputs'!$N$9*(1+(D442))^5)*(('Assumptions'!I37+(E442))*(1-'Assumptions'!I42-(0))+'Assumptions'!I47-'Assumptions'!I52*(F442)+'Assumptions'!I57-'Assumptions'!I62*(1)-'Assumptions'!I67-(0))+(('Historical Inputs'!$N$9*(1+(D442))^4)*('Assumptions'!H67+(0))))*'DCF'!I12/(1+(G442))^'DCF'!I13)+('Historical Inputs'!$N$9*(1+(D442))^5)*(1+(H442))*('Terminal Value'!$E$10+(E442))*(1-'Assumptions'!$E$15-(0))*(1-(H442)/('Terminal Value'!$E$12))/((G442)-(H442))/(1+(G442))^'DCF'!$E$19)+'Equity Bridge'!$E$17)/'Equity Bridge'!$E$20</x:f>
        <x:v>242.03598094150342</x:v>
      </x:c>
      <x:c r="X442" s="255" t="n">
        <x:v>0.13269153158402203</x:v>
      </x:c>
      <x:c r="Y442" s="255" t="n">
        <x:v>0.6422214678232137</x:v>
      </x:c>
      <x:c r="Z442" s="255" t="n">
        <x:v>0.03503861863308144</x:v>
      </x:c>
      <x:c r="AA442" s="255" t="n">
        <x:v>0.8065697311750173</x:v>
      </x:c>
      <x:c r="AB442" s="255" t="n">
        <x:v>0.18500879321593122</x:v>
      </x:c>
    </x:row>
    <x:row r="443" ht="24" customHeight="1">
      <x:c r="C443" s="256" t="n">
        <x:f>412</x:f>
        <x:v>412</x:v>
      </x:c>
      <x:c r="D443" s="258" t="n">
        <x:f>IF(X443&lt;($E$12-$D$12)/($F$12-$D$12),$D$12+SQRT(X443*($F$12-$D$12)*($E$12-$D$12)),$F$12-SQRT((1-X443)*($F$12-$D$12)*($F$12-$E$12)))</x:f>
        <x:v>0.15229348479312405</x:v>
      </x:c>
      <x:c r="E443" s="258" t="n">
        <x:f>IF(Y443&lt;($E$13-$D$13)/($F$13-$D$13),$D$13+SQRT(Y443*($F$13-$D$13)*($E$13-$D$13)),$F$13-SQRT((1-Y443)*($F$13-$D$13)*($F$13-$E$13)))</x:f>
        <x:v>-0.023792298074123464</x:v>
      </x:c>
      <x:c r="F443" s="260" t="n">
        <x:f>IF(Z443&lt;($E$14-$D$14)/($F$14-$D$14),$D$14+SQRT(Z443*($F$14-$D$14)*($E$14-$D$14)),$F$14-SQRT((1-Z443)*($F$14-$D$14)*($F$14-$E$14)))</x:f>
        <x:v>1.0197776944820895</x:v>
      </x:c>
      <x:c r="G443" s="258" t="n">
        <x:f>IF(AA443&lt;($E$15-$D$15)/($F$15-$D$15),$D$15+SQRT(AA443*($F$15-$D$15)*($E$15-$D$15)),$F$15-SQRT((1-AA443)*($F$15-$D$15)*($F$15-$E$15)))</x:f>
        <x:v>0.08952103964889026</x:v>
      </x:c>
      <x:c r="H443" s="258" t="n">
        <x:f>IF(AB443&lt;($E$16-$D$16)/($F$16-$D$16),$D$16+SQRT(AB443*($F$16-$D$16)*($E$16-$D$16)),$F$16-SQRT((1-AB443)*($F$16-$D$16)*($F$16-$E$16)))</x:f>
        <x:v>0.037987279202690794</x:v>
      </x:c>
      <x:c r="I443" s="262" t="n">
        <x:f>'Historical Inputs'!$N$9*(1+D443)^5</x:f>
        <x:v>674128.9183915734</x:v>
      </x:c>
      <x:c r="J443" s="262" t="n">
        <x:f>I443*(1+H443)*('Terminal Value'!$E$10+E443)*(1-'Assumptions'!$E$15)*(1-H443/'Terminal Value'!$E$12)</x:f>
        <x:v>170597.15255038522</x:v>
      </x:c>
      <x:c r="K443" s="264" t="n">
        <x:f>((SUM((('Historical Inputs'!$N$9*(1+(D443))^1)*(('Assumptions'!E37+(E443))*(1-'Assumptions'!E42-(0))+'Assumptions'!E47-'Assumptions'!E52*(F443)+'Assumptions'!E57-'Assumptions'!E62*(1)-'Assumptions'!E67-(0))+('Working Capital'!$E$6))*'DCF'!E12/(1+(G443))^'DCF'!E13,(('Historical Inputs'!$N$9*(1+(D443))^2)*(('Assumptions'!F37+(E443))*(1-'Assumptions'!F42-(0))+'Assumptions'!F47-'Assumptions'!F52*(F443)+'Assumptions'!F57-'Assumptions'!F62*(1)-'Assumptions'!F67-(0))+(('Historical Inputs'!$N$9*(1+(D443))^1)*('Assumptions'!E67+(0))))*'DCF'!F12/(1+(G443))^'DCF'!F13,(('Historical Inputs'!$N$9*(1+(D443))^3)*(('Assumptions'!G37+(E443))*(1-'Assumptions'!G42-(0))+'Assumptions'!G47-'Assumptions'!G52*(F443)+'Assumptions'!G57-'Assumptions'!G62*(1)-'Assumptions'!G67-(0))+(('Historical Inputs'!$N$9*(1+(D443))^2)*('Assumptions'!F67+(0))))*'DCF'!G12/(1+(G443))^'DCF'!G13,(('Historical Inputs'!$N$9*(1+(D443))^4)*(('Assumptions'!H37+(E443))*(1-'Assumptions'!H42-(0))+'Assumptions'!H47-'Assumptions'!H52*(F443)+'Assumptions'!H57-'Assumptions'!H62*(1)-'Assumptions'!H67-(0))+(('Historical Inputs'!$N$9*(1+(D443))^3)*('Assumptions'!G67+(0))))*'DCF'!H12/(1+(G443))^'DCF'!H13,(('Historical Inputs'!$N$9*(1+(D443))^5)*(('Assumptions'!I37+(E443))*(1-'Assumptions'!I42-(0))+'Assumptions'!I47-'Assumptions'!I52*(F443)+'Assumptions'!I57-'Assumptions'!I62*(1)-'Assumptions'!I67-(0))+(('Historical Inputs'!$N$9*(1+(D443))^4)*('Assumptions'!H67+(0))))*'DCF'!I12/(1+(G443))^'DCF'!I13)+('Historical Inputs'!$N$9*(1+(D443))^5)*(1+(H443))*('Terminal Value'!$E$10+(E443))*(1-'Assumptions'!$E$15-(0))*(1-(H443)/('Terminal Value'!$E$12))/((G443)-(H443))/(1+(G443))^'DCF'!$E$19)+'Equity Bridge'!$E$17)/'Equity Bridge'!$E$20</x:f>
        <x:v>348.56020072237163</x:v>
      </x:c>
      <x:c r="X443" s="255" t="n">
        <x:v>0.6643977267503002</x:v>
      </x:c>
      <x:c r="Y443" s="255" t="n">
        <x:v>0.13736872804711853</x:v>
      </x:c>
      <x:c r="Z443" s="255" t="n">
        <x:v>0.5359988656258416</x:v>
      </x:c>
      <x:c r="AA443" s="255" t="n">
        <x:v>0.0904732315904967</x:v>
      </x:c>
      <x:c r="AB443" s="255" t="n">
        <x:v>0.9797447749603949</x:v>
      </x:c>
    </x:row>
    <x:row r="444" ht="24" customHeight="1">
      <x:c r="C444" s="256" t="n">
        <x:f>413</x:f>
        <x:v>413</x:v>
      </x:c>
      <x:c r="D444" s="258" t="n">
        <x:f>IF(X444&lt;($E$12-$D$12)/($F$12-$D$12),$D$12+SQRT(X444*($F$12-$D$12)*($E$12-$D$12)),$F$12-SQRT((1-X444)*($F$12-$D$12)*($F$12-$E$12)))</x:f>
        <x:v>0.1402755362285571</x:v>
      </x:c>
      <x:c r="E444" s="258" t="n">
        <x:f>IF(Y444&lt;($E$13-$D$13)/($F$13-$D$13),$D$13+SQRT(Y444*($F$13-$D$13)*($E$13-$D$13)),$F$13-SQRT((1-Y444)*($F$13-$D$13)*($F$13-$E$13)))</x:f>
        <x:v>-0.038977280626494824</x:v>
      </x:c>
      <x:c r="F444" s="260" t="n">
        <x:f>IF(Z444&lt;($E$14-$D$14)/($F$14-$D$14),$D$14+SQRT(Z444*($F$14-$D$14)*($E$14-$D$14)),$F$14-SQRT((1-Z444)*($F$14-$D$14)*($F$14-$E$14)))</x:f>
        <x:v>1.0183912325481785</x:v>
      </x:c>
      <x:c r="G444" s="258" t="n">
        <x:f>IF(AA444&lt;($E$15-$D$15)/($F$15-$D$15),$D$15+SQRT(AA444*($F$15-$D$15)*($E$15-$D$15)),$F$15-SQRT((1-AA444)*($F$15-$D$15)*($F$15-$E$15)))</x:f>
        <x:v>0.1108381110231017</x:v>
      </x:c>
      <x:c r="H444" s="258" t="n">
        <x:f>IF(AB444&lt;($E$16-$D$16)/($F$16-$D$16),$D$16+SQRT(AB444*($F$16-$D$16)*($E$16-$D$16)),$F$16-SQRT((1-AB444)*($F$16-$D$16)*($F$16-$E$16)))</x:f>
        <x:v>0.03667546119234792</x:v>
      </x:c>
      <x:c r="I444" s="262" t="n">
        <x:f>'Historical Inputs'!$N$9*(1+D444)^5</x:f>
        <x:v>639700.1620493125</x:v>
      </x:c>
      <x:c r="J444" s="262" t="n">
        <x:f>I444*(1+H444)*('Terminal Value'!$E$10+E444)*(1-'Assumptions'!$E$15)*(1-H444/'Terminal Value'!$E$12)</x:f>
        <x:v>156410.26230855292</x:v>
      </x:c>
      <x:c r="K444" s="264" t="n">
        <x:f>((SUM((('Historical Inputs'!$N$9*(1+(D444))^1)*(('Assumptions'!E37+(E444))*(1-'Assumptions'!E42-(0))+'Assumptions'!E47-'Assumptions'!E52*(F444)+'Assumptions'!E57-'Assumptions'!E62*(1)-'Assumptions'!E67-(0))+('Working Capital'!$E$6))*'DCF'!E12/(1+(G444))^'DCF'!E13,(('Historical Inputs'!$N$9*(1+(D444))^2)*(('Assumptions'!F37+(E444))*(1-'Assumptions'!F42-(0))+'Assumptions'!F47-'Assumptions'!F52*(F444)+'Assumptions'!F57-'Assumptions'!F62*(1)-'Assumptions'!F67-(0))+(('Historical Inputs'!$N$9*(1+(D444))^1)*('Assumptions'!E67+(0))))*'DCF'!F12/(1+(G444))^'DCF'!F13,(('Historical Inputs'!$N$9*(1+(D444))^3)*(('Assumptions'!G37+(E444))*(1-'Assumptions'!G42-(0))+'Assumptions'!G47-'Assumptions'!G52*(F444)+'Assumptions'!G57-'Assumptions'!G62*(1)-'Assumptions'!G67-(0))+(('Historical Inputs'!$N$9*(1+(D444))^2)*('Assumptions'!F67+(0))))*'DCF'!G12/(1+(G444))^'DCF'!G13,(('Historical Inputs'!$N$9*(1+(D444))^4)*(('Assumptions'!H37+(E444))*(1-'Assumptions'!H42-(0))+'Assumptions'!H47-'Assumptions'!H52*(F444)+'Assumptions'!H57-'Assumptions'!H62*(1)-'Assumptions'!H67-(0))+(('Historical Inputs'!$N$9*(1+(D444))^3)*('Assumptions'!G67+(0))))*'DCF'!H12/(1+(G444))^'DCF'!H13,(('Historical Inputs'!$N$9*(1+(D444))^5)*(('Assumptions'!I37+(E444))*(1-'Assumptions'!I42-(0))+'Assumptions'!I47-'Assumptions'!I52*(F444)+'Assumptions'!I57-'Assumptions'!I62*(1)-'Assumptions'!I67-(0))+(('Historical Inputs'!$N$9*(1+(D444))^4)*('Assumptions'!H67+(0))))*'DCF'!I12/(1+(G444))^'DCF'!I13)+('Historical Inputs'!$N$9*(1+(D444))^5)*(1+(H444))*('Terminal Value'!$E$10+(E444))*(1-'Assumptions'!$E$15-(0))*(1-(H444)/('Terminal Value'!$E$12))/((G444)-(H444))/(1+(G444))^'DCF'!$E$19)+'Equity Bridge'!$E$17)/'Equity Bridge'!$E$20</x:f>
        <x:v>216.79701870212017</x:v>
      </x:c>
      <x:c r="X444" s="255" t="n">
        <x:v>0.4421481393236151</x:v>
      </x:c>
      <x:c r="Y444" s="255" t="n">
        <x:v>0.024300068477409287</x:v>
      </x:c>
      <x:c r="Z444" s="255" t="n">
        <x:v>0.528832222637575</x:v>
      </x:c>
      <x:c r="AA444" s="255" t="n">
        <x:v>0.9882213485950505</x:v>
      </x:c>
      <x:c r="AB444" s="255" t="n">
        <x:v>0.9447372085820764</x:v>
      </x:c>
    </x:row>
    <x:row r="445" ht="24" customHeight="1">
      <x:c r="C445" s="256" t="n">
        <x:f>414</x:f>
        <x:v>414</x:v>
      </x:c>
      <x:c r="D445" s="258" t="n">
        <x:f>IF(X445&lt;($E$12-$D$12)/($F$12-$D$12),$D$12+SQRT(X445*($F$12-$D$12)*($E$12-$D$12)),$F$12-SQRT((1-X445)*($F$12-$D$12)*($F$12-$E$12)))</x:f>
        <x:v>0.13982154656518805</x:v>
      </x:c>
      <x:c r="E445" s="258" t="n">
        <x:f>IF(Y445&lt;($E$13-$D$13)/($F$13-$D$13),$D$13+SQRT(Y445*($F$13-$D$13)*($E$13-$D$13)),$F$13-SQRT((1-Y445)*($F$13-$D$13)*($F$13-$E$13)))</x:f>
        <x:v>-0.03375036942590317</x:v>
      </x:c>
      <x:c r="F445" s="260" t="n">
        <x:f>IF(Z445&lt;($E$14-$D$14)/($F$14-$D$14),$D$14+SQRT(Z445*($F$14-$D$14)*($E$14-$D$14)),$F$14-SQRT((1-Z445)*($F$14-$D$14)*($F$14-$E$14)))</x:f>
        <x:v>0.9976474344414145</x:v>
      </x:c>
      <x:c r="G445" s="258" t="n">
        <x:f>IF(AA445&lt;($E$15-$D$15)/($F$15-$D$15),$D$15+SQRT(AA445*($F$15-$D$15)*($E$15-$D$15)),$F$15-SQRT((1-AA445)*($F$15-$D$15)*($F$15-$E$15)))</x:f>
        <x:v>0.1071274664888501</x:v>
      </x:c>
      <x:c r="H445" s="258" t="n">
        <x:f>IF(AB445&lt;($E$16-$D$16)/($F$16-$D$16),$D$16+SQRT(AB445*($F$16-$D$16)*($E$16-$D$16)),$F$16-SQRT((1-AB445)*($F$16-$D$16)*($F$16-$E$16)))</x:f>
        <x:v>0.028251423837538373</x:v>
      </x:c>
      <x:c r="I445" s="262" t="n">
        <x:f>'Historical Inputs'!$N$9*(1+D445)^5</x:f>
        <x:v>638427.7235446774</x:v>
      </x:c>
      <x:c r="J445" s="262" t="n">
        <x:f>I445*(1+H445)*('Terminal Value'!$E$10+E445)*(1-'Assumptions'!$E$15)*(1-H445/'Terminal Value'!$E$12)</x:f>
        <x:v>165173.88712672223</x:v>
      </x:c>
      <x:c r="K445" s="264" t="n">
        <x:f>((SUM((('Historical Inputs'!$N$9*(1+(D445))^1)*(('Assumptions'!E37+(E445))*(1-'Assumptions'!E42-(0))+'Assumptions'!E47-'Assumptions'!E52*(F445)+'Assumptions'!E57-'Assumptions'!E62*(1)-'Assumptions'!E67-(0))+('Working Capital'!$E$6))*'DCF'!E12/(1+(G445))^'DCF'!E13,(('Historical Inputs'!$N$9*(1+(D445))^2)*(('Assumptions'!F37+(E445))*(1-'Assumptions'!F42-(0))+'Assumptions'!F47-'Assumptions'!F52*(F445)+'Assumptions'!F57-'Assumptions'!F62*(1)-'Assumptions'!F67-(0))+(('Historical Inputs'!$N$9*(1+(D445))^1)*('Assumptions'!E67+(0))))*'DCF'!F12/(1+(G445))^'DCF'!F13,(('Historical Inputs'!$N$9*(1+(D445))^3)*(('Assumptions'!G37+(E445))*(1-'Assumptions'!G42-(0))+'Assumptions'!G47-'Assumptions'!G52*(F445)+'Assumptions'!G57-'Assumptions'!G62*(1)-'Assumptions'!G67-(0))+(('Historical Inputs'!$N$9*(1+(D445))^2)*('Assumptions'!F67+(0))))*'DCF'!G12/(1+(G445))^'DCF'!G13,(('Historical Inputs'!$N$9*(1+(D445))^4)*(('Assumptions'!H37+(E445))*(1-'Assumptions'!H42-(0))+'Assumptions'!H47-'Assumptions'!H52*(F445)+'Assumptions'!H57-'Assumptions'!H62*(1)-'Assumptions'!H67-(0))+(('Historical Inputs'!$N$9*(1+(D445))^3)*('Assumptions'!G67+(0))))*'DCF'!H12/(1+(G445))^'DCF'!H13,(('Historical Inputs'!$N$9*(1+(D445))^5)*(('Assumptions'!I37+(E445))*(1-'Assumptions'!I42-(0))+'Assumptions'!I47-'Assumptions'!I52*(F445)+'Assumptions'!I57-'Assumptions'!I62*(1)-'Assumptions'!I67-(0))+(('Historical Inputs'!$N$9*(1+(D445))^4)*('Assumptions'!H67+(0))))*'DCF'!I12/(1+(G445))^'DCF'!I13)+('Historical Inputs'!$N$9*(1+(D445))^5)*(1+(H445))*('Terminal Value'!$E$10+(E445))*(1-'Assumptions'!$E$15-(0))*(1-(H445)/('Terminal Value'!$E$12))/((G445)-(H445))/(1+(G445))^'DCF'!$E$19)+'Equity Bridge'!$E$17)/'Equity Bridge'!$E$20</x:f>
        <x:v>221.006342071267</x:v>
      </x:c>
      <x:c r="X445" s="255" t="n">
        <x:v>0.43365099283622266</x:v>
      </x:c>
      <x:c r="Y445" s="255" t="n">
        <x:v>0.052810098758924506</x:v>
      </x:c>
      <x:c r="Z445" s="255" t="n">
        <x:v>0.4152336170882246</x:v>
      </x:c>
      <x:c r="AA445" s="255" t="n">
        <x:v>0.9196555553146254</x:v>
      </x:c>
      <x:c r="AB445" s="255" t="n">
        <x:v>0.34042997673348263</x:v>
      </x:c>
    </x:row>
    <x:row r="446" ht="24" customHeight="1">
      <x:c r="C446" s="256" t="n">
        <x:f>415</x:f>
        <x:v>415</x:v>
      </x:c>
      <x:c r="D446" s="258" t="n">
        <x:f>IF(X446&lt;($E$12-$D$12)/($F$12-$D$12),$D$12+SQRT(X446*($F$12-$D$12)*($E$12-$D$12)),$F$12-SQRT((1-X446)*($F$12-$D$12)*($F$12-$E$12)))</x:f>
        <x:v>0.16737186436410031</x:v>
      </x:c>
      <x:c r="E446" s="258" t="n">
        <x:f>IF(Y446&lt;($E$13-$D$13)/($F$13-$D$13),$D$13+SQRT(Y446*($F$13-$D$13)*($E$13-$D$13)),$F$13-SQRT((1-Y446)*($F$13-$D$13)*($F$13-$E$13)))</x:f>
        <x:v>-0.015258945557726389</x:v>
      </x:c>
      <x:c r="F446" s="260" t="n">
        <x:f>IF(Z446&lt;($E$14-$D$14)/($F$14-$D$14),$D$14+SQRT(Z446*($F$14-$D$14)*($E$14-$D$14)),$F$14-SQRT((1-Z446)*($F$14-$D$14)*($F$14-$E$14)))</x:f>
        <x:v>1.1016808989110576</x:v>
      </x:c>
      <x:c r="G446" s="258" t="n">
        <x:f>IF(AA446&lt;($E$15-$D$15)/($F$15-$D$15),$D$15+SQRT(AA446*($F$15-$D$15)*($E$15-$D$15)),$F$15-SQRT((1-AA446)*($F$15-$D$15)*($F$15-$E$15)))</x:f>
        <x:v>0.09546690957617496</x:v>
      </x:c>
      <x:c r="H446" s="258" t="n">
        <x:f>IF(AB446&lt;($E$16-$D$16)/($F$16-$D$16),$D$16+SQRT(AB446*($F$16-$D$16)*($E$16-$D$16)),$F$16-SQRT((1-AB446)*($F$16-$D$16)*($F$16-$E$16)))</x:f>
        <x:v>0.02667766370564177</x:v>
      </x:c>
      <x:c r="I446" s="262" t="n">
        <x:f>'Historical Inputs'!$N$9*(1+D446)^5</x:f>
        <x:v>719405.1381241039</x:v>
      </x:c>
      <x:c r="J446" s="262" t="n">
        <x:f>I446*(1+H446)*('Terminal Value'!$E$10+E446)*(1-'Assumptions'!$E$15)*(1-H446/'Terminal Value'!$E$12)</x:f>
        <x:v>197011.10443974903</x:v>
      </x:c>
      <x:c r="K446" s="264" t="n">
        <x:f>((SUM((('Historical Inputs'!$N$9*(1+(D446))^1)*(('Assumptions'!E37+(E446))*(1-'Assumptions'!E42-(0))+'Assumptions'!E47-'Assumptions'!E52*(F446)+'Assumptions'!E57-'Assumptions'!E62*(1)-'Assumptions'!E67-(0))+('Working Capital'!$E$6))*'DCF'!E12/(1+(G446))^'DCF'!E13,(('Historical Inputs'!$N$9*(1+(D446))^2)*(('Assumptions'!F37+(E446))*(1-'Assumptions'!F42-(0))+'Assumptions'!F47-'Assumptions'!F52*(F446)+'Assumptions'!F57-'Assumptions'!F62*(1)-'Assumptions'!F67-(0))+(('Historical Inputs'!$N$9*(1+(D446))^1)*('Assumptions'!E67+(0))))*'DCF'!F12/(1+(G446))^'DCF'!F13,(('Historical Inputs'!$N$9*(1+(D446))^3)*(('Assumptions'!G37+(E446))*(1-'Assumptions'!G42-(0))+'Assumptions'!G47-'Assumptions'!G52*(F446)+'Assumptions'!G57-'Assumptions'!G62*(1)-'Assumptions'!G67-(0))+(('Historical Inputs'!$N$9*(1+(D446))^2)*('Assumptions'!F67+(0))))*'DCF'!G12/(1+(G446))^'DCF'!G13,(('Historical Inputs'!$N$9*(1+(D446))^4)*(('Assumptions'!H37+(E446))*(1-'Assumptions'!H42-(0))+'Assumptions'!H47-'Assumptions'!H52*(F446)+'Assumptions'!H57-'Assumptions'!H62*(1)-'Assumptions'!H67-(0))+(('Historical Inputs'!$N$9*(1+(D446))^3)*('Assumptions'!G67+(0))))*'DCF'!H12/(1+(G446))^'DCF'!H13,(('Historical Inputs'!$N$9*(1+(D446))^5)*(('Assumptions'!I37+(E446))*(1-'Assumptions'!I42-(0))+'Assumptions'!I47-'Assumptions'!I52*(F446)+'Assumptions'!I57-'Assumptions'!I62*(1)-'Assumptions'!I67-(0))+(('Historical Inputs'!$N$9*(1+(D446))^4)*('Assumptions'!H67+(0))))*'DCF'!I12/(1+(G446))^'DCF'!I13)+('Historical Inputs'!$N$9*(1+(D446))^5)*(1+(H446))*('Terminal Value'!$E$10+(E446))*(1-'Assumptions'!$E$15-(0))*(1-(H446)/('Terminal Value'!$E$12))/((G446)-(H446))/(1+(G446))^'DCF'!$E$19)+'Equity Bridge'!$E$17)/'Equity Bridge'!$E$20</x:f>
        <x:v>300.12337349012466</x:v>
      </x:c>
      <x:c r="X446" s="255" t="n">
        <x:v>0.8659917246339378</x:v>
      </x:c>
      <x:c r="Y446" s="255" t="n">
        <x:v>0.2413881727522038</x:v>
      </x:c>
      <x:c r="Z446" s="255" t="n">
        <x:v>0.8619050623008906</x:v>
      </x:c>
      <x:c r="AA446" s="255" t="n">
        <x:v>0.3376524342253162</x:v>
      </x:c>
      <x:c r="AB446" s="255" t="n">
        <x:v>0.22295596282822716</x:v>
      </x:c>
    </x:row>
    <x:row r="447" ht="24" customHeight="1">
      <x:c r="C447" s="256" t="n">
        <x:f>416</x:f>
        <x:v>416</x:v>
      </x:c>
      <x:c r="D447" s="258" t="n">
        <x:f>IF(X447&lt;($E$12-$D$12)/($F$12-$D$12),$D$12+SQRT(X447*($F$12-$D$12)*($E$12-$D$12)),$F$12-SQRT((1-X447)*($F$12-$D$12)*($F$12-$E$12)))</x:f>
        <x:v>0.16388516325200672</x:v>
      </x:c>
      <x:c r="E447" s="258" t="n">
        <x:f>IF(Y447&lt;($E$13-$D$13)/($F$13-$D$13),$D$13+SQRT(Y447*($F$13-$D$13)*($E$13-$D$13)),$F$13-SQRT((1-Y447)*($F$13-$D$13)*($F$13-$E$13)))</x:f>
        <x:v>-0.009977281363472451</x:v>
      </x:c>
      <x:c r="F447" s="260" t="n">
        <x:f>IF(Z447&lt;($E$14-$D$14)/($F$14-$D$14),$D$14+SQRT(Z447*($F$14-$D$14)*($E$14-$D$14)),$F$14-SQRT((1-Z447)*($F$14-$D$14)*($F$14-$E$14)))</x:f>
        <x:v>0.9444468286281164</x:v>
      </x:c>
      <x:c r="G447" s="258" t="n">
        <x:f>IF(AA447&lt;($E$15-$D$15)/($F$15-$D$15),$D$15+SQRT(AA447*($F$15-$D$15)*($E$15-$D$15)),$F$15-SQRT((1-AA447)*($F$15-$D$15)*($F$15-$E$15)))</x:f>
        <x:v>0.10479999738492637</x:v>
      </x:c>
      <x:c r="H447" s="258" t="n">
        <x:f>IF(AB447&lt;($E$16-$D$16)/($F$16-$D$16),$D$16+SQRT(AB447*($F$16-$D$16)*($E$16-$D$16)),$F$16-SQRT((1-AB447)*($F$16-$D$16)*($F$16-$E$16)))</x:f>
        <x:v>0.03040386252347697</x:v>
      </x:c>
      <x:c r="I447" s="262" t="n">
        <x:f>'Historical Inputs'!$N$9*(1+D447)^5</x:f>
        <x:v>708725.544085949</x:v>
      </x:c>
      <x:c r="J447" s="262" t="n">
        <x:f>I447*(1+H447)*('Terminal Value'!$E$10+E447)*(1-'Assumptions'!$E$15)*(1-H447/'Terminal Value'!$E$12)</x:f>
        <x:v>193219.7062804627</x:v>
      </x:c>
      <x:c r="K447" s="264" t="n">
        <x:f>((SUM((('Historical Inputs'!$N$9*(1+(D447))^1)*(('Assumptions'!E37+(E447))*(1-'Assumptions'!E42-(0))+'Assumptions'!E47-'Assumptions'!E52*(F447)+'Assumptions'!E57-'Assumptions'!E62*(1)-'Assumptions'!E67-(0))+('Working Capital'!$E$6))*'DCF'!E12/(1+(G447))^'DCF'!E13,(('Historical Inputs'!$N$9*(1+(D447))^2)*(('Assumptions'!F37+(E447))*(1-'Assumptions'!F42-(0))+'Assumptions'!F47-'Assumptions'!F52*(F447)+'Assumptions'!F57-'Assumptions'!F62*(1)-'Assumptions'!F67-(0))+(('Historical Inputs'!$N$9*(1+(D447))^1)*('Assumptions'!E67+(0))))*'DCF'!F12/(1+(G447))^'DCF'!F13,(('Historical Inputs'!$N$9*(1+(D447))^3)*(('Assumptions'!G37+(E447))*(1-'Assumptions'!G42-(0))+'Assumptions'!G47-'Assumptions'!G52*(F447)+'Assumptions'!G57-'Assumptions'!G62*(1)-'Assumptions'!G67-(0))+(('Historical Inputs'!$N$9*(1+(D447))^2)*('Assumptions'!F67+(0))))*'DCF'!G12/(1+(G447))^'DCF'!G13,(('Historical Inputs'!$N$9*(1+(D447))^4)*(('Assumptions'!H37+(E447))*(1-'Assumptions'!H42-(0))+'Assumptions'!H47-'Assumptions'!H52*(F447)+'Assumptions'!H57-'Assumptions'!H62*(1)-'Assumptions'!H67-(0))+(('Historical Inputs'!$N$9*(1+(D447))^3)*('Assumptions'!G67+(0))))*'DCF'!H12/(1+(G447))^'DCF'!H13,(('Historical Inputs'!$N$9*(1+(D447))^5)*(('Assumptions'!I37+(E447))*(1-'Assumptions'!I42-(0))+'Assumptions'!I47-'Assumptions'!I52*(F447)+'Assumptions'!I57-'Assumptions'!I62*(1)-'Assumptions'!I67-(0))+(('Historical Inputs'!$N$9*(1+(D447))^4)*('Assumptions'!H67+(0))))*'DCF'!I12/(1+(G447))^'DCF'!I13)+('Historical Inputs'!$N$9*(1+(D447))^5)*(1+(H447))*('Terminal Value'!$E$10+(E447))*(1-'Assumptions'!$E$15-(0))*(1-(H447)/('Terminal Value'!$E$12))/((G447)-(H447))/(1+(G447))^'DCF'!$E$19)+'Equity Bridge'!$E$17)/'Equity Bridge'!$E$20</x:f>
        <x:v>277.6474127937889</x:v>
      </x:c>
      <x:c r="X447" s="255" t="n">
        <x:v>0.8274587847811935</x:v>
      </x:c>
      <x:c r="Y447" s="255" t="n">
        <x:v>0.3203636014117299</x:v>
      </x:c>
      <x:c r="Z447" s="255" t="n">
        <x:v>0.1699086369125481</x:v>
      </x:c>
      <x:c r="AA447" s="255" t="n">
        <x:v>0.8454182143731972</x:v>
      </x:c>
      <x:c r="AB447" s="255" t="n">
        <x:v>0.5395707276583512</x:v>
      </x:c>
    </x:row>
    <x:row r="448" ht="24" customHeight="1">
      <x:c r="C448" s="256" t="n">
        <x:f>417</x:f>
        <x:v>417</x:v>
      </x:c>
      <x:c r="D448" s="258" t="n">
        <x:f>IF(X448&lt;($E$12-$D$12)/($F$12-$D$12),$D$12+SQRT(X448*($F$12-$D$12)*($E$12-$D$12)),$F$12-SQRT((1-X448)*($F$12-$D$12)*($F$12-$E$12)))</x:f>
        <x:v>0.1587514361936585</x:v>
      </x:c>
      <x:c r="E448" s="258" t="n">
        <x:f>IF(Y448&lt;($E$13-$D$13)/($F$13-$D$13),$D$13+SQRT(Y448*($F$13-$D$13)*($E$13-$D$13)),$F$13-SQRT((1-Y448)*($F$13-$D$13)*($F$13-$E$13)))</x:f>
        <x:v>0.0015819705303243906</x:v>
      </x:c>
      <x:c r="F448" s="260" t="n">
        <x:f>IF(Z448&lt;($E$14-$D$14)/($F$14-$D$14),$D$14+SQRT(Z448*($F$14-$D$14)*($E$14-$D$14)),$F$14-SQRT((1-Z448)*($F$14-$D$14)*($F$14-$E$14)))</x:f>
        <x:v>1.108305498673684</x:v>
      </x:c>
      <x:c r="G448" s="258" t="n">
        <x:f>IF(AA448&lt;($E$15-$D$15)/($F$15-$D$15),$D$15+SQRT(AA448*($F$15-$D$15)*($E$15-$D$15)),$F$15-SQRT((1-AA448)*($F$15-$D$15)*($F$15-$E$15)))</x:f>
        <x:v>0.09680450682449163</x:v>
      </x:c>
      <x:c r="H448" s="258" t="n">
        <x:f>IF(AB448&lt;($E$16-$D$16)/($F$16-$D$16),$D$16+SQRT(AB448*($F$16-$D$16)*($E$16-$D$16)),$F$16-SQRT((1-AB448)*($F$16-$D$16)*($F$16-$E$16)))</x:f>
        <x:v>0.030548805966543108</x:v>
      </x:c>
      <x:c r="I448" s="262" t="n">
        <x:f>'Historical Inputs'!$N$9*(1+D448)^5</x:f>
        <x:v>693232.4011667107</x:v>
      </x:c>
      <x:c r="J448" s="262" t="n">
        <x:f>I448*(1+H448)*('Terminal Value'!$E$10+E448)*(1-'Assumptions'!$E$15)*(1-H448/'Terminal Value'!$E$12)</x:f>
        <x:v>194458.19434175338</x:v>
      </x:c>
      <x:c r="K448" s="264" t="n">
        <x:f>((SUM((('Historical Inputs'!$N$9*(1+(D448))^1)*(('Assumptions'!E37+(E448))*(1-'Assumptions'!E42-(0))+'Assumptions'!E47-'Assumptions'!E52*(F448)+'Assumptions'!E57-'Assumptions'!E62*(1)-'Assumptions'!E67-(0))+('Working Capital'!$E$6))*'DCF'!E12/(1+(G448))^'DCF'!E13,(('Historical Inputs'!$N$9*(1+(D448))^2)*(('Assumptions'!F37+(E448))*(1-'Assumptions'!F42-(0))+'Assumptions'!F47-'Assumptions'!F52*(F448)+'Assumptions'!F57-'Assumptions'!F62*(1)-'Assumptions'!F67-(0))+(('Historical Inputs'!$N$9*(1+(D448))^1)*('Assumptions'!E67+(0))))*'DCF'!F12/(1+(G448))^'DCF'!F13,(('Historical Inputs'!$N$9*(1+(D448))^3)*(('Assumptions'!G37+(E448))*(1-'Assumptions'!G42-(0))+'Assumptions'!G47-'Assumptions'!G52*(F448)+'Assumptions'!G57-'Assumptions'!G62*(1)-'Assumptions'!G67-(0))+(('Historical Inputs'!$N$9*(1+(D448))^2)*('Assumptions'!F67+(0))))*'DCF'!G12/(1+(G448))^'DCF'!G13,(('Historical Inputs'!$N$9*(1+(D448))^4)*(('Assumptions'!H37+(E448))*(1-'Assumptions'!H42-(0))+'Assumptions'!H47-'Assumptions'!H52*(F448)+'Assumptions'!H57-'Assumptions'!H62*(1)-'Assumptions'!H67-(0))+(('Historical Inputs'!$N$9*(1+(D448))^3)*('Assumptions'!G67+(0))))*'DCF'!H12/(1+(G448))^'DCF'!H13,(('Historical Inputs'!$N$9*(1+(D448))^5)*(('Assumptions'!I37+(E448))*(1-'Assumptions'!I42-(0))+'Assumptions'!I47-'Assumptions'!I52*(F448)+'Assumptions'!I57-'Assumptions'!I62*(1)-'Assumptions'!I67-(0))+(('Historical Inputs'!$N$9*(1+(D448))^4)*('Assumptions'!H67+(0))))*'DCF'!I12/(1+(G448))^'DCF'!I13)+('Historical Inputs'!$N$9*(1+(D448))^5)*(1+(H448))*('Terminal Value'!$E$10+(E448))*(1-'Assumptions'!$E$15-(0))*(1-(H448)/('Terminal Value'!$E$12))/((G448)-(H448))/(1+(G448))^'DCF'!$E$19)+'Equity Bridge'!$E$17)/'Equity Bridge'!$E$20</x:f>
        <x:v>306.4469544495158</x:v>
      </x:c>
      <x:c r="X448" s="255" t="n">
        <x:v>0.7618729120330378</x:v>
      </x:c>
      <x:c r="Y448" s="255" t="n">
        <x:v>0.5311388844547249</x:v>
      </x:c>
      <x:c r="Z448" s="255" t="n">
        <x:v>0.8798874060931177</x:v>
      </x:c>
      <x:c r="AA448" s="255" t="n">
        <x:v>0.41490812118545595</x:v>
      </x:c>
      <x:c r="AB448" s="255" t="n">
        <x:v>0.5533746567097445</x:v>
      </x:c>
    </x:row>
    <x:row r="449" ht="24" customHeight="1">
      <x:c r="C449" s="256" t="n">
        <x:f>418</x:f>
        <x:v>418</x:v>
      </x:c>
      <x:c r="D449" s="258" t="n">
        <x:f>IF(X449&lt;($E$12-$D$12)/($F$12-$D$12),$D$12+SQRT(X449*($F$12-$D$12)*($E$12-$D$12)),$F$12-SQRT((1-X449)*($F$12-$D$12)*($F$12-$E$12)))</x:f>
        <x:v>0.13856333030337845</x:v>
      </x:c>
      <x:c r="E449" s="258" t="n">
        <x:f>IF(Y449&lt;($E$13-$D$13)/($F$13-$D$13),$D$13+SQRT(Y449*($F$13-$D$13)*($E$13-$D$13)),$F$13-SQRT((1-Y449)*($F$13-$D$13)*($F$13-$E$13)))</x:f>
        <x:v>0.004733150543671669</x:v>
      </x:c>
      <x:c r="F449" s="260" t="n">
        <x:f>IF(Z449&lt;($E$14-$D$14)/($F$14-$D$14),$D$14+SQRT(Z449*($F$14-$D$14)*($E$14-$D$14)),$F$14-SQRT((1-Z449)*($F$14-$D$14)*($F$14-$E$14)))</x:f>
        <x:v>1.0973157238556508</x:v>
      </x:c>
      <x:c r="G449" s="258" t="n">
        <x:f>IF(AA449&lt;($E$15-$D$15)/($F$15-$D$15),$D$15+SQRT(AA449*($F$15-$D$15)*($E$15-$D$15)),$F$15-SQRT((1-AA449)*($F$15-$D$15)*($F$15-$E$15)))</x:f>
        <x:v>0.09203028797532695</x:v>
      </x:c>
      <x:c r="H449" s="258" t="n">
        <x:f>IF(AB449&lt;($E$16-$D$16)/($F$16-$D$16),$D$16+SQRT(AB449*($F$16-$D$16)*($E$16-$D$16)),$F$16-SQRT((1-AB449)*($F$16-$D$16)*($F$16-$E$16)))</x:f>
        <x:v>0.030546793429621154</x:v>
      </x:c>
      <x:c r="I449" s="262" t="n">
        <x:f>'Historical Inputs'!$N$9*(1+D449)^5</x:f>
        <x:v>634911.7842865374</x:v>
      </x:c>
      <x:c r="J449" s="262" t="n">
        <x:f>I449*(1+H449)*('Terminal Value'!$E$10+E449)*(1-'Assumptions'!$E$15)*(1-H449/'Terminal Value'!$E$12)</x:f>
        <x:v>179498.02094234613</x:v>
      </x:c>
      <x:c r="K449" s="264" t="n">
        <x:f>((SUM((('Historical Inputs'!$N$9*(1+(D449))^1)*(('Assumptions'!E37+(E449))*(1-'Assumptions'!E42-(0))+'Assumptions'!E47-'Assumptions'!E52*(F449)+'Assumptions'!E57-'Assumptions'!E62*(1)-'Assumptions'!E67-(0))+('Working Capital'!$E$6))*'DCF'!E12/(1+(G449))^'DCF'!E13,(('Historical Inputs'!$N$9*(1+(D449))^2)*(('Assumptions'!F37+(E449))*(1-'Assumptions'!F42-(0))+'Assumptions'!F47-'Assumptions'!F52*(F449)+'Assumptions'!F57-'Assumptions'!F62*(1)-'Assumptions'!F67-(0))+(('Historical Inputs'!$N$9*(1+(D449))^1)*('Assumptions'!E67+(0))))*'DCF'!F12/(1+(G449))^'DCF'!F13,(('Historical Inputs'!$N$9*(1+(D449))^3)*(('Assumptions'!G37+(E449))*(1-'Assumptions'!G42-(0))+'Assumptions'!G47-'Assumptions'!G52*(F449)+'Assumptions'!G57-'Assumptions'!G62*(1)-'Assumptions'!G67-(0))+(('Historical Inputs'!$N$9*(1+(D449))^2)*('Assumptions'!F67+(0))))*'DCF'!G12/(1+(G449))^'DCF'!G13,(('Historical Inputs'!$N$9*(1+(D449))^4)*(('Assumptions'!H37+(E449))*(1-'Assumptions'!H42-(0))+'Assumptions'!H47-'Assumptions'!H52*(F449)+'Assumptions'!H57-'Assumptions'!H62*(1)-'Assumptions'!H67-(0))+(('Historical Inputs'!$N$9*(1+(D449))^3)*('Assumptions'!G67+(0))))*'DCF'!H12/(1+(G449))^'DCF'!H13,(('Historical Inputs'!$N$9*(1+(D449))^5)*(('Assumptions'!I37+(E449))*(1-'Assumptions'!I42-(0))+'Assumptions'!I47-'Assumptions'!I52*(F449)+'Assumptions'!I57-'Assumptions'!I62*(1)-'Assumptions'!I67-(0))+(('Historical Inputs'!$N$9*(1+(D449))^4)*('Assumptions'!H67+(0))))*'DCF'!I12/(1+(G449))^'DCF'!I13)+('Historical Inputs'!$N$9*(1+(D449))^5)*(1+(H449))*('Terminal Value'!$E$10+(E449))*(1-'Assumptions'!$E$15-(0))*(1-(H449)/('Terminal Value'!$E$12))/((G449)-(H449))/(1+(G449))^'DCF'!$E$19)+'Equity Bridge'!$E$17)/'Equity Bridge'!$E$20</x:f>
        <x:v>309.0461889789161</x:v>
      </x:c>
      <x:c r="X449" s="255" t="n">
        <x:v>0.410532317568435</x:v>
      </x:c>
      <x:c r="Y449" s="255" t="n">
        <x:v>0.5901824680596215</x:v>
      </x:c>
      <x:c r="Z449" s="255" t="n">
        <x:v>0.8493705633244433</x:v>
      </x:c>
      <x:c r="AA449" s="255" t="n">
        <x:v>0.17562367602994955</x:v>
      </x:c>
      <x:c r="AB449" s="255" t="n">
        <x:v>0.5531844276887313</x:v>
      </x:c>
    </x:row>
    <x:row r="450" ht="24" customHeight="1">
      <x:c r="C450" s="256" t="n">
        <x:f>419</x:f>
        <x:v>419</x:v>
      </x:c>
      <x:c r="D450" s="258" t="n">
        <x:f>IF(X450&lt;($E$12-$D$12)/($F$12-$D$12),$D$12+SQRT(X450*($F$12-$D$12)*($E$12-$D$12)),$F$12-SQRT((1-X450)*($F$12-$D$12)*($F$12-$E$12)))</x:f>
        <x:v>0.13359792689770206</x:v>
      </x:c>
      <x:c r="E450" s="258" t="n">
        <x:f>IF(Y450&lt;($E$13-$D$13)/($F$13-$D$13),$D$13+SQRT(Y450*($F$13-$D$13)*($E$13-$D$13)),$F$13-SQRT((1-Y450)*($F$13-$D$13)*($F$13-$E$13)))</x:f>
        <x:v>0.005829220245073249</x:v>
      </x:c>
      <x:c r="F450" s="260" t="n">
        <x:f>IF(Z450&lt;($E$14-$D$14)/($F$14-$D$14),$D$14+SQRT(Z450*($F$14-$D$14)*($E$14-$D$14)),$F$14-SQRT((1-Z450)*($F$14-$D$14)*($F$14-$E$14)))</x:f>
        <x:v>0.8710584588294421</x:v>
      </x:c>
      <x:c r="G450" s="258" t="n">
        <x:f>IF(AA450&lt;($E$15-$D$15)/($F$15-$D$15),$D$15+SQRT(AA450*($F$15-$D$15)*($E$15-$D$15)),$F$15-SQRT((1-AA450)*($F$15-$D$15)*($F$15-$E$15)))</x:f>
        <x:v>0.0958487155060111</x:v>
      </x:c>
      <x:c r="H450" s="258" t="n">
        <x:f>IF(AB450&lt;($E$16-$D$16)/($F$16-$D$16),$D$16+SQRT(AB450*($F$16-$D$16)*($E$16-$D$16)),$F$16-SQRT((1-AB450)*($F$16-$D$16)*($F$16-$E$16)))</x:f>
        <x:v>0.0329154691147834</x:v>
      </x:c>
      <x:c r="I450" s="262" t="n">
        <x:f>'Historical Inputs'!$N$9*(1+D450)^5</x:f>
        <x:v>621187.4042645628</x:v>
      </x:c>
      <x:c r="J450" s="262" t="n">
        <x:f>I450*(1+H450)*('Terminal Value'!$E$10+E450)*(1-'Assumptions'!$E$15)*(1-H450/'Terminal Value'!$E$12)</x:f>
        <x:v>174031.14243553331</x:v>
      </x:c>
      <x:c r="K450" s="264" t="n">
        <x:f>((SUM((('Historical Inputs'!$N$9*(1+(D450))^1)*(('Assumptions'!E37+(E450))*(1-'Assumptions'!E42-(0))+'Assumptions'!E47-'Assumptions'!E52*(F450)+'Assumptions'!E57-'Assumptions'!E62*(1)-'Assumptions'!E67-(0))+('Working Capital'!$E$6))*'DCF'!E12/(1+(G450))^'DCF'!E13,(('Historical Inputs'!$N$9*(1+(D450))^2)*(('Assumptions'!F37+(E450))*(1-'Assumptions'!F42-(0))+'Assumptions'!F47-'Assumptions'!F52*(F450)+'Assumptions'!F57-'Assumptions'!F62*(1)-'Assumptions'!F67-(0))+(('Historical Inputs'!$N$9*(1+(D450))^1)*('Assumptions'!E67+(0))))*'DCF'!F12/(1+(G450))^'DCF'!F13,(('Historical Inputs'!$N$9*(1+(D450))^3)*(('Assumptions'!G37+(E450))*(1-'Assumptions'!G42-(0))+'Assumptions'!G47-'Assumptions'!G52*(F450)+'Assumptions'!G57-'Assumptions'!G62*(1)-'Assumptions'!G67-(0))+(('Historical Inputs'!$N$9*(1+(D450))^2)*('Assumptions'!F67+(0))))*'DCF'!G12/(1+(G450))^'DCF'!G13,(('Historical Inputs'!$N$9*(1+(D450))^4)*(('Assumptions'!H37+(E450))*(1-'Assumptions'!H42-(0))+'Assumptions'!H47-'Assumptions'!H52*(F450)+'Assumptions'!H57-'Assumptions'!H62*(1)-'Assumptions'!H67-(0))+(('Historical Inputs'!$N$9*(1+(D450))^3)*('Assumptions'!G67+(0))))*'DCF'!H12/(1+(G450))^'DCF'!H13,(('Historical Inputs'!$N$9*(1+(D450))^5)*(('Assumptions'!I37+(E450))*(1-'Assumptions'!I42-(0))+'Assumptions'!I47-'Assumptions'!I52*(F450)+'Assumptions'!I57-'Assumptions'!I62*(1)-'Assumptions'!I67-(0))+(('Historical Inputs'!$N$9*(1+(D450))^4)*('Assumptions'!H67+(0))))*'DCF'!I12/(1+(G450))^'DCF'!I13)+('Historical Inputs'!$N$9*(1+(D450))^5)*(1+(H450))*('Terminal Value'!$E$10+(E450))*(1-'Assumptions'!$E$15-(0))*(1-(H450)/('Terminal Value'!$E$12))/((G450)-(H450))/(1+(G450))^'DCF'!$E$19)+'Equity Bridge'!$E$17)/'Equity Bridge'!$E$20</x:f>
        <x:v>304.37890599437475</x:v>
      </x:c>
      <x:c r="X450" s="255" t="n">
        <x:v>0.32547772439988965</x:v>
      </x:c>
      <x:c r="Y450" s="255" t="n">
        <x:v>0.6097884431683506</x:v>
      </x:c>
      <x:c r="Z450" s="255" t="n">
        <x:v>0.008446832157548712</x:v>
      </x:c>
      <x:c r="AA450" s="255" t="n">
        <x:v>0.3588934744887067</x:v>
      </x:c>
      <x:c r="AB450" s="255" t="n">
        <x:v>0.7490471106820605</x:v>
      </x:c>
    </x:row>
    <x:row r="451" ht="24" customHeight="1">
      <x:c r="C451" s="256" t="n">
        <x:f>420</x:f>
        <x:v>420</x:v>
      </x:c>
      <x:c r="D451" s="258" t="n">
        <x:f>IF(X451&lt;($E$12-$D$12)/($F$12-$D$12),$D$12+SQRT(X451*($F$12-$D$12)*($E$12-$D$12)),$F$12-SQRT((1-X451)*($F$12-$D$12)*($F$12-$E$12)))</x:f>
        <x:v>0.15439109710894183</x:v>
      </x:c>
      <x:c r="E451" s="258" t="n">
        <x:f>IF(Y451&lt;($E$13-$D$13)/($F$13-$D$13),$D$13+SQRT(Y451*($F$13-$D$13)*($E$13-$D$13)),$F$13-SQRT((1-Y451)*($F$13-$D$13)*($F$13-$E$13)))</x:f>
        <x:v>-0.00222098865420909</x:v>
      </x:c>
      <x:c r="F451" s="260" t="n">
        <x:f>IF(Z451&lt;($E$14-$D$14)/($F$14-$D$14),$D$14+SQRT(Z451*($F$14-$D$14)*($E$14-$D$14)),$F$14-SQRT((1-Z451)*($F$14-$D$14)*($F$14-$E$14)))</x:f>
        <x:v>0.937148542522665</x:v>
      </x:c>
      <x:c r="G451" s="258" t="n">
        <x:f>IF(AA451&lt;($E$15-$D$15)/($F$15-$D$15),$D$15+SQRT(AA451*($F$15-$D$15)*($E$15-$D$15)),$F$15-SQRT((1-AA451)*($F$15-$D$15)*($F$15-$E$15)))</x:f>
        <x:v>0.09093167841563428</x:v>
      </x:c>
      <x:c r="H451" s="258" t="n">
        <x:f>IF(AB451&lt;($E$16-$D$16)/($F$16-$D$16),$D$16+SQRT(AB451*($F$16-$D$16)*($E$16-$D$16)),$F$16-SQRT((1-AB451)*($F$16-$D$16)*($F$16-$E$16)))</x:f>
        <x:v>0.037180595310582654</x:v>
      </x:c>
      <x:c r="I451" s="262" t="n">
        <x:f>'Historical Inputs'!$N$9*(1+D451)^5</x:f>
        <x:v>680287.1531582678</x:v>
      </x:c>
      <x:c r="J451" s="262" t="n">
        <x:f>I451*(1+H451)*('Terminal Value'!$E$10+E451)*(1-'Assumptions'!$E$15)*(1-H451/'Terminal Value'!$E$12)</x:f>
        <x:v>182790.9417714162</x:v>
      </x:c>
      <x:c r="K451" s="264" t="n">
        <x:f>((SUM((('Historical Inputs'!$N$9*(1+(D451))^1)*(('Assumptions'!E37+(E451))*(1-'Assumptions'!E42-(0))+'Assumptions'!E47-'Assumptions'!E52*(F451)+'Assumptions'!E57-'Assumptions'!E62*(1)-'Assumptions'!E67-(0))+('Working Capital'!$E$6))*'DCF'!E12/(1+(G451))^'DCF'!E13,(('Historical Inputs'!$N$9*(1+(D451))^2)*(('Assumptions'!F37+(E451))*(1-'Assumptions'!F42-(0))+'Assumptions'!F47-'Assumptions'!F52*(F451)+'Assumptions'!F57-'Assumptions'!F62*(1)-'Assumptions'!F67-(0))+(('Historical Inputs'!$N$9*(1+(D451))^1)*('Assumptions'!E67+(0))))*'DCF'!F12/(1+(G451))^'DCF'!F13,(('Historical Inputs'!$N$9*(1+(D451))^3)*(('Assumptions'!G37+(E451))*(1-'Assumptions'!G42-(0))+'Assumptions'!G47-'Assumptions'!G52*(F451)+'Assumptions'!G57-'Assumptions'!G62*(1)-'Assumptions'!G67-(0))+(('Historical Inputs'!$N$9*(1+(D451))^2)*('Assumptions'!F67+(0))))*'DCF'!G12/(1+(G451))^'DCF'!G13,(('Historical Inputs'!$N$9*(1+(D451))^4)*(('Assumptions'!H37+(E451))*(1-'Assumptions'!H42-(0))+'Assumptions'!H47-'Assumptions'!H52*(F451)+'Assumptions'!H57-'Assumptions'!H62*(1)-'Assumptions'!H67-(0))+(('Historical Inputs'!$N$9*(1+(D451))^3)*('Assumptions'!G67+(0))))*'DCF'!H12/(1+(G451))^'DCF'!H13,(('Historical Inputs'!$N$9*(1+(D451))^5)*(('Assumptions'!I37+(E451))*(1-'Assumptions'!I42-(0))+'Assumptions'!I47-'Assumptions'!I52*(F451)+'Assumptions'!I57-'Assumptions'!I62*(1)-'Assumptions'!I67-(0))+(('Historical Inputs'!$N$9*(1+(D451))^4)*('Assumptions'!H67+(0))))*'DCF'!I12/(1+(G451))^'DCF'!I13)+('Historical Inputs'!$N$9*(1+(D451))^5)*(1+(H451))*('Terminal Value'!$E$10+(E451))*(1-'Assumptions'!$E$15-(0))*(1-(H451)/('Terminal Value'!$E$12))/((G451)-(H451))/(1+(G451))^'DCF'!$E$19)+'Equity Bridge'!$E$17)/'Equity Bridge'!$E$20</x:f>
        <x:v>365.07093307009757</x:v>
      </x:c>
      <x:c r="X451" s="255" t="n">
        <x:v>0.6978879791767016</x:v>
      </x:c>
      <x:c r="Y451" s="255" t="n">
        <x:v>0.45656678503624326</x:v>
      </x:c>
      <x:c r="Z451" s="255" t="n">
        <x:v>0.14466416121570946</x:v>
      </x:c>
      <x:c r="AA451" s="255" t="n">
        <x:v>0.13489888416710927</x:v>
      </x:c>
      <x:c r="AB451" s="255" t="n">
        <x:v>0.9602547859864573</x:v>
      </x:c>
    </x:row>
    <x:row r="452" ht="24" customHeight="1">
      <x:c r="C452" s="256" t="n">
        <x:f>421</x:f>
        <x:v>421</x:v>
      </x:c>
      <x:c r="D452" s="258" t="n">
        <x:f>IF(X452&lt;($E$12-$D$12)/($F$12-$D$12),$D$12+SQRT(X452*($F$12-$D$12)*($E$12-$D$12)),$F$12-SQRT((1-X452)*($F$12-$D$12)*($F$12-$E$12)))</x:f>
        <x:v>0.12322935386701597</x:v>
      </x:c>
      <x:c r="E452" s="258" t="n">
        <x:f>IF(Y452&lt;($E$13-$D$13)/($F$13-$D$13),$D$13+SQRT(Y452*($F$13-$D$13)*($E$13-$D$13)),$F$13-SQRT((1-Y452)*($F$13-$D$13)*($F$13-$E$13)))</x:f>
        <x:v>-0.012080084774806335</x:v>
      </x:c>
      <x:c r="F452" s="260" t="n">
        <x:f>IF(Z452&lt;($E$14-$D$14)/($F$14-$D$14),$D$14+SQRT(Z452*($F$14-$D$14)*($E$14-$D$14)),$F$14-SQRT((1-Z452)*($F$14-$D$14)*($F$14-$E$14)))</x:f>
        <x:v>0.9568691701829877</x:v>
      </x:c>
      <x:c r="G452" s="258" t="n">
        <x:f>IF(AA452&lt;($E$15-$D$15)/($F$15-$D$15),$D$15+SQRT(AA452*($F$15-$D$15)*($E$15-$D$15)),$F$15-SQRT((1-AA452)*($F$15-$D$15)*($F$15-$E$15)))</x:f>
        <x:v>0.09122296821557771</x:v>
      </x:c>
      <x:c r="H452" s="258" t="n">
        <x:f>IF(AB452&lt;($E$16-$D$16)/($F$16-$D$16),$D$16+SQRT(AB452*($F$16-$D$16)*($E$16-$D$16)),$F$16-SQRT((1-AB452)*($F$16-$D$16)*($F$16-$E$16)))</x:f>
        <x:v>0.028728092491281953</x:v>
      </x:c>
      <x:c r="I452" s="262" t="n">
        <x:f>'Historical Inputs'!$N$9*(1+D452)^5</x:f>
        <x:v>593293.5797666116</x:v>
      </x:c>
      <x:c r="J452" s="262" t="n">
        <x:f>I452*(1+H452)*('Terminal Value'!$E$10+E452)*(1-'Assumptions'!$E$15)*(1-H452/'Terminal Value'!$E$12)</x:f>
        <x:v>162202.83872691702</x:v>
      </x:c>
      <x:c r="K452" s="264" t="n">
        <x:f>((SUM((('Historical Inputs'!$N$9*(1+(D452))^1)*(('Assumptions'!E37+(E452))*(1-'Assumptions'!E42-(0))+'Assumptions'!E47-'Assumptions'!E52*(F452)+'Assumptions'!E57-'Assumptions'!E62*(1)-'Assumptions'!E67-(0))+('Working Capital'!$E$6))*'DCF'!E12/(1+(G452))^'DCF'!E13,(('Historical Inputs'!$N$9*(1+(D452))^2)*(('Assumptions'!F37+(E452))*(1-'Assumptions'!F42-(0))+'Assumptions'!F47-'Assumptions'!F52*(F452)+'Assumptions'!F57-'Assumptions'!F62*(1)-'Assumptions'!F67-(0))+(('Historical Inputs'!$N$9*(1+(D452))^1)*('Assumptions'!E67+(0))))*'DCF'!F12/(1+(G452))^'DCF'!F13,(('Historical Inputs'!$N$9*(1+(D452))^3)*(('Assumptions'!G37+(E452))*(1-'Assumptions'!G42-(0))+'Assumptions'!G47-'Assumptions'!G52*(F452)+'Assumptions'!G57-'Assumptions'!G62*(1)-'Assumptions'!G67-(0))+(('Historical Inputs'!$N$9*(1+(D452))^2)*('Assumptions'!F67+(0))))*'DCF'!G12/(1+(G452))^'DCF'!G13,(('Historical Inputs'!$N$9*(1+(D452))^4)*(('Assumptions'!H37+(E452))*(1-'Assumptions'!H42-(0))+'Assumptions'!H47-'Assumptions'!H52*(F452)+'Assumptions'!H57-'Assumptions'!H62*(1)-'Assumptions'!H67-(0))+(('Historical Inputs'!$N$9*(1+(D452))^3)*('Assumptions'!G67+(0))))*'DCF'!H12/(1+(G452))^'DCF'!H13,(('Historical Inputs'!$N$9*(1+(D452))^5)*(('Assumptions'!I37+(E452))*(1-'Assumptions'!I42-(0))+'Assumptions'!I47-'Assumptions'!I52*(F452)+'Assumptions'!I57-'Assumptions'!I62*(1)-'Assumptions'!I67-(0))+(('Historical Inputs'!$N$9*(1+(D452))^4)*('Assumptions'!H67+(0))))*'DCF'!I12/(1+(G452))^'DCF'!I13)+('Historical Inputs'!$N$9*(1+(D452))^5)*(1+(H452))*('Terminal Value'!$E$10+(E452))*(1-'Assumptions'!$E$15-(0))*(1-(H452)/('Terminal Value'!$E$12))/((G452)-(H452))/(1+(G452))^'DCF'!$E$19)+'Equity Bridge'!$E$17)/'Equity Bridge'!$E$20</x:f>
        <x:v>284.06207680189596</x:v>
      </x:c>
      <x:c r="X452" s="255" t="n">
        <x:v>0.1796681375946947</x:v>
      </x:c>
      <x:c r="Y452" s="255" t="n">
        <x:v>0.28758399413717495</x:v>
      </x:c>
      <x:c r="Z452" s="255" t="n">
        <x:v>0.21754322924953107</x:v>
      </x:c>
      <x:c r="AA452" s="255" t="n">
        <x:v>0.14517423416702047</x:v>
      </x:c>
      <x:c r="AB452" s="255" t="n">
        <x:v>0.3808979926818622</x:v>
      </x:c>
    </x:row>
    <x:row r="453" ht="24" customHeight="1">
      <x:c r="C453" s="256" t="n">
        <x:f>422</x:f>
        <x:v>422</x:v>
      </x:c>
      <x:c r="D453" s="258" t="n">
        <x:f>IF(X453&lt;($E$12-$D$12)/($F$12-$D$12),$D$12+SQRT(X453*($F$12-$D$12)*($E$12-$D$12)),$F$12-SQRT((1-X453)*($F$12-$D$12)*($F$12-$E$12)))</x:f>
        <x:v>0.1445518345373452</x:v>
      </x:c>
      <x:c r="E453" s="258" t="n">
        <x:f>IF(Y453&lt;($E$13-$D$13)/($F$13-$D$13),$D$13+SQRT(Y453*($F$13-$D$13)*($E$13-$D$13)),$F$13-SQRT((1-Y453)*($F$13-$D$13)*($F$13-$E$13)))</x:f>
        <x:v>0.0025469665365033464</x:v>
      </x:c>
      <x:c r="F453" s="260" t="n">
        <x:f>IF(Z453&lt;($E$14-$D$14)/($F$14-$D$14),$D$14+SQRT(Z453*($F$14-$D$14)*($E$14-$D$14)),$F$14-SQRT((1-Z453)*($F$14-$D$14)*($F$14-$E$14)))</x:f>
        <x:v>0.9980243110919302</x:v>
      </x:c>
      <x:c r="G453" s="258" t="n">
        <x:f>IF(AA453&lt;($E$15-$D$15)/($F$15-$D$15),$D$15+SQRT(AA453*($F$15-$D$15)*($E$15-$D$15)),$F$15-SQRT((1-AA453)*($F$15-$D$15)*($F$15-$E$15)))</x:f>
        <x:v>0.09971939409317836</x:v>
      </x:c>
      <x:c r="H453" s="258" t="n">
        <x:f>IF(AB453&lt;($E$16-$D$16)/($F$16-$D$16),$D$16+SQRT(AB453*($F$16-$D$16)*($E$16-$D$16)),$F$16-SQRT((1-AB453)*($F$16-$D$16)*($F$16-$E$16)))</x:f>
        <x:v>0.026624767529785424</x:v>
      </x:c>
      <x:c r="I453" s="262" t="n">
        <x:f>'Historical Inputs'!$N$9*(1+D453)^5</x:f>
        <x:v>651785.5905790624</x:v>
      </x:c>
      <x:c r="J453" s="262" t="n">
        <x:f>I453*(1+H453)*('Terminal Value'!$E$10+E453)*(1-'Assumptions'!$E$15)*(1-H453/'Terminal Value'!$E$12)</x:f>
        <x:v>186801.3878584104</x:v>
      </x:c>
      <x:c r="K453" s="264" t="n">
        <x:f>((SUM((('Historical Inputs'!$N$9*(1+(D453))^1)*(('Assumptions'!E37+(E453))*(1-'Assumptions'!E42-(0))+'Assumptions'!E47-'Assumptions'!E52*(F453)+'Assumptions'!E57-'Assumptions'!E62*(1)-'Assumptions'!E67-(0))+('Working Capital'!$E$6))*'DCF'!E12/(1+(G453))^'DCF'!E13,(('Historical Inputs'!$N$9*(1+(D453))^2)*(('Assumptions'!F37+(E453))*(1-'Assumptions'!F42-(0))+'Assumptions'!F47-'Assumptions'!F52*(F453)+'Assumptions'!F57-'Assumptions'!F62*(1)-'Assumptions'!F67-(0))+(('Historical Inputs'!$N$9*(1+(D453))^1)*('Assumptions'!E67+(0))))*'DCF'!F12/(1+(G453))^'DCF'!F13,(('Historical Inputs'!$N$9*(1+(D453))^3)*(('Assumptions'!G37+(E453))*(1-'Assumptions'!G42-(0))+'Assumptions'!G47-'Assumptions'!G52*(F453)+'Assumptions'!G57-'Assumptions'!G62*(1)-'Assumptions'!G67-(0))+(('Historical Inputs'!$N$9*(1+(D453))^2)*('Assumptions'!F67+(0))))*'DCF'!G12/(1+(G453))^'DCF'!G13,(('Historical Inputs'!$N$9*(1+(D453))^4)*(('Assumptions'!H37+(E453))*(1-'Assumptions'!H42-(0))+'Assumptions'!H47-'Assumptions'!H52*(F453)+'Assumptions'!H57-'Assumptions'!H62*(1)-'Assumptions'!H67-(0))+(('Historical Inputs'!$N$9*(1+(D453))^3)*('Assumptions'!G67+(0))))*'DCF'!H12/(1+(G453))^'DCF'!H13,(('Historical Inputs'!$N$9*(1+(D453))^5)*(('Assumptions'!I37+(E453))*(1-'Assumptions'!I42-(0))+'Assumptions'!I47-'Assumptions'!I52*(F453)+'Assumptions'!I57-'Assumptions'!I62*(1)-'Assumptions'!I67-(0))+(('Historical Inputs'!$N$9*(1+(D453))^4)*('Assumptions'!H67+(0))))*'DCF'!I12/(1+(G453))^'DCF'!I13)+('Historical Inputs'!$N$9*(1+(D453))^5)*(1+(H453))*('Terminal Value'!$E$10+(E453))*(1-'Assumptions'!$E$15-(0))*(1-(H453)/('Terminal Value'!$E$12))/((G453)-(H453))/(1+(G453))^'DCF'!$E$19)+'Equity Bridge'!$E$17)/'Equity Bridge'!$E$20</x:f>
        <x:v>275.2529714371403</x:v>
      </x:c>
      <x:c r="X453" s="255" t="n">
        <x:v>0.525560946234294</x:v>
      </x:c>
      <x:c r="Y453" s="255" t="n">
        <x:v>0.5496419230224533</x:v>
      </x:c>
      <x:c r="Z453" s="255" t="n">
        <x:v>0.41735612712839143</x:v>
      </x:c>
      <x:c r="AA453" s="255" t="n">
        <x:v>0.5997276105305549</x:v>
      </x:c>
      <x:c r="AB453" s="255" t="n">
        <x:v>0.21943772411849638</x:v>
      </x:c>
    </x:row>
    <x:row r="454" ht="24" customHeight="1">
      <x:c r="C454" s="256" t="n">
        <x:f>423</x:f>
        <x:v>423</x:v>
      </x:c>
      <x:c r="D454" s="258" t="n">
        <x:f>IF(X454&lt;($E$12-$D$12)/($F$12-$D$12),$D$12+SQRT(X454*($F$12-$D$12)*($E$12-$D$12)),$F$12-SQRT((1-X454)*($F$12-$D$12)*($F$12-$E$12)))</x:f>
        <x:v>0.18612422973526185</x:v>
      </x:c>
      <x:c r="E454" s="258" t="n">
        <x:f>IF(Y454&lt;($E$13-$D$13)/($F$13-$D$13),$D$13+SQRT(Y454*($F$13-$D$13)*($E$13-$D$13)),$F$13-SQRT((1-Y454)*($F$13-$D$13)*($F$13-$E$13)))</x:f>
        <x:v>-0.02774922058118422</x:v>
      </x:c>
      <x:c r="F454" s="260" t="n">
        <x:f>IF(Z454&lt;($E$14-$D$14)/($F$14-$D$14),$D$14+SQRT(Z454*($F$14-$D$14)*($E$14-$D$14)),$F$14-SQRT((1-Z454)*($F$14-$D$14)*($F$14-$E$14)))</x:f>
        <x:v>1.0292669463939883</x:v>
      </x:c>
      <x:c r="G454" s="258" t="n">
        <x:f>IF(AA454&lt;($E$15-$D$15)/($F$15-$D$15),$D$15+SQRT(AA454*($F$15-$D$15)*($E$15-$D$15)),$F$15-SQRT((1-AA454)*($F$15-$D$15)*($F$15-$E$15)))</x:f>
        <x:v>0.1038613464993713</x:v>
      </x:c>
      <x:c r="H454" s="258" t="n">
        <x:f>IF(AB454&lt;($E$16-$D$16)/($F$16-$D$16),$D$16+SQRT(AB454*($F$16-$D$16)*($E$16-$D$16)),$F$16-SQRT((1-AB454)*($F$16-$D$16)*($F$16-$E$16)))</x:f>
        <x:v>0.034879710096778135</x:v>
      </x:c>
      <x:c r="I454" s="262" t="n">
        <x:f>'Historical Inputs'!$N$9*(1+D454)^5</x:f>
        <x:v>779073.2880620488</x:v>
      </x:c>
      <x:c r="J454" s="262" t="n">
        <x:f>I454*(1+H454)*('Terminal Value'!$E$10+E454)*(1-'Assumptions'!$E$15)*(1-H454/'Terminal Value'!$E$12)</x:f>
        <x:v>198227.65153807716</x:v>
      </x:c>
      <x:c r="K454" s="264" t="n">
        <x:f>((SUM((('Historical Inputs'!$N$9*(1+(D454))^1)*(('Assumptions'!E37+(E454))*(1-'Assumptions'!E42-(0))+'Assumptions'!E47-'Assumptions'!E52*(F454)+'Assumptions'!E57-'Assumptions'!E62*(1)-'Assumptions'!E67-(0))+('Working Capital'!$E$6))*'DCF'!E12/(1+(G454))^'DCF'!E13,(('Historical Inputs'!$N$9*(1+(D454))^2)*(('Assumptions'!F37+(E454))*(1-'Assumptions'!F42-(0))+'Assumptions'!F47-'Assumptions'!F52*(F454)+'Assumptions'!F57-'Assumptions'!F62*(1)-'Assumptions'!F67-(0))+(('Historical Inputs'!$N$9*(1+(D454))^1)*('Assumptions'!E67+(0))))*'DCF'!F12/(1+(G454))^'DCF'!F13,(('Historical Inputs'!$N$9*(1+(D454))^3)*(('Assumptions'!G37+(E454))*(1-'Assumptions'!G42-(0))+'Assumptions'!G47-'Assumptions'!G52*(F454)+'Assumptions'!G57-'Assumptions'!G62*(1)-'Assumptions'!G67-(0))+(('Historical Inputs'!$N$9*(1+(D454))^2)*('Assumptions'!F67+(0))))*'DCF'!G12/(1+(G454))^'DCF'!G13,(('Historical Inputs'!$N$9*(1+(D454))^4)*(('Assumptions'!H37+(E454))*(1-'Assumptions'!H42-(0))+'Assumptions'!H47-'Assumptions'!H52*(F454)+'Assumptions'!H57-'Assumptions'!H62*(1)-'Assumptions'!H67-(0))+(('Historical Inputs'!$N$9*(1+(D454))^3)*('Assumptions'!G67+(0))))*'DCF'!H12/(1+(G454))^'DCF'!H13,(('Historical Inputs'!$N$9*(1+(D454))^5)*(('Assumptions'!I37+(E454))*(1-'Assumptions'!I42-(0))+'Assumptions'!I47-'Assumptions'!I52*(F454)+'Assumptions'!I57-'Assumptions'!I62*(1)-'Assumptions'!I67-(0))+(('Historical Inputs'!$N$9*(1+(D454))^4)*('Assumptions'!H67+(0))))*'DCF'!I12/(1+(G454))^'DCF'!I13)+('Historical Inputs'!$N$9*(1+(D454))^5)*(1+(H454))*('Terminal Value'!$E$10+(E454))*(1-'Assumptions'!$E$15-(0))*(1-(H454)/('Terminal Value'!$E$12))/((G454)-(H454))/(1+(G454))^'DCF'!$E$19)+'Equity Bridge'!$E$17)/'Equity Bridge'!$E$20</x:f>
        <x:v>296.2372585972725</x:v>
      </x:c>
      <x:c r="X454" s="255" t="n">
        <x:v>0.989824655397897</x:v>
      </x:c>
      <x:c r="Y454" s="255" t="n">
        <x:v>0.0990194369489592</x:v>
      </x:c>
      <x:c r="Z454" s="255" t="n">
        <x:v>0.5835746343766677</x:v>
      </x:c>
      <x:c r="AA454" s="255" t="n">
        <x:v>0.8086660800709927</x:v>
      </x:c>
      <x:c r="AB454" s="255" t="n">
        <x:v>0.868913156534821</x:v>
      </x:c>
    </x:row>
    <x:row r="455" ht="24" customHeight="1">
      <x:c r="C455" s="256" t="n">
        <x:f>424</x:f>
        <x:v>424</x:v>
      </x:c>
      <x:c r="D455" s="258" t="n">
        <x:f>IF(X455&lt;($E$12-$D$12)/($F$12-$D$12),$D$12+SQRT(X455*($F$12-$D$12)*($E$12-$D$12)),$F$12-SQRT((1-X455)*($F$12-$D$12)*($F$12-$E$12)))</x:f>
        <x:v>0.17219373775260516</x:v>
      </x:c>
      <x:c r="E455" s="258" t="n">
        <x:f>IF(Y455&lt;($E$13-$D$13)/($F$13-$D$13),$D$13+SQRT(Y455*($F$13-$D$13)*($E$13-$D$13)),$F$13-SQRT((1-Y455)*($F$13-$D$13)*($F$13-$E$13)))</x:f>
        <x:v>0.0030460052124018228</x:v>
      </x:c>
      <x:c r="F455" s="260" t="n">
        <x:f>IF(Z455&lt;($E$14-$D$14)/($F$14-$D$14),$D$14+SQRT(Z455*($F$14-$D$14)*($E$14-$D$14)),$F$14-SQRT((1-Z455)*($F$14-$D$14)*($F$14-$E$14)))</x:f>
        <x:v>1.0921306558883503</x:v>
      </x:c>
      <x:c r="G455" s="258" t="n">
        <x:f>IF(AA455&lt;($E$15-$D$15)/($F$15-$D$15),$D$15+SQRT(AA455*($F$15-$D$15)*($E$15-$D$15)),$F$15-SQRT((1-AA455)*($F$15-$D$15)*($F$15-$E$15)))</x:f>
        <x:v>0.11095863672014958</x:v>
      </x:c>
      <x:c r="H455" s="258" t="n">
        <x:f>IF(AB455&lt;($E$16-$D$16)/($F$16-$D$16),$D$16+SQRT(AB455*($F$16-$D$16)*($E$16-$D$16)),$F$16-SQRT((1-AB455)*($F$16-$D$16)*($F$16-$E$16)))</x:f>
        <x:v>0.033393693031347385</x:v>
      </x:c>
      <x:c r="I455" s="262" t="n">
        <x:f>'Historical Inputs'!$N$9*(1+D455)^5</x:f>
        <x:v>734386.0362109412</x:v>
      </x:c>
      <x:c r="J455" s="262" t="n">
        <x:f>I455*(1+H455)*('Terminal Value'!$E$10+E455)*(1-'Assumptions'!$E$15)*(1-H455/'Terminal Value'!$E$12)</x:f>
        <x:v>203843.2182529816</x:v>
      </x:c>
      <x:c r="K455" s="264" t="n">
        <x:f>((SUM((('Historical Inputs'!$N$9*(1+(D455))^1)*(('Assumptions'!E37+(E455))*(1-'Assumptions'!E42-(0))+'Assumptions'!E47-'Assumptions'!E52*(F455)+'Assumptions'!E57-'Assumptions'!E62*(1)-'Assumptions'!E67-(0))+('Working Capital'!$E$6))*'DCF'!E12/(1+(G455))^'DCF'!E13,(('Historical Inputs'!$N$9*(1+(D455))^2)*(('Assumptions'!F37+(E455))*(1-'Assumptions'!F42-(0))+'Assumptions'!F47-'Assumptions'!F52*(F455)+'Assumptions'!F57-'Assumptions'!F62*(1)-'Assumptions'!F67-(0))+(('Historical Inputs'!$N$9*(1+(D455))^1)*('Assumptions'!E67+(0))))*'DCF'!F12/(1+(G455))^'DCF'!F13,(('Historical Inputs'!$N$9*(1+(D455))^3)*(('Assumptions'!G37+(E455))*(1-'Assumptions'!G42-(0))+'Assumptions'!G47-'Assumptions'!G52*(F455)+'Assumptions'!G57-'Assumptions'!G62*(1)-'Assumptions'!G67-(0))+(('Historical Inputs'!$N$9*(1+(D455))^2)*('Assumptions'!F67+(0))))*'DCF'!G12/(1+(G455))^'DCF'!G13,(('Historical Inputs'!$N$9*(1+(D455))^4)*(('Assumptions'!H37+(E455))*(1-'Assumptions'!H42-(0))+'Assumptions'!H47-'Assumptions'!H52*(F455)+'Assumptions'!H57-'Assumptions'!H62*(1)-'Assumptions'!H67-(0))+(('Historical Inputs'!$N$9*(1+(D455))^3)*('Assumptions'!G67+(0))))*'DCF'!H12/(1+(G455))^'DCF'!H13,(('Historical Inputs'!$N$9*(1+(D455))^5)*(('Assumptions'!I37+(E455))*(1-'Assumptions'!I42-(0))+'Assumptions'!I47-'Assumptions'!I52*(F455)+'Assumptions'!I57-'Assumptions'!I62*(1)-'Assumptions'!I67-(0))+(('Historical Inputs'!$N$9*(1+(D455))^4)*('Assumptions'!H67+(0))))*'DCF'!I12/(1+(G455))^'DCF'!I13)+('Historical Inputs'!$N$9*(1+(D455))^5)*(1+(H455))*('Terminal Value'!$E$10+(E455))*(1-'Assumptions'!$E$15-(0))*(1-(H455)/('Terminal Value'!$E$12))/((G455)-(H455))/(1+(G455))^'DCF'!$E$19)+'Equity Bridge'!$E$17)/'Equity Bridge'!$E$20</x:f>
        <x:v>268.0783569677822</x:v>
      </x:c>
      <x:c r="X455" s="255" t="n">
        <x:v>0.9112676128082109</x:v>
      </x:c>
      <x:c r="Y455" s="255" t="n">
        <x:v>0.5590644746972406</x:v>
      </x:c>
      <x:c r="Z455" s="255" t="n">
        <x:v>0.8337743514417503</x:v>
      </x:c>
      <x:c r="AA455" s="255" t="n">
        <x:v>0.9894223177537235</x:v>
      </x:c>
      <x:c r="AB455" s="255" t="n">
        <x:v>0.7817835411796596</x:v>
      </x:c>
    </x:row>
    <x:row r="456" ht="24" customHeight="1">
      <x:c r="C456" s="256" t="n">
        <x:f>425</x:f>
        <x:v>425</x:v>
      </x:c>
      <x:c r="D456" s="258" t="n">
        <x:f>IF(X456&lt;($E$12-$D$12)/($F$12-$D$12),$D$12+SQRT(X456*($F$12-$D$12)*($E$12-$D$12)),$F$12-SQRT((1-X456)*($F$12-$D$12)*($F$12-$E$12)))</x:f>
        <x:v>0.10356441248590997</x:v>
      </x:c>
      <x:c r="E456" s="258" t="n">
        <x:f>IF(Y456&lt;($E$13-$D$13)/($F$13-$D$13),$D$13+SQRT(Y456*($F$13-$D$13)*($E$13-$D$13)),$F$13-SQRT((1-Y456)*($F$13-$D$13)*($F$13-$E$13)))</x:f>
        <x:v>-0.010865205285487053</x:v>
      </x:c>
      <x:c r="F456" s="260" t="n">
        <x:f>IF(Z456&lt;($E$14-$D$14)/($F$14-$D$14),$D$14+SQRT(Z456*($F$14-$D$14)*($E$14-$D$14)),$F$14-SQRT((1-Z456)*($F$14-$D$14)*($F$14-$E$14)))</x:f>
        <x:v>1.0483915815561704</x:v>
      </x:c>
      <x:c r="G456" s="258" t="n">
        <x:f>IF(AA456&lt;($E$15-$D$15)/($F$15-$D$15),$D$15+SQRT(AA456*($F$15-$D$15)*($E$15-$D$15)),$F$15-SQRT((1-AA456)*($F$15-$D$15)*($F$15-$E$15)))</x:f>
        <x:v>0.0998164001889465</x:v>
      </x:c>
      <x:c r="H456" s="258" t="n">
        <x:f>IF(AB456&lt;($E$16-$D$16)/($F$16-$D$16),$D$16+SQRT(AB456*($F$16-$D$16)*($E$16-$D$16)),$F$16-SQRT((1-AB456)*($F$16-$D$16)*($F$16-$E$16)))</x:f>
        <x:v>0.026899434343879647</x:v>
      </x:c>
      <x:c r="I456" s="262" t="n">
        <x:f>'Historical Inputs'!$N$9*(1+D456)^5</x:f>
        <x:v>543145.0938069131</x:v>
      </x:c>
      <x:c r="J456" s="262" t="n">
        <x:f>I456*(1+H456)*('Terminal Value'!$E$10+E456)*(1-'Assumptions'!$E$15)*(1-H456/'Terminal Value'!$E$12)</x:f>
        <x:v>150280.39198617902</x:v>
      </x:c>
      <x:c r="K456" s="264" t="n">
        <x:f>((SUM((('Historical Inputs'!$N$9*(1+(D456))^1)*(('Assumptions'!E37+(E456))*(1-'Assumptions'!E42-(0))+'Assumptions'!E47-'Assumptions'!E52*(F456)+'Assumptions'!E57-'Assumptions'!E62*(1)-'Assumptions'!E67-(0))+('Working Capital'!$E$6))*'DCF'!E12/(1+(G456))^'DCF'!E13,(('Historical Inputs'!$N$9*(1+(D456))^2)*(('Assumptions'!F37+(E456))*(1-'Assumptions'!F42-(0))+'Assumptions'!F47-'Assumptions'!F52*(F456)+'Assumptions'!F57-'Assumptions'!F62*(1)-'Assumptions'!F67-(0))+(('Historical Inputs'!$N$9*(1+(D456))^1)*('Assumptions'!E67+(0))))*'DCF'!F12/(1+(G456))^'DCF'!F13,(('Historical Inputs'!$N$9*(1+(D456))^3)*(('Assumptions'!G37+(E456))*(1-'Assumptions'!G42-(0))+'Assumptions'!G47-'Assumptions'!G52*(F456)+'Assumptions'!G57-'Assumptions'!G62*(1)-'Assumptions'!G67-(0))+(('Historical Inputs'!$N$9*(1+(D456))^2)*('Assumptions'!F67+(0))))*'DCF'!G12/(1+(G456))^'DCF'!G13,(('Historical Inputs'!$N$9*(1+(D456))^4)*(('Assumptions'!H37+(E456))*(1-'Assumptions'!H42-(0))+'Assumptions'!H47-'Assumptions'!H52*(F456)+'Assumptions'!H57-'Assumptions'!H62*(1)-'Assumptions'!H67-(0))+(('Historical Inputs'!$N$9*(1+(D456))^3)*('Assumptions'!G67+(0))))*'DCF'!H12/(1+(G456))^'DCF'!H13,(('Historical Inputs'!$N$9*(1+(D456))^5)*(('Assumptions'!I37+(E456))*(1-'Assumptions'!I42-(0))+'Assumptions'!I47-'Assumptions'!I52*(F456)+'Assumptions'!I57-'Assumptions'!I62*(1)-'Assumptions'!I67-(0))+(('Historical Inputs'!$N$9*(1+(D456))^4)*('Assumptions'!H67+(0))))*'DCF'!I12/(1+(G456))^'DCF'!I13)+('Historical Inputs'!$N$9*(1+(D456))^5)*(1+(H456))*('Terminal Value'!$E$10+(E456))*(1-'Assumptions'!$E$15-(0))*(1-(H456)/('Terminal Value'!$E$12))/((G456)-(H456))/(1+(G456))^'DCF'!$E$19)+'Equity Bridge'!$E$17)/'Equity Bridge'!$E$20</x:f>
        <x:v>220.50103062200492</x:v>
      </x:c>
      <x:c r="X456" s="255" t="n">
        <x:v>0.021248460442963357</x:v>
      </x:c>
      <x:c r="Y456" s="255" t="n">
        <x:v>0.30630643146941405</x:v>
      </x:c>
      <x:c r="Z456" s="255" t="n">
        <x:v>0.6716412493851528</x:v>
      </x:c>
      <x:c r="AA456" s="255" t="n">
        <x:v>0.6054929941484938</x:v>
      </x:c>
      <x:c r="AB456" s="255" t="n">
        <x:v>0.2380109713275299</x:v>
      </x:c>
    </x:row>
    <x:row r="457" ht="24" customHeight="1">
      <x:c r="C457" s="256" t="n">
        <x:f>426</x:f>
        <x:v>426</x:v>
      </x:c>
      <x:c r="D457" s="258" t="n">
        <x:f>IF(X457&lt;($E$12-$D$12)/($F$12-$D$12),$D$12+SQRT(X457*($F$12-$D$12)*($E$12-$D$12)),$F$12-SQRT((1-X457)*($F$12-$D$12)*($F$12-$E$12)))</x:f>
        <x:v>0.1280440069417934</x:v>
      </x:c>
      <x:c r="E457" s="258" t="n">
        <x:f>IF(Y457&lt;($E$13-$D$13)/($F$13-$D$13),$D$13+SQRT(Y457*($F$13-$D$13)*($E$13-$D$13)),$F$13-SQRT((1-Y457)*($F$13-$D$13)*($F$13-$E$13)))</x:f>
        <x:v>0.023445279121210805</x:v>
      </x:c>
      <x:c r="F457" s="260" t="n">
        <x:f>IF(Z457&lt;($E$14-$D$14)/($F$14-$D$14),$D$14+SQRT(Z457*($F$14-$D$14)*($E$14-$D$14)),$F$14-SQRT((1-Z457)*($F$14-$D$14)*($F$14-$E$14)))</x:f>
        <x:v>1.0472770495620392</x:v>
      </x:c>
      <x:c r="G457" s="258" t="n">
        <x:f>IF(AA457&lt;($E$15-$D$15)/($F$15-$D$15),$D$15+SQRT(AA457*($F$15-$D$15)*($E$15-$D$15)),$F$15-SQRT((1-AA457)*($F$15-$D$15)*($F$15-$E$15)))</x:f>
        <x:v>0.09754550470289854</x:v>
      </x:c>
      <x:c r="H457" s="258" t="n">
        <x:f>IF(AB457&lt;($E$16-$D$16)/($F$16-$D$16),$D$16+SQRT(AB457*($F$16-$D$16)*($E$16-$D$16)),$F$16-SQRT((1-AB457)*($F$16-$D$16)*($F$16-$E$16)))</x:f>
        <x:v>0.026015040019155562</x:v>
      </x:c>
      <x:c r="I457" s="262" t="n">
        <x:f>'Historical Inputs'!$N$9*(1+D457)^5</x:f>
        <x:v>606118.6380946721</x:v>
      </x:c>
      <x:c r="J457" s="262" t="n">
        <x:f>I457*(1+H457)*('Terminal Value'!$E$10+E457)*(1-'Assumptions'!$E$15)*(1-H457/'Terminal Value'!$E$12)</x:f>
        <x:v>183265.34976227192</x:v>
      </x:c>
      <x:c r="K457" s="264" t="n">
        <x:f>((SUM((('Historical Inputs'!$N$9*(1+(D457))^1)*(('Assumptions'!E37+(E457))*(1-'Assumptions'!E42-(0))+'Assumptions'!E47-'Assumptions'!E52*(F457)+'Assumptions'!E57-'Assumptions'!E62*(1)-'Assumptions'!E67-(0))+('Working Capital'!$E$6))*'DCF'!E12/(1+(G457))^'DCF'!E13,(('Historical Inputs'!$N$9*(1+(D457))^2)*(('Assumptions'!F37+(E457))*(1-'Assumptions'!F42-(0))+'Assumptions'!F47-'Assumptions'!F52*(F457)+'Assumptions'!F57-'Assumptions'!F62*(1)-'Assumptions'!F67-(0))+(('Historical Inputs'!$N$9*(1+(D457))^1)*('Assumptions'!E67+(0))))*'DCF'!F12/(1+(G457))^'DCF'!F13,(('Historical Inputs'!$N$9*(1+(D457))^3)*(('Assumptions'!G37+(E457))*(1-'Assumptions'!G42-(0))+'Assumptions'!G47-'Assumptions'!G52*(F457)+'Assumptions'!G57-'Assumptions'!G62*(1)-'Assumptions'!G67-(0))+(('Historical Inputs'!$N$9*(1+(D457))^2)*('Assumptions'!F67+(0))))*'DCF'!G12/(1+(G457))^'DCF'!G13,(('Historical Inputs'!$N$9*(1+(D457))^4)*(('Assumptions'!H37+(E457))*(1-'Assumptions'!H42-(0))+'Assumptions'!H47-'Assumptions'!H52*(F457)+'Assumptions'!H57-'Assumptions'!H62*(1)-'Assumptions'!H67-(0))+(('Historical Inputs'!$N$9*(1+(D457))^3)*('Assumptions'!G67+(0))))*'DCF'!H12/(1+(G457))^'DCF'!H13,(('Historical Inputs'!$N$9*(1+(D457))^5)*(('Assumptions'!I37+(E457))*(1-'Assumptions'!I42-(0))+'Assumptions'!I47-'Assumptions'!I52*(F457)+'Assumptions'!I57-'Assumptions'!I62*(1)-'Assumptions'!I67-(0))+(('Historical Inputs'!$N$9*(1+(D457))^4)*('Assumptions'!H67+(0))))*'DCF'!I12/(1+(G457))^'DCF'!I13)+('Historical Inputs'!$N$9*(1+(D457))^5)*(1+(H457))*('Terminal Value'!$E$10+(E457))*(1-'Assumptions'!$E$15-(0))*(1-(H457)/('Terminal Value'!$E$12))/((G457)-(H457))/(1+(G457))^'DCF'!$E$19)+'Equity Bridge'!$E$17)/'Equity Bridge'!$E$20</x:f>
        <x:v>276.3741531424864</x:v>
      </x:c>
      <x:c r="X457" s="255" t="n">
        <x:v>0.24202686668848827</x:v>
      </x:c>
      <x:c r="Y457" s="255" t="n">
        <x:v>0.8589693598099194</x:v>
      </x:c>
      <x:c r="Z457" s="255" t="n">
        <x:v>0.6667957201360589</x:v>
      </x:c>
      <x:c r="AA457" s="255" t="n">
        <x:v>0.46112872496527735</x:v>
      </x:c>
      <x:c r="AB457" s="255" t="n">
        <x:v>0.18090353216021493</x:v>
      </x:c>
    </x:row>
    <x:row r="458" ht="24" customHeight="1">
      <x:c r="C458" s="256" t="n">
        <x:f>427</x:f>
        <x:v>427</x:v>
      </x:c>
      <x:c r="D458" s="258" t="n">
        <x:f>IF(X458&lt;($E$12-$D$12)/($F$12-$D$12),$D$12+SQRT(X458*($F$12-$D$12)*($E$12-$D$12)),$F$12-SQRT((1-X458)*($F$12-$D$12)*($F$12-$E$12)))</x:f>
        <x:v>0.09738333125979724</x:v>
      </x:c>
      <x:c r="E458" s="258" t="n">
        <x:f>IF(Y458&lt;($E$13-$D$13)/($F$13-$D$13),$D$13+SQRT(Y458*($F$13-$D$13)*($E$13-$D$13)),$F$13-SQRT((1-Y458)*($F$13-$D$13)*($F$13-$E$13)))</x:f>
        <x:v>-0.0250306346147603</x:v>
      </x:c>
      <x:c r="F458" s="260" t="n">
        <x:f>IF(Z458&lt;($E$14-$D$14)/($F$14-$D$14),$D$14+SQRT(Z458*($F$14-$D$14)*($E$14-$D$14)),$F$14-SQRT((1-Z458)*($F$14-$D$14)*($F$14-$E$14)))</x:f>
        <x:v>1.0188570474036105</x:v>
      </x:c>
      <x:c r="G458" s="258" t="n">
        <x:f>IF(AA458&lt;($E$15-$D$15)/($F$15-$D$15),$D$15+SQRT(AA458*($F$15-$D$15)*($E$15-$D$15)),$F$15-SQRT((1-AA458)*($F$15-$D$15)*($F$15-$E$15)))</x:f>
        <x:v>0.1013492412508774</x:v>
      </x:c>
      <x:c r="H458" s="258" t="n">
        <x:f>IF(AB458&lt;($E$16-$D$16)/($F$16-$D$16),$D$16+SQRT(AB458*($F$16-$D$16)*($E$16-$D$16)),$F$16-SQRT((1-AB458)*($F$16-$D$16)*($F$16-$E$16)))</x:f>
        <x:v>0.03355308398406582</x:v>
      </x:c>
      <x:c r="I458" s="262" t="n">
        <x:f>'Historical Inputs'!$N$9*(1+D458)^5</x:f>
        <x:v>528103.7141135817</x:v>
      </x:c>
      <x:c r="J458" s="262" t="n">
        <x:f>I458*(1+H458)*('Terminal Value'!$E$10+E458)*(1-'Assumptions'!$E$15)*(1-H458/'Terminal Value'!$E$12)</x:f>
        <x:v>136264.75539237325</x:v>
      </x:c>
      <x:c r="K458" s="264" t="n">
        <x:f>((SUM((('Historical Inputs'!$N$9*(1+(D458))^1)*(('Assumptions'!E37+(E458))*(1-'Assumptions'!E42-(0))+'Assumptions'!E47-'Assumptions'!E52*(F458)+'Assumptions'!E57-'Assumptions'!E62*(1)-'Assumptions'!E67-(0))+('Working Capital'!$E$6))*'DCF'!E12/(1+(G458))^'DCF'!E13,(('Historical Inputs'!$N$9*(1+(D458))^2)*(('Assumptions'!F37+(E458))*(1-'Assumptions'!F42-(0))+'Assumptions'!F47-'Assumptions'!F52*(F458)+'Assumptions'!F57-'Assumptions'!F62*(1)-'Assumptions'!F67-(0))+(('Historical Inputs'!$N$9*(1+(D458))^1)*('Assumptions'!E67+(0))))*'DCF'!F12/(1+(G458))^'DCF'!F13,(('Historical Inputs'!$N$9*(1+(D458))^3)*(('Assumptions'!G37+(E458))*(1-'Assumptions'!G42-(0))+'Assumptions'!G47-'Assumptions'!G52*(F458)+'Assumptions'!G57-'Assumptions'!G62*(1)-'Assumptions'!G67-(0))+(('Historical Inputs'!$N$9*(1+(D458))^2)*('Assumptions'!F67+(0))))*'DCF'!G12/(1+(G458))^'DCF'!G13,(('Historical Inputs'!$N$9*(1+(D458))^4)*(('Assumptions'!H37+(E458))*(1-'Assumptions'!H42-(0))+'Assumptions'!H47-'Assumptions'!H52*(F458)+'Assumptions'!H57-'Assumptions'!H62*(1)-'Assumptions'!H67-(0))+(('Historical Inputs'!$N$9*(1+(D458))^3)*('Assumptions'!G67+(0))))*'DCF'!H12/(1+(G458))^'DCF'!H13,(('Historical Inputs'!$N$9*(1+(D458))^5)*(('Assumptions'!I37+(E458))*(1-'Assumptions'!I42-(0))+'Assumptions'!I47-'Assumptions'!I52*(F458)+'Assumptions'!I57-'Assumptions'!I62*(1)-'Assumptions'!I67-(0))+(('Historical Inputs'!$N$9*(1+(D458))^4)*('Assumptions'!H67+(0))))*'DCF'!I12/(1+(G458))^'DCF'!I13)+('Historical Inputs'!$N$9*(1+(D458))^5)*(1+(H458))*('Terminal Value'!$E$10+(E458))*(1-'Assumptions'!$E$15-(0))*(1-(H458)/('Terminal Value'!$E$12))/((G458)-(H458))/(1+(G458))^'DCF'!$E$19)+'Equity Bridge'!$E$17)/'Equity Bridge'!$E$20</x:f>
        <x:v>213.04814018868072</x:v>
      </x:c>
      <x:c r="X458" s="255" t="n">
        <x:v>0.0034052859085941245</x:v>
      </x:c>
      <x:c r="Y458" s="255" t="n">
        <x:v>0.1246938415483213</x:v>
      </x:c>
      <x:c r="Z458" s="255" t="n">
        <x:v>0.5312461532094602</x:v>
      </x:c>
      <x:c r="AA458" s="255" t="n">
        <x:v>0.691042887868475</x:v>
      </x:c>
      <x:c r="AB458" s="255" t="n">
        <x:v>0.7921863694174569</x:v>
      </x:c>
    </x:row>
    <x:row r="459" ht="24" customHeight="1">
      <x:c r="C459" s="256" t="n">
        <x:f>428</x:f>
        <x:v>428</x:v>
      </x:c>
      <x:c r="D459" s="258" t="n">
        <x:f>IF(X459&lt;($E$12-$D$12)/($F$12-$D$12),$D$12+SQRT(X459*($F$12-$D$12)*($E$12-$D$12)),$F$12-SQRT((1-X459)*($F$12-$D$12)*($F$12-$E$12)))</x:f>
        <x:v>0.16171864022037002</x:v>
      </x:c>
      <x:c r="E459" s="258" t="n">
        <x:f>IF(Y459&lt;($E$13-$D$13)/($F$13-$D$13),$D$13+SQRT(Y459*($F$13-$D$13)*($E$13-$D$13)),$F$13-SQRT((1-Y459)*($F$13-$D$13)*($F$13-$E$13)))</x:f>
        <x:v>-0.01873674909466505</x:v>
      </x:c>
      <x:c r="F459" s="260" t="n">
        <x:f>IF(Z459&lt;($E$14-$D$14)/($F$14-$D$14),$D$14+SQRT(Z459*($F$14-$D$14)*($E$14-$D$14)),$F$14-SQRT((1-Z459)*($F$14-$D$14)*($F$14-$E$14)))</x:f>
        <x:v>0.9130849631569018</x:v>
      </x:c>
      <x:c r="G459" s="258" t="n">
        <x:f>IF(AA459&lt;($E$15-$D$15)/($F$15-$D$15),$D$15+SQRT(AA459*($F$15-$D$15)*($E$15-$D$15)),$F$15-SQRT((1-AA459)*($F$15-$D$15)*($F$15-$E$15)))</x:f>
        <x:v>0.10125961728581742</x:v>
      </x:c>
      <x:c r="H459" s="258" t="n">
        <x:f>IF(AB459&lt;($E$16-$D$16)/($F$16-$D$16),$D$16+SQRT(AB459*($F$16-$D$16)*($E$16-$D$16)),$F$16-SQRT((1-AB459)*($F$16-$D$16)*($F$16-$E$16)))</x:f>
        <x:v>0.037942453699245905</x:v>
      </x:c>
      <x:c r="I459" s="262" t="n">
        <x:f>'Historical Inputs'!$N$9*(1+D459)^5</x:f>
        <x:v>702153.7427267468</x:v>
      </x:c>
      <x:c r="J459" s="262" t="n">
        <x:f>I459*(1+H459)*('Terminal Value'!$E$10+E459)*(1-'Assumptions'!$E$15)*(1-H459/'Terminal Value'!$E$12)</x:f>
        <x:v>180119.06664547446</x:v>
      </x:c>
      <x:c r="K459" s="264" t="n">
        <x:f>((SUM((('Historical Inputs'!$N$9*(1+(D459))^1)*(('Assumptions'!E37+(E459))*(1-'Assumptions'!E42-(0))+'Assumptions'!E47-'Assumptions'!E52*(F459)+'Assumptions'!E57-'Assumptions'!E62*(1)-'Assumptions'!E67-(0))+('Working Capital'!$E$6))*'DCF'!E12/(1+(G459))^'DCF'!E13,(('Historical Inputs'!$N$9*(1+(D459))^2)*(('Assumptions'!F37+(E459))*(1-'Assumptions'!F42-(0))+'Assumptions'!F47-'Assumptions'!F52*(F459)+'Assumptions'!F57-'Assumptions'!F62*(1)-'Assumptions'!F67-(0))+(('Historical Inputs'!$N$9*(1+(D459))^1)*('Assumptions'!E67+(0))))*'DCF'!F12/(1+(G459))^'DCF'!F13,(('Historical Inputs'!$N$9*(1+(D459))^3)*(('Assumptions'!G37+(E459))*(1-'Assumptions'!G42-(0))+'Assumptions'!G47-'Assumptions'!G52*(F459)+'Assumptions'!G57-'Assumptions'!G62*(1)-'Assumptions'!G67-(0))+(('Historical Inputs'!$N$9*(1+(D459))^2)*('Assumptions'!F67+(0))))*'DCF'!G12/(1+(G459))^'DCF'!G13,(('Historical Inputs'!$N$9*(1+(D459))^4)*(('Assumptions'!H37+(E459))*(1-'Assumptions'!H42-(0))+'Assumptions'!H47-'Assumptions'!H52*(F459)+'Assumptions'!H57-'Assumptions'!H62*(1)-'Assumptions'!H67-(0))+(('Historical Inputs'!$N$9*(1+(D459))^3)*('Assumptions'!G67+(0))))*'DCF'!H12/(1+(G459))^'DCF'!H13,(('Historical Inputs'!$N$9*(1+(D459))^5)*(('Assumptions'!I37+(E459))*(1-'Assumptions'!I42-(0))+'Assumptions'!I47-'Assumptions'!I52*(F459)+'Assumptions'!I57-'Assumptions'!I62*(1)-'Assumptions'!I67-(0))+(('Historical Inputs'!$N$9*(1+(D459))^4)*('Assumptions'!H67+(0))))*'DCF'!I12/(1+(G459))^'DCF'!I13)+('Historical Inputs'!$N$9*(1+(D459))^5)*(1+(H459))*('Terminal Value'!$E$10+(E459))*(1-'Assumptions'!$E$15-(0))*(1-(H459)/('Terminal Value'!$E$12))/((G459)-(H459))/(1+(G459))^'DCF'!$E$19)+'Equity Bridge'!$E$17)/'Equity Bridge'!$E$20</x:f>
        <x:v>302.38412206966217</x:v>
      </x:c>
      <x:c r="X459" s="255" t="n">
        <x:v>0.8010660971388084</x:v>
      </x:c>
      <x:c r="Y459" s="255" t="n">
        <x:v>0.19547817143398538</x:v>
      </x:c>
      <x:c r="Z459" s="255" t="n">
        <x:v>0.07580404907633631</x:v>
      </x:c>
      <x:c r="AA459" s="255" t="n">
        <x:v>0.6863282928682771</x:v>
      </x:c>
      <x:c r="AB459" s="255" t="n">
        <x:v>0.9788325161012656</x:v>
      </x:c>
    </x:row>
    <x:row r="460" ht="24" customHeight="1">
      <x:c r="C460" s="256" t="n">
        <x:f>429</x:f>
        <x:v>429</x:v>
      </x:c>
      <x:c r="D460" s="258" t="n">
        <x:f>IF(X460&lt;($E$12-$D$12)/($F$12-$D$12),$D$12+SQRT(X460*($F$12-$D$12)*($E$12-$D$12)),$F$12-SQRT((1-X460)*($F$12-$D$12)*($F$12-$E$12)))</x:f>
        <x:v>0.16637229794936012</x:v>
      </x:c>
      <x:c r="E460" s="258" t="n">
        <x:f>IF(Y460&lt;($E$13-$D$13)/($F$13-$D$13),$D$13+SQRT(Y460*($F$13-$D$13)*($E$13-$D$13)),$F$13-SQRT((1-Y460)*($F$13-$D$13)*($F$13-$E$13)))</x:f>
        <x:v>-0.008123724805180123</x:v>
      </x:c>
      <x:c r="F460" s="260" t="n">
        <x:f>IF(Z460&lt;($E$14-$D$14)/($F$14-$D$14),$D$14+SQRT(Z460*($F$14-$D$14)*($E$14-$D$14)),$F$14-SQRT((1-Z460)*($F$14-$D$14)*($F$14-$E$14)))</x:f>
        <x:v>0.9260009115974396</x:v>
      </x:c>
      <x:c r="G460" s="258" t="n">
        <x:f>IF(AA460&lt;($E$15-$D$15)/($F$15-$D$15),$D$15+SQRT(AA460*($F$15-$D$15)*($E$15-$D$15)),$F$15-SQRT((1-AA460)*($F$15-$D$15)*($F$15-$E$15)))</x:f>
        <x:v>0.09884823622613827</x:v>
      </x:c>
      <x:c r="H460" s="258" t="n">
        <x:f>IF(AB460&lt;($E$16-$D$16)/($F$16-$D$16),$D$16+SQRT(AB460*($F$16-$D$16)*($E$16-$D$16)),$F$16-SQRT((1-AB460)*($F$16-$D$16)*($F$16-$E$16)))</x:f>
        <x:v>0.03097264751435626</x:v>
      </x:c>
      <x:c r="I460" s="262" t="n">
        <x:f>'Historical Inputs'!$N$9*(1+D460)^5</x:f>
        <x:v>716330.4417133661</x:v>
      </x:c>
      <x:c r="J460" s="262" t="n">
        <x:f>I460*(1+H460)*('Terminal Value'!$E$10+E460)*(1-'Assumptions'!$E$15)*(1-H460/'Terminal Value'!$E$12)</x:f>
        <x:v>195671.01721009586</x:v>
      </x:c>
      <x:c r="K460" s="264" t="n">
        <x:f>((SUM((('Historical Inputs'!$N$9*(1+(D460))^1)*(('Assumptions'!E37+(E460))*(1-'Assumptions'!E42-(0))+'Assumptions'!E47-'Assumptions'!E52*(F460)+'Assumptions'!E57-'Assumptions'!E62*(1)-'Assumptions'!E67-(0))+('Working Capital'!$E$6))*'DCF'!E12/(1+(G460))^'DCF'!E13,(('Historical Inputs'!$N$9*(1+(D460))^2)*(('Assumptions'!F37+(E460))*(1-'Assumptions'!F42-(0))+'Assumptions'!F47-'Assumptions'!F52*(F460)+'Assumptions'!F57-'Assumptions'!F62*(1)-'Assumptions'!F67-(0))+(('Historical Inputs'!$N$9*(1+(D460))^1)*('Assumptions'!E67+(0))))*'DCF'!F12/(1+(G460))^'DCF'!F13,(('Historical Inputs'!$N$9*(1+(D460))^3)*(('Assumptions'!G37+(E460))*(1-'Assumptions'!G42-(0))+'Assumptions'!G47-'Assumptions'!G52*(F460)+'Assumptions'!G57-'Assumptions'!G62*(1)-'Assumptions'!G67-(0))+(('Historical Inputs'!$N$9*(1+(D460))^2)*('Assumptions'!F67+(0))))*'DCF'!G12/(1+(G460))^'DCF'!G13,(('Historical Inputs'!$N$9*(1+(D460))^4)*(('Assumptions'!H37+(E460))*(1-'Assumptions'!H42-(0))+'Assumptions'!H47-'Assumptions'!H52*(F460)+'Assumptions'!H57-'Assumptions'!H62*(1)-'Assumptions'!H67-(0))+(('Historical Inputs'!$N$9*(1+(D460))^3)*('Assumptions'!G67+(0))))*'DCF'!H12/(1+(G460))^'DCF'!H13,(('Historical Inputs'!$N$9*(1+(D460))^5)*(('Assumptions'!I37+(E460))*(1-'Assumptions'!I42-(0))+'Assumptions'!I47-'Assumptions'!I52*(F460)+'Assumptions'!I57-'Assumptions'!I62*(1)-'Assumptions'!I67-(0))+(('Historical Inputs'!$N$9*(1+(D460))^4)*('Assumptions'!H67+(0))))*'DCF'!I12/(1+(G460))^'DCF'!I13)+('Historical Inputs'!$N$9*(1+(D460))^5)*(1+(H460))*('Terminal Value'!$E$10+(E460))*(1-'Assumptions'!$E$15-(0))*(1-(H460)/('Terminal Value'!$E$12))/((G460)-(H460))/(1+(G460))^'DCF'!$E$19)+'Equity Bridge'!$E$17)/'Equity Bridge'!$E$20</x:f>
        <x:v>310.89828386810393</x:v>
      </x:c>
      <x:c r="X460" s="255" t="n">
        <x:v>0.8554423244147491</x:v>
      </x:c>
      <x:c r="Y460" s="255" t="n">
        <x:v>0.3507244848384574</x:v>
      </x:c>
      <x:c r="Z460" s="255" t="n">
        <x:v>0.11002168692651115</x:v>
      </x:c>
      <x:c r="AA460" s="255" t="n">
        <x:v>0.5460776276789641</x:v>
      </x:c>
      <x:c r="AB460" s="255" t="n">
        <x:v>0.5925345354997091</x:v>
      </x:c>
    </x:row>
    <x:row r="461" ht="24" customHeight="1">
      <x:c r="C461" s="256" t="n">
        <x:f>430</x:f>
        <x:v>430</x:v>
      </x:c>
      <x:c r="D461" s="258" t="n">
        <x:f>IF(X461&lt;($E$12-$D$12)/($F$12-$D$12),$D$12+SQRT(X461*($F$12-$D$12)*($E$12-$D$12)),$F$12-SQRT((1-X461)*($F$12-$D$12)*($F$12-$E$12)))</x:f>
        <x:v>0.14849658210299688</x:v>
      </x:c>
      <x:c r="E461" s="258" t="n">
        <x:f>IF(Y461&lt;($E$13-$D$13)/($F$13-$D$13),$D$13+SQRT(Y461*($F$13-$D$13)*($E$13-$D$13)),$F$13-SQRT((1-Y461)*($F$13-$D$13)*($F$13-$E$13)))</x:f>
        <x:v>-0.020307739045256665</x:v>
      </x:c>
      <x:c r="F461" s="260" t="n">
        <x:f>IF(Z461&lt;($E$14-$D$14)/($F$14-$D$14),$D$14+SQRT(Z461*($F$14-$D$14)*($E$14-$D$14)),$F$14-SQRT((1-Z461)*($F$14-$D$14)*($F$14-$E$14)))</x:f>
        <x:v>0.9608691054193248</x:v>
      </x:c>
      <x:c r="G461" s="258" t="n">
        <x:f>IF(AA461&lt;($E$15-$D$15)/($F$15-$D$15),$D$15+SQRT(AA461*($F$15-$D$15)*($E$15-$D$15)),$F$15-SQRT((1-AA461)*($F$15-$D$15)*($F$15-$E$15)))</x:f>
        <x:v>0.09742398206095872</x:v>
      </x:c>
      <x:c r="H461" s="258" t="n">
        <x:f>IF(AB461&lt;($E$16-$D$16)/($F$16-$D$16),$D$16+SQRT(AB461*($F$16-$D$16)*($E$16-$D$16)),$F$16-SQRT((1-AB461)*($F$16-$D$16)*($F$16-$E$16)))</x:f>
        <x:v>0.035641162515891556</x:v>
      </x:c>
      <x:c r="I461" s="262" t="n">
        <x:f>'Historical Inputs'!$N$9*(1+D461)^5</x:f>
        <x:v>663095.317896626</x:v>
      </x:c>
      <x:c r="J461" s="262" t="n">
        <x:f>I461*(1+H461)*('Terminal Value'!$E$10+E461)*(1-'Assumptions'!$E$15)*(1-H461/'Terminal Value'!$E$12)</x:f>
        <x:v>171423.38330688997</x:v>
      </x:c>
      <x:c r="K461" s="264" t="n">
        <x:f>((SUM((('Historical Inputs'!$N$9*(1+(D461))^1)*(('Assumptions'!E37+(E461))*(1-'Assumptions'!E42-(0))+'Assumptions'!E47-'Assumptions'!E52*(F461)+'Assumptions'!E57-'Assumptions'!E62*(1)-'Assumptions'!E67-(0))+('Working Capital'!$E$6))*'DCF'!E12/(1+(G461))^'DCF'!E13,(('Historical Inputs'!$N$9*(1+(D461))^2)*(('Assumptions'!F37+(E461))*(1-'Assumptions'!F42-(0))+'Assumptions'!F47-'Assumptions'!F52*(F461)+'Assumptions'!F57-'Assumptions'!F62*(1)-'Assumptions'!F67-(0))+(('Historical Inputs'!$N$9*(1+(D461))^1)*('Assumptions'!E67+(0))))*'DCF'!F12/(1+(G461))^'DCF'!F13,(('Historical Inputs'!$N$9*(1+(D461))^3)*(('Assumptions'!G37+(E461))*(1-'Assumptions'!G42-(0))+'Assumptions'!G47-'Assumptions'!G52*(F461)+'Assumptions'!G57-'Assumptions'!G62*(1)-'Assumptions'!G67-(0))+(('Historical Inputs'!$N$9*(1+(D461))^2)*('Assumptions'!F67+(0))))*'DCF'!G12/(1+(G461))^'DCF'!G13,(('Historical Inputs'!$N$9*(1+(D461))^4)*(('Assumptions'!H37+(E461))*(1-'Assumptions'!H42-(0))+'Assumptions'!H47-'Assumptions'!H52*(F461)+'Assumptions'!H57-'Assumptions'!H62*(1)-'Assumptions'!H67-(0))+(('Historical Inputs'!$N$9*(1+(D461))^3)*('Assumptions'!G67+(0))))*'DCF'!H12/(1+(G461))^'DCF'!H13,(('Historical Inputs'!$N$9*(1+(D461))^5)*(('Assumptions'!I37+(E461))*(1-'Assumptions'!I42-(0))+'Assumptions'!I47-'Assumptions'!I52*(F461)+'Assumptions'!I57-'Assumptions'!I62*(1)-'Assumptions'!I67-(0))+(('Historical Inputs'!$N$9*(1+(D461))^4)*('Assumptions'!H67+(0))))*'DCF'!I12/(1+(G461))^'DCF'!I13)+('Historical Inputs'!$N$9*(1+(D461))^5)*(1+(H461))*('Terminal Value'!$E$10+(E461))*(1-'Assumptions'!$E$15-(0))*(1-(H461)/('Terminal Value'!$E$12))/((G461)-(H461))/(1+(G461))^'DCF'!$E$19)+'Equity Bridge'!$E$17)/'Equity Bridge'!$E$20</x:f>
        <x:v>295.0584964288709</x:v>
      </x:c>
      <x:c r="X461" s="255" t="n">
        <x:v>0.5993006071596536</x:v>
      </x:c>
      <x:c r="Y461" s="255" t="n">
        <x:v>0.1763260721209151</x:v>
      </x:c>
      <x:c r="Z461" s="255" t="n">
        <x:v>0.23413254355202573</x:v>
      </x:c>
      <x:c r="AA461" s="255" t="n">
        <x:v>0.4533813194697244</x:v>
      </x:c>
      <x:c r="AB461" s="255" t="n">
        <x:v>0.9050026789356558</x:v>
      </x:c>
    </x:row>
    <x:row r="462" ht="24" customHeight="1">
      <x:c r="C462" s="256" t="n">
        <x:f>431</x:f>
        <x:v>431</x:v>
      </x:c>
      <x:c r="D462" s="258" t="n">
        <x:f>IF(X462&lt;($E$12-$D$12)/($F$12-$D$12),$D$12+SQRT(X462*($F$12-$D$12)*($E$12-$D$12)),$F$12-SQRT((1-X462)*($F$12-$D$12)*($F$12-$E$12)))</x:f>
        <x:v>0.15430356310244064</x:v>
      </x:c>
      <x:c r="E462" s="258" t="n">
        <x:f>IF(Y462&lt;($E$13-$D$13)/($F$13-$D$13),$D$13+SQRT(Y462*($F$13-$D$13)*($E$13-$D$13)),$F$13-SQRT((1-Y462)*($F$13-$D$13)*($F$13-$E$13)))</x:f>
        <x:v>-0.012531701260499559</x:v>
      </x:c>
      <x:c r="F462" s="260" t="n">
        <x:f>IF(Z462&lt;($E$14-$D$14)/($F$14-$D$14),$D$14+SQRT(Z462*($F$14-$D$14)*($E$14-$D$14)),$F$14-SQRT((1-Z462)*($F$14-$D$14)*($F$14-$E$14)))</x:f>
        <x:v>1.0338065286870084</x:v>
      </x:c>
      <x:c r="G462" s="258" t="n">
        <x:f>IF(AA462&lt;($E$15-$D$15)/($F$15-$D$15),$D$15+SQRT(AA462*($F$15-$D$15)*($E$15-$D$15)),$F$15-SQRT((1-AA462)*($F$15-$D$15)*($F$15-$E$15)))</x:f>
        <x:v>0.09640482070449745</x:v>
      </x:c>
      <x:c r="H462" s="258" t="n">
        <x:f>IF(AB462&lt;($E$16-$D$16)/($F$16-$D$16),$D$16+SQRT(AB462*($F$16-$D$16)*($E$16-$D$16)),$F$16-SQRT((1-AB462)*($F$16-$D$16)*($F$16-$E$16)))</x:f>
        <x:v>0.03148492342938875</x:v>
      </x:c>
      <x:c r="I462" s="262" t="n">
        <x:f>'Historical Inputs'!$N$9*(1+D462)^5</x:f>
        <x:v>680029.2716214566</x:v>
      </x:c>
      <x:c r="J462" s="262" t="n">
        <x:f>I462*(1+H462)*('Terminal Value'!$E$10+E462)*(1-'Assumptions'!$E$15)*(1-H462/'Terminal Value'!$E$12)</x:f>
        <x:v>183199.9796008244</x:v>
      </x:c>
      <x:c r="K462" s="264" t="n">
        <x:f>((SUM((('Historical Inputs'!$N$9*(1+(D462))^1)*(('Assumptions'!E37+(E462))*(1-'Assumptions'!E42-(0))+'Assumptions'!E47-'Assumptions'!E52*(F462)+'Assumptions'!E57-'Assumptions'!E62*(1)-'Assumptions'!E67-(0))+('Working Capital'!$E$6))*'DCF'!E12/(1+(G462))^'DCF'!E13,(('Historical Inputs'!$N$9*(1+(D462))^2)*(('Assumptions'!F37+(E462))*(1-'Assumptions'!F42-(0))+'Assumptions'!F47-'Assumptions'!F52*(F462)+'Assumptions'!F57-'Assumptions'!F62*(1)-'Assumptions'!F67-(0))+(('Historical Inputs'!$N$9*(1+(D462))^1)*('Assumptions'!E67+(0))))*'DCF'!F12/(1+(G462))^'DCF'!F13,(('Historical Inputs'!$N$9*(1+(D462))^3)*(('Assumptions'!G37+(E462))*(1-'Assumptions'!G42-(0))+'Assumptions'!G47-'Assumptions'!G52*(F462)+'Assumptions'!G57-'Assumptions'!G62*(1)-'Assumptions'!G67-(0))+(('Historical Inputs'!$N$9*(1+(D462))^2)*('Assumptions'!F67+(0))))*'DCF'!G12/(1+(G462))^'DCF'!G13,(('Historical Inputs'!$N$9*(1+(D462))^4)*(('Assumptions'!H37+(E462))*(1-'Assumptions'!H42-(0))+'Assumptions'!H47-'Assumptions'!H52*(F462)+'Assumptions'!H57-'Assumptions'!H62*(1)-'Assumptions'!H67-(0))+(('Historical Inputs'!$N$9*(1+(D462))^3)*('Assumptions'!G67+(0))))*'DCF'!H12/(1+(G462))^'DCF'!H13,(('Historical Inputs'!$N$9*(1+(D462))^5)*(('Assumptions'!I37+(E462))*(1-'Assumptions'!I42-(0))+'Assumptions'!I47-'Assumptions'!I52*(F462)+'Assumptions'!I57-'Assumptions'!I62*(1)-'Assumptions'!I67-(0))+(('Historical Inputs'!$N$9*(1+(D462))^4)*('Assumptions'!H67+(0))))*'DCF'!I12/(1+(G462))^'DCF'!I13)+('Historical Inputs'!$N$9*(1+(D462))^5)*(1+(H462))*('Terminal Value'!$E$10+(E462))*(1-'Assumptions'!$E$15-(0))*(1-(H462)/('Terminal Value'!$E$12))/((G462)-(H462))/(1+(G462))^'DCF'!$E$19)+'Equity Bridge'!$E$17)/'Equity Bridge'!$E$20</x:f>
        <x:v>298.26877142815493</x:v>
      </x:c>
      <x:c r="X462" s="255" t="n">
        <x:v>0.6965256106934974</x:v>
      </x:c>
      <x:c r="Y462" s="255" t="n">
        <x:v>0.28077468208649004</x:v>
      </x:c>
      <x:c r="Z462" s="255" t="n">
        <x:v>0.6054247156133981</x:v>
      </x:c>
      <x:c r="AA462" s="255" t="n">
        <x:v>0.39099038066741376</x:v>
      </x:c>
      <x:c r="AB462" s="255" t="n">
        <x:v>0.637467354983137</x:v>
      </x:c>
    </x:row>
    <x:row r="463" ht="24" customHeight="1">
      <x:c r="C463" s="256" t="n">
        <x:f>432</x:f>
        <x:v>432</x:v>
      </x:c>
      <x:c r="D463" s="258" t="n">
        <x:f>IF(X463&lt;($E$12-$D$12)/($F$12-$D$12),$D$12+SQRT(X463*($F$12-$D$12)*($E$12-$D$12)),$F$12-SQRT((1-X463)*($F$12-$D$12)*($F$12-$E$12)))</x:f>
        <x:v>0.10099813228402214</x:v>
      </x:c>
      <x:c r="E463" s="258" t="n">
        <x:f>IF(Y463&lt;($E$13-$D$13)/($F$13-$D$13),$D$13+SQRT(Y463*($F$13-$D$13)*($E$13-$D$13)),$F$13-SQRT((1-Y463)*($F$13-$D$13)*($F$13-$E$13)))</x:f>
        <x:v>0.027504078567688557</x:v>
      </x:c>
      <x:c r="F463" s="260" t="n">
        <x:f>IF(Z463&lt;($E$14-$D$14)/($F$14-$D$14),$D$14+SQRT(Z463*($F$14-$D$14)*($E$14-$D$14)),$F$14-SQRT((1-Z463)*($F$14-$D$14)*($F$14-$E$14)))</x:f>
        <x:v>1.071745625768975</x:v>
      </x:c>
      <x:c r="G463" s="258" t="n">
        <x:f>IF(AA463&lt;($E$15-$D$15)/($F$15-$D$15),$D$15+SQRT(AA463*($F$15-$D$15)*($E$15-$D$15)),$F$15-SQRT((1-AA463)*($F$15-$D$15)*($F$15-$E$15)))</x:f>
        <x:v>0.09286438728658986</x:v>
      </x:c>
      <x:c r="H463" s="258" t="n">
        <x:f>IF(AB463&lt;($E$16-$D$16)/($F$16-$D$16),$D$16+SQRT(AB463*($F$16-$D$16)*($E$16-$D$16)),$F$16-SQRT((1-AB463)*($F$16-$D$16)*($F$16-$E$16)))</x:f>
        <x:v>0.03348316015388475</x:v>
      </x:c>
      <x:c r="I463" s="262" t="n">
        <x:f>'Historical Inputs'!$N$9*(1+D463)^5</x:f>
        <x:v>536859.1224712067</x:v>
      </x:c>
      <x:c r="J463" s="262" t="n">
        <x:f>I463*(1+H463)*('Terminal Value'!$E$10+E463)*(1-'Assumptions'!$E$15)*(1-H463/'Terminal Value'!$E$12)</x:f>
        <x:v>157987.29222763167</x:v>
      </x:c>
      <x:c r="K463" s="264" t="n">
        <x:f>((SUM((('Historical Inputs'!$N$9*(1+(D463))^1)*(('Assumptions'!E37+(E463))*(1-'Assumptions'!E42-(0))+'Assumptions'!E47-'Assumptions'!E52*(F463)+'Assumptions'!E57-'Assumptions'!E62*(1)-'Assumptions'!E67-(0))+('Working Capital'!$E$6))*'DCF'!E12/(1+(G463))^'DCF'!E13,(('Historical Inputs'!$N$9*(1+(D463))^2)*(('Assumptions'!F37+(E463))*(1-'Assumptions'!F42-(0))+'Assumptions'!F47-'Assumptions'!F52*(F463)+'Assumptions'!F57-'Assumptions'!F62*(1)-'Assumptions'!F67-(0))+(('Historical Inputs'!$N$9*(1+(D463))^1)*('Assumptions'!E67+(0))))*'DCF'!F12/(1+(G463))^'DCF'!F13,(('Historical Inputs'!$N$9*(1+(D463))^3)*(('Assumptions'!G37+(E463))*(1-'Assumptions'!G42-(0))+'Assumptions'!G47-'Assumptions'!G52*(F463)+'Assumptions'!G57-'Assumptions'!G62*(1)-'Assumptions'!G67-(0))+(('Historical Inputs'!$N$9*(1+(D463))^2)*('Assumptions'!F67+(0))))*'DCF'!G12/(1+(G463))^'DCF'!G13,(('Historical Inputs'!$N$9*(1+(D463))^4)*(('Assumptions'!H37+(E463))*(1-'Assumptions'!H42-(0))+'Assumptions'!H47-'Assumptions'!H52*(F463)+'Assumptions'!H57-'Assumptions'!H62*(1)-'Assumptions'!H67-(0))+(('Historical Inputs'!$N$9*(1+(D463))^3)*('Assumptions'!G67+(0))))*'DCF'!H12/(1+(G463))^'DCF'!H13,(('Historical Inputs'!$N$9*(1+(D463))^5)*(('Assumptions'!I37+(E463))*(1-'Assumptions'!I42-(0))+'Assumptions'!I47-'Assumptions'!I52*(F463)+'Assumptions'!I57-'Assumptions'!I62*(1)-'Assumptions'!I67-(0))+(('Historical Inputs'!$N$9*(1+(D463))^4)*('Assumptions'!H67+(0))))*'DCF'!I12/(1+(G463))^'DCF'!I13)+('Historical Inputs'!$N$9*(1+(D463))^5)*(1+(H463))*('Terminal Value'!$E$10+(E463))*(1-'Assumptions'!$E$15-(0))*(1-(H463)/('Terminal Value'!$E$12))/((G463)-(H463))/(1+(G463))^'DCF'!$E$19)+'Equity Bridge'!$E$17)/'Equity Bridge'!$E$20</x:f>
        <x:v>284.9325818044845</x:v>
      </x:c>
      <x:c r="X463" s="255" t="n">
        <x:v>0.011984958224482312</x:v>
      </x:c>
      <x:c r="Y463" s="255" t="n">
        <x:v>0.8987867037822541</x:v>
      </x:c>
      <x:c r="Z463" s="255" t="n">
        <x:v>0.7650116498658317</x:v>
      </x:c>
      <x:c r="AA463" s="255" t="n">
        <x:v>0.21012561328454082</x:v>
      </x:c>
      <x:c r="AB463" s="255" t="n">
        <x:v>0.7876539921004231</x:v>
      </x:c>
    </x:row>
    <x:row r="464" ht="24" customHeight="1">
      <x:c r="C464" s="256" t="n">
        <x:f>433</x:f>
        <x:v>433</x:v>
      </x:c>
      <x:c r="D464" s="258" t="n">
        <x:f>IF(X464&lt;($E$12-$D$12)/($F$12-$D$12),$D$12+SQRT(X464*($F$12-$D$12)*($E$12-$D$12)),$F$12-SQRT((1-X464)*($F$12-$D$12)*($F$12-$E$12)))</x:f>
        <x:v>0.14756279860459381</x:v>
      </x:c>
      <x:c r="E464" s="258" t="n">
        <x:f>IF(Y464&lt;($E$13-$D$13)/($F$13-$D$13),$D$13+SQRT(Y464*($F$13-$D$13)*($E$13-$D$13)),$F$13-SQRT((1-Y464)*($F$13-$D$13)*($F$13-$E$13)))</x:f>
        <x:v>0.021213908019604967</x:v>
      </x:c>
      <x:c r="F464" s="260" t="n">
        <x:f>IF(Z464&lt;($E$14-$D$14)/($F$14-$D$14),$D$14+SQRT(Z464*($F$14-$D$14)*($E$14-$D$14)),$F$14-SQRT((1-Z464)*($F$14-$D$14)*($F$14-$E$14)))</x:f>
        <x:v>0.9968857108832342</x:v>
      </x:c>
      <x:c r="G464" s="258" t="n">
        <x:f>IF(AA464&lt;($E$15-$D$15)/($F$15-$D$15),$D$15+SQRT(AA464*($F$15-$D$15)*($E$15-$D$15)),$F$15-SQRT((1-AA464)*($F$15-$D$15)*($F$15-$E$15)))</x:f>
        <x:v>0.08349312289828009</x:v>
      </x:c>
      <x:c r="H464" s="258" t="n">
        <x:f>IF(AB464&lt;($E$16-$D$16)/($F$16-$D$16),$D$16+SQRT(AB464*($F$16-$D$16)*($E$16-$D$16)),$F$16-SQRT((1-AB464)*($F$16-$D$16)*($F$16-$E$16)))</x:f>
        <x:v>0.02707529760451601</x:v>
      </x:c>
      <x:c r="I464" s="262" t="n">
        <x:f>'Historical Inputs'!$N$9*(1+D464)^5</x:f>
        <x:v>660404.0542277371</x:v>
      </x:c>
      <x:c r="J464" s="262" t="n">
        <x:f>I464*(1+H464)*('Terminal Value'!$E$10+E464)*(1-'Assumptions'!$E$15)*(1-H464/'Terminal Value'!$E$12)</x:f>
        <x:v>197620.38712361117</x:v>
      </x:c>
      <x:c r="K464" s="264" t="n">
        <x:f>((SUM((('Historical Inputs'!$N$9*(1+(D464))^1)*(('Assumptions'!E37+(E464))*(1-'Assumptions'!E42-(0))+'Assumptions'!E47-'Assumptions'!E52*(F464)+'Assumptions'!E57-'Assumptions'!E62*(1)-'Assumptions'!E67-(0))+('Working Capital'!$E$6))*'DCF'!E12/(1+(G464))^'DCF'!E13,(('Historical Inputs'!$N$9*(1+(D464))^2)*(('Assumptions'!F37+(E464))*(1-'Assumptions'!F42-(0))+'Assumptions'!F47-'Assumptions'!F52*(F464)+'Assumptions'!F57-'Assumptions'!F62*(1)-'Assumptions'!F67-(0))+(('Historical Inputs'!$N$9*(1+(D464))^1)*('Assumptions'!E67+(0))))*'DCF'!F12/(1+(G464))^'DCF'!F13,(('Historical Inputs'!$N$9*(1+(D464))^3)*(('Assumptions'!G37+(E464))*(1-'Assumptions'!G42-(0))+'Assumptions'!G47-'Assumptions'!G52*(F464)+'Assumptions'!G57-'Assumptions'!G62*(1)-'Assumptions'!G67-(0))+(('Historical Inputs'!$N$9*(1+(D464))^2)*('Assumptions'!F67+(0))))*'DCF'!G12/(1+(G464))^'DCF'!G13,(('Historical Inputs'!$N$9*(1+(D464))^4)*(('Assumptions'!H37+(E464))*(1-'Assumptions'!H42-(0))+'Assumptions'!H47-'Assumptions'!H52*(F464)+'Assumptions'!H57-'Assumptions'!H62*(1)-'Assumptions'!H67-(0))+(('Historical Inputs'!$N$9*(1+(D464))^3)*('Assumptions'!G67+(0))))*'DCF'!H12/(1+(G464))^'DCF'!H13,(('Historical Inputs'!$N$9*(1+(D464))^5)*(('Assumptions'!I37+(E464))*(1-'Assumptions'!I42-(0))+'Assumptions'!I47-'Assumptions'!I52*(F464)+'Assumptions'!I57-'Assumptions'!I62*(1)-'Assumptions'!I67-(0))+(('Historical Inputs'!$N$9*(1+(D464))^4)*('Assumptions'!H67+(0))))*'DCF'!I12/(1+(G464))^'DCF'!I13)+('Historical Inputs'!$N$9*(1+(D464))^5)*(1+(H464))*('Terminal Value'!$E$10+(E464))*(1-'Assumptions'!$E$15-(0))*(1-(H464)/('Terminal Value'!$E$12))/((G464)-(H464))/(1+(G464))^'DCF'!$E$19)+'Equity Bridge'!$E$17)/'Equity Bridge'!$E$20</x:f>
        <x:v>385.34808914855216</x:v>
      </x:c>
      <x:c r="X464" s="255" t="n">
        <x:v>0.5824075928374121</x:v>
      </x:c>
      <x:c r="Y464" s="255" t="n">
        <x:v>0.8342721816992473</x:v>
      </x:c>
      <x:c r="Z464" s="255" t="n">
        <x:v>0.4109602297461534</x:v>
      </x:c>
      <x:c r="AA464" s="255" t="n">
        <x:v>0.000276522460956774</x:v>
      </x:c>
      <x:c r="AB464" s="255" t="n">
        <x:v>0.25029918096234993</x:v>
      </x:c>
    </x:row>
    <x:row r="465" ht="24" customHeight="1">
      <x:c r="C465" s="256" t="n">
        <x:f>434</x:f>
        <x:v>434</x:v>
      </x:c>
      <x:c r="D465" s="258" t="n">
        <x:f>IF(X465&lt;($E$12-$D$12)/($F$12-$D$12),$D$12+SQRT(X465*($F$12-$D$12)*($E$12-$D$12)),$F$12-SQRT((1-X465)*($F$12-$D$12)*($F$12-$E$12)))</x:f>
        <x:v>0.16244439281421613</x:v>
      </x:c>
      <x:c r="E465" s="258" t="n">
        <x:f>IF(Y465&lt;($E$13-$D$13)/($F$13-$D$13),$D$13+SQRT(Y465*($F$13-$D$13)*($E$13-$D$13)),$F$13-SQRT((1-Y465)*($F$13-$D$13)*($F$13-$E$13)))</x:f>
        <x:v>-0.007643827400982232</x:v>
      </x:c>
      <x:c r="F465" s="260" t="n">
        <x:f>IF(Z465&lt;($E$14-$D$14)/($F$14-$D$14),$D$14+SQRT(Z465*($F$14-$D$14)*($E$14-$D$14)),$F$14-SQRT((1-Z465)*($F$14-$D$14)*($F$14-$E$14)))</x:f>
        <x:v>1.0876096590561954</x:v>
      </x:c>
      <x:c r="G465" s="258" t="n">
        <x:f>IF(AA465&lt;($E$15-$D$15)/($F$15-$D$15),$D$15+SQRT(AA465*($F$15-$D$15)*($E$15-$D$15)),$F$15-SQRT((1-AA465)*($F$15-$D$15)*($F$15-$E$15)))</x:f>
        <x:v>0.09653567590459917</x:v>
      </x:c>
      <x:c r="H465" s="258" t="n">
        <x:f>IF(AB465&lt;($E$16-$D$16)/($F$16-$D$16),$D$16+SQRT(AB465*($F$16-$D$16)*($E$16-$D$16)),$F$16-SQRT((1-AB465)*($F$16-$D$16)*($F$16-$E$16)))</x:f>
        <x:v>0.03020907461437071</x:v>
      </x:c>
      <x:c r="I465" s="262" t="n">
        <x:f>'Historical Inputs'!$N$9*(1+D465)^5</x:f>
        <x:v>704349.7434861358</x:v>
      </x:c>
      <x:c r="J465" s="262" t="n">
        <x:f>I465*(1+H465)*('Terminal Value'!$E$10+E465)*(1-'Assumptions'!$E$15)*(1-H465/'Terminal Value'!$E$12)</x:f>
        <x:v>193360.9129139449</x:v>
      </x:c>
      <x:c r="K465" s="264" t="n">
        <x:f>((SUM((('Historical Inputs'!$N$9*(1+(D465))^1)*(('Assumptions'!E37+(E465))*(1-'Assumptions'!E42-(0))+'Assumptions'!E47-'Assumptions'!E52*(F465)+'Assumptions'!E57-'Assumptions'!E62*(1)-'Assumptions'!E67-(0))+('Working Capital'!$E$6))*'DCF'!E12/(1+(G465))^'DCF'!E13,(('Historical Inputs'!$N$9*(1+(D465))^2)*(('Assumptions'!F37+(E465))*(1-'Assumptions'!F42-(0))+'Assumptions'!F47-'Assumptions'!F52*(F465)+'Assumptions'!F57-'Assumptions'!F62*(1)-'Assumptions'!F67-(0))+(('Historical Inputs'!$N$9*(1+(D465))^1)*('Assumptions'!E67+(0))))*'DCF'!F12/(1+(G465))^'DCF'!F13,(('Historical Inputs'!$N$9*(1+(D465))^3)*(('Assumptions'!G37+(E465))*(1-'Assumptions'!G42-(0))+'Assumptions'!G47-'Assumptions'!G52*(F465)+'Assumptions'!G57-'Assumptions'!G62*(1)-'Assumptions'!G67-(0))+(('Historical Inputs'!$N$9*(1+(D465))^2)*('Assumptions'!F67+(0))))*'DCF'!G12/(1+(G465))^'DCF'!G13,(('Historical Inputs'!$N$9*(1+(D465))^4)*(('Assumptions'!H37+(E465))*(1-'Assumptions'!H42-(0))+'Assumptions'!H47-'Assumptions'!H52*(F465)+'Assumptions'!H57-'Assumptions'!H62*(1)-'Assumptions'!H67-(0))+(('Historical Inputs'!$N$9*(1+(D465))^3)*('Assumptions'!G67+(0))))*'DCF'!H12/(1+(G465))^'DCF'!H13,(('Historical Inputs'!$N$9*(1+(D465))^5)*(('Assumptions'!I37+(E465))*(1-'Assumptions'!I42-(0))+'Assumptions'!I47-'Assumptions'!I52*(F465)+'Assumptions'!I57-'Assumptions'!I62*(1)-'Assumptions'!I67-(0))+(('Historical Inputs'!$N$9*(1+(D465))^4)*('Assumptions'!H67+(0))))*'DCF'!I12/(1+(G465))^'DCF'!I13)+('Historical Inputs'!$N$9*(1+(D465))^5)*(1+(H465))*('Terminal Value'!$E$10+(E465))*(1-'Assumptions'!$E$15-(0))*(1-(H465)/('Terminal Value'!$E$12))/((G465)-(H465))/(1+(G465))^'DCF'!$E$19)+'Equity Bridge'!$E$17)/'Equity Bridge'!$E$20</x:f>
        <x:v>305.0794884324263</x:v>
      </x:c>
      <x:c r="X465" s="255" t="n">
        <x:v>0.810116378675728</x:v>
      </x:c>
      <x:c r="Y465" s="255" t="n">
        <x:v>0.3588090714475567</x:v>
      </x:c>
      <x:c r="Z465" s="255" t="n">
        <x:v>0.8195487323219336</x:v>
      </x:c>
      <x:c r="AA465" s="255" t="n">
        <x:v>0.3987427539369526</x:v>
      </x:c>
      <x:c r="AB465" s="255" t="n">
        <x:v>0.5206889004651999</x:v>
      </x:c>
    </x:row>
    <x:row r="466" ht="24" customHeight="1">
      <x:c r="C466" s="256" t="n">
        <x:f>435</x:f>
        <x:v>435</x:v>
      </x:c>
      <x:c r="D466" s="258" t="n">
        <x:f>IF(X466&lt;($E$12-$D$12)/($F$12-$D$12),$D$12+SQRT(X466*($F$12-$D$12)*($E$12-$D$12)),$F$12-SQRT((1-X466)*($F$12-$D$12)*($F$12-$E$12)))</x:f>
        <x:v>0.13135999455250835</x:v>
      </x:c>
      <x:c r="E466" s="258" t="n">
        <x:f>IF(Y466&lt;($E$13-$D$13)/($F$13-$D$13),$D$13+SQRT(Y466*($F$13-$D$13)*($E$13-$D$13)),$F$13-SQRT((1-Y466)*($F$13-$D$13)*($F$13-$E$13)))</x:f>
        <x:v>0.007730450628490329</x:v>
      </x:c>
      <x:c r="F466" s="260" t="n">
        <x:f>IF(Z466&lt;($E$14-$D$14)/($F$14-$D$14),$D$14+SQRT(Z466*($F$14-$D$14)*($E$14-$D$14)),$F$14-SQRT((1-Z466)*($F$14-$D$14)*($F$14-$E$14)))</x:f>
        <x:v>0.8969066070084274</x:v>
      </x:c>
      <x:c r="G466" s="258" t="n">
        <x:f>IF(AA466&lt;($E$15-$D$15)/($F$15-$D$15),$D$15+SQRT(AA466*($F$15-$D$15)*($E$15-$D$15)),$F$15-SQRT((1-AA466)*($F$15-$D$15)*($F$15-$E$15)))</x:f>
        <x:v>0.10519228267069422</x:v>
      </x:c>
      <x:c r="H466" s="258" t="n">
        <x:f>IF(AB466&lt;($E$16-$D$16)/($F$16-$D$16),$D$16+SQRT(AB466*($F$16-$D$16)*($E$16-$D$16)),$F$16-SQRT((1-AB466)*($F$16-$D$16)*($F$16-$E$16)))</x:f>
        <x:v>0.03861509008158355</x:v>
      </x:c>
      <x:c r="I466" s="262" t="n">
        <x:f>'Historical Inputs'!$N$9*(1+D466)^5</x:f>
        <x:v>615079.871560635</x:v>
      </x:c>
      <x:c r="J466" s="262" t="n">
        <x:f>I466*(1+H466)*('Terminal Value'!$E$10+E466)*(1-'Assumptions'!$E$15)*(1-H466/'Terminal Value'!$E$12)</x:f>
        <x:v>168144.32179780677</x:v>
      </x:c>
      <x:c r="K466" s="264" t="n">
        <x:f>((SUM((('Historical Inputs'!$N$9*(1+(D466))^1)*(('Assumptions'!E37+(E466))*(1-'Assumptions'!E42-(0))+'Assumptions'!E47-'Assumptions'!E52*(F466)+'Assumptions'!E57-'Assumptions'!E62*(1)-'Assumptions'!E67-(0))+('Working Capital'!$E$6))*'DCF'!E12/(1+(G466))^'DCF'!E13,(('Historical Inputs'!$N$9*(1+(D466))^2)*(('Assumptions'!F37+(E466))*(1-'Assumptions'!F42-(0))+'Assumptions'!F47-'Assumptions'!F52*(F466)+'Assumptions'!F57-'Assumptions'!F62*(1)-'Assumptions'!F67-(0))+(('Historical Inputs'!$N$9*(1+(D466))^1)*('Assumptions'!E67+(0))))*'DCF'!F12/(1+(G466))^'DCF'!F13,(('Historical Inputs'!$N$9*(1+(D466))^3)*(('Assumptions'!G37+(E466))*(1-'Assumptions'!G42-(0))+'Assumptions'!G47-'Assumptions'!G52*(F466)+'Assumptions'!G57-'Assumptions'!G62*(1)-'Assumptions'!G67-(0))+(('Historical Inputs'!$N$9*(1+(D466))^2)*('Assumptions'!F67+(0))))*'DCF'!G12/(1+(G466))^'DCF'!G13,(('Historical Inputs'!$N$9*(1+(D466))^4)*(('Assumptions'!H37+(E466))*(1-'Assumptions'!H42-(0))+'Assumptions'!H47-'Assumptions'!H52*(F466)+'Assumptions'!H57-'Assumptions'!H62*(1)-'Assumptions'!H67-(0))+(('Historical Inputs'!$N$9*(1+(D466))^3)*('Assumptions'!G67+(0))))*'DCF'!H12/(1+(G466))^'DCF'!H13,(('Historical Inputs'!$N$9*(1+(D466))^5)*(('Assumptions'!I37+(E466))*(1-'Assumptions'!I42-(0))+'Assumptions'!I47-'Assumptions'!I52*(F466)+'Assumptions'!I57-'Assumptions'!I62*(1)-'Assumptions'!I67-(0))+(('Historical Inputs'!$N$9*(1+(D466))^4)*('Assumptions'!H67+(0))))*'DCF'!I12/(1+(G466))^'DCF'!I13)+('Historical Inputs'!$N$9*(1+(D466))^5)*(1+(H466))*('Terminal Value'!$E$10+(E466))*(1-'Assumptions'!$E$15-(0))*(1-(H466)/('Terminal Value'!$E$12))/((G466)-(H466))/(1+(G466))^'DCF'!$E$19)+'Equity Bridge'!$E$17)/'Equity Bridge'!$E$20</x:f>
        <x:v>271.7323171593964</x:v>
      </x:c>
      <x:c r="X466" s="255" t="n">
        <x:v>0.29036730611853334</x:v>
      </x:c>
      <x:c r="Y466" s="255" t="n">
        <x:v>0.6426570391859013</x:v>
      </x:c>
      <x:c r="Z466" s="255" t="n">
        <x:v>0.04190913868653434</x:v>
      </x:c>
      <x:c r="AA466" s="255" t="n">
        <x:v>0.8596175979459953</x:v>
      </x:c>
      <x:c r="AB466" s="255" t="n">
        <x:v>0.9904101225893587</x:v>
      </x:c>
    </x:row>
    <x:row r="467" ht="24" customHeight="1">
      <x:c r="C467" s="256" t="n">
        <x:f>436</x:f>
        <x:v>436</x:v>
      </x:c>
      <x:c r="D467" s="258" t="n">
        <x:f>IF(X467&lt;($E$12-$D$12)/($F$12-$D$12),$D$12+SQRT(X467*($F$12-$D$12)*($E$12-$D$12)),$F$12-SQRT((1-X467)*($F$12-$D$12)*($F$12-$E$12)))</x:f>
        <x:v>0.16298017574307866</x:v>
      </x:c>
      <x:c r="E467" s="258" t="n">
        <x:f>IF(Y467&lt;($E$13-$D$13)/($F$13-$D$13),$D$13+SQRT(Y467*($F$13-$D$13)*($E$13-$D$13)),$F$13-SQRT((1-Y467)*($F$13-$D$13)*($F$13-$E$13)))</x:f>
        <x:v>0.00313289938452975</x:v>
      </x:c>
      <x:c r="F467" s="260" t="n">
        <x:f>IF(Z467&lt;($E$14-$D$14)/($F$14-$D$14),$D$14+SQRT(Z467*($F$14-$D$14)*($E$14-$D$14)),$F$14-SQRT((1-Z467)*($F$14-$D$14)*($F$14-$E$14)))</x:f>
        <x:v>1.0300101631078329</x:v>
      </x:c>
      <x:c r="G467" s="258" t="n">
        <x:f>IF(AA467&lt;($E$15-$D$15)/($F$15-$D$15),$D$15+SQRT(AA467*($F$15-$D$15)*($E$15-$D$15)),$F$15-SQRT((1-AA467)*($F$15-$D$15)*($F$15-$E$15)))</x:f>
        <x:v>0.08951332648318933</x:v>
      </x:c>
      <x:c r="H467" s="258" t="n">
        <x:f>IF(AB467&lt;($E$16-$D$16)/($F$16-$D$16),$D$16+SQRT(AB467*($F$16-$D$16)*($E$16-$D$16)),$F$16-SQRT((1-AB467)*($F$16-$D$16)*($F$16-$E$16)))</x:f>
        <x:v>0.03364172473495716</x:v>
      </x:c>
      <x:c r="I467" s="262" t="n">
        <x:f>'Historical Inputs'!$N$9*(1+D467)^5</x:f>
        <x:v>705974.4517593919</x:v>
      </x:c>
      <x:c r="J467" s="262" t="n">
        <x:f>I467*(1+H467)*('Terminal Value'!$E$10+E467)*(1-'Assumptions'!$E$15)*(1-H467/'Terminal Value'!$E$12)</x:f>
        <x:v>195754.45717423162</x:v>
      </x:c>
      <x:c r="K467" s="264" t="n">
        <x:f>((SUM((('Historical Inputs'!$N$9*(1+(D467))^1)*(('Assumptions'!E37+(E467))*(1-'Assumptions'!E42-(0))+'Assumptions'!E47-'Assumptions'!E52*(F467)+'Assumptions'!E57-'Assumptions'!E62*(1)-'Assumptions'!E67-(0))+('Working Capital'!$E$6))*'DCF'!E12/(1+(G467))^'DCF'!E13,(('Historical Inputs'!$N$9*(1+(D467))^2)*(('Assumptions'!F37+(E467))*(1-'Assumptions'!F42-(0))+'Assumptions'!F47-'Assumptions'!F52*(F467)+'Assumptions'!F57-'Assumptions'!F62*(1)-'Assumptions'!F67-(0))+(('Historical Inputs'!$N$9*(1+(D467))^1)*('Assumptions'!E67+(0))))*'DCF'!F12/(1+(G467))^'DCF'!F13,(('Historical Inputs'!$N$9*(1+(D467))^3)*(('Assumptions'!G37+(E467))*(1-'Assumptions'!G42-(0))+'Assumptions'!G47-'Assumptions'!G52*(F467)+'Assumptions'!G57-'Assumptions'!G62*(1)-'Assumptions'!G67-(0))+(('Historical Inputs'!$N$9*(1+(D467))^2)*('Assumptions'!F67+(0))))*'DCF'!G12/(1+(G467))^'DCF'!G13,(('Historical Inputs'!$N$9*(1+(D467))^4)*(('Assumptions'!H37+(E467))*(1-'Assumptions'!H42-(0))+'Assumptions'!H47-'Assumptions'!H52*(F467)+'Assumptions'!H57-'Assumptions'!H62*(1)-'Assumptions'!H67-(0))+(('Historical Inputs'!$N$9*(1+(D467))^3)*('Assumptions'!G67+(0))))*'DCF'!H12/(1+(G467))^'DCF'!H13,(('Historical Inputs'!$N$9*(1+(D467))^5)*(('Assumptions'!I37+(E467))*(1-'Assumptions'!I42-(0))+'Assumptions'!I47-'Assumptions'!I52*(F467)+'Assumptions'!I57-'Assumptions'!I62*(1)-'Assumptions'!I67-(0))+(('Historical Inputs'!$N$9*(1+(D467))^4)*('Assumptions'!H67+(0))))*'DCF'!I12/(1+(G467))^'DCF'!I13)+('Historical Inputs'!$N$9*(1+(D467))^5)*(1+(H467))*('Terminal Value'!$E$10+(E467))*(1-'Assumptions'!$E$15-(0))*(1-(H467)/('Terminal Value'!$E$12))/((G467)-(H467))/(1+(G467))^'DCF'!$E$19)+'Equity Bridge'!$E$17)/'Equity Bridge'!$E$20</x:f>
        <x:v>372.96151718350274</x:v>
      </x:c>
      <x:c r="X467" s="255" t="n">
        <x:v>0.8166625182535234</x:v>
      </x:c>
      <x:c r="Y467" s="255" t="n">
        <x:v>0.5606949759798776</x:v>
      </x:c>
      <x:c r="Z467" s="255" t="n">
        <x:v>0.5871922193339199</x:v>
      </x:c>
      <x:c r="AA467" s="255" t="n">
        <x:v>0.09025462971809373</x:v>
      </x:c>
      <x:c r="AB467" s="255" t="n">
        <x:v>0.797861678269722</x:v>
      </x:c>
    </x:row>
    <x:row r="468" ht="24" customHeight="1">
      <x:c r="C468" s="256" t="n">
        <x:f>437</x:f>
        <x:v>437</x:v>
      </x:c>
      <x:c r="D468" s="258" t="n">
        <x:f>IF(X468&lt;($E$12-$D$12)/($F$12-$D$12),$D$12+SQRT(X468*($F$12-$D$12)*($E$12-$D$12)),$F$12-SQRT((1-X468)*($F$12-$D$12)*($F$12-$E$12)))</x:f>
        <x:v>0.171626436681034</x:v>
      </x:c>
      <x:c r="E468" s="258" t="n">
        <x:f>IF(Y468&lt;($E$13-$D$13)/($F$13-$D$13),$D$13+SQRT(Y468*($F$13-$D$13)*($E$13-$D$13)),$F$13-SQRT((1-Y468)*($F$13-$D$13)*($F$13-$E$13)))</x:f>
        <x:v>-0.03108892683557864</x:v>
      </x:c>
      <x:c r="F468" s="260" t="n">
        <x:f>IF(Z468&lt;($E$14-$D$14)/($F$14-$D$14),$D$14+SQRT(Z468*($F$14-$D$14)*($E$14-$D$14)),$F$14-SQRT((1-Z468)*($F$14-$D$14)*($F$14-$E$14)))</x:f>
        <x:v>1.1087225525445115</x:v>
      </x:c>
      <x:c r="G468" s="258" t="n">
        <x:f>IF(AA468&lt;($E$15-$D$15)/($F$15-$D$15),$D$15+SQRT(AA468*($F$15-$D$15)*($E$15-$D$15)),$F$15-SQRT((1-AA468)*($F$15-$D$15)*($F$15-$E$15)))</x:f>
        <x:v>0.0959237545930281</x:v>
      </x:c>
      <x:c r="H468" s="258" t="n">
        <x:f>IF(AB468&lt;($E$16-$D$16)/($F$16-$D$16),$D$16+SQRT(AB468*($F$16-$D$16)*($E$16-$D$16)),$F$16-SQRT((1-AB468)*($F$16-$D$16)*($F$16-$E$16)))</x:f>
        <x:v>0.02593475294948759</x:v>
      </x:c>
      <x:c r="I468" s="262" t="n">
        <x:f>'Historical Inputs'!$N$9*(1+D468)^5</x:f>
        <x:v>732610.6687536718</x:v>
      </x:c>
      <x:c r="J468" s="262" t="n">
        <x:f>I468*(1+H468)*('Terminal Value'!$E$10+E468)*(1-'Assumptions'!$E$15)*(1-H468/'Terminal Value'!$E$12)</x:f>
        <x:v>193057.5247519796</x:v>
      </x:c>
      <x:c r="K468" s="264" t="n">
        <x:f>((SUM((('Historical Inputs'!$N$9*(1+(D468))^1)*(('Assumptions'!E37+(E468))*(1-'Assumptions'!E42-(0))+'Assumptions'!E47-'Assumptions'!E52*(F468)+'Assumptions'!E57-'Assumptions'!E62*(1)-'Assumptions'!E67-(0))+('Working Capital'!$E$6))*'DCF'!E12/(1+(G468))^'DCF'!E13,(('Historical Inputs'!$N$9*(1+(D468))^2)*(('Assumptions'!F37+(E468))*(1-'Assumptions'!F42-(0))+'Assumptions'!F47-'Assumptions'!F52*(F468)+'Assumptions'!F57-'Assumptions'!F62*(1)-'Assumptions'!F67-(0))+(('Historical Inputs'!$N$9*(1+(D468))^1)*('Assumptions'!E67+(0))))*'DCF'!F12/(1+(G468))^'DCF'!F13,(('Historical Inputs'!$N$9*(1+(D468))^3)*(('Assumptions'!G37+(E468))*(1-'Assumptions'!G42-(0))+'Assumptions'!G47-'Assumptions'!G52*(F468)+'Assumptions'!G57-'Assumptions'!G62*(1)-'Assumptions'!G67-(0))+(('Historical Inputs'!$N$9*(1+(D468))^2)*('Assumptions'!F67+(0))))*'DCF'!G12/(1+(G468))^'DCF'!G13,(('Historical Inputs'!$N$9*(1+(D468))^4)*(('Assumptions'!H37+(E468))*(1-'Assumptions'!H42-(0))+'Assumptions'!H47-'Assumptions'!H52*(F468)+'Assumptions'!H57-'Assumptions'!H62*(1)-'Assumptions'!H67-(0))+(('Historical Inputs'!$N$9*(1+(D468))^3)*('Assumptions'!G67+(0))))*'DCF'!H12/(1+(G468))^'DCF'!H13,(('Historical Inputs'!$N$9*(1+(D468))^5)*(('Assumptions'!I37+(E468))*(1-'Assumptions'!I42-(0))+'Assumptions'!I47-'Assumptions'!I52*(F468)+'Assumptions'!I57-'Assumptions'!I62*(1)-'Assumptions'!I67-(0))+(('Historical Inputs'!$N$9*(1+(D468))^4)*('Assumptions'!H67+(0))))*'DCF'!I12/(1+(G468))^'DCF'!I13)+('Historical Inputs'!$N$9*(1+(D468))^5)*(1+(H468))*('Terminal Value'!$E$10+(E468))*(1-'Assumptions'!$E$15-(0))*(1-(H468)/('Terminal Value'!$E$12))/((G468)-(H468))/(1+(G468))^'DCF'!$E$19)+'Equity Bridge'!$E$17)/'Equity Bridge'!$E$20</x:f>
        <x:v>287.0582387159682</x:v>
      </x:c>
      <x:c r="X468" s="255" t="n">
        <x:v>0.9064235572567789</x:v>
      </x:c>
      <x:c r="Y468" s="255" t="n">
        <x:v>0.07152573764601955</x:v>
      </x:c>
      <x:c r="Z468" s="255" t="n">
        <x:v>0.8809775369430075</x:v>
      </x:c>
      <x:c r="AA468" s="255" t="n">
        <x:v>0.36314431062096664</x:v>
      </x:c>
      <x:c r="AB468" s="255" t="n">
        <x:v>0.1761064628572585</x:v>
      </x:c>
    </x:row>
    <x:row r="469" ht="24" customHeight="1">
      <x:c r="C469" s="256" t="n">
        <x:f>438</x:f>
        <x:v>438</x:v>
      </x:c>
      <x:c r="D469" s="258" t="n">
        <x:f>IF(X469&lt;($E$12-$D$12)/($F$12-$D$12),$D$12+SQRT(X469*($F$12-$D$12)*($E$12-$D$12)),$F$12-SQRT((1-X469)*($F$12-$D$12)*($F$12-$E$12)))</x:f>
        <x:v>0.13423961049762456</x:v>
      </x:c>
      <x:c r="E469" s="258" t="n">
        <x:f>IF(Y469&lt;($E$13-$D$13)/($F$13-$D$13),$D$13+SQRT(Y469*($F$13-$D$13)*($E$13-$D$13)),$F$13-SQRT((1-Y469)*($F$13-$D$13)*($F$13-$E$13)))</x:f>
        <x:v>-0.040075267960809596</x:v>
      </x:c>
      <x:c r="F469" s="260" t="n">
        <x:f>IF(Z469&lt;($E$14-$D$14)/($F$14-$D$14),$D$14+SQRT(Z469*($F$14-$D$14)*($E$14-$D$14)),$F$14-SQRT((1-Z469)*($F$14-$D$14)*($F$14-$E$14)))</x:f>
        <x:v>0.9948399922786255</x:v>
      </x:c>
      <x:c r="G469" s="258" t="n">
        <x:f>IF(AA469&lt;($E$15-$D$15)/($F$15-$D$15),$D$15+SQRT(AA469*($F$15-$D$15)*($E$15-$D$15)),$F$15-SQRT((1-AA469)*($F$15-$D$15)*($F$15-$E$15)))</x:f>
        <x:v>0.09049131647733441</x:v>
      </x:c>
      <x:c r="H469" s="258" t="n">
        <x:f>IF(AB469&lt;($E$16-$D$16)/($F$16-$D$16),$D$16+SQRT(AB469*($F$16-$D$16)*($E$16-$D$16)),$F$16-SQRT((1-AB469)*($F$16-$D$16)*($F$16-$E$16)))</x:f>
        <x:v>0.025240659686320707</x:v>
      </x:c>
      <x:c r="I469" s="262" t="n">
        <x:f>'Historical Inputs'!$N$9*(1+D469)^5</x:f>
        <x:v>622947.5402211265</x:v>
      </x:c>
      <x:c r="J469" s="262" t="n">
        <x:f>I469*(1+H469)*('Terminal Value'!$E$10+E469)*(1-'Assumptions'!$E$15)*(1-H469/'Terminal Value'!$E$12)</x:f>
        <x:v>160690.19385579348</x:v>
      </x:c>
      <x:c r="K469" s="264" t="n">
        <x:f>((SUM((('Historical Inputs'!$N$9*(1+(D469))^1)*(('Assumptions'!E37+(E469))*(1-'Assumptions'!E42-(0))+'Assumptions'!E47-'Assumptions'!E52*(F469)+'Assumptions'!E57-'Assumptions'!E62*(1)-'Assumptions'!E67-(0))+('Working Capital'!$E$6))*'DCF'!E12/(1+(G469))^'DCF'!E13,(('Historical Inputs'!$N$9*(1+(D469))^2)*(('Assumptions'!F37+(E469))*(1-'Assumptions'!F42-(0))+'Assumptions'!F47-'Assumptions'!F52*(F469)+'Assumptions'!F57-'Assumptions'!F62*(1)-'Assumptions'!F67-(0))+(('Historical Inputs'!$N$9*(1+(D469))^1)*('Assumptions'!E67+(0))))*'DCF'!F12/(1+(G469))^'DCF'!F13,(('Historical Inputs'!$N$9*(1+(D469))^3)*(('Assumptions'!G37+(E469))*(1-'Assumptions'!G42-(0))+'Assumptions'!G47-'Assumptions'!G52*(F469)+'Assumptions'!G57-'Assumptions'!G62*(1)-'Assumptions'!G67-(0))+(('Historical Inputs'!$N$9*(1+(D469))^2)*('Assumptions'!F67+(0))))*'DCF'!G12/(1+(G469))^'DCF'!G13,(('Historical Inputs'!$N$9*(1+(D469))^4)*(('Assumptions'!H37+(E469))*(1-'Assumptions'!H42-(0))+'Assumptions'!H47-'Assumptions'!H52*(F469)+'Assumptions'!H57-'Assumptions'!H62*(1)-'Assumptions'!H67-(0))+(('Historical Inputs'!$N$9*(1+(D469))^3)*('Assumptions'!G67+(0))))*'DCF'!H12/(1+(G469))^'DCF'!H13,(('Historical Inputs'!$N$9*(1+(D469))^5)*(('Assumptions'!I37+(E469))*(1-'Assumptions'!I42-(0))+'Assumptions'!I47-'Assumptions'!I52*(F469)+'Assumptions'!I57-'Assumptions'!I62*(1)-'Assumptions'!I67-(0))+(('Historical Inputs'!$N$9*(1+(D469))^4)*('Assumptions'!H67+(0))))*'DCF'!I12/(1+(G469))^'DCF'!I13)+('Historical Inputs'!$N$9*(1+(D469))^5)*(1+(H469))*('Terminal Value'!$E$10+(E469))*(1-'Assumptions'!$E$15-(0))*(1-(H469)/('Terminal Value'!$E$12))/((G469)-(H469))/(1+(G469))^'DCF'!$E$19)+'Equity Bridge'!$E$17)/'Equity Bridge'!$E$20</x:f>
        <x:v>266.8966580126488</x:v>
      </x:c>
      <x:c r="X469" s="255" t="n">
        <x:v>0.3359145148445736</x:v>
      </x:c>
      <x:c r="Y469" s="255" t="n">
        <x:v>0.019700061209946496</x:v>
      </x:c>
      <x:c r="Z469" s="255" t="n">
        <x:v>0.3995928259670919</x:v>
      </x:c>
      <x:c r="AA469" s="255" t="n">
        <x:v>0.12008094341309072</x:v>
      </x:c>
      <x:c r="AB469" s="255" t="n">
        <x:v>0.13732256973913548</x:v>
      </x:c>
    </x:row>
    <x:row r="470" ht="24" customHeight="1">
      <x:c r="C470" s="256" t="n">
        <x:f>439</x:f>
        <x:v>439</x:v>
      </x:c>
      <x:c r="D470" s="258" t="n">
        <x:f>IF(X470&lt;($E$12-$D$12)/($F$12-$D$12),$D$12+SQRT(X470*($F$12-$D$12)*($E$12-$D$12)),$F$12-SQRT((1-X470)*($F$12-$D$12)*($F$12-$E$12)))</x:f>
        <x:v>0.15028520128320566</x:v>
      </x:c>
      <x:c r="E470" s="258" t="n">
        <x:f>IF(Y470&lt;($E$13-$D$13)/($F$13-$D$13),$D$13+SQRT(Y470*($F$13-$D$13)*($E$13-$D$13)),$F$13-SQRT((1-Y470)*($F$13-$D$13)*($F$13-$E$13)))</x:f>
        <x:v>-0.022635498751518192</x:v>
      </x:c>
      <x:c r="F470" s="260" t="n">
        <x:f>IF(Z470&lt;($E$14-$D$14)/($F$14-$D$14),$D$14+SQRT(Z470*($F$14-$D$14)*($E$14-$D$14)),$F$14-SQRT((1-Z470)*($F$14-$D$14)*($F$14-$E$14)))</x:f>
        <x:v>0.9939802113512538</x:v>
      </x:c>
      <x:c r="G470" s="258" t="n">
        <x:f>IF(AA470&lt;($E$15-$D$15)/($F$15-$D$15),$D$15+SQRT(AA470*($F$15-$D$15)*($E$15-$D$15)),$F$15-SQRT((1-AA470)*($F$15-$D$15)*($F$15-$E$15)))</x:f>
        <x:v>0.10746169092837062</x:v>
      </x:c>
      <x:c r="H470" s="258" t="n">
        <x:f>IF(AB470&lt;($E$16-$D$16)/($F$16-$D$16),$D$16+SQRT(AB470*($F$16-$D$16)*($E$16-$D$16)),$F$16-SQRT((1-AB470)*($F$16-$D$16)*($F$16-$E$16)))</x:f>
        <x:v>0.03392198551031054</x:v>
      </x:c>
      <x:c r="I470" s="262" t="n">
        <x:f>'Historical Inputs'!$N$9*(1+D470)^5</x:f>
        <x:v>668274.8060581699</x:v>
      </x:c>
      <x:c r="J470" s="262" t="n">
        <x:f>I470*(1+H470)*('Terminal Value'!$E$10+E470)*(1-'Assumptions'!$E$15)*(1-H470/'Terminal Value'!$E$12)</x:f>
        <x:v>173211.22688190732</x:v>
      </x:c>
      <x:c r="K470" s="264" t="n">
        <x:f>((SUM((('Historical Inputs'!$N$9*(1+(D470))^1)*(('Assumptions'!E37+(E470))*(1-'Assumptions'!E42-(0))+'Assumptions'!E47-'Assumptions'!E52*(F470)+'Assumptions'!E57-'Assumptions'!E62*(1)-'Assumptions'!E67-(0))+('Working Capital'!$E$6))*'DCF'!E12/(1+(G470))^'DCF'!E13,(('Historical Inputs'!$N$9*(1+(D470))^2)*(('Assumptions'!F37+(E470))*(1-'Assumptions'!F42-(0))+'Assumptions'!F47-'Assumptions'!F52*(F470)+'Assumptions'!F57-'Assumptions'!F62*(1)-'Assumptions'!F67-(0))+(('Historical Inputs'!$N$9*(1+(D470))^1)*('Assumptions'!E67+(0))))*'DCF'!F12/(1+(G470))^'DCF'!F13,(('Historical Inputs'!$N$9*(1+(D470))^3)*(('Assumptions'!G37+(E470))*(1-'Assumptions'!G42-(0))+'Assumptions'!G47-'Assumptions'!G52*(F470)+'Assumptions'!G57-'Assumptions'!G62*(1)-'Assumptions'!G67-(0))+(('Historical Inputs'!$N$9*(1+(D470))^2)*('Assumptions'!F67+(0))))*'DCF'!G12/(1+(G470))^'DCF'!G13,(('Historical Inputs'!$N$9*(1+(D470))^4)*(('Assumptions'!H37+(E470))*(1-'Assumptions'!H42-(0))+'Assumptions'!H47-'Assumptions'!H52*(F470)+'Assumptions'!H57-'Assumptions'!H62*(1)-'Assumptions'!H67-(0))+(('Historical Inputs'!$N$9*(1+(D470))^3)*('Assumptions'!G67+(0))))*'DCF'!H12/(1+(G470))^'DCF'!H13,(('Historical Inputs'!$N$9*(1+(D470))^5)*(('Assumptions'!I37+(E470))*(1-'Assumptions'!I42-(0))+'Assumptions'!I47-'Assumptions'!I52*(F470)+'Assumptions'!I57-'Assumptions'!I62*(1)-'Assumptions'!I67-(0))+(('Historical Inputs'!$N$9*(1+(D470))^4)*('Assumptions'!H67+(0))))*'DCF'!I12/(1+(G470))^'DCF'!I13)+('Historical Inputs'!$N$9*(1+(D470))^5)*(1+(H470))*('Terminal Value'!$E$10+(E470))*(1-'Assumptions'!$E$15-(0))*(1-(H470)/('Terminal Value'!$E$12))/((G470)-(H470))/(1+(G470))^'DCF'!$E$19)+'Equity Bridge'!$E$17)/'Equity Bridge'!$E$20</x:f>
        <x:v>246.50223642463652</x:v>
      </x:c>
      <x:c r="X470" s="255" t="n">
        <x:v>0.6306845278465897</x:v>
      </x:c>
      <x:c r="Y470" s="255" t="n">
        <x:v>0.14976318571563252</x:v>
      </x:c>
      <x:c r="Z470" s="255" t="n">
        <x:v>0.3948628811571757</x:v>
      </x:c>
      <x:c r="AA470" s="255" t="n">
        <x:v>0.92833913789668</x:v>
      </x:c>
      <x:c r="AB470" s="255" t="n">
        <x:v>0.8152886993156246</x:v>
      </x:c>
    </x:row>
    <x:row r="471" ht="24" customHeight="1">
      <x:c r="C471" s="256" t="n">
        <x:f>440</x:f>
        <x:v>440</x:v>
      </x:c>
      <x:c r="D471" s="258" t="n">
        <x:f>IF(X471&lt;($E$12-$D$12)/($F$12-$D$12),$D$12+SQRT(X471*($F$12-$D$12)*($E$12-$D$12)),$F$12-SQRT((1-X471)*($F$12-$D$12)*($F$12-$E$12)))</x:f>
        <x:v>0.1430299078600068</x:v>
      </x:c>
      <x:c r="E471" s="258" t="n">
        <x:f>IF(Y471&lt;($E$13-$D$13)/($F$13-$D$13),$D$13+SQRT(Y471*($F$13-$D$13)*($E$13-$D$13)),$F$13-SQRT((1-Y471)*($F$13-$D$13)*($F$13-$E$13)))</x:f>
        <x:v>0.004654329228006876</x:v>
      </x:c>
      <x:c r="F471" s="260" t="n">
        <x:f>IF(Z471&lt;($E$14-$D$14)/($F$14-$D$14),$D$14+SQRT(Z471*($F$14-$D$14)*($E$14-$D$14)),$F$14-SQRT((1-Z471)*($F$14-$D$14)*($F$14-$E$14)))</x:f>
        <x:v>1.0925393651789614</x:v>
      </x:c>
      <x:c r="G471" s="258" t="n">
        <x:f>IF(AA471&lt;($E$15-$D$15)/($F$15-$D$15),$D$15+SQRT(AA471*($F$15-$D$15)*($E$15-$D$15)),$F$15-SQRT((1-AA471)*($F$15-$D$15)*($F$15-$E$15)))</x:f>
        <x:v>0.09735378178188174</x:v>
      </x:c>
      <x:c r="H471" s="258" t="n">
        <x:f>IF(AB471&lt;($E$16-$D$16)/($F$16-$D$16),$D$16+SQRT(AB471*($F$16-$D$16)*($E$16-$D$16)),$F$16-SQRT((1-AB471)*($F$16-$D$16)*($F$16-$E$16)))</x:f>
        <x:v>0.025725544950506073</x:v>
      </x:c>
      <x:c r="I471" s="262" t="n">
        <x:f>'Historical Inputs'!$N$9*(1+D471)^5</x:f>
        <x:v>647463.6573939613</x:v>
      </x:c>
      <x:c r="J471" s="262" t="n">
        <x:f>I471*(1+H471)*('Terminal Value'!$E$10+E471)*(1-'Assumptions'!$E$15)*(1-H471/'Terminal Value'!$E$12)</x:f>
        <x:v>187337.3978100798</x:v>
      </x:c>
      <x:c r="K471" s="264" t="n">
        <x:f>((SUM((('Historical Inputs'!$N$9*(1+(D471))^1)*(('Assumptions'!E37+(E471))*(1-'Assumptions'!E42-(0))+'Assumptions'!E47-'Assumptions'!E52*(F471)+'Assumptions'!E57-'Assumptions'!E62*(1)-'Assumptions'!E67-(0))+('Working Capital'!$E$6))*'DCF'!E12/(1+(G471))^'DCF'!E13,(('Historical Inputs'!$N$9*(1+(D471))^2)*(('Assumptions'!F37+(E471))*(1-'Assumptions'!F42-(0))+'Assumptions'!F47-'Assumptions'!F52*(F471)+'Assumptions'!F57-'Assumptions'!F62*(1)-'Assumptions'!F67-(0))+(('Historical Inputs'!$N$9*(1+(D471))^1)*('Assumptions'!E67+(0))))*'DCF'!F12/(1+(G471))^'DCF'!F13,(('Historical Inputs'!$N$9*(1+(D471))^3)*(('Assumptions'!G37+(E471))*(1-'Assumptions'!G42-(0))+'Assumptions'!G47-'Assumptions'!G52*(F471)+'Assumptions'!G57-'Assumptions'!G62*(1)-'Assumptions'!G67-(0))+(('Historical Inputs'!$N$9*(1+(D471))^2)*('Assumptions'!F67+(0))))*'DCF'!G12/(1+(G471))^'DCF'!G13,(('Historical Inputs'!$N$9*(1+(D471))^4)*(('Assumptions'!H37+(E471))*(1-'Assumptions'!H42-(0))+'Assumptions'!H47-'Assumptions'!H52*(F471)+'Assumptions'!H57-'Assumptions'!H62*(1)-'Assumptions'!H67-(0))+(('Historical Inputs'!$N$9*(1+(D471))^3)*('Assumptions'!G67+(0))))*'DCF'!H12/(1+(G471))^'DCF'!H13,(('Historical Inputs'!$N$9*(1+(D471))^5)*(('Assumptions'!I37+(E471))*(1-'Assumptions'!I42-(0))+'Assumptions'!I47-'Assumptions'!I52*(F471)+'Assumptions'!I57-'Assumptions'!I62*(1)-'Assumptions'!I67-(0))+(('Historical Inputs'!$N$9*(1+(D471))^4)*('Assumptions'!H67+(0))))*'DCF'!I12/(1+(G471))^'DCF'!I13)+('Historical Inputs'!$N$9*(1+(D471))^5)*(1+(H471))*('Terminal Value'!$E$10+(E471))*(1-'Assumptions'!$E$15-(0))*(1-(H471)/('Terminal Value'!$E$12))/((G471)-(H471))/(1+(G471))^'DCF'!$E$19)+'Equity Bridge'!$E$17)/'Equity Bridge'!$E$20</x:f>
        <x:v>277.16142258732776</x:v>
      </x:c>
      <x:c r="X471" s="255" t="n">
        <x:v>0.4954680368297033</x:v>
      </x:c>
      <x:c r="Y471" s="255" t="n">
        <x:v>0.5887540284476017</x:v>
      </x:c>
      <x:c r="Z471" s="255" t="n">
        <x:v>0.8350315994837058</x:v>
      </x:c>
      <x:c r="AA471" s="255" t="n">
        <x:v>0.4489357658560107</x:v>
      </x:c>
      <x:c r="AB471" s="255" t="n">
        <x:v>0.16390932490132804</x:v>
      </x:c>
    </x:row>
    <x:row r="472" ht="24" customHeight="1">
      <x:c r="C472" s="256" t="n">
        <x:f>441</x:f>
        <x:v>441</x:v>
      </x:c>
      <x:c r="D472" s="258" t="n">
        <x:f>IF(X472&lt;($E$12-$D$12)/($F$12-$D$12),$D$12+SQRT(X472*($F$12-$D$12)*($E$12-$D$12)),$F$12-SQRT((1-X472)*($F$12-$D$12)*($F$12-$E$12)))</x:f>
        <x:v>0.13950169193609377</x:v>
      </x:c>
      <x:c r="E472" s="258" t="n">
        <x:f>IF(Y472&lt;($E$13-$D$13)/($F$13-$D$13),$D$13+SQRT(Y472*($F$13-$D$13)*($E$13-$D$13)),$F$13-SQRT((1-Y472)*($F$13-$D$13)*($F$13-$E$13)))</x:f>
        <x:v>0.030447141030672892</x:v>
      </x:c>
      <x:c r="F472" s="260" t="n">
        <x:f>IF(Z472&lt;($E$14-$D$14)/($F$14-$D$14),$D$14+SQRT(Z472*($F$14-$D$14)*($E$14-$D$14)),$F$14-SQRT((1-Z472)*($F$14-$D$14)*($F$14-$E$14)))</x:f>
        <x:v>0.9792002523859873</x:v>
      </x:c>
      <x:c r="G472" s="258" t="n">
        <x:f>IF(AA472&lt;($E$15-$D$15)/($F$15-$D$15),$D$15+SQRT(AA472*($F$15-$D$15)*($E$15-$D$15)),$F$15-SQRT((1-AA472)*($F$15-$D$15)*($F$15-$E$15)))</x:f>
        <x:v>0.10055530810220176</x:v>
      </x:c>
      <x:c r="H472" s="258" t="n">
        <x:f>IF(AB472&lt;($E$16-$D$16)/($F$16-$D$16),$D$16+SQRT(AB472*($F$16-$D$16)*($E$16-$D$16)),$F$16-SQRT((1-AB472)*($F$16-$D$16)*($F$16-$E$16)))</x:f>
        <x:v>0.03330952456892041</x:v>
      </x:c>
      <x:c r="I472" s="262" t="n">
        <x:f>'Historical Inputs'!$N$9*(1+D472)^5</x:f>
        <x:v>637532.4540669643</x:v>
      </x:c>
      <x:c r="J472" s="262" t="n">
        <x:f>I472*(1+H472)*('Terminal Value'!$E$10+E472)*(1-'Assumptions'!$E$15)*(1-H472/'Terminal Value'!$E$12)</x:f>
        <x:v>189070.3092423078</x:v>
      </x:c>
      <x:c r="K472" s="264" t="n">
        <x:f>((SUM((('Historical Inputs'!$N$9*(1+(D472))^1)*(('Assumptions'!E37+(E472))*(1-'Assumptions'!E42-(0))+'Assumptions'!E47-'Assumptions'!E52*(F472)+'Assumptions'!E57-'Assumptions'!E62*(1)-'Assumptions'!E67-(0))+('Working Capital'!$E$6))*'DCF'!E12/(1+(G472))^'DCF'!E13,(('Historical Inputs'!$N$9*(1+(D472))^2)*(('Assumptions'!F37+(E472))*(1-'Assumptions'!F42-(0))+'Assumptions'!F47-'Assumptions'!F52*(F472)+'Assumptions'!F57-'Assumptions'!F62*(1)-'Assumptions'!F67-(0))+(('Historical Inputs'!$N$9*(1+(D472))^1)*('Assumptions'!E67+(0))))*'DCF'!F12/(1+(G472))^'DCF'!F13,(('Historical Inputs'!$N$9*(1+(D472))^3)*(('Assumptions'!G37+(E472))*(1-'Assumptions'!G42-(0))+'Assumptions'!G47-'Assumptions'!G52*(F472)+'Assumptions'!G57-'Assumptions'!G62*(1)-'Assumptions'!G67-(0))+(('Historical Inputs'!$N$9*(1+(D472))^2)*('Assumptions'!F67+(0))))*'DCF'!G12/(1+(G472))^'DCF'!G13,(('Historical Inputs'!$N$9*(1+(D472))^4)*(('Assumptions'!H37+(E472))*(1-'Assumptions'!H42-(0))+'Assumptions'!H47-'Assumptions'!H52*(F472)+'Assumptions'!H57-'Assumptions'!H62*(1)-'Assumptions'!H67-(0))+(('Historical Inputs'!$N$9*(1+(D472))^3)*('Assumptions'!G67+(0))))*'DCF'!H12/(1+(G472))^'DCF'!H13,(('Historical Inputs'!$N$9*(1+(D472))^5)*(('Assumptions'!I37+(E472))*(1-'Assumptions'!I42-(0))+'Assumptions'!I47-'Assumptions'!I52*(F472)+'Assumptions'!I57-'Assumptions'!I62*(1)-'Assumptions'!I67-(0))+(('Historical Inputs'!$N$9*(1+(D472))^4)*('Assumptions'!H67+(0))))*'DCF'!I12/(1+(G472))^'DCF'!I13)+('Historical Inputs'!$N$9*(1+(D472))^5)*(1+(H472))*('Terminal Value'!$E$10+(E472))*(1-'Assumptions'!$E$15-(0))*(1-(H472)/('Terminal Value'!$E$12))/((G472)-(H472))/(1+(G472))^'DCF'!$E$19)+'Equity Bridge'!$E$17)/'Equity Bridge'!$E$20</x:f>
        <x:v>302.1137836139842</x:v>
      </x:c>
      <x:c r="X472" s="255" t="n">
        <x:v>0.42771390271721876</x:v>
      </x:c>
      <x:c r="Y472" s="255" t="n">
        <x:v>0.9235371412251209</x:v>
      </x:c>
      <x:c r="Z472" s="255" t="n">
        <x:v>0.31795628984005353</x:v>
      </x:c>
      <x:c r="AA472" s="255" t="n">
        <x:v>0.6480360774967597</x:v>
      </x:c>
      <x:c r="AB472" s="255" t="n">
        <x:v>0.7761876925306018</x:v>
      </x:c>
    </x:row>
    <x:row r="473" ht="24" customHeight="1">
      <x:c r="C473" s="256" t="n">
        <x:f>442</x:f>
        <x:v>442</x:v>
      </x:c>
      <x:c r="D473" s="258" t="n">
        <x:f>IF(X473&lt;($E$12-$D$12)/($F$12-$D$12),$D$12+SQRT(X473*($F$12-$D$12)*($E$12-$D$12)),$F$12-SQRT((1-X473)*($F$12-$D$12)*($F$12-$E$12)))</x:f>
        <x:v>0.10117353757062916</x:v>
      </x:c>
      <x:c r="E473" s="258" t="n">
        <x:f>IF(Y473&lt;($E$13-$D$13)/($F$13-$D$13),$D$13+SQRT(Y473*($F$13-$D$13)*($E$13-$D$13)),$F$13-SQRT((1-Y473)*($F$13-$D$13)*($F$13-$E$13)))</x:f>
        <x:v>-0.0014310568743900673</x:v>
      </x:c>
      <x:c r="F473" s="260" t="n">
        <x:f>IF(Z473&lt;($E$14-$D$14)/($F$14-$D$14),$D$14+SQRT(Z473*($F$14-$D$14)*($E$14-$D$14)),$F$14-SQRT((1-Z473)*($F$14-$D$14)*($F$14-$E$14)))</x:f>
        <x:v>1.0868528804658206</x:v>
      </x:c>
      <x:c r="G473" s="258" t="n">
        <x:f>IF(AA473&lt;($E$15-$D$15)/($F$15-$D$15),$D$15+SQRT(AA473*($F$15-$D$15)*($E$15-$D$15)),$F$15-SQRT((1-AA473)*($F$15-$D$15)*($F$15-$E$15)))</x:f>
        <x:v>0.0867101184164899</x:v>
      </x:c>
      <x:c r="H473" s="258" t="n">
        <x:f>IF(AB473&lt;($E$16-$D$16)/($F$16-$D$16),$D$16+SQRT(AB473*($F$16-$D$16)*($E$16-$D$16)),$F$16-SQRT((1-AB473)*($F$16-$D$16)*($F$16-$E$16)))</x:f>
        <x:v>0.025117715344396337</x:v>
      </x:c>
      <x:c r="I473" s="262" t="n">
        <x:f>'Historical Inputs'!$N$9*(1+D473)^5</x:f>
        <x:v>537286.9067469042</x:v>
      </x:c>
      <x:c r="J473" s="262" t="n">
        <x:f>I473*(1+H473)*('Terminal Value'!$E$10+E473)*(1-'Assumptions'!$E$15)*(1-H473/'Terminal Value'!$E$12)</x:f>
        <x:v>153563.94507136737</x:v>
      </x:c>
      <x:c r="K473" s="264" t="n">
        <x:f>((SUM((('Historical Inputs'!$N$9*(1+(D473))^1)*(('Assumptions'!E37+(E473))*(1-'Assumptions'!E42-(0))+'Assumptions'!E47-'Assumptions'!E52*(F473)+'Assumptions'!E57-'Assumptions'!E62*(1)-'Assumptions'!E67-(0))+('Working Capital'!$E$6))*'DCF'!E12/(1+(G473))^'DCF'!E13,(('Historical Inputs'!$N$9*(1+(D473))^2)*(('Assumptions'!F37+(E473))*(1-'Assumptions'!F42-(0))+'Assumptions'!F47-'Assumptions'!F52*(F473)+'Assumptions'!F57-'Assumptions'!F62*(1)-'Assumptions'!F67-(0))+(('Historical Inputs'!$N$9*(1+(D473))^1)*('Assumptions'!E67+(0))))*'DCF'!F12/(1+(G473))^'DCF'!F13,(('Historical Inputs'!$N$9*(1+(D473))^3)*(('Assumptions'!G37+(E473))*(1-'Assumptions'!G42-(0))+'Assumptions'!G47-'Assumptions'!G52*(F473)+'Assumptions'!G57-'Assumptions'!G62*(1)-'Assumptions'!G67-(0))+(('Historical Inputs'!$N$9*(1+(D473))^2)*('Assumptions'!F67+(0))))*'DCF'!G12/(1+(G473))^'DCF'!G13,(('Historical Inputs'!$N$9*(1+(D473))^4)*(('Assumptions'!H37+(E473))*(1-'Assumptions'!H42-(0))+'Assumptions'!H47-'Assumptions'!H52*(F473)+'Assumptions'!H57-'Assumptions'!H62*(1)-'Assumptions'!H67-(0))+(('Historical Inputs'!$N$9*(1+(D473))^3)*('Assumptions'!G67+(0))))*'DCF'!H12/(1+(G473))^'DCF'!H13,(('Historical Inputs'!$N$9*(1+(D473))^5)*(('Assumptions'!I37+(E473))*(1-'Assumptions'!I42-(0))+'Assumptions'!I47-'Assumptions'!I52*(F473)+'Assumptions'!I57-'Assumptions'!I62*(1)-'Assumptions'!I67-(0))+(('Historical Inputs'!$N$9*(1+(D473))^4)*('Assumptions'!H67+(0))))*'DCF'!I12/(1+(G473))^'DCF'!I13)+('Historical Inputs'!$N$9*(1+(D473))^5)*(1+(H473))*('Terminal Value'!$E$10+(E473))*(1-'Assumptions'!$E$15-(0))*(1-(H473)/('Terminal Value'!$E$12))/((G473)-(H473))/(1+(G473))^'DCF'!$E$19)+'Equity Bridge'!$E$17)/'Equity Bridge'!$E$20</x:f>
        <x:v>270.6762251127629</x:v>
      </x:c>
      <x:c r="X473" s="255" t="n">
        <x:v>0.012534244306810605</x:v>
      </x:c>
      <x:c r="Y473" s="255" t="n">
        <x:v>0.4717884472677465</x:v>
      </x:c>
      <x:c r="Z473" s="255" t="n">
        <x:v>0.8171104191588301</x:v>
      </x:c>
      <x:c r="AA473" s="255" t="n">
        <x:v>0.028318019597217692</x:v>
      </x:c>
      <x:c r="AB473" s="255" t="n">
        <x:v>0.13095505173134858</x:v>
      </x:c>
    </x:row>
    <x:row r="474" ht="24" customHeight="1">
      <x:c r="C474" s="256" t="n">
        <x:f>443</x:f>
        <x:v>443</x:v>
      </x:c>
      <x:c r="D474" s="258" t="n">
        <x:f>IF(X474&lt;($E$12-$D$12)/($F$12-$D$12),$D$12+SQRT(X474*($F$12-$D$12)*($E$12-$D$12)),$F$12-SQRT((1-X474)*($F$12-$D$12)*($F$12-$E$12)))</x:f>
        <x:v>0.18384555129278937</x:v>
      </x:c>
      <x:c r="E474" s="258" t="n">
        <x:f>IF(Y474&lt;($E$13-$D$13)/($F$13-$D$13),$D$13+SQRT(Y474*($F$13-$D$13)*($E$13-$D$13)),$F$13-SQRT((1-Y474)*($F$13-$D$13)*($F$13-$E$13)))</x:f>
        <x:v>0.014868731609252256</x:v>
      </x:c>
      <x:c r="F474" s="260" t="n">
        <x:f>IF(Z474&lt;($E$14-$D$14)/($F$14-$D$14),$D$14+SQRT(Z474*($F$14-$D$14)*($E$14-$D$14)),$F$14-SQRT((1-Z474)*($F$14-$D$14)*($F$14-$E$14)))</x:f>
        <x:v>1.0713966220296987</x:v>
      </x:c>
      <x:c r="G474" s="258" t="n">
        <x:f>IF(AA474&lt;($E$15-$D$15)/($F$15-$D$15),$D$15+SQRT(AA474*($F$15-$D$15)*($E$15-$D$15)),$F$15-SQRT((1-AA474)*($F$15-$D$15)*($F$15-$E$15)))</x:f>
        <x:v>0.10983920383843045</x:v>
      </x:c>
      <x:c r="H474" s="258" t="n">
        <x:f>IF(AB474&lt;($E$16-$D$16)/($F$16-$D$16),$D$16+SQRT(AB474*($F$16-$D$16)*($E$16-$D$16)),$F$16-SQRT((1-AB474)*($F$16-$D$16)*($F$16-$E$16)))</x:f>
        <x:v>0.03134343764656956</x:v>
      </x:c>
      <x:c r="I474" s="262" t="n">
        <x:f>'Historical Inputs'!$N$9*(1+D474)^5</x:f>
        <x:v>771618.547598754</x:v>
      </x:c>
      <x:c r="J474" s="262" t="n">
        <x:f>I474*(1+H474)*('Terminal Value'!$E$10+E474)*(1-'Assumptions'!$E$15)*(1-H474/'Terminal Value'!$E$12)</x:f>
        <x:v>222730.6101897485</x:v>
      </x:c>
      <x:c r="K474" s="264" t="n">
        <x:f>((SUM((('Historical Inputs'!$N$9*(1+(D474))^1)*(('Assumptions'!E37+(E474))*(1-'Assumptions'!E42-(0))+'Assumptions'!E47-'Assumptions'!E52*(F474)+'Assumptions'!E57-'Assumptions'!E62*(1)-'Assumptions'!E67-(0))+('Working Capital'!$E$6))*'DCF'!E12/(1+(G474))^'DCF'!E13,(('Historical Inputs'!$N$9*(1+(D474))^2)*(('Assumptions'!F37+(E474))*(1-'Assumptions'!F42-(0))+'Assumptions'!F47-'Assumptions'!F52*(F474)+'Assumptions'!F57-'Assumptions'!F62*(1)-'Assumptions'!F67-(0))+(('Historical Inputs'!$N$9*(1+(D474))^1)*('Assumptions'!E67+(0))))*'DCF'!F12/(1+(G474))^'DCF'!F13,(('Historical Inputs'!$N$9*(1+(D474))^3)*(('Assumptions'!G37+(E474))*(1-'Assumptions'!G42-(0))+'Assumptions'!G47-'Assumptions'!G52*(F474)+'Assumptions'!G57-'Assumptions'!G62*(1)-'Assumptions'!G67-(0))+(('Historical Inputs'!$N$9*(1+(D474))^2)*('Assumptions'!F67+(0))))*'DCF'!G12/(1+(G474))^'DCF'!G13,(('Historical Inputs'!$N$9*(1+(D474))^4)*(('Assumptions'!H37+(E474))*(1-'Assumptions'!H42-(0))+'Assumptions'!H47-'Assumptions'!H52*(F474)+'Assumptions'!H57-'Assumptions'!H62*(1)-'Assumptions'!H67-(0))+(('Historical Inputs'!$N$9*(1+(D474))^3)*('Assumptions'!G67+(0))))*'DCF'!H12/(1+(G474))^'DCF'!H13,(('Historical Inputs'!$N$9*(1+(D474))^5)*(('Assumptions'!I37+(E474))*(1-'Assumptions'!I42-(0))+'Assumptions'!I47-'Assumptions'!I52*(F474)+'Assumptions'!I57-'Assumptions'!I62*(1)-'Assumptions'!I67-(0))+(('Historical Inputs'!$N$9*(1+(D474))^4)*('Assumptions'!H67+(0))))*'DCF'!I12/(1+(G474))^'DCF'!I13)+('Historical Inputs'!$N$9*(1+(D474))^5)*(1+(H474))*('Terminal Value'!$E$10+(E474))*(1-'Assumptions'!$E$15-(0))*(1-(H474)/('Terminal Value'!$E$12))/((G474)-(H474))/(1+(G474))^'DCF'!$E$19)+'Equity Bridge'!$E$17)/'Equity Bridge'!$E$20</x:f>
        <x:v>292.5474012663481</x:v>
      </x:c>
      <x:c r="X474" s="255" t="n">
        <x:v>0.9822848444802856</x:v>
      </x:c>
      <x:c r="Y474" s="255" t="n">
        <x:v>0.7531587962514497</x:v>
      </x:c>
      <x:c r="Z474" s="255" t="n">
        <x:v>0.7637310167803975</x:v>
      </x:c>
      <x:c r="AA474" s="255" t="n">
        <x:v>0.9757829036768612</x:v>
      </x:c>
      <x:c r="AB474" s="255" t="n">
        <x:v>0.6253196411058539</x:v>
      </x:c>
    </x:row>
    <x:row r="475" ht="24" customHeight="1">
      <x:c r="C475" s="256" t="n">
        <x:f>444</x:f>
        <x:v>444</x:v>
      </x:c>
      <x:c r="D475" s="258" t="n">
        <x:f>IF(X475&lt;($E$12-$D$12)/($F$12-$D$12),$D$12+SQRT(X475*($F$12-$D$12)*($E$12-$D$12)),$F$12-SQRT((1-X475)*($F$12-$D$12)*($F$12-$E$12)))</x:f>
        <x:v>0.1625768637919734</x:v>
      </x:c>
      <x:c r="E475" s="258" t="n">
        <x:f>IF(Y475&lt;($E$13-$D$13)/($F$13-$D$13),$D$13+SQRT(Y475*($F$13-$D$13)*($E$13-$D$13)),$F$13-SQRT((1-Y475)*($F$13-$D$13)*($F$13-$E$13)))</x:f>
        <x:v>-0.02733690155567872</x:v>
      </x:c>
      <x:c r="F475" s="260" t="n">
        <x:f>IF(Z475&lt;($E$14-$D$14)/($F$14-$D$14),$D$14+SQRT(Z475*($F$14-$D$14)*($E$14-$D$14)),$F$14-SQRT((1-Z475)*($F$14-$D$14)*($F$14-$E$14)))</x:f>
        <x:v>0.9546235771511966</x:v>
      </x:c>
      <x:c r="G475" s="258" t="n">
        <x:f>IF(AA475&lt;($E$15-$D$15)/($F$15-$D$15),$D$15+SQRT(AA475*($F$15-$D$15)*($E$15-$D$15)),$F$15-SQRT((1-AA475)*($F$15-$D$15)*($F$15-$E$15)))</x:f>
        <x:v>0.10985934012753704</x:v>
      </x:c>
      <x:c r="H475" s="258" t="n">
        <x:f>IF(AB475&lt;($E$16-$D$16)/($F$16-$D$16),$D$16+SQRT(AB475*($F$16-$D$16)*($E$16-$D$16)),$F$16-SQRT((1-AB475)*($F$16-$D$16)*($F$16-$E$16)))</x:f>
        <x:v>0.035793254015250076</x:v>
      </x:c>
      <x:c r="I475" s="262" t="n">
        <x:f>'Historical Inputs'!$N$9*(1+D475)^5</x:f>
        <x:v>704751.169860995</x:v>
      </x:c>
      <x:c r="J475" s="262" t="n">
        <x:f>I475*(1+H475)*('Terminal Value'!$E$10+E475)*(1-'Assumptions'!$E$15)*(1-H475/'Terminal Value'!$E$12)</x:f>
        <x:v>178680.13027232295</x:v>
      </x:c>
      <x:c r="K475" s="264" t="n">
        <x:f>((SUM((('Historical Inputs'!$N$9*(1+(D475))^1)*(('Assumptions'!E37+(E475))*(1-'Assumptions'!E42-(0))+'Assumptions'!E47-'Assumptions'!E52*(F475)+'Assumptions'!E57-'Assumptions'!E62*(1)-'Assumptions'!E67-(0))+('Working Capital'!$E$6))*'DCF'!E12/(1+(G475))^'DCF'!E13,(('Historical Inputs'!$N$9*(1+(D475))^2)*(('Assumptions'!F37+(E475))*(1-'Assumptions'!F42-(0))+'Assumptions'!F47-'Assumptions'!F52*(F475)+'Assumptions'!F57-'Assumptions'!F62*(1)-'Assumptions'!F67-(0))+(('Historical Inputs'!$N$9*(1+(D475))^1)*('Assumptions'!E67+(0))))*'DCF'!F12/(1+(G475))^'DCF'!F13,(('Historical Inputs'!$N$9*(1+(D475))^3)*(('Assumptions'!G37+(E475))*(1-'Assumptions'!G42-(0))+'Assumptions'!G47-'Assumptions'!G52*(F475)+'Assumptions'!G57-'Assumptions'!G62*(1)-'Assumptions'!G67-(0))+(('Historical Inputs'!$N$9*(1+(D475))^2)*('Assumptions'!F67+(0))))*'DCF'!G12/(1+(G475))^'DCF'!G13,(('Historical Inputs'!$N$9*(1+(D475))^4)*(('Assumptions'!H37+(E475))*(1-'Assumptions'!H42-(0))+'Assumptions'!H47-'Assumptions'!H52*(F475)+'Assumptions'!H57-'Assumptions'!H62*(1)-'Assumptions'!H67-(0))+(('Historical Inputs'!$N$9*(1+(D475))^3)*('Assumptions'!G67+(0))))*'DCF'!H12/(1+(G475))^'DCF'!H13,(('Historical Inputs'!$N$9*(1+(D475))^5)*(('Assumptions'!I37+(E475))*(1-'Assumptions'!I42-(0))+'Assumptions'!I47-'Assumptions'!I52*(F475)+'Assumptions'!I57-'Assumptions'!I62*(1)-'Assumptions'!I67-(0))+(('Historical Inputs'!$N$9*(1+(D475))^4)*('Assumptions'!H67+(0))))*'DCF'!I12/(1+(G475))^'DCF'!I13)+('Historical Inputs'!$N$9*(1+(D475))^5)*(1+(H475))*('Terminal Value'!$E$10+(E475))*(1-'Assumptions'!$E$15-(0))*(1-(H475)/('Terminal Value'!$E$12))/((G475)-(H475))/(1+(G475))^'DCF'!$E$19)+'Equity Bridge'!$E$17)/'Equity Bridge'!$E$20</x:f>
        <x:v>252.49512771663146</x:v>
      </x:c>
      <x:c r="X475" s="255" t="n">
        <x:v>0.8117455806007263</x:v>
      </x:c>
      <x:c r="Y475" s="255" t="n">
        <x:v>0.10272320621939957</x:v>
      </x:c>
      <x:c r="Z475" s="255" t="n">
        <x:v>0.20849700754118838</x:v>
      </x:c>
      <x:c r="AA475" s="255" t="n">
        <x:v>0.9760774391740729</x:v>
      </x:c>
      <x:c r="AB475" s="255" t="n">
        <x:v>0.9115164410989519</x:v>
      </x:c>
    </x:row>
    <x:row r="476" ht="24" customHeight="1">
      <x:c r="C476" s="256" t="n">
        <x:f>445</x:f>
        <x:v>445</x:v>
      </x:c>
      <x:c r="D476" s="258" t="n">
        <x:f>IF(X476&lt;($E$12-$D$12)/($F$12-$D$12),$D$12+SQRT(X476*($F$12-$D$12)*($E$12-$D$12)),$F$12-SQRT((1-X476)*($F$12-$D$12)*($F$12-$E$12)))</x:f>
        <x:v>0.16739547739586413</x:v>
      </x:c>
      <x:c r="E476" s="258" t="n">
        <x:f>IF(Y476&lt;($E$13-$D$13)/($F$13-$D$13),$D$13+SQRT(Y476*($F$13-$D$13)*($E$13-$D$13)),$F$13-SQRT((1-Y476)*($F$13-$D$13)*($F$13-$E$13)))</x:f>
        <x:v>-0.0009107562214963824</x:v>
      </x:c>
      <x:c r="F476" s="260" t="n">
        <x:f>IF(Z476&lt;($E$14-$D$14)/($F$14-$D$14),$D$14+SQRT(Z476*($F$14-$D$14)*($E$14-$D$14)),$F$14-SQRT((1-Z476)*($F$14-$D$14)*($F$14-$E$14)))</x:f>
        <x:v>1.0037436651965101</x:v>
      </x:c>
      <x:c r="G476" s="258" t="n">
        <x:f>IF(AA476&lt;($E$15-$D$15)/($F$15-$D$15),$D$15+SQRT(AA476*($F$15-$D$15)*($E$15-$D$15)),$F$15-SQRT((1-AA476)*($F$15-$D$15)*($F$15-$E$15)))</x:f>
        <x:v>0.09009873081995845</x:v>
      </x:c>
      <x:c r="H476" s="258" t="n">
        <x:f>IF(AB476&lt;($E$16-$D$16)/($F$16-$D$16),$D$16+SQRT(AB476*($F$16-$D$16)*($E$16-$D$16)),$F$16-SQRT((1-AB476)*($F$16-$D$16)*($F$16-$E$16)))</x:f>
        <x:v>0.02672787615160829</x:v>
      </x:c>
      <x:c r="I476" s="262" t="n">
        <x:f>'Historical Inputs'!$N$9*(1+D476)^5</x:f>
        <x:v>719477.8999583288</x:v>
      </x:c>
      <x:c r="J476" s="262" t="n">
        <x:f>I476*(1+H476)*('Terminal Value'!$E$10+E476)*(1-'Assumptions'!$E$15)*(1-H476/'Terminal Value'!$E$12)</x:f>
        <x:v>204329.71287996927</x:v>
      </x:c>
      <x:c r="K476" s="264" t="n">
        <x:f>((SUM((('Historical Inputs'!$N$9*(1+(D476))^1)*(('Assumptions'!E37+(E476))*(1-'Assumptions'!E42-(0))+'Assumptions'!E47-'Assumptions'!E52*(F476)+'Assumptions'!E57-'Assumptions'!E62*(1)-'Assumptions'!E67-(0))+('Working Capital'!$E$6))*'DCF'!E12/(1+(G476))^'DCF'!E13,(('Historical Inputs'!$N$9*(1+(D476))^2)*(('Assumptions'!F37+(E476))*(1-'Assumptions'!F42-(0))+'Assumptions'!F47-'Assumptions'!F52*(F476)+'Assumptions'!F57-'Assumptions'!F62*(1)-'Assumptions'!F67-(0))+(('Historical Inputs'!$N$9*(1+(D476))^1)*('Assumptions'!E67+(0))))*'DCF'!F12/(1+(G476))^'DCF'!F13,(('Historical Inputs'!$N$9*(1+(D476))^3)*(('Assumptions'!G37+(E476))*(1-'Assumptions'!G42-(0))+'Assumptions'!G47-'Assumptions'!G52*(F476)+'Assumptions'!G57-'Assumptions'!G62*(1)-'Assumptions'!G67-(0))+(('Historical Inputs'!$N$9*(1+(D476))^2)*('Assumptions'!F67+(0))))*'DCF'!G12/(1+(G476))^'DCF'!G13,(('Historical Inputs'!$N$9*(1+(D476))^4)*(('Assumptions'!H37+(E476))*(1-'Assumptions'!H42-(0))+'Assumptions'!H47-'Assumptions'!H52*(F476)+'Assumptions'!H57-'Assumptions'!H62*(1)-'Assumptions'!H67-(0))+(('Historical Inputs'!$N$9*(1+(D476))^3)*('Assumptions'!G67+(0))))*'DCF'!H12/(1+(G476))^'DCF'!H13,(('Historical Inputs'!$N$9*(1+(D476))^5)*(('Assumptions'!I37+(E476))*(1-'Assumptions'!I42-(0))+'Assumptions'!I47-'Assumptions'!I52*(F476)+'Assumptions'!I57-'Assumptions'!I62*(1)-'Assumptions'!I67-(0))+(('Historical Inputs'!$N$9*(1+(D476))^4)*('Assumptions'!H67+(0))))*'DCF'!I12/(1+(G476))^'DCF'!I13)+('Historical Inputs'!$N$9*(1+(D476))^5)*(1+(H476))*('Terminal Value'!$E$10+(E476))*(1-'Assumptions'!$E$15-(0))*(1-(H476)/('Terminal Value'!$E$12))/((G476)-(H476))/(1+(G476))^'DCF'!$E$19)+'Equity Bridge'!$E$17)/'Equity Bridge'!$E$20</x:f>
        <x:v>348.87542524117043</x:v>
      </x:c>
      <x:c r="X476" s="255" t="n">
        <x:v>0.8662361039370283</x:v>
      </x:c>
      <x:c r="Y476" s="255" t="n">
        <x:v>0.48195077094907124</x:v>
      </x:c>
      <x:c r="Z476" s="255" t="n">
        <x:v>0.44976358642143555</x:v>
      </x:c>
      <x:c r="AA476" s="255" t="n">
        <x:v>0.10759732259405053</x:v>
      </x:c>
      <x:c r="AB476" s="255" t="n">
        <x:v>0.2263215875568979</x:v>
      </x:c>
    </x:row>
    <x:row r="477" ht="24" customHeight="1">
      <x:c r="C477" s="256" t="n">
        <x:f>446</x:f>
        <x:v>446</x:v>
      </x:c>
      <x:c r="D477" s="258" t="n">
        <x:f>IF(X477&lt;($E$12-$D$12)/($F$12-$D$12),$D$12+SQRT(X477*($F$12-$D$12)*($E$12-$D$12)),$F$12-SQRT((1-X477)*($F$12-$D$12)*($F$12-$E$12)))</x:f>
        <x:v>0.17611542786050285</x:v>
      </x:c>
      <x:c r="E477" s="258" t="n">
        <x:f>IF(Y477&lt;($E$13-$D$13)/($F$13-$D$13),$D$13+SQRT(Y477*($F$13-$D$13)*($E$13-$D$13)),$F$13-SQRT((1-Y477)*($F$13-$D$13)*($F$13-$E$13)))</x:f>
        <x:v>0.018449039683954865</x:v>
      </x:c>
      <x:c r="F477" s="260" t="n">
        <x:f>IF(Z477&lt;($E$14-$D$14)/($F$14-$D$14),$D$14+SQRT(Z477*($F$14-$D$14)*($E$14-$D$14)),$F$14-SQRT((1-Z477)*($F$14-$D$14)*($F$14-$E$14)))</x:f>
        <x:v>1.0217582551533415</x:v>
      </x:c>
      <x:c r="G477" s="258" t="n">
        <x:f>IF(AA477&lt;($E$15-$D$15)/($F$15-$D$15),$D$15+SQRT(AA477*($F$15-$D$15)*($E$15-$D$15)),$F$15-SQRT((1-AA477)*($F$15-$D$15)*($F$15-$E$15)))</x:f>
        <x:v>0.09192843988818322</x:v>
      </x:c>
      <x:c r="H477" s="258" t="n">
        <x:f>IF(AB477&lt;($E$16-$D$16)/($F$16-$D$16),$D$16+SQRT(AB477*($F$16-$D$16)*($E$16-$D$16)),$F$16-SQRT((1-AB477)*($F$16-$D$16)*($F$16-$E$16)))</x:f>
        <x:v>0.033899511999427555</x:v>
      </x:c>
      <x:c r="I477" s="262" t="n">
        <x:f>'Historical Inputs'!$N$9*(1+D477)^5</x:f>
        <x:v>746753.3174081714</x:v>
      </x:c>
      <x:c r="J477" s="262" t="n">
        <x:f>I477*(1+H477)*('Terminal Value'!$E$10+E477)*(1-'Assumptions'!$E$15)*(1-H477/'Terminal Value'!$E$12)</x:f>
        <x:v>214649.04776989116</x:v>
      </x:c>
      <x:c r="K477" s="264" t="n">
        <x:f>((SUM((('Historical Inputs'!$N$9*(1+(D477))^1)*(('Assumptions'!E37+(E477))*(1-'Assumptions'!E42-(0))+'Assumptions'!E47-'Assumptions'!E52*(F477)+'Assumptions'!E57-'Assumptions'!E62*(1)-'Assumptions'!E67-(0))+('Working Capital'!$E$6))*'DCF'!E12/(1+(G477))^'DCF'!E13,(('Historical Inputs'!$N$9*(1+(D477))^2)*(('Assumptions'!F37+(E477))*(1-'Assumptions'!F42-(0))+'Assumptions'!F47-'Assumptions'!F52*(F477)+'Assumptions'!F57-'Assumptions'!F62*(1)-'Assumptions'!F67-(0))+(('Historical Inputs'!$N$9*(1+(D477))^1)*('Assumptions'!E67+(0))))*'DCF'!F12/(1+(G477))^'DCF'!F13,(('Historical Inputs'!$N$9*(1+(D477))^3)*(('Assumptions'!G37+(E477))*(1-'Assumptions'!G42-(0))+'Assumptions'!G47-'Assumptions'!G52*(F477)+'Assumptions'!G57-'Assumptions'!G62*(1)-'Assumptions'!G67-(0))+(('Historical Inputs'!$N$9*(1+(D477))^2)*('Assumptions'!F67+(0))))*'DCF'!G12/(1+(G477))^'DCF'!G13,(('Historical Inputs'!$N$9*(1+(D477))^4)*(('Assumptions'!H37+(E477))*(1-'Assumptions'!H42-(0))+'Assumptions'!H47-'Assumptions'!H52*(F477)+'Assumptions'!H57-'Assumptions'!H62*(1)-'Assumptions'!H67-(0))+(('Historical Inputs'!$N$9*(1+(D477))^3)*('Assumptions'!G67+(0))))*'DCF'!H12/(1+(G477))^'DCF'!H13,(('Historical Inputs'!$N$9*(1+(D477))^5)*(('Assumptions'!I37+(E477))*(1-'Assumptions'!I42-(0))+'Assumptions'!I47-'Assumptions'!I52*(F477)+'Assumptions'!I57-'Assumptions'!I62*(1)-'Assumptions'!I67-(0))+(('Historical Inputs'!$N$9*(1+(D477))^4)*('Assumptions'!H67+(0))))*'DCF'!I12/(1+(G477))^'DCF'!I13)+('Historical Inputs'!$N$9*(1+(D477))^5)*(1+(H477))*('Terminal Value'!$E$10+(E477))*(1-'Assumptions'!$E$15-(0))*(1-(H477)/('Terminal Value'!$E$12))/((G477)-(H477))/(1+(G477))^'DCF'!$E$19)+'Equity Bridge'!$E$17)/'Equity Bridge'!$E$20</x:f>
        <x:v>393.1962229699814</x:v>
      </x:c>
      <x:c r="X477" s="255" t="n">
        <x:v>0.941233151264013</x:v>
      </x:c>
      <x:c r="Y477" s="255" t="n">
        <x:v>0.800907380627069</x:v>
      </x:c>
      <x:c r="Z477" s="255" t="n">
        <x:v>0.5461411484859817</x:v>
      </x:c>
      <x:c r="AA477" s="255" t="n">
        <x:v>0.17162263293469715</x:v>
      </x:c>
      <x:c r="AB477" s="255" t="n">
        <x:v>0.8139202307743583</x:v>
      </x:c>
    </x:row>
    <x:row r="478" ht="24" customHeight="1">
      <x:c r="C478" s="256" t="n">
        <x:f>447</x:f>
        <x:v>447</x:v>
      </x:c>
      <x:c r="D478" s="258" t="n">
        <x:f>IF(X478&lt;($E$12-$D$12)/($F$12-$D$12),$D$12+SQRT(X478*($F$12-$D$12)*($E$12-$D$12)),$F$12-SQRT((1-X478)*($F$12-$D$12)*($F$12-$E$12)))</x:f>
        <x:v>0.11925932171458786</x:v>
      </x:c>
      <x:c r="E478" s="258" t="n">
        <x:f>IF(Y478&lt;($E$13-$D$13)/($F$13-$D$13),$D$13+SQRT(Y478*($F$13-$D$13)*($E$13-$D$13)),$F$13-SQRT((1-Y478)*($F$13-$D$13)*($F$13-$E$13)))</x:f>
        <x:v>0.0061786151865472</x:v>
      </x:c>
      <x:c r="F478" s="260" t="n">
        <x:f>IF(Z478&lt;($E$14-$D$14)/($F$14-$D$14),$D$14+SQRT(Z478*($F$14-$D$14)*($E$14-$D$14)),$F$14-SQRT((1-Z478)*($F$14-$D$14)*($F$14-$E$14)))</x:f>
        <x:v>1.1436290778003233</x:v>
      </x:c>
      <x:c r="G478" s="258" t="n">
        <x:f>IF(AA478&lt;($E$15-$D$15)/($F$15-$D$15),$D$15+SQRT(AA478*($F$15-$D$15)*($E$15-$D$15)),$F$15-SQRT((1-AA478)*($F$15-$D$15)*($F$15-$E$15)))</x:f>
        <x:v>0.098448388352258</x:v>
      </x:c>
      <x:c r="H478" s="258" t="n">
        <x:f>IF(AB478&lt;($E$16-$D$16)/($F$16-$D$16),$D$16+SQRT(AB478*($F$16-$D$16)*($E$16-$D$16)),$F$16-SQRT((1-AB478)*($F$16-$D$16)*($F$16-$E$16)))</x:f>
        <x:v>0.029797417305398664</x:v>
      </x:c>
      <x:c r="I478" s="262" t="n">
        <x:f>'Historical Inputs'!$N$9*(1+D478)^5</x:f>
        <x:v>582882.5130809718</x:v>
      </x:c>
      <x:c r="J478" s="262" t="n">
        <x:f>I478*(1+H478)*('Terminal Value'!$E$10+E478)*(1-'Assumptions'!$E$15)*(1-H478/'Terminal Value'!$E$12)</x:f>
        <x:v>165987.741757982</x:v>
      </x:c>
      <x:c r="K478" s="264" t="n">
        <x:f>((SUM((('Historical Inputs'!$N$9*(1+(D478))^1)*(('Assumptions'!E37+(E478))*(1-'Assumptions'!E42-(0))+'Assumptions'!E47-'Assumptions'!E52*(F478)+'Assumptions'!E57-'Assumptions'!E62*(1)-'Assumptions'!E67-(0))+('Working Capital'!$E$6))*'DCF'!E12/(1+(G478))^'DCF'!E13,(('Historical Inputs'!$N$9*(1+(D478))^2)*(('Assumptions'!F37+(E478))*(1-'Assumptions'!F42-(0))+'Assumptions'!F47-'Assumptions'!F52*(F478)+'Assumptions'!F57-'Assumptions'!F62*(1)-'Assumptions'!F67-(0))+(('Historical Inputs'!$N$9*(1+(D478))^1)*('Assumptions'!E67+(0))))*'DCF'!F12/(1+(G478))^'DCF'!F13,(('Historical Inputs'!$N$9*(1+(D478))^3)*(('Assumptions'!G37+(E478))*(1-'Assumptions'!G42-(0))+'Assumptions'!G47-'Assumptions'!G52*(F478)+'Assumptions'!G57-'Assumptions'!G62*(1)-'Assumptions'!G67-(0))+(('Historical Inputs'!$N$9*(1+(D478))^2)*('Assumptions'!F67+(0))))*'DCF'!G12/(1+(G478))^'DCF'!G13,(('Historical Inputs'!$N$9*(1+(D478))^4)*(('Assumptions'!H37+(E478))*(1-'Assumptions'!H42-(0))+'Assumptions'!H47-'Assumptions'!H52*(F478)+'Assumptions'!H57-'Assumptions'!H62*(1)-'Assumptions'!H67-(0))+(('Historical Inputs'!$N$9*(1+(D478))^3)*('Assumptions'!G67+(0))))*'DCF'!H12/(1+(G478))^'DCF'!H13,(('Historical Inputs'!$N$9*(1+(D478))^5)*(('Assumptions'!I37+(E478))*(1-'Assumptions'!I42-(0))+'Assumptions'!I47-'Assumptions'!I52*(F478)+'Assumptions'!I57-'Assumptions'!I62*(1)-'Assumptions'!I67-(0))+(('Historical Inputs'!$N$9*(1+(D478))^4)*('Assumptions'!H67+(0))))*'DCF'!I12/(1+(G478))^'DCF'!I13)+('Historical Inputs'!$N$9*(1+(D478))^5)*(1+(H478))*('Terminal Value'!$E$10+(E478))*(1-'Assumptions'!$E$15-(0))*(1-(H478)/('Terminal Value'!$E$12))/((G478)-(H478))/(1+(G478))^'DCF'!$E$19)+'Equity Bridge'!$E$17)/'Equity Bridge'!$E$20</x:f>
        <x:v>252.37670730903392</x:v>
      </x:c>
      <x:c r="X478" s="255" t="n">
        <x:v>0.1352239198986145</x:v>
      </x:c>
      <x:c r="Y478" s="255" t="n">
        <x:v>0.6159372466062576</x:v>
      </x:c>
      <x:c r="Z478" s="255" t="n">
        <x:v>0.9546045590051144</x:v>
      </x:c>
      <x:c r="AA478" s="255" t="n">
        <x:v>0.5203237690997078</x:v>
      </x:c>
      <x:c r="AB478" s="255" t="n">
        <x:v>0.4799469292806261</x:v>
      </x:c>
    </x:row>
    <x:row r="479" ht="24" customHeight="1">
      <x:c r="C479" s="256" t="n">
        <x:f>448</x:f>
        <x:v>448</x:v>
      </x:c>
      <x:c r="D479" s="258" t="n">
        <x:f>IF(X479&lt;($E$12-$D$12)/($F$12-$D$12),$D$12+SQRT(X479*($F$12-$D$12)*($E$12-$D$12)),$F$12-SQRT((1-X479)*($F$12-$D$12)*($F$12-$E$12)))</x:f>
        <x:v>0.12496240667987477</x:v>
      </x:c>
      <x:c r="E479" s="258" t="n">
        <x:f>IF(Y479&lt;($E$13-$D$13)/($F$13-$D$13),$D$13+SQRT(Y479*($F$13-$D$13)*($E$13-$D$13)),$F$13-SQRT((1-Y479)*($F$13-$D$13)*($F$13-$E$13)))</x:f>
        <x:v>0.006819733356351623</x:v>
      </x:c>
      <x:c r="F479" s="260" t="n">
        <x:f>IF(Z479&lt;($E$14-$D$14)/($F$14-$D$14),$D$14+SQRT(Z479*($F$14-$D$14)*($E$14-$D$14)),$F$14-SQRT((1-Z479)*($F$14-$D$14)*($F$14-$E$14)))</x:f>
        <x:v>1.0264530771779752</x:v>
      </x:c>
      <x:c r="G479" s="258" t="n">
        <x:f>IF(AA479&lt;($E$15-$D$15)/($F$15-$D$15),$D$15+SQRT(AA479*($F$15-$D$15)*($E$15-$D$15)),$F$15-SQRT((1-AA479)*($F$15-$D$15)*($F$15-$E$15)))</x:f>
        <x:v>0.09955579482526815</x:v>
      </x:c>
      <x:c r="H479" s="258" t="n">
        <x:f>IF(AB479&lt;($E$16-$D$16)/($F$16-$D$16),$D$16+SQRT(AB479*($F$16-$D$16)*($E$16-$D$16)),$F$16-SQRT((1-AB479)*($F$16-$D$16)*($F$16-$E$16)))</x:f>
        <x:v>0.023726628620371965</x:v>
      </x:c>
      <x:c r="I479" s="262" t="n">
        <x:f>'Historical Inputs'!$N$9*(1+D479)^5</x:f>
        <x:v>597884.7475961843</x:v>
      </x:c>
      <x:c r="J479" s="262" t="n">
        <x:f>I479*(1+H479)*('Terminal Value'!$E$10+E479)*(1-'Assumptions'!$E$15)*(1-H479/'Terminal Value'!$E$12)</x:f>
        <x:v>175569.95082811892</x:v>
      </x:c>
      <x:c r="K479" s="264" t="n">
        <x:f>((SUM((('Historical Inputs'!$N$9*(1+(D479))^1)*(('Assumptions'!E37+(E479))*(1-'Assumptions'!E42-(0))+'Assumptions'!E47-'Assumptions'!E52*(F479)+'Assumptions'!E57-'Assumptions'!E62*(1)-'Assumptions'!E67-(0))+('Working Capital'!$E$6))*'DCF'!E12/(1+(G479))^'DCF'!E13,(('Historical Inputs'!$N$9*(1+(D479))^2)*(('Assumptions'!F37+(E479))*(1-'Assumptions'!F42-(0))+'Assumptions'!F47-'Assumptions'!F52*(F479)+'Assumptions'!F57-'Assumptions'!F62*(1)-'Assumptions'!F67-(0))+(('Historical Inputs'!$N$9*(1+(D479))^1)*('Assumptions'!E67+(0))))*'DCF'!F12/(1+(G479))^'DCF'!F13,(('Historical Inputs'!$N$9*(1+(D479))^3)*(('Assumptions'!G37+(E479))*(1-'Assumptions'!G42-(0))+'Assumptions'!G47-'Assumptions'!G52*(F479)+'Assumptions'!G57-'Assumptions'!G62*(1)-'Assumptions'!G67-(0))+(('Historical Inputs'!$N$9*(1+(D479))^2)*('Assumptions'!F67+(0))))*'DCF'!G12/(1+(G479))^'DCF'!G13,(('Historical Inputs'!$N$9*(1+(D479))^4)*(('Assumptions'!H37+(E479))*(1-'Assumptions'!H42-(0))+'Assumptions'!H47-'Assumptions'!H52*(F479)+'Assumptions'!H57-'Assumptions'!H62*(1)-'Assumptions'!H67-(0))+(('Historical Inputs'!$N$9*(1+(D479))^3)*('Assumptions'!G67+(0))))*'DCF'!H12/(1+(G479))^'DCF'!H13,(('Historical Inputs'!$N$9*(1+(D479))^5)*(('Assumptions'!I37+(E479))*(1-'Assumptions'!I42-(0))+'Assumptions'!I47-'Assumptions'!I52*(F479)+'Assumptions'!I57-'Assumptions'!I62*(1)-'Assumptions'!I67-(0))+(('Historical Inputs'!$N$9*(1+(D479))^4)*('Assumptions'!H67+(0))))*'DCF'!I12/(1+(G479))^'DCF'!I13)+('Historical Inputs'!$N$9*(1+(D479))^5)*(1+(H479))*('Terminal Value'!$E$10+(E479))*(1-'Assumptions'!$E$15-(0))*(1-(H479)/('Terminal Value'!$E$12))/((G479)-(H479))/(1+(G479))^'DCF'!$E$19)+'Equity Bridge'!$E$17)/'Equity Bridge'!$E$20</x:f>
        <x:v>250.5198735264242</x:v>
      </x:c>
      <x:c r="X479" s="255" t="n">
        <x:v>0.2010462857457347</x:v>
      </x:c>
      <x:c r="Y479" s="255" t="n">
        <x:v>0.6270929145166855</x:v>
      </x:c>
      <x:c r="Z479" s="255" t="n">
        <x:v>0.5697352225572306</x:v>
      </x:c>
      <x:c r="AA479" s="255" t="n">
        <x:v>0.5899096368539359</x:v>
      </x:c>
      <x:c r="AB479" s="255" t="n">
        <x:v>0.06943880437087735</x:v>
      </x:c>
    </x:row>
    <x:row r="480" ht="24" customHeight="1">
      <x:c r="C480" s="256" t="n">
        <x:f>449</x:f>
        <x:v>449</x:v>
      </x:c>
      <x:c r="D480" s="258" t="n">
        <x:f>IF(X480&lt;($E$12-$D$12)/($F$12-$D$12),$D$12+SQRT(X480*($F$12-$D$12)*($E$12-$D$12)),$F$12-SQRT((1-X480)*($F$12-$D$12)*($F$12-$E$12)))</x:f>
        <x:v>0.13762033290107414</x:v>
      </x:c>
      <x:c r="E480" s="258" t="n">
        <x:f>IF(Y480&lt;($E$13-$D$13)/($F$13-$D$13),$D$13+SQRT(Y480*($F$13-$D$13)*($E$13-$D$13)),$F$13-SQRT((1-Y480)*($F$13-$D$13)*($F$13-$E$13)))</x:f>
        <x:v>-0.027171466989469744</x:v>
      </x:c>
      <x:c r="F480" s="260" t="n">
        <x:f>IF(Z480&lt;($E$14-$D$14)/($F$14-$D$14),$D$14+SQRT(Z480*($F$14-$D$14)*($E$14-$D$14)),$F$14-SQRT((1-Z480)*($F$14-$D$14)*($F$14-$E$14)))</x:f>
        <x:v>1.128002512904933</x:v>
      </x:c>
      <x:c r="G480" s="258" t="n">
        <x:f>IF(AA480&lt;($E$15-$D$15)/($F$15-$D$15),$D$15+SQRT(AA480*($F$15-$D$15)*($E$15-$D$15)),$F$15-SQRT((1-AA480)*($F$15-$D$15)*($F$15-$E$15)))</x:f>
        <x:v>0.09780094992290507</x:v>
      </x:c>
      <x:c r="H480" s="258" t="n">
        <x:f>IF(AB480&lt;($E$16-$D$16)/($F$16-$D$16),$D$16+SQRT(AB480*($F$16-$D$16)*($E$16-$D$16)),$F$16-SQRT((1-AB480)*($F$16-$D$16)*($F$16-$E$16)))</x:f>
        <x:v>0.03573442030056335</x:v>
      </x:c>
      <x:c r="I480" s="262" t="n">
        <x:f>'Historical Inputs'!$N$9*(1+D480)^5</x:f>
        <x:v>632286.8568579254</x:v>
      </x:c>
      <x:c r="J480" s="262" t="n">
        <x:f>I480*(1+H480)*('Terminal Value'!$E$10+E480)*(1-'Assumptions'!$E$15)*(1-H480/'Terminal Value'!$E$12)</x:f>
        <x:v>160427.29752768317</x:v>
      </x:c>
      <x:c r="K480" s="264" t="n">
        <x:f>((SUM((('Historical Inputs'!$N$9*(1+(D480))^1)*(('Assumptions'!E37+(E480))*(1-'Assumptions'!E42-(0))+'Assumptions'!E47-'Assumptions'!E52*(F480)+'Assumptions'!E57-'Assumptions'!E62*(1)-'Assumptions'!E67-(0))+('Working Capital'!$E$6))*'DCF'!E12/(1+(G480))^'DCF'!E13,(('Historical Inputs'!$N$9*(1+(D480))^2)*(('Assumptions'!F37+(E480))*(1-'Assumptions'!F42-(0))+'Assumptions'!F47-'Assumptions'!F52*(F480)+'Assumptions'!F57-'Assumptions'!F62*(1)-'Assumptions'!F67-(0))+(('Historical Inputs'!$N$9*(1+(D480))^1)*('Assumptions'!E67+(0))))*'DCF'!F12/(1+(G480))^'DCF'!F13,(('Historical Inputs'!$N$9*(1+(D480))^3)*(('Assumptions'!G37+(E480))*(1-'Assumptions'!G42-(0))+'Assumptions'!G47-'Assumptions'!G52*(F480)+'Assumptions'!G57-'Assumptions'!G62*(1)-'Assumptions'!G67-(0))+(('Historical Inputs'!$N$9*(1+(D480))^2)*('Assumptions'!F67+(0))))*'DCF'!G12/(1+(G480))^'DCF'!G13,(('Historical Inputs'!$N$9*(1+(D480))^4)*(('Assumptions'!H37+(E480))*(1-'Assumptions'!H42-(0))+'Assumptions'!H47-'Assumptions'!H52*(F480)+'Assumptions'!H57-'Assumptions'!H62*(1)-'Assumptions'!H67-(0))+(('Historical Inputs'!$N$9*(1+(D480))^3)*('Assumptions'!G67+(0))))*'DCF'!H12/(1+(G480))^'DCF'!H13,(('Historical Inputs'!$N$9*(1+(D480))^5)*(('Assumptions'!I37+(E480))*(1-'Assumptions'!I42-(0))+'Assumptions'!I47-'Assumptions'!I52*(F480)+'Assumptions'!I57-'Assumptions'!I62*(1)-'Assumptions'!I67-(0))+(('Historical Inputs'!$N$9*(1+(D480))^4)*('Assumptions'!H67+(0))))*'DCF'!I12/(1+(G480))^'DCF'!I13)+('Historical Inputs'!$N$9*(1+(D480))^5)*(1+(H480))*('Terminal Value'!$E$10+(E480))*(1-'Assumptions'!$E$15-(0))*(1-(H480)/('Terminal Value'!$E$12))/((G480)-(H480))/(1+(G480))^'DCF'!$E$19)+'Equity Bridge'!$E$17)/'Equity Bridge'!$E$20</x:f>
        <x:v>264.4728997418892</x:v>
      </x:c>
      <x:c r="X480" s="255" t="n">
        <x:v>0.393620673907741</x:v>
      </x:c>
      <x:c r="Y480" s="255" t="n">
        <x:v>0.10422838388257394</x:v>
      </x:c>
      <x:c r="Z480" s="255" t="n">
        <x:v>0.9259480264570806</x:v>
      </x:c>
      <x:c r="AA480" s="255" t="n">
        <x:v>0.47762805436404054</x:v>
      </x:c>
      <x:c r="AB480" s="255" t="n">
        <x:v>0.9090241491387695</x:v>
      </x:c>
    </x:row>
    <x:row r="481" ht="24" customHeight="1">
      <x:c r="C481" s="256" t="n">
        <x:f>450</x:f>
        <x:v>450</x:v>
      </x:c>
      <x:c r="D481" s="258" t="n">
        <x:f>IF(X481&lt;($E$12-$D$12)/($F$12-$D$12),$D$12+SQRT(X481*($F$12-$D$12)*($E$12-$D$12)),$F$12-SQRT((1-X481)*($F$12-$D$12)*($F$12-$E$12)))</x:f>
        <x:v>0.13307741355846103</x:v>
      </x:c>
      <x:c r="E481" s="258" t="n">
        <x:f>IF(Y481&lt;($E$13-$D$13)/($F$13-$D$13),$D$13+SQRT(Y481*($F$13-$D$13)*($E$13-$D$13)),$F$13-SQRT((1-Y481)*($F$13-$D$13)*($F$13-$E$13)))</x:f>
        <x:v>-0.0072179492190368455</x:v>
      </x:c>
      <x:c r="F481" s="260" t="n">
        <x:f>IF(Z481&lt;($E$14-$D$14)/($F$14-$D$14),$D$14+SQRT(Z481*($F$14-$D$14)*($E$14-$D$14)),$F$14-SQRT((1-Z481)*($F$14-$D$14)*($F$14-$E$14)))</x:f>
        <x:v>1.0422909746548565</x:v>
      </x:c>
      <x:c r="G481" s="258" t="n">
        <x:f>IF(AA481&lt;($E$15-$D$15)/($F$15-$D$15),$D$15+SQRT(AA481*($F$15-$D$15)*($E$15-$D$15)),$F$15-SQRT((1-AA481)*($F$15-$D$15)*($F$15-$E$15)))</x:f>
        <x:v>0.09610042599487714</x:v>
      </x:c>
      <x:c r="H481" s="258" t="n">
        <x:f>IF(AB481&lt;($E$16-$D$16)/($F$16-$D$16),$D$16+SQRT(AB481*($F$16-$D$16)*($E$16-$D$16)),$F$16-SQRT((1-AB481)*($F$16-$D$16)*($F$16-$E$16)))</x:f>
        <x:v>0.03150947960040352</x:v>
      </x:c>
      <x:c r="I481" s="262" t="n">
        <x:f>'Historical Inputs'!$N$9*(1+D481)^5</x:f>
        <x:v>619762.5624996078</x:v>
      </x:c>
      <x:c r="J481" s="262" t="n">
        <x:f>I481*(1+H481)*('Terminal Value'!$E$10+E481)*(1-'Assumptions'!$E$15)*(1-H481/'Terminal Value'!$E$12)</x:f>
        <x:v>169233.23581618146</x:v>
      </x:c>
      <x:c r="K481" s="264" t="n">
        <x:f>((SUM((('Historical Inputs'!$N$9*(1+(D481))^1)*(('Assumptions'!E37+(E481))*(1-'Assumptions'!E42-(0))+'Assumptions'!E47-'Assumptions'!E52*(F481)+'Assumptions'!E57-'Assumptions'!E62*(1)-'Assumptions'!E67-(0))+('Working Capital'!$E$6))*'DCF'!E12/(1+(G481))^'DCF'!E13,(('Historical Inputs'!$N$9*(1+(D481))^2)*(('Assumptions'!F37+(E481))*(1-'Assumptions'!F42-(0))+'Assumptions'!F47-'Assumptions'!F52*(F481)+'Assumptions'!F57-'Assumptions'!F62*(1)-'Assumptions'!F67-(0))+(('Historical Inputs'!$N$9*(1+(D481))^1)*('Assumptions'!E67+(0))))*'DCF'!F12/(1+(G481))^'DCF'!F13,(('Historical Inputs'!$N$9*(1+(D481))^3)*(('Assumptions'!G37+(E481))*(1-'Assumptions'!G42-(0))+'Assumptions'!G47-'Assumptions'!G52*(F481)+'Assumptions'!G57-'Assumptions'!G62*(1)-'Assumptions'!G67-(0))+(('Historical Inputs'!$N$9*(1+(D481))^2)*('Assumptions'!F67+(0))))*'DCF'!G12/(1+(G481))^'DCF'!G13,(('Historical Inputs'!$N$9*(1+(D481))^4)*(('Assumptions'!H37+(E481))*(1-'Assumptions'!H42-(0))+'Assumptions'!H47-'Assumptions'!H52*(F481)+'Assumptions'!H57-'Assumptions'!H62*(1)-'Assumptions'!H67-(0))+(('Historical Inputs'!$N$9*(1+(D481))^3)*('Assumptions'!G67+(0))))*'DCF'!H12/(1+(G481))^'DCF'!H13,(('Historical Inputs'!$N$9*(1+(D481))^5)*(('Assumptions'!I37+(E481))*(1-'Assumptions'!I42-(0))+'Assumptions'!I47-'Assumptions'!I52*(F481)+'Assumptions'!I57-'Assumptions'!I62*(1)-'Assumptions'!I67-(0))+(('Historical Inputs'!$N$9*(1+(D481))^4)*('Assumptions'!H67+(0))))*'DCF'!I12/(1+(G481))^'DCF'!I13)+('Historical Inputs'!$N$9*(1+(D481))^5)*(1+(H481))*('Terminal Value'!$E$10+(E481))*(1-'Assumptions'!$E$15-(0))*(1-(H481)/('Terminal Value'!$E$12))/((G481)-(H481))/(1+(G481))^'DCF'!$E$19)+'Equity Bridge'!$E$17)/'Equity Bridge'!$E$20</x:f>
        <x:v>278.0777774878634</x:v>
      </x:c>
      <x:c r="X481" s="255" t="n">
        <x:v>0.31713271954441624</x:v>
      </x:c>
      <x:c r="Y481" s="255" t="n">
        <x:v>0.36606077380498203</x:v>
      </x:c>
      <x:c r="Z481" s="255" t="n">
        <x:v>0.6446837617812128</x:v>
      </x:c>
      <x:c r="AA481" s="255" t="n">
        <x:v>0.37325126614895265</x:v>
      </x:c>
      <x:c r="AB481" s="255" t="n">
        <x:v>0.6395553167201801</x:v>
      </x:c>
    </x:row>
    <x:row r="482" ht="24" customHeight="1">
      <x:c r="C482" s="256" t="n">
        <x:f>451</x:f>
        <x:v>451</x:v>
      </x:c>
      <x:c r="D482" s="258" t="n">
        <x:f>IF(X482&lt;($E$12-$D$12)/($F$12-$D$12),$D$12+SQRT(X482*($F$12-$D$12)*($E$12-$D$12)),$F$12-SQRT((1-X482)*($F$12-$D$12)*($F$12-$E$12)))</x:f>
        <x:v>0.17378957957362987</x:v>
      </x:c>
      <x:c r="E482" s="258" t="n">
        <x:f>IF(Y482&lt;($E$13-$D$13)/($F$13-$D$13),$D$13+SQRT(Y482*($F$13-$D$13)*($E$13-$D$13)),$F$13-SQRT((1-Y482)*($F$13-$D$13)*($F$13-$E$13)))</x:f>
        <x:v>0.037129855247510044</x:v>
      </x:c>
      <x:c r="F482" s="260" t="n">
        <x:f>IF(Z482&lt;($E$14-$D$14)/($F$14-$D$14),$D$14+SQRT(Z482*($F$14-$D$14)*($E$14-$D$14)),$F$14-SQRT((1-Z482)*($F$14-$D$14)*($F$14-$E$14)))</x:f>
        <x:v>0.9535969271684706</x:v>
      </x:c>
      <x:c r="G482" s="258" t="n">
        <x:f>IF(AA482&lt;($E$15-$D$15)/($F$15-$D$15),$D$15+SQRT(AA482*($F$15-$D$15)*($E$15-$D$15)),$F$15-SQRT((1-AA482)*($F$15-$D$15)*($F$15-$E$15)))</x:f>
        <x:v>0.10293825113176303</x:v>
      </x:c>
      <x:c r="H482" s="258" t="n">
        <x:f>IF(AB482&lt;($E$16-$D$16)/($F$16-$D$16),$D$16+SQRT(AB482*($F$16-$D$16)*($E$16-$D$16)),$F$16-SQRT((1-AB482)*($F$16-$D$16)*($F$16-$E$16)))</x:f>
        <x:v>0.03304006938389608</x:v>
      </x:c>
      <x:c r="I482" s="262" t="n">
        <x:f>'Historical Inputs'!$N$9*(1+D482)^5</x:f>
        <x:v>739398.6860690347</x:v>
      </x:c>
      <x:c r="J482" s="262" t="n">
        <x:f>I482*(1+H482)*('Terminal Value'!$E$10+E482)*(1-'Assumptions'!$E$15)*(1-H482/'Terminal Value'!$E$12)</x:f>
        <x:v>222986.49321924435</x:v>
      </x:c>
      <x:c r="K482" s="264" t="n">
        <x:f>((SUM((('Historical Inputs'!$N$9*(1+(D482))^1)*(('Assumptions'!E37+(E482))*(1-'Assumptions'!E42-(0))+'Assumptions'!E47-'Assumptions'!E52*(F482)+'Assumptions'!E57-'Assumptions'!E62*(1)-'Assumptions'!E67-(0))+('Working Capital'!$E$6))*'DCF'!E12/(1+(G482))^'DCF'!E13,(('Historical Inputs'!$N$9*(1+(D482))^2)*(('Assumptions'!F37+(E482))*(1-'Assumptions'!F42-(0))+'Assumptions'!F47-'Assumptions'!F52*(F482)+'Assumptions'!F57-'Assumptions'!F62*(1)-'Assumptions'!F67-(0))+(('Historical Inputs'!$N$9*(1+(D482))^1)*('Assumptions'!E67+(0))))*'DCF'!F12/(1+(G482))^'DCF'!F13,(('Historical Inputs'!$N$9*(1+(D482))^3)*(('Assumptions'!G37+(E482))*(1-'Assumptions'!G42-(0))+'Assumptions'!G47-'Assumptions'!G52*(F482)+'Assumptions'!G57-'Assumptions'!G62*(1)-'Assumptions'!G67-(0))+(('Historical Inputs'!$N$9*(1+(D482))^2)*('Assumptions'!F67+(0))))*'DCF'!G12/(1+(G482))^'DCF'!G13,(('Historical Inputs'!$N$9*(1+(D482))^4)*(('Assumptions'!H37+(E482))*(1-'Assumptions'!H42-(0))+'Assumptions'!H47-'Assumptions'!H52*(F482)+'Assumptions'!H57-'Assumptions'!H62*(1)-'Assumptions'!H67-(0))+(('Historical Inputs'!$N$9*(1+(D482))^3)*('Assumptions'!G67+(0))))*'DCF'!H12/(1+(G482))^'DCF'!H13,(('Historical Inputs'!$N$9*(1+(D482))^5)*(('Assumptions'!I37+(E482))*(1-'Assumptions'!I42-(0))+'Assumptions'!I47-'Assumptions'!I52*(F482)+'Assumptions'!I57-'Assumptions'!I62*(1)-'Assumptions'!I67-(0))+(('Historical Inputs'!$N$9*(1+(D482))^4)*('Assumptions'!H67+(0))))*'DCF'!I12/(1+(G482))^'DCF'!I13)+('Historical Inputs'!$N$9*(1+(D482))^5)*(1+(H482))*('Terminal Value'!$E$10+(E482))*(1-'Assumptions'!$E$15-(0))*(1-(H482)/('Terminal Value'!$E$12))/((G482)-(H482))/(1+(G482))^'DCF'!$E$19)+'Equity Bridge'!$E$17)/'Equity Bridge'!$E$20</x:f>
        <x:v>341.4594476370919</x:v>
      </x:c>
      <x:c r="X482" s="255" t="n">
        <x:v>0.9242037384296801</x:v>
      </x:c>
      <x:c r="Y482" s="255" t="n">
        <x:v>0.966871874809991</x:v>
      </x:c>
      <x:c r="Z482" s="255" t="n">
        <x:v>0.204425206071417</x:v>
      </x:c>
      <x:c r="AA482" s="255" t="n">
        <x:v>0.7687039668098444</x:v>
      </x:c>
      <x:c r="AB482" s="255" t="n">
        <x:v>0.7577968290950965</x:v>
      </x:c>
    </x:row>
    <x:row r="483" ht="24" customHeight="1">
      <x:c r="C483" s="256" t="n">
        <x:f>452</x:f>
        <x:v>452</x:v>
      </x:c>
      <x:c r="D483" s="258" t="n">
        <x:f>IF(X483&lt;($E$12-$D$12)/($F$12-$D$12),$D$12+SQRT(X483*($F$12-$D$12)*($E$12-$D$12)),$F$12-SQRT((1-X483)*($F$12-$D$12)*($F$12-$E$12)))</x:f>
        <x:v>0.14716557188130974</x:v>
      </x:c>
      <x:c r="E483" s="258" t="n">
        <x:f>IF(Y483&lt;($E$13-$D$13)/($F$13-$D$13),$D$13+SQRT(Y483*($F$13-$D$13)*($E$13-$D$13)),$F$13-SQRT((1-Y483)*($F$13-$D$13)*($F$13-$E$13)))</x:f>
        <x:v>-0.026584150373823633</x:v>
      </x:c>
      <x:c r="F483" s="260" t="n">
        <x:f>IF(Z483&lt;($E$14-$D$14)/($F$14-$D$14),$D$14+SQRT(Z483*($F$14-$D$14)*($E$14-$D$14)),$F$14-SQRT((1-Z483)*($F$14-$D$14)*($F$14-$E$14)))</x:f>
        <x:v>0.9688486437268746</x:v>
      </x:c>
      <x:c r="G483" s="258" t="n">
        <x:f>IF(AA483&lt;($E$15-$D$15)/($F$15-$D$15),$D$15+SQRT(AA483*($F$15-$D$15)*($E$15-$D$15)),$F$15-SQRT((1-AA483)*($F$15-$D$15)*($F$15-$E$15)))</x:f>
        <x:v>0.09347403537820273</x:v>
      </x:c>
      <x:c r="H483" s="258" t="n">
        <x:f>IF(AB483&lt;($E$16-$D$16)/($F$16-$D$16),$D$16+SQRT(AB483*($F$16-$D$16)*($E$16-$D$16)),$F$16-SQRT((1-AB483)*($F$16-$D$16)*($F$16-$E$16)))</x:f>
        <x:v>0.0285808482482102</x:v>
      </x:c>
      <x:c r="I483" s="262" t="n">
        <x:f>'Historical Inputs'!$N$9*(1+D483)^5</x:f>
        <x:v>659261.8570795741</x:v>
      </x:c>
      <x:c r="J483" s="262" t="n">
        <x:f>I483*(1+H483)*('Terminal Value'!$E$10+E483)*(1-'Assumptions'!$E$15)*(1-H483/'Terminal Value'!$E$12)</x:f>
        <x:v>173623.48285164702</x:v>
      </x:c>
      <x:c r="K483" s="264" t="n">
        <x:f>((SUM((('Historical Inputs'!$N$9*(1+(D483))^1)*(('Assumptions'!E37+(E483))*(1-'Assumptions'!E42-(0))+'Assumptions'!E47-'Assumptions'!E52*(F483)+'Assumptions'!E57-'Assumptions'!E62*(1)-'Assumptions'!E67-(0))+('Working Capital'!$E$6))*'DCF'!E12/(1+(G483))^'DCF'!E13,(('Historical Inputs'!$N$9*(1+(D483))^2)*(('Assumptions'!F37+(E483))*(1-'Assumptions'!F42-(0))+'Assumptions'!F47-'Assumptions'!F52*(F483)+'Assumptions'!F57-'Assumptions'!F62*(1)-'Assumptions'!F67-(0))+(('Historical Inputs'!$N$9*(1+(D483))^1)*('Assumptions'!E67+(0))))*'DCF'!F12/(1+(G483))^'DCF'!F13,(('Historical Inputs'!$N$9*(1+(D483))^3)*(('Assumptions'!G37+(E483))*(1-'Assumptions'!G42-(0))+'Assumptions'!G47-'Assumptions'!G52*(F483)+'Assumptions'!G57-'Assumptions'!G62*(1)-'Assumptions'!G67-(0))+(('Historical Inputs'!$N$9*(1+(D483))^2)*('Assumptions'!F67+(0))))*'DCF'!G12/(1+(G483))^'DCF'!G13,(('Historical Inputs'!$N$9*(1+(D483))^4)*(('Assumptions'!H37+(E483))*(1-'Assumptions'!H42-(0))+'Assumptions'!H47-'Assumptions'!H52*(F483)+'Assumptions'!H57-'Assumptions'!H62*(1)-'Assumptions'!H67-(0))+(('Historical Inputs'!$N$9*(1+(D483))^3)*('Assumptions'!G67+(0))))*'DCF'!H12/(1+(G483))^'DCF'!H13,(('Historical Inputs'!$N$9*(1+(D483))^5)*(('Assumptions'!I37+(E483))*(1-'Assumptions'!I42-(0))+'Assumptions'!I47-'Assumptions'!I52*(F483)+'Assumptions'!I57-'Assumptions'!I62*(1)-'Assumptions'!I67-(0))+(('Historical Inputs'!$N$9*(1+(D483))^4)*('Assumptions'!H67+(0))))*'DCF'!I12/(1+(G483))^'DCF'!I13)+('Historical Inputs'!$N$9*(1+(D483))^5)*(1+(H483))*('Terminal Value'!$E$10+(E483))*(1-'Assumptions'!$E$15-(0))*(1-(H483)/('Terminal Value'!$E$12))/((G483)-(H483))/(1+(G483))^'DCF'!$E$19)+'Equity Bridge'!$E$17)/'Equity Bridge'!$E$20</x:f>
        <x:v>288.9735132937483</x:v>
      </x:c>
      <x:c r="X483" s="255" t="n">
        <x:v>0.5751156483981649</x:v>
      </x:c>
      <x:c r="Y483" s="255" t="n">
        <x:v>0.10966040274314082</x:v>
      </x:c>
      <x:c r="Z483" s="255" t="n">
        <x:v>0.2690476212517635</x:v>
      </x:c>
      <x:c r="AA483" s="255" t="n">
        <x:v>0.23729923289168842</x:v>
      </x:c>
      <x:c r="AB483" s="255" t="n">
        <x:v>0.3681547832940606</x:v>
      </x:c>
    </x:row>
    <x:row r="484" ht="24" customHeight="1">
      <x:c r="C484" s="256" t="n">
        <x:f>453</x:f>
        <x:v>453</x:v>
      </x:c>
      <x:c r="D484" s="258" t="n">
        <x:f>IF(X484&lt;($E$12-$D$12)/($F$12-$D$12),$D$12+SQRT(X484*($F$12-$D$12)*($E$12-$D$12)),$F$12-SQRT((1-X484)*($F$12-$D$12)*($F$12-$E$12)))</x:f>
        <x:v>0.13543042580050463</x:v>
      </x:c>
      <x:c r="E484" s="258" t="n">
        <x:f>IF(Y484&lt;($E$13-$D$13)/($F$13-$D$13),$D$13+SQRT(Y484*($F$13-$D$13)*($E$13-$D$13)),$F$13-SQRT((1-Y484)*($F$13-$D$13)*($F$13-$E$13)))</x:f>
        <x:v>0.032356375070258</x:v>
      </x:c>
      <x:c r="F484" s="260" t="n">
        <x:f>IF(Z484&lt;($E$14-$D$14)/($F$14-$D$14),$D$14+SQRT(Z484*($F$14-$D$14)*($E$14-$D$14)),$F$14-SQRT((1-Z484)*($F$14-$D$14)*($F$14-$E$14)))</x:f>
        <x:v>0.9717225427550982</x:v>
      </x:c>
      <x:c r="G484" s="258" t="n">
        <x:f>IF(AA484&lt;($E$15-$D$15)/($F$15-$D$15),$D$15+SQRT(AA484*($F$15-$D$15)*($E$15-$D$15)),$F$15-SQRT((1-AA484)*($F$15-$D$15)*($F$15-$E$15)))</x:f>
        <x:v>0.08842722099503758</x:v>
      </x:c>
      <x:c r="H484" s="258" t="n">
        <x:f>IF(AB484&lt;($E$16-$D$16)/($F$16-$D$16),$D$16+SQRT(AB484*($F$16-$D$16)*($E$16-$D$16)),$F$16-SQRT((1-AB484)*($F$16-$D$16)*($F$16-$E$16)))</x:f>
        <x:v>0.03864602757990952</x:v>
      </x:c>
      <x:c r="I484" s="262" t="n">
        <x:f>'Historical Inputs'!$N$9*(1+D484)^5</x:f>
        <x:v>626224.5141836725</x:v>
      </x:c>
      <x:c r="J484" s="262" t="n">
        <x:f>I484*(1+H484)*('Terminal Value'!$E$10+E484)*(1-'Assumptions'!$E$15)*(1-H484/'Terminal Value'!$E$12)</x:f>
        <x:v>181501.05307475058</x:v>
      </x:c>
      <x:c r="K484" s="264" t="n">
        <x:f>((SUM((('Historical Inputs'!$N$9*(1+(D484))^1)*(('Assumptions'!E37+(E484))*(1-'Assumptions'!E42-(0))+'Assumptions'!E47-'Assumptions'!E52*(F484)+'Assumptions'!E57-'Assumptions'!E62*(1)-'Assumptions'!E67-(0))+('Working Capital'!$E$6))*'DCF'!E12/(1+(G484))^'DCF'!E13,(('Historical Inputs'!$N$9*(1+(D484))^2)*(('Assumptions'!F37+(E484))*(1-'Assumptions'!F42-(0))+'Assumptions'!F47-'Assumptions'!F52*(F484)+'Assumptions'!F57-'Assumptions'!F62*(1)-'Assumptions'!F67-(0))+(('Historical Inputs'!$N$9*(1+(D484))^1)*('Assumptions'!E67+(0))))*'DCF'!F12/(1+(G484))^'DCF'!F13,(('Historical Inputs'!$N$9*(1+(D484))^3)*(('Assumptions'!G37+(E484))*(1-'Assumptions'!G42-(0))+'Assumptions'!G47-'Assumptions'!G52*(F484)+'Assumptions'!G57-'Assumptions'!G62*(1)-'Assumptions'!G67-(0))+(('Historical Inputs'!$N$9*(1+(D484))^2)*('Assumptions'!F67+(0))))*'DCF'!G12/(1+(G484))^'DCF'!G13,(('Historical Inputs'!$N$9*(1+(D484))^4)*(('Assumptions'!H37+(E484))*(1-'Assumptions'!H42-(0))+'Assumptions'!H47-'Assumptions'!H52*(F484)+'Assumptions'!H57-'Assumptions'!H62*(1)-'Assumptions'!H67-(0))+(('Historical Inputs'!$N$9*(1+(D484))^3)*('Assumptions'!G67+(0))))*'DCF'!H12/(1+(G484))^'DCF'!H13,(('Historical Inputs'!$N$9*(1+(D484))^5)*(('Assumptions'!I37+(E484))*(1-'Assumptions'!I42-(0))+'Assumptions'!I47-'Assumptions'!I52*(F484)+'Assumptions'!I57-'Assumptions'!I62*(1)-'Assumptions'!I67-(0))+(('Historical Inputs'!$N$9*(1+(D484))^4)*('Assumptions'!H67+(0))))*'DCF'!I12/(1+(G484))^'DCF'!I13)+('Historical Inputs'!$N$9*(1+(D484))^5)*(1+(H484))*('Terminal Value'!$E$10+(E484))*(1-'Assumptions'!$E$15-(0))*(1-(H484)/('Terminal Value'!$E$12))/((G484)-(H484))/(1+(G484))^'DCF'!$E$19)+'Equity Bridge'!$E$17)/'Equity Bridge'!$E$20</x:f>
        <x:v>392.08079305842455</x:v>
      </x:c>
      <x:c r="X484" s="255" t="n">
        <x:v>0.3557192005583848</x:v>
      </x:c>
      <x:c r="Y484" s="255" t="n">
        <x:v>0.9377404998677173</x:v>
      </x:c>
      <x:c r="Z484" s="255" t="n">
        <x:v>0.2822167126622228</x:v>
      </x:c>
      <x:c r="AA484" s="255" t="n">
        <x:v>0.062112890978237245</x:v>
      </x:c>
      <x:c r="AB484" s="255" t="n">
        <x:v>0.9908337934281717</x:v>
      </x:c>
    </x:row>
    <x:row r="485" ht="24" customHeight="1">
      <x:c r="C485" s="256" t="n">
        <x:f>454</x:f>
        <x:v>454</x:v>
      </x:c>
      <x:c r="D485" s="258" t="n">
        <x:f>IF(X485&lt;($E$12-$D$12)/($F$12-$D$12),$D$12+SQRT(X485*($F$12-$D$12)*($E$12-$D$12)),$F$12-SQRT((1-X485)*($F$12-$D$12)*($F$12-$E$12)))</x:f>
        <x:v>0.1361644805980656</x:v>
      </x:c>
      <x:c r="E485" s="258" t="n">
        <x:f>IF(Y485&lt;($E$13-$D$13)/($F$13-$D$13),$D$13+SQRT(Y485*($F$13-$D$13)*($E$13-$D$13)),$F$13-SQRT((1-Y485)*($F$13-$D$13)*($F$13-$E$13)))</x:f>
        <x:v>-0.012292878109091895</x:v>
      </x:c>
      <x:c r="F485" s="260" t="n">
        <x:f>IF(Z485&lt;($E$14-$D$14)/($F$14-$D$14),$D$14+SQRT(Z485*($F$14-$D$14)*($E$14-$D$14)),$F$14-SQRT((1-Z485)*($F$14-$D$14)*($F$14-$E$14)))</x:f>
        <x:v>1.1152890011296541</x:v>
      </x:c>
      <x:c r="G485" s="258" t="n">
        <x:f>IF(AA485&lt;($E$15-$D$15)/($F$15-$D$15),$D$15+SQRT(AA485*($F$15-$D$15)*($E$15-$D$15)),$F$15-SQRT((1-AA485)*($F$15-$D$15)*($F$15-$E$15)))</x:f>
        <x:v>0.10086736918253321</x:v>
      </x:c>
      <x:c r="H485" s="258" t="n">
        <x:f>IF(AB485&lt;($E$16-$D$16)/($F$16-$D$16),$D$16+SQRT(AB485*($F$16-$D$16)*($E$16-$D$16)),$F$16-SQRT((1-AB485)*($F$16-$D$16)*($F$16-$E$16)))</x:f>
        <x:v>0.020663344477794592</x:v>
      </x:c>
      <x:c r="I485" s="262" t="n">
        <x:f>'Historical Inputs'!$N$9*(1+D485)^5</x:f>
        <x:v>628251.4013111606</x:v>
      </x:c>
      <x:c r="J485" s="262" t="n">
        <x:f>I485*(1+H485)*('Terminal Value'!$E$10+E485)*(1-'Assumptions'!$E$15)*(1-H485/'Terminal Value'!$E$12)</x:f>
        <x:v>178340.0238351726</x:v>
      </x:c>
      <x:c r="K485" s="264" t="n">
        <x:f>((SUM((('Historical Inputs'!$N$9*(1+(D485))^1)*(('Assumptions'!E37+(E485))*(1-'Assumptions'!E42-(0))+'Assumptions'!E47-'Assumptions'!E52*(F485)+'Assumptions'!E57-'Assumptions'!E62*(1)-'Assumptions'!E67-(0))+('Working Capital'!$E$6))*'DCF'!E12/(1+(G485))^'DCF'!E13,(('Historical Inputs'!$N$9*(1+(D485))^2)*(('Assumptions'!F37+(E485))*(1-'Assumptions'!F42-(0))+'Assumptions'!F47-'Assumptions'!F52*(F485)+'Assumptions'!F57-'Assumptions'!F62*(1)-'Assumptions'!F67-(0))+(('Historical Inputs'!$N$9*(1+(D485))^1)*('Assumptions'!E67+(0))))*'DCF'!F12/(1+(G485))^'DCF'!F13,(('Historical Inputs'!$N$9*(1+(D485))^3)*(('Assumptions'!G37+(E485))*(1-'Assumptions'!G42-(0))+'Assumptions'!G47-'Assumptions'!G52*(F485)+'Assumptions'!G57-'Assumptions'!G62*(1)-'Assumptions'!G67-(0))+(('Historical Inputs'!$N$9*(1+(D485))^2)*('Assumptions'!F67+(0))))*'DCF'!G12/(1+(G485))^'DCF'!G13,(('Historical Inputs'!$N$9*(1+(D485))^4)*(('Assumptions'!H37+(E485))*(1-'Assumptions'!H42-(0))+'Assumptions'!H47-'Assumptions'!H52*(F485)+'Assumptions'!H57-'Assumptions'!H62*(1)-'Assumptions'!H67-(0))+(('Historical Inputs'!$N$9*(1+(D485))^3)*('Assumptions'!G67+(0))))*'DCF'!H12/(1+(G485))^'DCF'!H13,(('Historical Inputs'!$N$9*(1+(D485))^5)*(('Assumptions'!I37+(E485))*(1-'Assumptions'!I42-(0))+'Assumptions'!I47-'Assumptions'!I52*(F485)+'Assumptions'!I57-'Assumptions'!I62*(1)-'Assumptions'!I67-(0))+(('Historical Inputs'!$N$9*(1+(D485))^4)*('Assumptions'!H67+(0))))*'DCF'!I12/(1+(G485))^'DCF'!I13)+('Historical Inputs'!$N$9*(1+(D485))^5)*(1+(H485))*('Terminal Value'!$E$10+(E485))*(1-'Assumptions'!$E$15-(0))*(1-(H485)/('Terminal Value'!$E$12))/((G485)-(H485))/(1+(G485))^'DCF'!$E$19)+'Equity Bridge'!$E$17)/'Equity Bridge'!$E$20</x:f>
        <x:v>233.97635127149968</x:v>
      </x:c>
      <x:c r="X485" s="255" t="n">
        <x:v>0.3682100036543171</x:v>
      </x:c>
      <x:c r="Y485" s="255" t="n">
        <x:v>0.28436540825916024</x:v>
      </x:c>
      <x:c r="Z485" s="255" t="n">
        <x:v>0.8974863810055465</x:v>
      </x:c>
      <x:c r="AA485" s="255" t="n">
        <x:v>0.6652743740820627</x:v>
      </x:c>
      <x:c r="AB485" s="255" t="n">
        <x:v>0.0022001294811029304</x:v>
      </x:c>
    </x:row>
    <x:row r="486" ht="24" customHeight="1">
      <x:c r="C486" s="256" t="n">
        <x:f>455</x:f>
        <x:v>455</x:v>
      </x:c>
      <x:c r="D486" s="258" t="n">
        <x:f>IF(X486&lt;($E$12-$D$12)/($F$12-$D$12),$D$12+SQRT(X486*($F$12-$D$12)*($E$12-$D$12)),$F$12-SQRT((1-X486)*($F$12-$D$12)*($F$12-$E$12)))</x:f>
        <x:v>0.18391178516404427</x:v>
      </x:c>
      <x:c r="E486" s="258" t="n">
        <x:f>IF(Y486&lt;($E$13-$D$13)/($F$13-$D$13),$D$13+SQRT(Y486*($F$13-$D$13)*($E$13-$D$13)),$F$13-SQRT((1-Y486)*($F$13-$D$13)*($F$13-$E$13)))</x:f>
        <x:v>-0.0022372248072742226</x:v>
      </x:c>
      <x:c r="F486" s="260" t="n">
        <x:f>IF(Z486&lt;($E$14-$D$14)/($F$14-$D$14),$D$14+SQRT(Z486*($F$14-$D$14)*($E$14-$D$14)),$F$14-SQRT((1-Z486)*($F$14-$D$14)*($F$14-$E$14)))</x:f>
        <x:v>0.9647281518078317</x:v>
      </x:c>
      <x:c r="G486" s="258" t="n">
        <x:f>IF(AA486&lt;($E$15-$D$15)/($F$15-$D$15),$D$15+SQRT(AA486*($F$15-$D$15)*($E$15-$D$15)),$F$15-SQRT((1-AA486)*($F$15-$D$15)*($F$15-$E$15)))</x:f>
        <x:v>0.10128240769190267</x:v>
      </x:c>
      <x:c r="H486" s="258" t="n">
        <x:f>IF(AB486&lt;($E$16-$D$16)/($F$16-$D$16),$D$16+SQRT(AB486*($F$16-$D$16)*($E$16-$D$16)),$F$16-SQRT((1-AB486)*($F$16-$D$16)*($F$16-$E$16)))</x:f>
        <x:v>0.028897249994722957</x:v>
      </x:c>
      <x:c r="I486" s="262" t="n">
        <x:f>'Historical Inputs'!$N$9*(1+D486)^5</x:f>
        <x:v>771834.4245875685</x:v>
      </x:c>
      <x:c r="J486" s="262" t="n">
        <x:f>I486*(1+H486)*('Terminal Value'!$E$10+E486)*(1-'Assumptions'!$E$15)*(1-H486/'Terminal Value'!$E$12)</x:f>
        <x:v>216190.83013766937</x:v>
      </x:c>
      <x:c r="K486" s="264" t="n">
        <x:f>((SUM((('Historical Inputs'!$N$9*(1+(D486))^1)*(('Assumptions'!E37+(E486))*(1-'Assumptions'!E42-(0))+'Assumptions'!E47-'Assumptions'!E52*(F486)+'Assumptions'!E57-'Assumptions'!E62*(1)-'Assumptions'!E67-(0))+('Working Capital'!$E$6))*'DCF'!E12/(1+(G486))^'DCF'!E13,(('Historical Inputs'!$N$9*(1+(D486))^2)*(('Assumptions'!F37+(E486))*(1-'Assumptions'!F42-(0))+'Assumptions'!F47-'Assumptions'!F52*(F486)+'Assumptions'!F57-'Assumptions'!F62*(1)-'Assumptions'!F67-(0))+(('Historical Inputs'!$N$9*(1+(D486))^1)*('Assumptions'!E67+(0))))*'DCF'!F12/(1+(G486))^'DCF'!F13,(('Historical Inputs'!$N$9*(1+(D486))^3)*(('Assumptions'!G37+(E486))*(1-'Assumptions'!G42-(0))+'Assumptions'!G47-'Assumptions'!G52*(F486)+'Assumptions'!G57-'Assumptions'!G62*(1)-'Assumptions'!G67-(0))+(('Historical Inputs'!$N$9*(1+(D486))^2)*('Assumptions'!F67+(0))))*'DCF'!G12/(1+(G486))^'DCF'!G13,(('Historical Inputs'!$N$9*(1+(D486))^4)*(('Assumptions'!H37+(E486))*(1-'Assumptions'!H42-(0))+'Assumptions'!H47-'Assumptions'!H52*(F486)+'Assumptions'!H57-'Assumptions'!H62*(1)-'Assumptions'!H67-(0))+(('Historical Inputs'!$N$9*(1+(D486))^3)*('Assumptions'!G67+(0))))*'DCF'!H12/(1+(G486))^'DCF'!H13,(('Historical Inputs'!$N$9*(1+(D486))^5)*(('Assumptions'!I37+(E486))*(1-'Assumptions'!I42-(0))+'Assumptions'!I47-'Assumptions'!I52*(F486)+'Assumptions'!I57-'Assumptions'!I62*(1)-'Assumptions'!I67-(0))+(('Historical Inputs'!$N$9*(1+(D486))^4)*('Assumptions'!H67+(0))))*'DCF'!I12/(1+(G486))^'DCF'!I13)+('Historical Inputs'!$N$9*(1+(D486))^5)*(1+(H486))*('Terminal Value'!$E$10+(E486))*(1-'Assumptions'!$E$15-(0))*(1-(H486)/('Terminal Value'!$E$12))/((G486)-(H486))/(1+(G486))^'DCF'!$E$19)+'Equity Bridge'!$E$17)/'Equity Bridge'!$E$20</x:f>
        <x:v>318.88901020450976</x:v>
      </x:c>
      <x:c r="X486" s="255" t="n">
        <x:v>0.9825333103461933</x:v>
      </x:c>
      <x:c r="Y486" s="255" t="n">
        <x:v>0.4562565388221722</x:v>
      </x:c>
      <x:c r="Z486" s="255" t="n">
        <x:v>0.2507152155664927</x:v>
      </x:c>
      <x:c r="AA486" s="255" t="n">
        <x:v>0.6875305482526861</x:v>
      </x:c>
      <x:c r="AB486" s="255" t="n">
        <x:v>0.39580528734298814</x:v>
      </x:c>
    </x:row>
    <x:row r="487" ht="24" customHeight="1">
      <x:c r="C487" s="256" t="n">
        <x:f>456</x:f>
        <x:v>456</x:v>
      </x:c>
      <x:c r="D487" s="258" t="n">
        <x:f>IF(X487&lt;($E$12-$D$12)/($F$12-$D$12),$D$12+SQRT(X487*($F$12-$D$12)*($E$12-$D$12)),$F$12-SQRT((1-X487)*($F$12-$D$12)*($F$12-$E$12)))</x:f>
        <x:v>0.13240899058621652</x:v>
      </x:c>
      <x:c r="E487" s="258" t="n">
        <x:f>IF(Y487&lt;($E$13-$D$13)/($F$13-$D$13),$D$13+SQRT(Y487*($F$13-$D$13)*($E$13-$D$13)),$F$13-SQRT((1-Y487)*($F$13-$D$13)*($F$13-$E$13)))</x:f>
        <x:v>0.024466702084486803</x:v>
      </x:c>
      <x:c r="F487" s="260" t="n">
        <x:f>IF(Z487&lt;($E$14-$D$14)/($F$14-$D$14),$D$14+SQRT(Z487*($F$14-$D$14)*($E$14-$D$14)),$F$14-SQRT((1-Z487)*($F$14-$D$14)*($F$14-$E$14)))</x:f>
        <x:v>0.9999544683628215</x:v>
      </x:c>
      <x:c r="G487" s="258" t="n">
        <x:f>IF(AA487&lt;($E$15-$D$15)/($F$15-$D$15),$D$15+SQRT(AA487*($F$15-$D$15)*($E$15-$D$15)),$F$15-SQRT((1-AA487)*($F$15-$D$15)*($F$15-$E$15)))</x:f>
        <x:v>0.10199893241384829</x:v>
      </x:c>
      <x:c r="H487" s="258" t="n">
        <x:f>IF(AB487&lt;($E$16-$D$16)/($F$16-$D$16),$D$16+SQRT(AB487*($F$16-$D$16)*($E$16-$D$16)),$F$16-SQRT((1-AB487)*($F$16-$D$16)*($F$16-$E$16)))</x:f>
        <x:v>0.028969375273202418</x:v>
      </x:c>
      <x:c r="I487" s="262" t="n">
        <x:f>'Historical Inputs'!$N$9*(1+D487)^5</x:f>
        <x:v>617936.6719901827</x:v>
      </x:c>
      <x:c r="J487" s="262" t="n">
        <x:f>I487*(1+H487)*('Terminal Value'!$E$10+E487)*(1-'Assumptions'!$E$15)*(1-H487/'Terminal Value'!$E$12)</x:f>
        <x:v>184639.20403670243</x:v>
      </x:c>
      <x:c r="K487" s="264" t="n">
        <x:f>((SUM((('Historical Inputs'!$N$9*(1+(D487))^1)*(('Assumptions'!E37+(E487))*(1-'Assumptions'!E42-(0))+'Assumptions'!E47-'Assumptions'!E52*(F487)+'Assumptions'!E57-'Assumptions'!E62*(1)-'Assumptions'!E67-(0))+('Working Capital'!$E$6))*'DCF'!E12/(1+(G487))^'DCF'!E13,(('Historical Inputs'!$N$9*(1+(D487))^2)*(('Assumptions'!F37+(E487))*(1-'Assumptions'!F42-(0))+'Assumptions'!F47-'Assumptions'!F52*(F487)+'Assumptions'!F57-'Assumptions'!F62*(1)-'Assumptions'!F67-(0))+(('Historical Inputs'!$N$9*(1+(D487))^1)*('Assumptions'!E67+(0))))*'DCF'!F12/(1+(G487))^'DCF'!F13,(('Historical Inputs'!$N$9*(1+(D487))^3)*(('Assumptions'!G37+(E487))*(1-'Assumptions'!G42-(0))+'Assumptions'!G47-'Assumptions'!G52*(F487)+'Assumptions'!G57-'Assumptions'!G62*(1)-'Assumptions'!G67-(0))+(('Historical Inputs'!$N$9*(1+(D487))^2)*('Assumptions'!F67+(0))))*'DCF'!G12/(1+(G487))^'DCF'!G13,(('Historical Inputs'!$N$9*(1+(D487))^4)*(('Assumptions'!H37+(E487))*(1-'Assumptions'!H42-(0))+'Assumptions'!H47-'Assumptions'!H52*(F487)+'Assumptions'!H57-'Assumptions'!H62*(1)-'Assumptions'!H67-(0))+(('Historical Inputs'!$N$9*(1+(D487))^3)*('Assumptions'!G67+(0))))*'DCF'!H12/(1+(G487))^'DCF'!H13,(('Historical Inputs'!$N$9*(1+(D487))^5)*(('Assumptions'!I37+(E487))*(1-'Assumptions'!I42-(0))+'Assumptions'!I47-'Assumptions'!I52*(F487)+'Assumptions'!I57-'Assumptions'!I62*(1)-'Assumptions'!I67-(0))+(('Historical Inputs'!$N$9*(1+(D487))^4)*('Assumptions'!H67+(0))))*'DCF'!I12/(1+(G487))^'DCF'!I13)+('Historical Inputs'!$N$9*(1+(D487))^5)*(1+(H487))*('Terminal Value'!$E$10+(E487))*(1-'Assumptions'!$E$15-(0))*(1-(H487)/('Terminal Value'!$E$12))/((G487)-(H487))/(1+(G487))^'DCF'!$E$19)+'Equity Bridge'!$E$17)/'Equity Bridge'!$E$20</x:f>
        <x:v>272.5466577334616</x:v>
      </x:c>
      <x:c r="X487" s="255" t="n">
        <x:v>0.3065753315592957</x:v>
      </x:c>
      <x:c r="Y487" s="255" t="n">
        <x:v>0.8696101395115299</x:v>
      </x:c>
      <x:c r="Z487" s="255" t="n">
        <x:v>0.42831128727574197</x:v>
      </x:c>
      <x:c r="AA487" s="255" t="n">
        <x:v>0.724151965137461</x:v>
      </x:c>
      <x:c r="AB487" s="255" t="n">
        <x:v>0.402248463957675</x:v>
      </x:c>
    </x:row>
    <x:row r="488" ht="24" customHeight="1">
      <x:c r="C488" s="256" t="n">
        <x:f>457</x:f>
        <x:v>457</x:v>
      </x:c>
      <x:c r="D488" s="258" t="n">
        <x:f>IF(X488&lt;($E$12-$D$12)/($F$12-$D$12),$D$12+SQRT(X488*($F$12-$D$12)*($E$12-$D$12)),$F$12-SQRT((1-X488)*($F$12-$D$12)*($F$12-$E$12)))</x:f>
        <x:v>0.10653148205896648</x:v>
      </x:c>
      <x:c r="E488" s="258" t="n">
        <x:f>IF(Y488&lt;($E$13-$D$13)/($F$13-$D$13),$D$13+SQRT(Y488*($F$13-$D$13)*($E$13-$D$13)),$F$13-SQRT((1-Y488)*($F$13-$D$13)*($F$13-$E$13)))</x:f>
        <x:v>0.0059243477889407425</x:v>
      </x:c>
      <x:c r="F488" s="260" t="n">
        <x:f>IF(Z488&lt;($E$14-$D$14)/($F$14-$D$14),$D$14+SQRT(Z488*($F$14-$D$14)*($E$14-$D$14)),$F$14-SQRT((1-Z488)*($F$14-$D$14)*($F$14-$E$14)))</x:f>
        <x:v>0.9305369430520077</x:v>
      </x:c>
      <x:c r="G488" s="258" t="n">
        <x:f>IF(AA488&lt;($E$15-$D$15)/($F$15-$D$15),$D$15+SQRT(AA488*($F$15-$D$15)*($E$15-$D$15)),$F$15-SQRT((1-AA488)*($F$15-$D$15)*($F$15-$E$15)))</x:f>
        <x:v>0.09467708280255481</x:v>
      </x:c>
      <x:c r="H488" s="258" t="n">
        <x:f>IF(AB488&lt;($E$16-$D$16)/($F$16-$D$16),$D$16+SQRT(AB488*($F$16-$D$16)*($E$16-$D$16)),$F$16-SQRT((1-AB488)*($F$16-$D$16)*($F$16-$E$16)))</x:f>
        <x:v>0.028239001263524396</x:v>
      </x:c>
      <x:c r="I488" s="262" t="n">
        <x:f>'Historical Inputs'!$N$9*(1+D488)^5</x:f>
        <x:v>550486.0260306818</x:v>
      </x:c>
      <x:c r="J488" s="262" t="n">
        <x:f>I488*(1+H488)*('Terminal Value'!$E$10+E488)*(1-'Assumptions'!$E$15)*(1-H488/'Terminal Value'!$E$12)</x:f>
        <x:v>157859.24497423053</x:v>
      </x:c>
      <x:c r="K488" s="264" t="n">
        <x:f>((SUM((('Historical Inputs'!$N$9*(1+(D488))^1)*(('Assumptions'!E37+(E488))*(1-'Assumptions'!E42-(0))+'Assumptions'!E47-'Assumptions'!E52*(F488)+'Assumptions'!E57-'Assumptions'!E62*(1)-'Assumptions'!E67-(0))+('Working Capital'!$E$6))*'DCF'!E12/(1+(G488))^'DCF'!E13,(('Historical Inputs'!$N$9*(1+(D488))^2)*(('Assumptions'!F37+(E488))*(1-'Assumptions'!F42-(0))+'Assumptions'!F47-'Assumptions'!F52*(F488)+'Assumptions'!F57-'Assumptions'!F62*(1)-'Assumptions'!F67-(0))+(('Historical Inputs'!$N$9*(1+(D488))^1)*('Assumptions'!E67+(0))))*'DCF'!F12/(1+(G488))^'DCF'!F13,(('Historical Inputs'!$N$9*(1+(D488))^3)*(('Assumptions'!G37+(E488))*(1-'Assumptions'!G42-(0))+'Assumptions'!G47-'Assumptions'!G52*(F488)+'Assumptions'!G57-'Assumptions'!G62*(1)-'Assumptions'!G67-(0))+(('Historical Inputs'!$N$9*(1+(D488))^2)*('Assumptions'!F67+(0))))*'DCF'!G12/(1+(G488))^'DCF'!G13,(('Historical Inputs'!$N$9*(1+(D488))^4)*(('Assumptions'!H37+(E488))*(1-'Assumptions'!H42-(0))+'Assumptions'!H47-'Assumptions'!H52*(F488)+'Assumptions'!H57-'Assumptions'!H62*(1)-'Assumptions'!H67-(0))+(('Historical Inputs'!$N$9*(1+(D488))^3)*('Assumptions'!G67+(0))))*'DCF'!H12/(1+(G488))^'DCF'!H13,(('Historical Inputs'!$N$9*(1+(D488))^5)*(('Assumptions'!I37+(E488))*(1-'Assumptions'!I42-(0))+'Assumptions'!I47-'Assumptions'!I52*(F488)+'Assumptions'!I57-'Assumptions'!I62*(1)-'Assumptions'!I67-(0))+(('Historical Inputs'!$N$9*(1+(D488))^4)*('Assumptions'!H67+(0))))*'DCF'!I12/(1+(G488))^'DCF'!I13)+('Historical Inputs'!$N$9*(1+(D488))^5)*(1+(H488))*('Terminal Value'!$E$10+(E488))*(1-'Assumptions'!$E$15-(0))*(1-(H488)/('Terminal Value'!$E$12))/((G488)-(H488))/(1+(G488))^'DCF'!$E$19)+'Equity Bridge'!$E$17)/'Equity Bridge'!$E$20</x:f>
        <x:v>263.0581797634563</x:v>
      </x:c>
      <x:c r="X488" s="255" t="n">
        <x:v>0.03524225889501709</x:v>
      </x:c>
      <x:c r="Y488" s="255" t="n">
        <x:v>0.6114673764339494</x:v>
      </x:c>
      <x:c r="Z488" s="255" t="n">
        <x:v>0.12354665135547305</x:v>
      </x:c>
      <x:c r="AA488" s="255" t="n">
        <x:v>0.29576835254907585</x:v>
      </x:c>
      <x:c r="AB488" s="255" t="n">
        <x:v>0.33940570910178325</x:v>
      </x:c>
    </x:row>
    <x:row r="489" ht="24" customHeight="1">
      <x:c r="C489" s="256" t="n">
        <x:f>458</x:f>
        <x:v>458</x:v>
      </x:c>
      <x:c r="D489" s="258" t="n">
        <x:f>IF(X489&lt;($E$12-$D$12)/($F$12-$D$12),$D$12+SQRT(X489*($F$12-$D$12)*($E$12-$D$12)),$F$12-SQRT((1-X489)*($F$12-$D$12)*($F$12-$E$12)))</x:f>
        <x:v>0.17282684166933143</x:v>
      </x:c>
      <x:c r="E489" s="258" t="n">
        <x:f>IF(Y489&lt;($E$13-$D$13)/($F$13-$D$13),$D$13+SQRT(Y489*($F$13-$D$13)*($E$13-$D$13)),$F$13-SQRT((1-Y489)*($F$13-$D$13)*($F$13-$E$13)))</x:f>
        <x:v>-0.03546586346568241</x:v>
      </x:c>
      <x:c r="F489" s="260" t="n">
        <x:f>IF(Z489&lt;($E$14-$D$14)/($F$14-$D$14),$D$14+SQRT(Z489*($F$14-$D$14)*($E$14-$D$14)),$F$14-SQRT((1-Z489)*($F$14-$D$14)*($F$14-$E$14)))</x:f>
        <x:v>0.9874670259883249</x:v>
      </x:c>
      <x:c r="G489" s="258" t="n">
        <x:f>IF(AA489&lt;($E$15-$D$15)/($F$15-$D$15),$D$15+SQRT(AA489*($F$15-$D$15)*($E$15-$D$15)),$F$15-SQRT((1-AA489)*($F$15-$D$15)*($F$15-$E$15)))</x:f>
        <x:v>0.10353621055825118</x:v>
      </x:c>
      <x:c r="H489" s="258" t="n">
        <x:f>IF(AB489&lt;($E$16-$D$16)/($F$16-$D$16),$D$16+SQRT(AB489*($F$16-$D$16)*($E$16-$D$16)),$F$16-SQRT((1-AB489)*($F$16-$D$16)*($F$16-$E$16)))</x:f>
        <x:v>0.02987527785107222</x:v>
      </x:c>
      <x:c r="I489" s="262" t="n">
        <x:f>'Historical Inputs'!$N$9*(1+D489)^5</x:f>
        <x:v>736371.3956484704</x:v>
      </x:c>
      <x:c r="J489" s="262" t="n">
        <x:f>I489*(1+H489)*('Terminal Value'!$E$10+E489)*(1-'Assumptions'!$E$15)*(1-H489/'Terminal Value'!$E$12)</x:f>
        <x:v>188125.283328543</x:v>
      </x:c>
      <x:c r="K489" s="264" t="n">
        <x:f>((SUM((('Historical Inputs'!$N$9*(1+(D489))^1)*(('Assumptions'!E37+(E489))*(1-'Assumptions'!E42-(0))+'Assumptions'!E47-'Assumptions'!E52*(F489)+'Assumptions'!E57-'Assumptions'!E62*(1)-'Assumptions'!E67-(0))+('Working Capital'!$E$6))*'DCF'!E12/(1+(G489))^'DCF'!E13,(('Historical Inputs'!$N$9*(1+(D489))^2)*(('Assumptions'!F37+(E489))*(1-'Assumptions'!F42-(0))+'Assumptions'!F47-'Assumptions'!F52*(F489)+'Assumptions'!F57-'Assumptions'!F62*(1)-'Assumptions'!F67-(0))+(('Historical Inputs'!$N$9*(1+(D489))^1)*('Assumptions'!E67+(0))))*'DCF'!F12/(1+(G489))^'DCF'!F13,(('Historical Inputs'!$N$9*(1+(D489))^3)*(('Assumptions'!G37+(E489))*(1-'Assumptions'!G42-(0))+'Assumptions'!G47-'Assumptions'!G52*(F489)+'Assumptions'!G57-'Assumptions'!G62*(1)-'Assumptions'!G67-(0))+(('Historical Inputs'!$N$9*(1+(D489))^2)*('Assumptions'!F67+(0))))*'DCF'!G12/(1+(G489))^'DCF'!G13,(('Historical Inputs'!$N$9*(1+(D489))^4)*(('Assumptions'!H37+(E489))*(1-'Assumptions'!H42-(0))+'Assumptions'!H47-'Assumptions'!H52*(F489)+'Assumptions'!H57-'Assumptions'!H62*(1)-'Assumptions'!H67-(0))+(('Historical Inputs'!$N$9*(1+(D489))^3)*('Assumptions'!G67+(0))))*'DCF'!H12/(1+(G489))^'DCF'!H13,(('Historical Inputs'!$N$9*(1+(D489))^5)*(('Assumptions'!I37+(E489))*(1-'Assumptions'!I42-(0))+'Assumptions'!I47-'Assumptions'!I52*(F489)+'Assumptions'!I57-'Assumptions'!I62*(1)-'Assumptions'!I67-(0))+(('Historical Inputs'!$N$9*(1+(D489))^4)*('Assumptions'!H67+(0))))*'DCF'!I12/(1+(G489))^'DCF'!I13)+('Historical Inputs'!$N$9*(1+(D489))^5)*(1+(H489))*('Terminal Value'!$E$10+(E489))*(1-'Assumptions'!$E$15-(0))*(1-(H489)/('Terminal Value'!$E$12))/((G489)-(H489))/(1+(G489))^'DCF'!$E$19)+'Equity Bridge'!$E$17)/'Equity Bridge'!$E$20</x:f>
        <x:v>268.55700649768556</x:v>
      </x:c>
      <x:c r="X489" s="255" t="n">
        <x:v>0.9165215477527444</x:v>
      </x:c>
      <x:c r="Y489" s="255" t="n">
        <x:v>0.04224822495963709</x:v>
      </x:c>
      <x:c r="Z489" s="255" t="n">
        <x:v>0.35994634731571085</x:v>
      </x:c>
      <x:c r="AA489" s="255" t="n">
        <x:v>0.795022522301465</x:v>
      </x:c>
      <x:c r="AB489" s="255" t="n">
        <x:v>0.48760556317938797</x:v>
      </x:c>
    </x:row>
    <x:row r="490" ht="24" customHeight="1">
      <x:c r="C490" s="256" t="n">
        <x:f>459</x:f>
        <x:v>459</x:v>
      </x:c>
      <x:c r="D490" s="258" t="n">
        <x:f>IF(X490&lt;($E$12-$D$12)/($F$12-$D$12),$D$12+SQRT(X490*($F$12-$D$12)*($E$12-$D$12)),$F$12-SQRT((1-X490)*($F$12-$D$12)*($F$12-$E$12)))</x:f>
        <x:v>0.1447416321830112</x:v>
      </x:c>
      <x:c r="E490" s="258" t="n">
        <x:f>IF(Y490&lt;($E$13-$D$13)/($F$13-$D$13),$D$13+SQRT(Y490*($F$13-$D$13)*($E$13-$D$13)),$F$13-SQRT((1-Y490)*($F$13-$D$13)*($F$13-$E$13)))</x:f>
        <x:v>0.005372814988385613</x:v>
      </x:c>
      <x:c r="F490" s="260" t="n">
        <x:f>IF(Z490&lt;($E$14-$D$14)/($F$14-$D$14),$D$14+SQRT(Z490*($F$14-$D$14)*($E$14-$D$14)),$F$14-SQRT((1-Z490)*($F$14-$D$14)*($F$14-$E$14)))</x:f>
        <x:v>0.9828109355097119</x:v>
      </x:c>
      <x:c r="G490" s="258" t="n">
        <x:f>IF(AA490&lt;($E$15-$D$15)/($F$15-$D$15),$D$15+SQRT(AA490*($F$15-$D$15)*($E$15-$D$15)),$F$15-SQRT((1-AA490)*($F$15-$D$15)*($F$15-$E$15)))</x:f>
        <x:v>0.09635077530177671</x:v>
      </x:c>
      <x:c r="H490" s="258" t="n">
        <x:f>IF(AB490&lt;($E$16-$D$16)/($F$16-$D$16),$D$16+SQRT(AB490*($F$16-$D$16)*($E$16-$D$16)),$F$16-SQRT((1-AB490)*($F$16-$D$16)*($F$16-$E$16)))</x:f>
        <x:v>0.020357702424334583</x:v>
      </x:c>
      <x:c r="I490" s="262" t="n">
        <x:f>'Historical Inputs'!$N$9*(1+D490)^5</x:f>
        <x:v>652326.1882247775</x:v>
      </x:c>
      <x:c r="J490" s="262" t="n">
        <x:f>I490*(1+H490)*('Terminal Value'!$E$10+E490)*(1-'Assumptions'!$E$15)*(1-H490/'Terminal Value'!$E$12)</x:f>
        <x:v>193883.331798554</x:v>
      </x:c>
      <x:c r="K490" s="264" t="n">
        <x:f>((SUM((('Historical Inputs'!$N$9*(1+(D490))^1)*(('Assumptions'!E37+(E490))*(1-'Assumptions'!E42-(0))+'Assumptions'!E47-'Assumptions'!E52*(F490)+'Assumptions'!E57-'Assumptions'!E62*(1)-'Assumptions'!E67-(0))+('Working Capital'!$E$6))*'DCF'!E12/(1+(G490))^'DCF'!E13,(('Historical Inputs'!$N$9*(1+(D490))^2)*(('Assumptions'!F37+(E490))*(1-'Assumptions'!F42-(0))+'Assumptions'!F47-'Assumptions'!F52*(F490)+'Assumptions'!F57-'Assumptions'!F62*(1)-'Assumptions'!F67-(0))+(('Historical Inputs'!$N$9*(1+(D490))^1)*('Assumptions'!E67+(0))))*'DCF'!F12/(1+(G490))^'DCF'!F13,(('Historical Inputs'!$N$9*(1+(D490))^3)*(('Assumptions'!G37+(E490))*(1-'Assumptions'!G42-(0))+'Assumptions'!G47-'Assumptions'!G52*(F490)+'Assumptions'!G57-'Assumptions'!G62*(1)-'Assumptions'!G67-(0))+(('Historical Inputs'!$N$9*(1+(D490))^2)*('Assumptions'!F67+(0))))*'DCF'!G12/(1+(G490))^'DCF'!G13,(('Historical Inputs'!$N$9*(1+(D490))^4)*(('Assumptions'!H37+(E490))*(1-'Assumptions'!H42-(0))+'Assumptions'!H47-'Assumptions'!H52*(F490)+'Assumptions'!H57-'Assumptions'!H62*(1)-'Assumptions'!H67-(0))+(('Historical Inputs'!$N$9*(1+(D490))^3)*('Assumptions'!G67+(0))))*'DCF'!H12/(1+(G490))^'DCF'!H13,(('Historical Inputs'!$N$9*(1+(D490))^5)*(('Assumptions'!I37+(E490))*(1-'Assumptions'!I42-(0))+'Assumptions'!I47-'Assumptions'!I52*(F490)+'Assumptions'!I57-'Assumptions'!I62*(1)-'Assumptions'!I67-(0))+(('Historical Inputs'!$N$9*(1+(D490))^4)*('Assumptions'!H67+(0))))*'DCF'!I12/(1+(G490))^'DCF'!I13)+('Historical Inputs'!$N$9*(1+(D490))^5)*(1+(H490))*('Terminal Value'!$E$10+(E490))*(1-'Assumptions'!$E$15-(0))*(1-(H490)/('Terminal Value'!$E$12))/((G490)-(H490))/(1+(G490))^'DCF'!$E$19)+'Equity Bridge'!$E$17)/'Equity Bridge'!$E$20</x:f>
        <x:v>280.17141882319345</x:v>
      </x:c>
      <x:c r="X490" s="255" t="n">
        <x:v>0.5292513935566818</x:v>
      </x:c>
      <x:c r="Y490" s="255" t="n">
        <x:v>0.6016828715878281</x:v>
      </x:c>
      <x:c r="Z490" s="255" t="n">
        <x:v>0.3359760874469495</x:v>
      </x:c>
      <x:c r="AA490" s="255" t="n">
        <x:v>0.38781072659748883</x:v>
      </x:c>
      <x:c r="AB490" s="255" t="n">
        <x:v>0.000639755121874197</x:v>
      </x:c>
    </x:row>
    <x:row r="491" ht="24" customHeight="1">
      <x:c r="C491" s="256" t="n">
        <x:f>460</x:f>
        <x:v>460</x:v>
      </x:c>
      <x:c r="D491" s="258" t="n">
        <x:f>IF(X491&lt;($E$12-$D$12)/($F$12-$D$12),$D$12+SQRT(X491*($F$12-$D$12)*($E$12-$D$12)),$F$12-SQRT((1-X491)*($F$12-$D$12)*($F$12-$E$12)))</x:f>
        <x:v>0.19226406511688332</x:v>
      </x:c>
      <x:c r="E491" s="258" t="n">
        <x:f>IF(Y491&lt;($E$13-$D$13)/($F$13-$D$13),$D$13+SQRT(Y491*($F$13-$D$13)*($E$13-$D$13)),$F$13-SQRT((1-Y491)*($F$13-$D$13)*($F$13-$E$13)))</x:f>
        <x:v>0.003840118808769881</x:v>
      </x:c>
      <x:c r="F491" s="260" t="n">
        <x:f>IF(Z491&lt;($E$14-$D$14)/($F$14-$D$14),$D$14+SQRT(Z491*($F$14-$D$14)*($E$14-$D$14)),$F$14-SQRT((1-Z491)*($F$14-$D$14)*($F$14-$E$14)))</x:f>
        <x:v>1.0455952661876744</x:v>
      </x:c>
      <x:c r="G491" s="258" t="n">
        <x:f>IF(AA491&lt;($E$15-$D$15)/($F$15-$D$15),$D$15+SQRT(AA491*($F$15-$D$15)*($E$15-$D$15)),$F$15-SQRT((1-AA491)*($F$15-$D$15)*($F$15-$E$15)))</x:f>
        <x:v>0.10010833826140812</x:v>
      </x:c>
      <x:c r="H491" s="258" t="n">
        <x:f>IF(AB491&lt;($E$16-$D$16)/($F$16-$D$16),$D$16+SQRT(AB491*($F$16-$D$16)*($E$16-$D$16)),$F$16-SQRT((1-AB491)*($F$16-$D$16)*($F$16-$E$16)))</x:f>
        <x:v>0.029894215629696352</x:v>
      </x:c>
      <x:c r="I491" s="262" t="n">
        <x:f>'Historical Inputs'!$N$9*(1+D491)^5</x:f>
        <x:v>799447.0392744881</x:v>
      </x:c>
      <x:c r="J491" s="262" t="n">
        <x:f>I491*(1+H491)*('Terminal Value'!$E$10+E491)*(1-'Assumptions'!$E$15)*(1-H491/'Terminal Value'!$E$12)</x:f>
        <x:v>226240.7602926424</x:v>
      </x:c>
      <x:c r="K491" s="264" t="n">
        <x:f>((SUM((('Historical Inputs'!$N$9*(1+(D491))^1)*(('Assumptions'!E37+(E491))*(1-'Assumptions'!E42-(0))+'Assumptions'!E47-'Assumptions'!E52*(F491)+'Assumptions'!E57-'Assumptions'!E62*(1)-'Assumptions'!E67-(0))+('Working Capital'!$E$6))*'DCF'!E12/(1+(G491))^'DCF'!E13,(('Historical Inputs'!$N$9*(1+(D491))^2)*(('Assumptions'!F37+(E491))*(1-'Assumptions'!F42-(0))+'Assumptions'!F47-'Assumptions'!F52*(F491)+'Assumptions'!F57-'Assumptions'!F62*(1)-'Assumptions'!F67-(0))+(('Historical Inputs'!$N$9*(1+(D491))^1)*('Assumptions'!E67+(0))))*'DCF'!F12/(1+(G491))^'DCF'!F13,(('Historical Inputs'!$N$9*(1+(D491))^3)*(('Assumptions'!G37+(E491))*(1-'Assumptions'!G42-(0))+'Assumptions'!G47-'Assumptions'!G52*(F491)+'Assumptions'!G57-'Assumptions'!G62*(1)-'Assumptions'!G67-(0))+(('Historical Inputs'!$N$9*(1+(D491))^2)*('Assumptions'!F67+(0))))*'DCF'!G12/(1+(G491))^'DCF'!G13,(('Historical Inputs'!$N$9*(1+(D491))^4)*(('Assumptions'!H37+(E491))*(1-'Assumptions'!H42-(0))+'Assumptions'!H47-'Assumptions'!H52*(F491)+'Assumptions'!H57-'Assumptions'!H62*(1)-'Assumptions'!H67-(0))+(('Historical Inputs'!$N$9*(1+(D491))^3)*('Assumptions'!G67+(0))))*'DCF'!H12/(1+(G491))^'DCF'!H13,(('Historical Inputs'!$N$9*(1+(D491))^5)*(('Assumptions'!I37+(E491))*(1-'Assumptions'!I42-(0))+'Assumptions'!I47-'Assumptions'!I52*(F491)+'Assumptions'!I57-'Assumptions'!I62*(1)-'Assumptions'!I67-(0))+(('Historical Inputs'!$N$9*(1+(D491))^4)*('Assumptions'!H67+(0))))*'DCF'!I12/(1+(G491))^'DCF'!I13)+('Historical Inputs'!$N$9*(1+(D491))^5)*(1+(H491))*('Terminal Value'!$E$10+(E491))*(1-'Assumptions'!$E$15-(0))*(1-(H491)/('Terminal Value'!$E$12))/((G491)-(H491))/(1+(G491))^'DCF'!$E$19)+'Equity Bridge'!$E$17)/'Equity Bridge'!$E$20</x:f>
        <x:v>337.8268363164594</x:v>
      </x:c>
      <x:c r="X491" s="255" t="n">
        <x:v>0.9998028073947413</x:v>
      </x:c>
      <x:c r="Y491" s="255" t="n">
        <x:v>0.573853073682304</x:v>
      </x:c>
      <x:c r="Z491" s="255" t="n">
        <x:v>0.6594168310906409</x:v>
      </x:c>
      <x:c r="AA491" s="255" t="n">
        <x:v>0.6225914827623744</x:v>
      </x:c>
      <x:c r="AB491" s="255" t="n">
        <x:v>0.48947751463463807</x:v>
      </x:c>
    </x:row>
    <x:row r="492" ht="24" customHeight="1">
      <x:c r="C492" s="256" t="n">
        <x:f>461</x:f>
        <x:v>461</x:v>
      </x:c>
      <x:c r="D492" s="258" t="n">
        <x:f>IF(X492&lt;($E$12-$D$12)/($F$12-$D$12),$D$12+SQRT(X492*($F$12-$D$12)*($E$12-$D$12)),$F$12-SQRT((1-X492)*($F$12-$D$12)*($F$12-$E$12)))</x:f>
        <x:v>0.12150799043535125</x:v>
      </x:c>
      <x:c r="E492" s="258" t="n">
        <x:f>IF(Y492&lt;($E$13-$D$13)/($F$13-$D$13),$D$13+SQRT(Y492*($F$13-$D$13)*($E$13-$D$13)),$F$13-SQRT((1-Y492)*($F$13-$D$13)*($F$13-$E$13)))</x:f>
        <x:v>0.029142578057666717</x:v>
      </x:c>
      <x:c r="F492" s="260" t="n">
        <x:f>IF(Z492&lt;($E$14-$D$14)/($F$14-$D$14),$D$14+SQRT(Z492*($F$14-$D$14)*($E$14-$D$14)),$F$14-SQRT((1-Z492)*($F$14-$D$14)*($F$14-$E$14)))</x:f>
        <x:v>1.0196800044287344</x:v>
      </x:c>
      <x:c r="G492" s="258" t="n">
        <x:f>IF(AA492&lt;($E$15-$D$15)/($F$15-$D$15),$D$15+SQRT(AA492*($F$15-$D$15)*($E$15-$D$15)),$F$15-SQRT((1-AA492)*($F$15-$D$15)*($F$15-$E$15)))</x:f>
        <x:v>0.09592743208954552</x:v>
      </x:c>
      <x:c r="H492" s="258" t="n">
        <x:f>IF(AB492&lt;($E$16-$D$16)/($F$16-$D$16),$D$16+SQRT(AB492*($F$16-$D$16)*($E$16-$D$16)),$F$16-SQRT((1-AB492)*($F$16-$D$16)*($F$16-$E$16)))</x:f>
        <x:v>0.02472822880652508</x:v>
      </x:c>
      <x:c r="I492" s="262" t="n">
        <x:f>'Historical Inputs'!$N$9*(1+D492)^5</x:f>
        <x:v>588761.3422867933</x:v>
      </x:c>
      <x:c r="J492" s="262" t="n">
        <x:f>I492*(1+H492)*('Terminal Value'!$E$10+E492)*(1-'Assumptions'!$E$15)*(1-H492/'Terminal Value'!$E$12)</x:f>
        <x:v>181518.77814050927</x:v>
      </x:c>
      <x:c r="K492" s="264" t="n">
        <x:f>((SUM((('Historical Inputs'!$N$9*(1+(D492))^1)*(('Assumptions'!E37+(E492))*(1-'Assumptions'!E42-(0))+'Assumptions'!E47-'Assumptions'!E52*(F492)+'Assumptions'!E57-'Assumptions'!E62*(1)-'Assumptions'!E67-(0))+('Working Capital'!$E$6))*'DCF'!E12/(1+(G492))^'DCF'!E13,(('Historical Inputs'!$N$9*(1+(D492))^2)*(('Assumptions'!F37+(E492))*(1-'Assumptions'!F42-(0))+'Assumptions'!F47-'Assumptions'!F52*(F492)+'Assumptions'!F57-'Assumptions'!F62*(1)-'Assumptions'!F67-(0))+(('Historical Inputs'!$N$9*(1+(D492))^1)*('Assumptions'!E67+(0))))*'DCF'!F12/(1+(G492))^'DCF'!F13,(('Historical Inputs'!$N$9*(1+(D492))^3)*(('Assumptions'!G37+(E492))*(1-'Assumptions'!G42-(0))+'Assumptions'!G47-'Assumptions'!G52*(F492)+'Assumptions'!G57-'Assumptions'!G62*(1)-'Assumptions'!G67-(0))+(('Historical Inputs'!$N$9*(1+(D492))^2)*('Assumptions'!F67+(0))))*'DCF'!G12/(1+(G492))^'DCF'!G13,(('Historical Inputs'!$N$9*(1+(D492))^4)*(('Assumptions'!H37+(E492))*(1-'Assumptions'!H42-(0))+'Assumptions'!H47-'Assumptions'!H52*(F492)+'Assumptions'!H57-'Assumptions'!H62*(1)-'Assumptions'!H67-(0))+(('Historical Inputs'!$N$9*(1+(D492))^3)*('Assumptions'!G67+(0))))*'DCF'!H12/(1+(G492))^'DCF'!H13,(('Historical Inputs'!$N$9*(1+(D492))^5)*(('Assumptions'!I37+(E492))*(1-'Assumptions'!I42-(0))+'Assumptions'!I47-'Assumptions'!I52*(F492)+'Assumptions'!I57-'Assumptions'!I62*(1)-'Assumptions'!I67-(0))+(('Historical Inputs'!$N$9*(1+(D492))^4)*('Assumptions'!H67+(0))))*'DCF'!I12/(1+(G492))^'DCF'!I13)+('Historical Inputs'!$N$9*(1+(D492))^5)*(1+(H492))*('Terminal Value'!$E$10+(E492))*(1-'Assumptions'!$E$15-(0))*(1-(H492)/('Terminal Value'!$E$12))/((G492)-(H492))/(1+(G492))^'DCF'!$E$19)+'Equity Bridge'!$E$17)/'Equity Bridge'!$E$20</x:f>
        <x:v>278.6793455238405</x:v>
      </x:c>
      <x:c r="X492" s="255" t="n">
        <x:v>0.1596234454726616</x:v>
      </x:c>
      <x:c r="Y492" s="255" t="n">
        <x:v>0.9129935899838948</x:v>
      </x:c>
      <x:c r="Z492" s="255" t="n">
        <x:v>0.5354957028168399</x:v>
      </x:c>
      <x:c r="AA492" s="255" t="n">
        <x:v>0.3633532778072749</x:v>
      </x:c>
      <x:c r="AB492" s="255" t="n">
        <x:v>0.11178073823426804</x:v>
      </x:c>
    </x:row>
    <x:row r="493" ht="24" customHeight="1">
      <x:c r="C493" s="256" t="n">
        <x:f>462</x:f>
        <x:v>462</x:v>
      </x:c>
      <x:c r="D493" s="258" t="n">
        <x:f>IF(X493&lt;($E$12-$D$12)/($F$12-$D$12),$D$12+SQRT(X493*($F$12-$D$12)*($E$12-$D$12)),$F$12-SQRT((1-X493)*($F$12-$D$12)*($F$12-$E$12)))</x:f>
        <x:v>0.16331744372396714</x:v>
      </x:c>
      <x:c r="E493" s="258" t="n">
        <x:f>IF(Y493&lt;($E$13-$D$13)/($F$13-$D$13),$D$13+SQRT(Y493*($F$13-$D$13)*($E$13-$D$13)),$F$13-SQRT((1-Y493)*($F$13-$D$13)*($F$13-$E$13)))</x:f>
        <x:v>0.02543043901000915</x:v>
      </x:c>
      <x:c r="F493" s="260" t="n">
        <x:f>IF(Z493&lt;($E$14-$D$14)/($F$14-$D$14),$D$14+SQRT(Z493*($F$14-$D$14)*($E$14-$D$14)),$F$14-SQRT((1-Z493)*($F$14-$D$14)*($F$14-$E$14)))</x:f>
        <x:v>1.0738059034910876</x:v>
      </x:c>
      <x:c r="G493" s="258" t="n">
        <x:f>IF(AA493&lt;($E$15-$D$15)/($F$15-$D$15),$D$15+SQRT(AA493*($F$15-$D$15)*($E$15-$D$15)),$F$15-SQRT((1-AA493)*($F$15-$D$15)*($F$15-$E$15)))</x:f>
        <x:v>0.10437400336058185</x:v>
      </x:c>
      <x:c r="H493" s="258" t="n">
        <x:f>IF(AB493&lt;($E$16-$D$16)/($F$16-$D$16),$D$16+SQRT(AB493*($F$16-$D$16)*($E$16-$D$16)),$F$16-SQRT((1-AB493)*($F$16-$D$16)*($F$16-$E$16)))</x:f>
        <x:v>0.032632501699321526</x:v>
      </x:c>
      <x:c r="I493" s="262" t="n">
        <x:f>'Historical Inputs'!$N$9*(1+D493)^5</x:f>
        <x:v>706998.7199453457</x:v>
      </x:c>
      <x:c r="J493" s="262" t="n">
        <x:f>I493*(1+H493)*('Terminal Value'!$E$10+E493)*(1-'Assumptions'!$E$15)*(1-H493/'Terminal Value'!$E$12)</x:f>
        <x:v>207933.32271212668</x:v>
      </x:c>
      <x:c r="K493" s="264" t="n">
        <x:f>((SUM((('Historical Inputs'!$N$9*(1+(D493))^1)*(('Assumptions'!E37+(E493))*(1-'Assumptions'!E42-(0))+'Assumptions'!E47-'Assumptions'!E52*(F493)+'Assumptions'!E57-'Assumptions'!E62*(1)-'Assumptions'!E67-(0))+('Working Capital'!$E$6))*'DCF'!E12/(1+(G493))^'DCF'!E13,(('Historical Inputs'!$N$9*(1+(D493))^2)*(('Assumptions'!F37+(E493))*(1-'Assumptions'!F42-(0))+'Assumptions'!F47-'Assumptions'!F52*(F493)+'Assumptions'!F57-'Assumptions'!F62*(1)-'Assumptions'!F67-(0))+(('Historical Inputs'!$N$9*(1+(D493))^1)*('Assumptions'!E67+(0))))*'DCF'!F12/(1+(G493))^'DCF'!F13,(('Historical Inputs'!$N$9*(1+(D493))^3)*(('Assumptions'!G37+(E493))*(1-'Assumptions'!G42-(0))+'Assumptions'!G47-'Assumptions'!G52*(F493)+'Assumptions'!G57-'Assumptions'!G62*(1)-'Assumptions'!G67-(0))+(('Historical Inputs'!$N$9*(1+(D493))^2)*('Assumptions'!F67+(0))))*'DCF'!G12/(1+(G493))^'DCF'!G13,(('Historical Inputs'!$N$9*(1+(D493))^4)*(('Assumptions'!H37+(E493))*(1-'Assumptions'!H42-(0))+'Assumptions'!H47-'Assumptions'!H52*(F493)+'Assumptions'!H57-'Assumptions'!H62*(1)-'Assumptions'!H67-(0))+(('Historical Inputs'!$N$9*(1+(D493))^3)*('Assumptions'!G67+(0))))*'DCF'!H12/(1+(G493))^'DCF'!H13,(('Historical Inputs'!$N$9*(1+(D493))^5)*(('Assumptions'!I37+(E493))*(1-'Assumptions'!I42-(0))+'Assumptions'!I47-'Assumptions'!I52*(F493)+'Assumptions'!I57-'Assumptions'!I62*(1)-'Assumptions'!I67-(0))+(('Historical Inputs'!$N$9*(1+(D493))^4)*('Assumptions'!H67+(0))))*'DCF'!I12/(1+(G493))^'DCF'!I13)+('Historical Inputs'!$N$9*(1+(D493))^5)*(1+(H493))*('Terminal Value'!$E$10+(E493))*(1-'Assumptions'!$E$15-(0))*(1-(H493)/('Terminal Value'!$E$12))/((G493)-(H493))/(1+(G493))^'DCF'!$E$19)+'Equity Bridge'!$E$17)/'Equity Bridge'!$E$20</x:f>
        <x:v>302.31842011219663</x:v>
      </x:c>
      <x:c r="X493" s="255" t="n">
        <x:v>0.820724332613768</x:v>
      </x:c>
      <x:c r="Y493" s="255" t="n">
        <x:v>0.8792673345518239</x:v>
      </x:c>
      <x:c r="Z493" s="255" t="n">
        <x:v>0.7725007143757042</x:v>
      </x:c>
      <x:c r="AA493" s="255" t="n">
        <x:v>0.8292240630523166</x:v>
      </x:c>
      <x:c r="AB493" s="255" t="n">
        <x:v>0.728599843947499</x:v>
      </x:c>
    </x:row>
    <x:row r="494" ht="24" customHeight="1">
      <x:c r="C494" s="256" t="n">
        <x:f>463</x:f>
        <x:v>463</x:v>
      </x:c>
      <x:c r="D494" s="258" t="n">
        <x:f>IF(X494&lt;($E$12-$D$12)/($F$12-$D$12),$D$12+SQRT(X494*($F$12-$D$12)*($E$12-$D$12)),$F$12-SQRT((1-X494)*($F$12-$D$12)*($F$12-$E$12)))</x:f>
        <x:v>0.15693793215883428</x:v>
      </x:c>
      <x:c r="E494" s="258" t="n">
        <x:f>IF(Y494&lt;($E$13-$D$13)/($F$13-$D$13),$D$13+SQRT(Y494*($F$13-$D$13)*($E$13-$D$13)),$F$13-SQRT((1-Y494)*($F$13-$D$13)*($F$13-$E$13)))</x:f>
        <x:v>-0.000757738753019932</x:v>
      </x:c>
      <x:c r="F494" s="260" t="n">
        <x:f>IF(Z494&lt;($E$14-$D$14)/($F$14-$D$14),$D$14+SQRT(Z494*($F$14-$D$14)*($E$14-$D$14)),$F$14-SQRT((1-Z494)*($F$14-$D$14)*($F$14-$E$14)))</x:f>
        <x:v>1.017573102897266</x:v>
      </x:c>
      <x:c r="G494" s="258" t="n">
        <x:f>IF(AA494&lt;($E$15-$D$15)/($F$15-$D$15),$D$15+SQRT(AA494*($F$15-$D$15)*($E$15-$D$15)),$F$15-SQRT((1-AA494)*($F$15-$D$15)*($F$15-$E$15)))</x:f>
        <x:v>0.0932313283815838</x:v>
      </x:c>
      <x:c r="H494" s="258" t="n">
        <x:f>IF(AB494&lt;($E$16-$D$16)/($F$16-$D$16),$D$16+SQRT(AB494*($F$16-$D$16)*($E$16-$D$16)),$F$16-SQRT((1-AB494)*($F$16-$D$16)*($F$16-$E$16)))</x:f>
        <x:v>0.02364815618517259</x:v>
      </x:c>
      <x:c r="I494" s="262" t="n">
        <x:f>'Historical Inputs'!$N$9*(1+D494)^5</x:f>
        <x:v>687824.6373759707</x:v>
      </x:c>
      <x:c r="J494" s="262" t="n">
        <x:f>I494*(1+H494)*('Terminal Value'!$E$10+E494)*(1-'Assumptions'!$E$15)*(1-H494/'Terminal Value'!$E$12)</x:f>
        <x:v>198291.88401971795</x:v>
      </x:c>
      <x:c r="K494" s="264" t="n">
        <x:f>((SUM((('Historical Inputs'!$N$9*(1+(D494))^1)*(('Assumptions'!E37+(E494))*(1-'Assumptions'!E42-(0))+'Assumptions'!E47-'Assumptions'!E52*(F494)+'Assumptions'!E57-'Assumptions'!E62*(1)-'Assumptions'!E67-(0))+('Working Capital'!$E$6))*'DCF'!E12/(1+(G494))^'DCF'!E13,(('Historical Inputs'!$N$9*(1+(D494))^2)*(('Assumptions'!F37+(E494))*(1-'Assumptions'!F42-(0))+'Assumptions'!F47-'Assumptions'!F52*(F494)+'Assumptions'!F57-'Assumptions'!F62*(1)-'Assumptions'!F67-(0))+(('Historical Inputs'!$N$9*(1+(D494))^1)*('Assumptions'!E67+(0))))*'DCF'!F12/(1+(G494))^'DCF'!F13,(('Historical Inputs'!$N$9*(1+(D494))^3)*(('Assumptions'!G37+(E494))*(1-'Assumptions'!G42-(0))+'Assumptions'!G47-'Assumptions'!G52*(F494)+'Assumptions'!G57-'Assumptions'!G62*(1)-'Assumptions'!G67-(0))+(('Historical Inputs'!$N$9*(1+(D494))^2)*('Assumptions'!F67+(0))))*'DCF'!G12/(1+(G494))^'DCF'!G13,(('Historical Inputs'!$N$9*(1+(D494))^4)*(('Assumptions'!H37+(E494))*(1-'Assumptions'!H42-(0))+'Assumptions'!H47-'Assumptions'!H52*(F494)+'Assumptions'!H57-'Assumptions'!H62*(1)-'Assumptions'!H67-(0))+(('Historical Inputs'!$N$9*(1+(D494))^3)*('Assumptions'!G67+(0))))*'DCF'!H12/(1+(G494))^'DCF'!H13,(('Historical Inputs'!$N$9*(1+(D494))^5)*(('Assumptions'!I37+(E494))*(1-'Assumptions'!I42-(0))+'Assumptions'!I47-'Assumptions'!I52*(F494)+'Assumptions'!I57-'Assumptions'!I62*(1)-'Assumptions'!I67-(0))+(('Historical Inputs'!$N$9*(1+(D494))^4)*('Assumptions'!H67+(0))))*'DCF'!I12/(1+(G494))^'DCF'!I13)+('Historical Inputs'!$N$9*(1+(D494))^5)*(1+(H494))*('Terminal Value'!$E$10+(E494))*(1-'Assumptions'!$E$15-(0))*(1-(H494)/('Terminal Value'!$E$12))/((G494)-(H494))/(1+(G494))^'DCF'!$E$19)+'Equity Bridge'!$E$17)/'Equity Bridge'!$E$20</x:f>
        <x:v>308.6274533170268</x:v>
      </x:c>
      <x:c r="X494" s="255" t="n">
        <x:v>0.7361847451488417</x:v>
      </x:c>
      <x:c r="Y494" s="255" t="n">
        <x:v>0.4849600585431669</x:v>
      </x:c>
      <x:c r="Z494" s="255" t="n">
        <x:v>0.5245775316209794</x:v>
      </x:c>
      <x:c r="AA494" s="255" t="n">
        <x:v>0.22628323414956586</x:v>
      </x:c>
      <x:c r="AB494" s="255" t="n">
        <x:v>0.06654521775706523</x:v>
      </x:c>
    </x:row>
    <x:row r="495" ht="24" customHeight="1">
      <x:c r="C495" s="256" t="n">
        <x:f>464</x:f>
        <x:v>464</x:v>
      </x:c>
      <x:c r="D495" s="258" t="n">
        <x:f>IF(X495&lt;($E$12-$D$12)/($F$12-$D$12),$D$12+SQRT(X495*($F$12-$D$12)*($E$12-$D$12)),$F$12-SQRT((1-X495)*($F$12-$D$12)*($F$12-$E$12)))</x:f>
        <x:v>0.1780668555304594</x:v>
      </x:c>
      <x:c r="E495" s="258" t="n">
        <x:f>IF(Y495&lt;($E$13-$D$13)/($F$13-$D$13),$D$13+SQRT(Y495*($F$13-$D$13)*($E$13-$D$13)),$F$13-SQRT((1-Y495)*($F$13-$D$13)*($F$13-$E$13)))</x:f>
        <x:v>0.02127664752108048</x:v>
      </x:c>
      <x:c r="F495" s="260" t="n">
        <x:f>IF(Z495&lt;($E$14-$D$14)/($F$14-$D$14),$D$14+SQRT(Z495*($F$14-$D$14)*($E$14-$D$14)),$F$14-SQRT((1-Z495)*($F$14-$D$14)*($F$14-$E$14)))</x:f>
        <x:v>0.9007453794517586</x:v>
      </x:c>
      <x:c r="G495" s="258" t="n">
        <x:f>IF(AA495&lt;($E$15-$D$15)/($F$15-$D$15),$D$15+SQRT(AA495*($F$15-$D$15)*($E$15-$D$15)),$F$15-SQRT((1-AA495)*($F$15-$D$15)*($F$15-$E$15)))</x:f>
        <x:v>0.09910270201020037</x:v>
      </x:c>
      <x:c r="H495" s="258" t="n">
        <x:f>IF(AB495&lt;($E$16-$D$16)/($F$16-$D$16),$D$16+SQRT(AB495*($F$16-$D$16)*($E$16-$D$16)),$F$16-SQRT((1-AB495)*($F$16-$D$16)*($F$16-$E$16)))</x:f>
        <x:v>0.037834890341235945</x:v>
      </x:c>
      <x:c r="I495" s="262" t="n">
        <x:f>'Historical Inputs'!$N$9*(1+D495)^5</x:f>
        <x:v>752969.0289475269</x:v>
      </x:c>
      <x:c r="J495" s="262" t="n">
        <x:f>I495*(1+H495)*('Terminal Value'!$E$10+E495)*(1-'Assumptions'!$E$15)*(1-H495/'Terminal Value'!$E$12)</x:f>
        <x:v>213545.3786191527</x:v>
      </x:c>
      <x:c r="K495" s="264" t="n">
        <x:f>((SUM((('Historical Inputs'!$N$9*(1+(D495))^1)*(('Assumptions'!E37+(E495))*(1-'Assumptions'!E42-(0))+'Assumptions'!E47-'Assumptions'!E52*(F495)+'Assumptions'!E57-'Assumptions'!E62*(1)-'Assumptions'!E67-(0))+('Working Capital'!$E$6))*'DCF'!E12/(1+(G495))^'DCF'!E13,(('Historical Inputs'!$N$9*(1+(D495))^2)*(('Assumptions'!F37+(E495))*(1-'Assumptions'!F42-(0))+'Assumptions'!F47-'Assumptions'!F52*(F495)+'Assumptions'!F57-'Assumptions'!F62*(1)-'Assumptions'!F67-(0))+(('Historical Inputs'!$N$9*(1+(D495))^1)*('Assumptions'!E67+(0))))*'DCF'!F12/(1+(G495))^'DCF'!F13,(('Historical Inputs'!$N$9*(1+(D495))^3)*(('Assumptions'!G37+(E495))*(1-'Assumptions'!G42-(0))+'Assumptions'!G47-'Assumptions'!G52*(F495)+'Assumptions'!G57-'Assumptions'!G62*(1)-'Assumptions'!G67-(0))+(('Historical Inputs'!$N$9*(1+(D495))^2)*('Assumptions'!F67+(0))))*'DCF'!G12/(1+(G495))^'DCF'!G13,(('Historical Inputs'!$N$9*(1+(D495))^4)*(('Assumptions'!H37+(E495))*(1-'Assumptions'!H42-(0))+'Assumptions'!H47-'Assumptions'!H52*(F495)+'Assumptions'!H57-'Assumptions'!H62*(1)-'Assumptions'!H67-(0))+(('Historical Inputs'!$N$9*(1+(D495))^3)*('Assumptions'!G67+(0))))*'DCF'!H12/(1+(G495))^'DCF'!H13,(('Historical Inputs'!$N$9*(1+(D495))^5)*(('Assumptions'!I37+(E495))*(1-'Assumptions'!I42-(0))+'Assumptions'!I47-'Assumptions'!I52*(F495)+'Assumptions'!I57-'Assumptions'!I62*(1)-'Assumptions'!I67-(0))+(('Historical Inputs'!$N$9*(1+(D495))^4)*('Assumptions'!H67+(0))))*'DCF'!I12/(1+(G495))^'DCF'!I13)+('Historical Inputs'!$N$9*(1+(D495))^5)*(1+(H495))*('Terminal Value'!$E$10+(E495))*(1-'Assumptions'!$E$15-(0))*(1-(H495)/('Terminal Value'!$E$12))/((G495)-(H495))/(1+(G495))^'DCF'!$E$19)+'Equity Bridge'!$E$17)/'Equity Bridge'!$E$20</x:f>
        <x:v>373.06275058426587</x:v>
      </x:c>
      <x:c r="X495" s="255" t="n">
        <x:v>0.9538517695824159</x:v>
      </x:c>
      <x:c r="Y495" s="255" t="n">
        <x:v>0.8349938044743496</x:v>
      </x:c>
      <x:c r="Z495" s="255" t="n">
        <x:v>0.049049400680056365</x:v>
      </x:c>
      <x:c r="AA495" s="255" t="n">
        <x:v>0.5620975495840637</x:v>
      </x:c>
      <x:c r="AB495" s="255" t="n">
        <x:v>0.976561500827633</x:v>
      </x:c>
    </x:row>
    <x:row r="496" ht="24" customHeight="1">
      <x:c r="C496" s="256" t="n">
        <x:f>465</x:f>
        <x:v>465</x:v>
      </x:c>
      <x:c r="D496" s="258" t="n">
        <x:f>IF(X496&lt;($E$12-$D$12)/($F$12-$D$12),$D$12+SQRT(X496*($F$12-$D$12)*($E$12-$D$12)),$F$12-SQRT((1-X496)*($F$12-$D$12)*($F$12-$E$12)))</x:f>
        <x:v>0.11257661939146345</x:v>
      </x:c>
      <x:c r="E496" s="258" t="n">
        <x:f>IF(Y496&lt;($E$13-$D$13)/($F$13-$D$13),$D$13+SQRT(Y496*($F$13-$D$13)*($E$13-$D$13)),$F$13-SQRT((1-Y496)*($F$13-$D$13)*($F$13-$E$13)))</x:f>
        <x:v>-0.04591443895443804</x:v>
      </x:c>
      <x:c r="F496" s="260" t="n">
        <x:f>IF(Z496&lt;($E$14-$D$14)/($F$14-$D$14),$D$14+SQRT(Z496*($F$14-$D$14)*($E$14-$D$14)),$F$14-SQRT((1-Z496)*($F$14-$D$14)*($F$14-$E$14)))</x:f>
        <x:v>1.0485242563847883</x:v>
      </x:c>
      <x:c r="G496" s="258" t="n">
        <x:f>IF(AA496&lt;($E$15-$D$15)/($F$15-$D$15),$D$15+SQRT(AA496*($F$15-$D$15)*($E$15-$D$15)),$F$15-SQRT((1-AA496)*($F$15-$D$15)*($F$15-$E$15)))</x:f>
        <x:v>0.10557644941442255</x:v>
      </x:c>
      <x:c r="H496" s="258" t="n">
        <x:f>IF(AB496&lt;($E$16-$D$16)/($F$16-$D$16),$D$16+SQRT(AB496*($F$16-$D$16)*($E$16-$D$16)),$F$16-SQRT((1-AB496)*($F$16-$D$16)*($F$16-$E$16)))</x:f>
        <x:v>0.025270073750754015</x:v>
      </x:c>
      <x:c r="I496" s="262" t="n">
        <x:f>'Historical Inputs'!$N$9*(1+D496)^5</x:f>
        <x:v>565688.1370764844</x:v>
      </x:c>
      <x:c r="J496" s="262" t="n">
        <x:f>I496*(1+H496)*('Terminal Value'!$E$10+E496)*(1-'Assumptions'!$E$15)*(1-H496/'Terminal Value'!$E$12)</x:f>
        <x:v>143532.70009637307</x:v>
      </x:c>
      <x:c r="K496" s="264" t="n">
        <x:f>((SUM((('Historical Inputs'!$N$9*(1+(D496))^1)*(('Assumptions'!E37+(E496))*(1-'Assumptions'!E42-(0))+'Assumptions'!E47-'Assumptions'!E52*(F496)+'Assumptions'!E57-'Assumptions'!E62*(1)-'Assumptions'!E67-(0))+('Working Capital'!$E$6))*'DCF'!E12/(1+(G496))^'DCF'!E13,(('Historical Inputs'!$N$9*(1+(D496))^2)*(('Assumptions'!F37+(E496))*(1-'Assumptions'!F42-(0))+'Assumptions'!F47-'Assumptions'!F52*(F496)+'Assumptions'!F57-'Assumptions'!F62*(1)-'Assumptions'!F67-(0))+(('Historical Inputs'!$N$9*(1+(D496))^1)*('Assumptions'!E67+(0))))*'DCF'!F12/(1+(G496))^'DCF'!F13,(('Historical Inputs'!$N$9*(1+(D496))^3)*(('Assumptions'!G37+(E496))*(1-'Assumptions'!G42-(0))+'Assumptions'!G47-'Assumptions'!G52*(F496)+'Assumptions'!G57-'Assumptions'!G62*(1)-'Assumptions'!G67-(0))+(('Historical Inputs'!$N$9*(1+(D496))^2)*('Assumptions'!F67+(0))))*'DCF'!G12/(1+(G496))^'DCF'!G13,(('Historical Inputs'!$N$9*(1+(D496))^4)*(('Assumptions'!H37+(E496))*(1-'Assumptions'!H42-(0))+'Assumptions'!H47-'Assumptions'!H52*(F496)+'Assumptions'!H57-'Assumptions'!H62*(1)-'Assumptions'!H67-(0))+(('Historical Inputs'!$N$9*(1+(D496))^3)*('Assumptions'!G67+(0))))*'DCF'!H12/(1+(G496))^'DCF'!H13,(('Historical Inputs'!$N$9*(1+(D496))^5)*(('Assumptions'!I37+(E496))*(1-'Assumptions'!I42-(0))+'Assumptions'!I47-'Assumptions'!I52*(F496)+'Assumptions'!I57-'Assumptions'!I62*(1)-'Assumptions'!I67-(0))+(('Historical Inputs'!$N$9*(1+(D496))^4)*('Assumptions'!H67+(0))))*'DCF'!I12/(1+(G496))^'DCF'!I13)+('Historical Inputs'!$N$9*(1+(D496))^5)*(1+(H496))*('Terminal Value'!$E$10+(E496))*(1-'Assumptions'!$E$15-(0))*(1-(H496)/('Terminal Value'!$E$12))/((G496)-(H496))/(1+(G496))^'DCF'!$E$19)+'Equity Bridge'!$E$17)/'Equity Bridge'!$E$20</x:f>
        <x:v>187.48779598308718</x:v>
      </x:c>
      <x:c r="X496" s="255" t="n">
        <x:v>0.07464937001784888</x:v>
      </x:c>
      <x:c r="Y496" s="255" t="n">
        <x:v>0.003338361811402679</x:v>
      </x:c>
      <x:c r="Z496" s="255" t="n">
        <x:v>0.6722157013745527</x:v>
      </x:c>
      <x:c r="AA496" s="255" t="n">
        <x:v>0.8728602580007079</x:v>
      </x:c>
      <x:c r="AB496" s="255" t="n">
        <x:v>0.13886838669193258</x:v>
      </x:c>
    </x:row>
    <x:row r="497" ht="24" customHeight="1">
      <x:c r="C497" s="256" t="n">
        <x:f>466</x:f>
        <x:v>466</x:v>
      </x:c>
      <x:c r="D497" s="258" t="n">
        <x:f>IF(X497&lt;($E$12-$D$12)/($F$12-$D$12),$D$12+SQRT(X497*($F$12-$D$12)*($E$12-$D$12)),$F$12-SQRT((1-X497)*($F$12-$D$12)*($F$12-$E$12)))</x:f>
        <x:v>0.126361898104354</x:v>
      </x:c>
      <x:c r="E497" s="258" t="n">
        <x:f>IF(Y497&lt;($E$13-$D$13)/($F$13-$D$13),$D$13+SQRT(Y497*($F$13-$D$13)*($E$13-$D$13)),$F$13-SQRT((1-Y497)*($F$13-$D$13)*($F$13-$E$13)))</x:f>
        <x:v>-0.0057730990515045474</x:v>
      </x:c>
      <x:c r="F497" s="260" t="n">
        <x:f>IF(Z497&lt;($E$14-$D$14)/($F$14-$D$14),$D$14+SQRT(Z497*($F$14-$D$14)*($E$14-$D$14)),$F$14-SQRT((1-Z497)*($F$14-$D$14)*($F$14-$E$14)))</x:f>
        <x:v>0.9761575723637879</x:v>
      </x:c>
      <x:c r="G497" s="258" t="n">
        <x:f>IF(AA497&lt;($E$15-$D$15)/($F$15-$D$15),$D$15+SQRT(AA497*($F$15-$D$15)*($E$15-$D$15)),$F$15-SQRT((1-AA497)*($F$15-$D$15)*($F$15-$E$15)))</x:f>
        <x:v>0.09700754167704714</x:v>
      </x:c>
      <x:c r="H497" s="258" t="n">
        <x:f>IF(AB497&lt;($E$16-$D$16)/($F$16-$D$16),$D$16+SQRT(AB497*($F$16-$D$16)*($E$16-$D$16)),$F$16-SQRT((1-AB497)*($F$16-$D$16)*($F$16-$E$16)))</x:f>
        <x:v>0.03635719319042366</x:v>
      </x:c>
      <x:c r="I497" s="262" t="n">
        <x:f>'Historical Inputs'!$N$9*(1+D497)^5</x:f>
        <x:v>601612.9567170079</x:v>
      </x:c>
      <x:c r="J497" s="262" t="n">
        <x:f>I497*(1+H497)*('Terminal Value'!$E$10+E497)*(1-'Assumptions'!$E$15)*(1-H497/'Terminal Value'!$E$12)</x:f>
        <x:v>160890.28252391116</x:v>
      </x:c>
      <x:c r="K497" s="264" t="n">
        <x:f>((SUM((('Historical Inputs'!$N$9*(1+(D497))^1)*(('Assumptions'!E37+(E497))*(1-'Assumptions'!E42-(0))+'Assumptions'!E47-'Assumptions'!E52*(F497)+'Assumptions'!E57-'Assumptions'!E62*(1)-'Assumptions'!E67-(0))+('Working Capital'!$E$6))*'DCF'!E12/(1+(G497))^'DCF'!E13,(('Historical Inputs'!$N$9*(1+(D497))^2)*(('Assumptions'!F37+(E497))*(1-'Assumptions'!F42-(0))+'Assumptions'!F47-'Assumptions'!F52*(F497)+'Assumptions'!F57-'Assumptions'!F62*(1)-'Assumptions'!F67-(0))+(('Historical Inputs'!$N$9*(1+(D497))^1)*('Assumptions'!E67+(0))))*'DCF'!F12/(1+(G497))^'DCF'!F13,(('Historical Inputs'!$N$9*(1+(D497))^3)*(('Assumptions'!G37+(E497))*(1-'Assumptions'!G42-(0))+'Assumptions'!G47-'Assumptions'!G52*(F497)+'Assumptions'!G57-'Assumptions'!G62*(1)-'Assumptions'!G67-(0))+(('Historical Inputs'!$N$9*(1+(D497))^2)*('Assumptions'!F67+(0))))*'DCF'!G12/(1+(G497))^'DCF'!G13,(('Historical Inputs'!$N$9*(1+(D497))^4)*(('Assumptions'!H37+(E497))*(1-'Assumptions'!H42-(0))+'Assumptions'!H47-'Assumptions'!H52*(F497)+'Assumptions'!H57-'Assumptions'!H62*(1)-'Assumptions'!H67-(0))+(('Historical Inputs'!$N$9*(1+(D497))^3)*('Assumptions'!G67+(0))))*'DCF'!H12/(1+(G497))^'DCF'!H13,(('Historical Inputs'!$N$9*(1+(D497))^5)*(('Assumptions'!I37+(E497))*(1-'Assumptions'!I42-(0))+'Assumptions'!I47-'Assumptions'!I52*(F497)+'Assumptions'!I57-'Assumptions'!I62*(1)-'Assumptions'!I67-(0))+(('Historical Inputs'!$N$9*(1+(D497))^4)*('Assumptions'!H67+(0))))*'DCF'!I12/(1+(G497))^'DCF'!I13)+('Historical Inputs'!$N$9*(1+(D497))^5)*(1+(H497))*('Terminal Value'!$E$10+(E497))*(1-'Assumptions'!$E$15-(0))*(1-(H497)/('Terminal Value'!$E$12))/((G497)-(H497))/(1+(G497))^'DCF'!$E$19)+'Equity Bridge'!$E$17)/'Equity Bridge'!$E$20</x:f>
        <x:v>283.13107142310713</x:v>
      </x:c>
      <x:c r="X497" s="255" t="n">
        <x:v>0.21918656668026548</x:v>
      </x:c>
      <x:c r="Y497" s="255" t="n">
        <x:v>0.39120375350160563</x:v>
      </x:c>
      <x:c r="Z497" s="255" t="n">
        <x:v>0.30315682028046453</x:v>
      </x:c>
      <x:c r="AA497" s="255" t="n">
        <x:v>0.4273299332969296</x:v>
      </x:c>
      <x:c r="AB497" s="255" t="n">
        <x:v>0.9336497927405213</x:v>
      </x:c>
    </x:row>
    <x:row r="498" ht="24" customHeight="1">
      <x:c r="C498" s="256" t="n">
        <x:f>467</x:f>
        <x:v>467</x:v>
      </x:c>
      <x:c r="D498" s="258" t="n">
        <x:f>IF(X498&lt;($E$12-$D$12)/($F$12-$D$12),$D$12+SQRT(X498*($F$12-$D$12)*($E$12-$D$12)),$F$12-SQRT((1-X498)*($F$12-$D$12)*($F$12-$E$12)))</x:f>
        <x:v>0.13838722439395656</x:v>
      </x:c>
      <x:c r="E498" s="258" t="n">
        <x:f>IF(Y498&lt;($E$13-$D$13)/($F$13-$D$13),$D$13+SQRT(Y498*($F$13-$D$13)*($E$13-$D$13)),$F$13-SQRT((1-Y498)*($F$13-$D$13)*($F$13-$E$13)))</x:f>
        <x:v>-0.013386705129515418</x:v>
      </x:c>
      <x:c r="F498" s="260" t="n">
        <x:f>IF(Z498&lt;($E$14-$D$14)/($F$14-$D$14),$D$14+SQRT(Z498*($F$14-$D$14)*($E$14-$D$14)),$F$14-SQRT((1-Z498)*($F$14-$D$14)*($F$14-$E$14)))</x:f>
        <x:v>0.942070976373308</x:v>
      </x:c>
      <x:c r="G498" s="258" t="n">
        <x:f>IF(AA498&lt;($E$15-$D$15)/($F$15-$D$15),$D$15+SQRT(AA498*($F$15-$D$15)*($E$15-$D$15)),$F$15-SQRT((1-AA498)*($F$15-$D$15)*($F$15-$E$15)))</x:f>
        <x:v>0.10170502633372652</x:v>
      </x:c>
      <x:c r="H498" s="258" t="n">
        <x:f>IF(AB498&lt;($E$16-$D$16)/($F$16-$D$16),$D$16+SQRT(AB498*($F$16-$D$16)*($E$16-$D$16)),$F$16-SQRT((1-AB498)*($F$16-$D$16)*($F$16-$E$16)))</x:f>
        <x:v>0.03098548444214457</x:v>
      </x:c>
      <x:c r="I498" s="262" t="n">
        <x:f>'Historical Inputs'!$N$9*(1+D498)^5</x:f>
        <x:v>634420.9150882062</x:v>
      </x:c>
      <x:c r="J498" s="262" t="n">
        <x:f>I498*(1+H498)*('Terminal Value'!$E$10+E498)*(1-'Assumptions'!$E$15)*(1-H498/'Terminal Value'!$E$12)</x:f>
        <x:v>170958.54916392456</x:v>
      </x:c>
      <x:c r="K498" s="264" t="n">
        <x:f>((SUM((('Historical Inputs'!$N$9*(1+(D498))^1)*(('Assumptions'!E37+(E498))*(1-'Assumptions'!E42-(0))+'Assumptions'!E47-'Assumptions'!E52*(F498)+'Assumptions'!E57-'Assumptions'!E62*(1)-'Assumptions'!E67-(0))+('Working Capital'!$E$6))*'DCF'!E12/(1+(G498))^'DCF'!E13,(('Historical Inputs'!$N$9*(1+(D498))^2)*(('Assumptions'!F37+(E498))*(1-'Assumptions'!F42-(0))+'Assumptions'!F47-'Assumptions'!F52*(F498)+'Assumptions'!F57-'Assumptions'!F62*(1)-'Assumptions'!F67-(0))+(('Historical Inputs'!$N$9*(1+(D498))^1)*('Assumptions'!E67+(0))))*'DCF'!F12/(1+(G498))^'DCF'!F13,(('Historical Inputs'!$N$9*(1+(D498))^3)*(('Assumptions'!G37+(E498))*(1-'Assumptions'!G42-(0))+'Assumptions'!G47-'Assumptions'!G52*(F498)+'Assumptions'!G57-'Assumptions'!G62*(1)-'Assumptions'!G67-(0))+(('Historical Inputs'!$N$9*(1+(D498))^2)*('Assumptions'!F67+(0))))*'DCF'!G12/(1+(G498))^'DCF'!G13,(('Historical Inputs'!$N$9*(1+(D498))^4)*(('Assumptions'!H37+(E498))*(1-'Assumptions'!H42-(0))+'Assumptions'!H47-'Assumptions'!H52*(F498)+'Assumptions'!H57-'Assumptions'!H62*(1)-'Assumptions'!H67-(0))+(('Historical Inputs'!$N$9*(1+(D498))^3)*('Assumptions'!G67+(0))))*'DCF'!H12/(1+(G498))^'DCF'!H13,(('Historical Inputs'!$N$9*(1+(D498))^5)*(('Assumptions'!I37+(E498))*(1-'Assumptions'!I42-(0))+'Assumptions'!I47-'Assumptions'!I52*(F498)+'Assumptions'!I57-'Assumptions'!I62*(1)-'Assumptions'!I67-(0))+(('Historical Inputs'!$N$9*(1+(D498))^4)*('Assumptions'!H67+(0))))*'DCF'!I12/(1+(G498))^'DCF'!I13)+('Historical Inputs'!$N$9*(1+(D498))^5)*(1+(H498))*('Terminal Value'!$E$10+(E498))*(1-'Assumptions'!$E$15-(0))*(1-(H498)/('Terminal Value'!$E$12))/((G498)-(H498))/(1+(G498))^'DCF'!$E$19)+'Equity Bridge'!$E$17)/'Equity Bridge'!$E$20</x:f>
        <x:v>260.5618144843227</x:v>
      </x:c>
      <x:c r="X498" s="255" t="n">
        <x:v>0.40734703676392325</x:v>
      </x:c>
      <x:c r="Y498" s="255" t="n">
        <x:v>0.2681066722546105</x:v>
      </x:c>
      <x:c r="Z498" s="255" t="n">
        <x:v>0.16146789886350954</x:v>
      </x:c>
      <x:c r="AA498" s="255" t="n">
        <x:v>0.709406514330964</x:v>
      </x:c>
      <x:c r="AB498" s="255" t="n">
        <x:v>0.5936925462859121</x:v>
      </x:c>
    </x:row>
    <x:row r="499" ht="24" customHeight="1">
      <x:c r="C499" s="256" t="n">
        <x:f>468</x:f>
        <x:v>468</x:v>
      </x:c>
      <x:c r="D499" s="258" t="n">
        <x:f>IF(X499&lt;($E$12-$D$12)/($F$12-$D$12),$D$12+SQRT(X499*($F$12-$D$12)*($E$12-$D$12)),$F$12-SQRT((1-X499)*($F$12-$D$12)*($F$12-$E$12)))</x:f>
        <x:v>0.14779056627383239</x:v>
      </x:c>
      <x:c r="E499" s="258" t="n">
        <x:f>IF(Y499&lt;($E$13-$D$13)/($F$13-$D$13),$D$13+SQRT(Y499*($F$13-$D$13)*($E$13-$D$13)),$F$13-SQRT((1-Y499)*($F$13-$D$13)*($F$13-$E$13)))</x:f>
        <x:v>0.014696485187496597</x:v>
      </x:c>
      <x:c r="F499" s="260" t="n">
        <x:f>IF(Z499&lt;($E$14-$D$14)/($F$14-$D$14),$D$14+SQRT(Z499*($F$14-$D$14)*($E$14-$D$14)),$F$14-SQRT((1-Z499)*($F$14-$D$14)*($F$14-$E$14)))</x:f>
        <x:v>1.0024324600335532</x:v>
      </x:c>
      <x:c r="G499" s="258" t="n">
        <x:f>IF(AA499&lt;($E$15-$D$15)/($F$15-$D$15),$D$15+SQRT(AA499*($F$15-$D$15)*($E$15-$D$15)),$F$15-SQRT((1-AA499)*($F$15-$D$15)*($F$15-$E$15)))</x:f>
        <x:v>0.09468665898135939</x:v>
      </x:c>
      <x:c r="H499" s="258" t="n">
        <x:f>IF(AB499&lt;($E$16-$D$16)/($F$16-$D$16),$D$16+SQRT(AB499*($F$16-$D$16)*($E$16-$D$16)),$F$16-SQRT((1-AB499)*($F$16-$D$16)*($F$16-$E$16)))</x:f>
        <x:v>0.023681052873104978</x:v>
      </x:c>
      <x:c r="I499" s="262" t="n">
        <x:f>'Historical Inputs'!$N$9*(1+D499)^5</x:f>
        <x:v>661059.6977109113</x:v>
      </x:c>
      <x:c r="J499" s="262" t="n">
        <x:f>I499*(1+H499)*('Terminal Value'!$E$10+E499)*(1-'Assumptions'!$E$15)*(1-H499/'Terminal Value'!$E$12)</x:f>
        <x:v>197922.27550936036</x:v>
      </x:c>
      <x:c r="K499" s="264" t="n">
        <x:f>((SUM((('Historical Inputs'!$N$9*(1+(D499))^1)*(('Assumptions'!E37+(E499))*(1-'Assumptions'!E42-(0))+'Assumptions'!E47-'Assumptions'!E52*(F499)+'Assumptions'!E57-'Assumptions'!E62*(1)-'Assumptions'!E67-(0))+('Working Capital'!$E$6))*'DCF'!E12/(1+(G499))^'DCF'!E13,(('Historical Inputs'!$N$9*(1+(D499))^2)*(('Assumptions'!F37+(E499))*(1-'Assumptions'!F42-(0))+'Assumptions'!F47-'Assumptions'!F52*(F499)+'Assumptions'!F57-'Assumptions'!F62*(1)-'Assumptions'!F67-(0))+(('Historical Inputs'!$N$9*(1+(D499))^1)*('Assumptions'!E67+(0))))*'DCF'!F12/(1+(G499))^'DCF'!F13,(('Historical Inputs'!$N$9*(1+(D499))^3)*(('Assumptions'!G37+(E499))*(1-'Assumptions'!G42-(0))+'Assumptions'!G47-'Assumptions'!G52*(F499)+'Assumptions'!G57-'Assumptions'!G62*(1)-'Assumptions'!G67-(0))+(('Historical Inputs'!$N$9*(1+(D499))^2)*('Assumptions'!F67+(0))))*'DCF'!G12/(1+(G499))^'DCF'!G13,(('Historical Inputs'!$N$9*(1+(D499))^4)*(('Assumptions'!H37+(E499))*(1-'Assumptions'!H42-(0))+'Assumptions'!H47-'Assumptions'!H52*(F499)+'Assumptions'!H57-'Assumptions'!H62*(1)-'Assumptions'!H67-(0))+(('Historical Inputs'!$N$9*(1+(D499))^3)*('Assumptions'!G67+(0))))*'DCF'!H12/(1+(G499))^'DCF'!H13,(('Historical Inputs'!$N$9*(1+(D499))^5)*(('Assumptions'!I37+(E499))*(1-'Assumptions'!I42-(0))+'Assumptions'!I47-'Assumptions'!I52*(F499)+'Assumptions'!I57-'Assumptions'!I62*(1)-'Assumptions'!I67-(0))+(('Historical Inputs'!$N$9*(1+(D499))^4)*('Assumptions'!H67+(0))))*'DCF'!I12/(1+(G499))^'DCF'!I13)+('Historical Inputs'!$N$9*(1+(D499))^5)*(1+(H499))*('Terminal Value'!$E$10+(E499))*(1-'Assumptions'!$E$15-(0))*(1-(H499)/('Terminal Value'!$E$12))/((G499)-(H499))/(1+(G499))^'DCF'!$E$19)+'Equity Bridge'!$E$17)/'Equity Bridge'!$E$20</x:f>
        <x:v>303.9427276902137</x:v>
      </x:c>
      <x:c r="X499" s="255" t="n">
        <x:v>0.58656028390351</x:v>
      </x:c>
      <x:c r="Y499" s="255" t="n">
        <x:v>0.7507323683766706</x:v>
      </x:c>
      <x:c r="Z499" s="255" t="n">
        <x:v>0.44238667359437867</x:v>
      </x:c>
      <x:c r="AA499" s="255" t="n">
        <x:v>0.2962595680290929</x:v>
      </x:c>
      <x:c r="AB499" s="255" t="n">
        <x:v>0.06775075127297214</x:v>
      </x:c>
    </x:row>
    <x:row r="500" ht="24" customHeight="1">
      <x:c r="C500" s="256" t="n">
        <x:f>469</x:f>
        <x:v>469</x:v>
      </x:c>
      <x:c r="D500" s="258" t="n">
        <x:f>IF(X500&lt;($E$12-$D$12)/($F$12-$D$12),$D$12+SQRT(X500*($F$12-$D$12)*($E$12-$D$12)),$F$12-SQRT((1-X500)*($F$12-$D$12)*($F$12-$E$12)))</x:f>
        <x:v>0.13273853972537766</x:v>
      </x:c>
      <x:c r="E500" s="258" t="n">
        <x:f>IF(Y500&lt;($E$13-$D$13)/($F$13-$D$13),$D$13+SQRT(Y500*($F$13-$D$13)*($E$13-$D$13)),$F$13-SQRT((1-Y500)*($F$13-$D$13)*($F$13-$E$13)))</x:f>
        <x:v>-0.013032330351364904</x:v>
      </x:c>
      <x:c r="F500" s="260" t="n">
        <x:f>IF(Z500&lt;($E$14-$D$14)/($F$14-$D$14),$D$14+SQRT(Z500*($F$14-$D$14)*($E$14-$D$14)),$F$14-SQRT((1-Z500)*($F$14-$D$14)*($F$14-$E$14)))</x:f>
        <x:v>0.9940654172310437</x:v>
      </x:c>
      <x:c r="G500" s="258" t="n">
        <x:f>IF(AA500&lt;($E$15-$D$15)/($F$15-$D$15),$D$15+SQRT(AA500*($F$15-$D$15)*($E$15-$D$15)),$F$15-SQRT((1-AA500)*($F$15-$D$15)*($F$15-$E$15)))</x:f>
        <x:v>0.09264719884548898</x:v>
      </x:c>
      <x:c r="H500" s="258" t="n">
        <x:f>IF(AB500&lt;($E$16-$D$16)/($F$16-$D$16),$D$16+SQRT(AB500*($F$16-$D$16)*($E$16-$D$16)),$F$16-SQRT((1-AB500)*($F$16-$D$16)*($F$16-$E$16)))</x:f>
        <x:v>0.030411522171573037</x:v>
      </x:c>
      <x:c r="I500" s="262" t="n">
        <x:f>'Historical Inputs'!$N$9*(1+D500)^5</x:f>
        <x:v>618836.3427795806</x:v>
      </x:c>
      <x:c r="J500" s="262" t="n">
        <x:f>I500*(1+H500)*('Terminal Value'!$E$10+E500)*(1-'Assumptions'!$E$15)*(1-H500/'Terminal Value'!$E$12)</x:f>
        <x:v>167385.38393455537</x:v>
      </x:c>
      <x:c r="K500" s="264" t="n">
        <x:f>((SUM((('Historical Inputs'!$N$9*(1+(D500))^1)*(('Assumptions'!E37+(E500))*(1-'Assumptions'!E42-(0))+'Assumptions'!E47-'Assumptions'!E52*(F500)+'Assumptions'!E57-'Assumptions'!E62*(1)-'Assumptions'!E67-(0))+('Working Capital'!$E$6))*'DCF'!E12/(1+(G500))^'DCF'!E13,(('Historical Inputs'!$N$9*(1+(D500))^2)*(('Assumptions'!F37+(E500))*(1-'Assumptions'!F42-(0))+'Assumptions'!F47-'Assumptions'!F52*(F500)+'Assumptions'!F57-'Assumptions'!F62*(1)-'Assumptions'!F67-(0))+(('Historical Inputs'!$N$9*(1+(D500))^1)*('Assumptions'!E67+(0))))*'DCF'!F12/(1+(G500))^'DCF'!F13,(('Historical Inputs'!$N$9*(1+(D500))^3)*(('Assumptions'!G37+(E500))*(1-'Assumptions'!G42-(0))+'Assumptions'!G47-'Assumptions'!G52*(F500)+'Assumptions'!G57-'Assumptions'!G62*(1)-'Assumptions'!G67-(0))+(('Historical Inputs'!$N$9*(1+(D500))^2)*('Assumptions'!F67+(0))))*'DCF'!G12/(1+(G500))^'DCF'!G13,(('Historical Inputs'!$N$9*(1+(D500))^4)*(('Assumptions'!H37+(E500))*(1-'Assumptions'!H42-(0))+'Assumptions'!H47-'Assumptions'!H52*(F500)+'Assumptions'!H57-'Assumptions'!H62*(1)-'Assumptions'!H67-(0))+(('Historical Inputs'!$N$9*(1+(D500))^3)*('Assumptions'!G67+(0))))*'DCF'!H12/(1+(G500))^'DCF'!H13,(('Historical Inputs'!$N$9*(1+(D500))^5)*(('Assumptions'!I37+(E500))*(1-'Assumptions'!I42-(0))+'Assumptions'!I47-'Assumptions'!I52*(F500)+'Assumptions'!I57-'Assumptions'!I62*(1)-'Assumptions'!I67-(0))+(('Historical Inputs'!$N$9*(1+(D500))^4)*('Assumptions'!H67+(0))))*'DCF'!I12/(1+(G500))^'DCF'!I13)+('Historical Inputs'!$N$9*(1+(D500))^5)*(1+(H500))*('Terminal Value'!$E$10+(E500))*(1-'Assumptions'!$E$15-(0))*(1-(H500)/('Terminal Value'!$E$12))/((G500)-(H500))/(1+(G500))^'DCF'!$E$19)+'Equity Bridge'!$E$17)/'Equity Bridge'!$E$20</x:f>
        <x:v>289.8891720694722</x:v>
      </x:c>
      <x:c r="X500" s="255" t="n">
        <x:v>0.3117580511268697</x:v>
      </x:c>
      <x:c r="Y500" s="255" t="n">
        <x:v>0.2733217198501233</x:v>
      </x:c>
      <x:c r="Z500" s="255" t="n">
        <x:v>0.3953303703229466</x:v>
      </x:c>
      <x:c r="AA500" s="255" t="n">
        <x:v>0.200844018172455</x:v>
      </x:c>
      <x:c r="AB500" s="255" t="n">
        <x:v>0.540305464668823</x:v>
      </x:c>
    </x:row>
    <x:row r="501" ht="24" customHeight="1">
      <x:c r="C501" s="256" t="n">
        <x:f>470</x:f>
        <x:v>470</x:v>
      </x:c>
      <x:c r="D501" s="258" t="n">
        <x:f>IF(X501&lt;($E$12-$D$12)/($F$12-$D$12),$D$12+SQRT(X501*($F$12-$D$12)*($E$12-$D$12)),$F$12-SQRT((1-X501)*($F$12-$D$12)*($F$12-$E$12)))</x:f>
        <x:v>0.15001796940606452</x:v>
      </x:c>
      <x:c r="E501" s="258" t="n">
        <x:f>IF(Y501&lt;($E$13-$D$13)/($F$13-$D$13),$D$13+SQRT(Y501*($F$13-$D$13)*($E$13-$D$13)),$F$13-SQRT((1-Y501)*($F$13-$D$13)*($F$13-$E$13)))</x:f>
        <x:v>-0.0003763184891626137</x:v>
      </x:c>
      <x:c r="F501" s="260" t="n">
        <x:f>IF(Z501&lt;($E$14-$D$14)/($F$14-$D$14),$D$14+SQRT(Z501*($F$14-$D$14)*($E$14-$D$14)),$F$14-SQRT((1-Z501)*($F$14-$D$14)*($F$14-$E$14)))</x:f>
        <x:v>0.9899473713743491</x:v>
      </x:c>
      <x:c r="G501" s="258" t="n">
        <x:f>IF(AA501&lt;($E$15-$D$15)/($F$15-$D$15),$D$15+SQRT(AA501*($F$15-$D$15)*($E$15-$D$15)),$F$15-SQRT((1-AA501)*($F$15-$D$15)*($F$15-$E$15)))</x:f>
        <x:v>0.10744197841104292</x:v>
      </x:c>
      <x:c r="H501" s="258" t="n">
        <x:f>IF(AB501&lt;($E$16-$D$16)/($F$16-$D$16),$D$16+SQRT(AB501*($F$16-$D$16)*($E$16-$D$16)),$F$16-SQRT((1-AB501)*($F$16-$D$16)*($F$16-$E$16)))</x:f>
        <x:v>0.027962328910441814</x:v>
      </x:c>
      <x:c r="I501" s="262" t="n">
        <x:f>'Historical Inputs'!$N$9*(1+D501)^5</x:f>
        <x:v>667498.9055542761</x:v>
      </x:c>
      <x:c r="J501" s="262" t="n">
        <x:f>I501*(1+H501)*('Terminal Value'!$E$10+E501)*(1-'Assumptions'!$E$15)*(1-H501/'Terminal Value'!$E$12)</x:f>
        <x:v>188695.9244299902</x:v>
      </x:c>
      <x:c r="K501" s="264" t="n">
        <x:f>((SUM((('Historical Inputs'!$N$9*(1+(D501))^1)*(('Assumptions'!E37+(E501))*(1-'Assumptions'!E42-(0))+'Assumptions'!E47-'Assumptions'!E52*(F501)+'Assumptions'!E57-'Assumptions'!E62*(1)-'Assumptions'!E67-(0))+('Working Capital'!$E$6))*'DCF'!E12/(1+(G501))^'DCF'!E13,(('Historical Inputs'!$N$9*(1+(D501))^2)*(('Assumptions'!F37+(E501))*(1-'Assumptions'!F42-(0))+'Assumptions'!F47-'Assumptions'!F52*(F501)+'Assumptions'!F57-'Assumptions'!F62*(1)-'Assumptions'!F67-(0))+(('Historical Inputs'!$N$9*(1+(D501))^1)*('Assumptions'!E67+(0))))*'DCF'!F12/(1+(G501))^'DCF'!F13,(('Historical Inputs'!$N$9*(1+(D501))^3)*(('Assumptions'!G37+(E501))*(1-'Assumptions'!G42-(0))+'Assumptions'!G47-'Assumptions'!G52*(F501)+'Assumptions'!G57-'Assumptions'!G62*(1)-'Assumptions'!G67-(0))+(('Historical Inputs'!$N$9*(1+(D501))^2)*('Assumptions'!F67+(0))))*'DCF'!G12/(1+(G501))^'DCF'!G13,(('Historical Inputs'!$N$9*(1+(D501))^4)*(('Assumptions'!H37+(E501))*(1-'Assumptions'!H42-(0))+'Assumptions'!H47-'Assumptions'!H52*(F501)+'Assumptions'!H57-'Assumptions'!H62*(1)-'Assumptions'!H67-(0))+(('Historical Inputs'!$N$9*(1+(D501))^3)*('Assumptions'!G67+(0))))*'DCF'!H12/(1+(G501))^'DCF'!H13,(('Historical Inputs'!$N$9*(1+(D501))^5)*(('Assumptions'!I37+(E501))*(1-'Assumptions'!I42-(0))+'Assumptions'!I47-'Assumptions'!I52*(F501)+'Assumptions'!I57-'Assumptions'!I62*(1)-'Assumptions'!I67-(0))+(('Historical Inputs'!$N$9*(1+(D501))^4)*('Assumptions'!H67+(0))))*'DCF'!I12/(1+(G501))^'DCF'!I13)+('Historical Inputs'!$N$9*(1+(D501))^5)*(1+(H501))*('Terminal Value'!$E$10+(E501))*(1-'Assumptions'!$E$15-(0))*(1-(H501)/('Terminal Value'!$E$12))/((G501)-(H501))/(1+(G501))^'DCF'!$E$19)+'Equity Bridge'!$E$17)/'Equity Bridge'!$E$20</x:f>
        <x:v>252.85136334162567</x:v>
      </x:c>
      <x:c r="X501" s="255" t="n">
        <x:v>0.6260768691642219</x:v>
      </x:c>
      <x:c r="Y501" s="255" t="n">
        <x:v>0.4925019533378049</x:v>
      </x:c>
      <x:c r="Z501" s="255" t="n">
        <x:v>0.3730527000874283</x:v>
      </x:c>
      <x:c r="AA501" s="255" t="n">
        <x:v>0.9278407586198266</x:v>
      </x:c>
      <x:c r="AB501" s="255" t="n">
        <x:v>0.3169934083902879</x:v>
      </x:c>
    </x:row>
    <x:row r="502" ht="24" customHeight="1">
      <x:c r="C502" s="256" t="n">
        <x:f>471</x:f>
        <x:v>471</x:v>
      </x:c>
      <x:c r="D502" s="258" t="n">
        <x:f>IF(X502&lt;($E$12-$D$12)/($F$12-$D$12),$D$12+SQRT(X502*($F$12-$D$12)*($E$12-$D$12)),$F$12-SQRT((1-X502)*($F$12-$D$12)*($F$12-$E$12)))</x:f>
        <x:v>0.15808157702107273</x:v>
      </x:c>
      <x:c r="E502" s="258" t="n">
        <x:f>IF(Y502&lt;($E$13-$D$13)/($F$13-$D$13),$D$13+SQRT(Y502*($F$13-$D$13)*($E$13-$D$13)),$F$13-SQRT((1-Y502)*($F$13-$D$13)*($F$13-$E$13)))</x:f>
        <x:v>0.01628487600863506</x:v>
      </x:c>
      <x:c r="F502" s="260" t="n">
        <x:f>IF(Z502&lt;($E$14-$D$14)/($F$14-$D$14),$D$14+SQRT(Z502*($F$14-$D$14)*($E$14-$D$14)),$F$14-SQRT((1-Z502)*($F$14-$D$14)*($F$14-$E$14)))</x:f>
        <x:v>1.088758493004701</x:v>
      </x:c>
      <x:c r="G502" s="258" t="n">
        <x:f>IF(AA502&lt;($E$15-$D$15)/($F$15-$D$15),$D$15+SQRT(AA502*($F$15-$D$15)*($E$15-$D$15)),$F$15-SQRT((1-AA502)*($F$15-$D$15)*($F$15-$E$15)))</x:f>
        <x:v>0.10349453958034915</x:v>
      </x:c>
      <x:c r="H502" s="258" t="n">
        <x:f>IF(AB502&lt;($E$16-$D$16)/($F$16-$D$16),$D$16+SQRT(AB502*($F$16-$D$16)*($E$16-$D$16)),$F$16-SQRT((1-AB502)*($F$16-$D$16)*($F$16-$E$16)))</x:f>
        <x:v>0.03033382589221858</x:v>
      </x:c>
      <x:c r="I502" s="262" t="n">
        <x:f>'Historical Inputs'!$N$9*(1+D502)^5</x:f>
        <x:v>691230.9732153894</x:v>
      </x:c>
      <x:c r="J502" s="262" t="n">
        <x:f>I502*(1+H502)*('Terminal Value'!$E$10+E502)*(1-'Assumptions'!$E$15)*(1-H502/'Terminal Value'!$E$12)</x:f>
        <x:v>201208.8315688342</x:v>
      </x:c>
      <x:c r="K502" s="264" t="n">
        <x:f>((SUM((('Historical Inputs'!$N$9*(1+(D502))^1)*(('Assumptions'!E37+(E502))*(1-'Assumptions'!E42-(0))+'Assumptions'!E47-'Assumptions'!E52*(F502)+'Assumptions'!E57-'Assumptions'!E62*(1)-'Assumptions'!E67-(0))+('Working Capital'!$E$6))*'DCF'!E12/(1+(G502))^'DCF'!E13,(('Historical Inputs'!$N$9*(1+(D502))^2)*(('Assumptions'!F37+(E502))*(1-'Assumptions'!F42-(0))+'Assumptions'!F47-'Assumptions'!F52*(F502)+'Assumptions'!F57-'Assumptions'!F62*(1)-'Assumptions'!F67-(0))+(('Historical Inputs'!$N$9*(1+(D502))^1)*('Assumptions'!E67+(0))))*'DCF'!F12/(1+(G502))^'DCF'!F13,(('Historical Inputs'!$N$9*(1+(D502))^3)*(('Assumptions'!G37+(E502))*(1-'Assumptions'!G42-(0))+'Assumptions'!G47-'Assumptions'!G52*(F502)+'Assumptions'!G57-'Assumptions'!G62*(1)-'Assumptions'!G67-(0))+(('Historical Inputs'!$N$9*(1+(D502))^2)*('Assumptions'!F67+(0))))*'DCF'!G12/(1+(G502))^'DCF'!G13,(('Historical Inputs'!$N$9*(1+(D502))^4)*(('Assumptions'!H37+(E502))*(1-'Assumptions'!H42-(0))+'Assumptions'!H47-'Assumptions'!H52*(F502)+'Assumptions'!H57-'Assumptions'!H62*(1)-'Assumptions'!H67-(0))+(('Historical Inputs'!$N$9*(1+(D502))^3)*('Assumptions'!G67+(0))))*'DCF'!H12/(1+(G502))^'DCF'!H13,(('Historical Inputs'!$N$9*(1+(D502))^5)*(('Assumptions'!I37+(E502))*(1-'Assumptions'!I42-(0))+'Assumptions'!I47-'Assumptions'!I52*(F502)+'Assumptions'!I57-'Assumptions'!I62*(1)-'Assumptions'!I67-(0))+(('Historical Inputs'!$N$9*(1+(D502))^4)*('Assumptions'!H67+(0))))*'DCF'!I12/(1+(G502))^'DCF'!I13)+('Historical Inputs'!$N$9*(1+(D502))^5)*(1+(H502))*('Terminal Value'!$E$10+(E502))*(1-'Assumptions'!$E$15-(0))*(1-(H502)/('Terminal Value'!$E$12))/((G502)-(H502))/(1+(G502))^'DCF'!$E$19)+'Equity Bridge'!$E$17)/'Equity Bridge'!$E$20</x:f>
        <x:v>287.0051583631785</x:v>
      </x:c>
      <x:c r="X502" s="255" t="n">
        <x:v>0.752537616554296</x:v>
      </x:c>
      <x:c r="Y502" s="255" t="n">
        <x:v>0.7726580828493776</x:v>
      </x:c>
      <x:c r="Z502" s="255" t="n">
        <x:v>0.8232189588773549</x:v>
      </x:c>
      <x:c r="AA502" s="255" t="n">
        <x:v>0.7932399315391505</x:v>
      </x:c>
      <x:c r="AB502" s="255" t="n">
        <x:v>0.5328253905902802</x:v>
      </x:c>
    </x:row>
    <x:row r="503" ht="24" customHeight="1">
      <x:c r="C503" s="256" t="n">
        <x:f>472</x:f>
        <x:v>472</x:v>
      </x:c>
      <x:c r="D503" s="258" t="n">
        <x:f>IF(X503&lt;($E$12-$D$12)/($F$12-$D$12),$D$12+SQRT(X503*($F$12-$D$12)*($E$12-$D$12)),$F$12-SQRT((1-X503)*($F$12-$D$12)*($F$12-$E$12)))</x:f>
        <x:v>0.11334491794189391</x:v>
      </x:c>
      <x:c r="E503" s="258" t="n">
        <x:f>IF(Y503&lt;($E$13-$D$13)/($F$13-$D$13),$D$13+SQRT(Y503*($F$13-$D$13)*($E$13-$D$13)),$F$13-SQRT((1-Y503)*($F$13-$D$13)*($F$13-$E$13)))</x:f>
        <x:v>-0.00227363803847596</x:v>
      </x:c>
      <x:c r="F503" s="260" t="n">
        <x:f>IF(Z503&lt;($E$14-$D$14)/($F$14-$D$14),$D$14+SQRT(Z503*($F$14-$D$14)*($E$14-$D$14)),$F$14-SQRT((1-Z503)*($F$14-$D$14)*($F$14-$E$14)))</x:f>
        <x:v>1.050930573241628</x:v>
      </x:c>
      <x:c r="G503" s="258" t="n">
        <x:f>IF(AA503&lt;($E$15-$D$15)/($F$15-$D$15),$D$15+SQRT(AA503*($F$15-$D$15)*($E$15-$D$15)),$F$15-SQRT((1-AA503)*($F$15-$D$15)*($F$15-$E$15)))</x:f>
        <x:v>0.09956525300742256</x:v>
      </x:c>
      <x:c r="H503" s="258" t="n">
        <x:f>IF(AB503&lt;($E$16-$D$16)/($F$16-$D$16),$D$16+SQRT(AB503*($F$16-$D$16)*($E$16-$D$16)),$F$16-SQRT((1-AB503)*($F$16-$D$16)*($F$16-$E$16)))</x:f>
        <x:v>0.02592642739465685</x:v>
      </x:c>
      <x:c r="I503" s="262" t="n">
        <x:f>'Historical Inputs'!$N$9*(1+D503)^5</x:f>
        <x:v>567644.038538404</x:v>
      </x:c>
      <x:c r="J503" s="262" t="n">
        <x:f>I503*(1+H503)*('Terminal Value'!$E$10+E503)*(1-'Assumptions'!$E$15)*(1-H503/'Terminal Value'!$E$12)</x:f>
        <x:v>161275.91334367698</x:v>
      </x:c>
      <x:c r="K503" s="264" t="n">
        <x:f>((SUM((('Historical Inputs'!$N$9*(1+(D503))^1)*(('Assumptions'!E37+(E503))*(1-'Assumptions'!E42-(0))+'Assumptions'!E47-'Assumptions'!E52*(F503)+'Assumptions'!E57-'Assumptions'!E62*(1)-'Assumptions'!E67-(0))+('Working Capital'!$E$6))*'DCF'!E12/(1+(G503))^'DCF'!E13,(('Historical Inputs'!$N$9*(1+(D503))^2)*(('Assumptions'!F37+(E503))*(1-'Assumptions'!F42-(0))+'Assumptions'!F47-'Assumptions'!F52*(F503)+'Assumptions'!F57-'Assumptions'!F62*(1)-'Assumptions'!F67-(0))+(('Historical Inputs'!$N$9*(1+(D503))^1)*('Assumptions'!E67+(0))))*'DCF'!F12/(1+(G503))^'DCF'!F13,(('Historical Inputs'!$N$9*(1+(D503))^3)*(('Assumptions'!G37+(E503))*(1-'Assumptions'!G42-(0))+'Assumptions'!G47-'Assumptions'!G52*(F503)+'Assumptions'!G57-'Assumptions'!G62*(1)-'Assumptions'!G67-(0))+(('Historical Inputs'!$N$9*(1+(D503))^2)*('Assumptions'!F67+(0))))*'DCF'!G12/(1+(G503))^'DCF'!G13,(('Historical Inputs'!$N$9*(1+(D503))^4)*(('Assumptions'!H37+(E503))*(1-'Assumptions'!H42-(0))+'Assumptions'!H47-'Assumptions'!H52*(F503)+'Assumptions'!H57-'Assumptions'!H62*(1)-'Assumptions'!H67-(0))+(('Historical Inputs'!$N$9*(1+(D503))^3)*('Assumptions'!G67+(0))))*'DCF'!H12/(1+(G503))^'DCF'!H13,(('Historical Inputs'!$N$9*(1+(D503))^5)*(('Assumptions'!I37+(E503))*(1-'Assumptions'!I42-(0))+'Assumptions'!I47-'Assumptions'!I52*(F503)+'Assumptions'!I57-'Assumptions'!I62*(1)-'Assumptions'!I67-(0))+(('Historical Inputs'!$N$9*(1+(D503))^4)*('Assumptions'!H67+(0))))*'DCF'!I12/(1+(G503))^'DCF'!I13)+('Historical Inputs'!$N$9*(1+(D503))^5)*(1+(H503))*('Terminal Value'!$E$10+(E503))*(1-'Assumptions'!$E$15-(0))*(1-(H503)/('Terminal Value'!$E$12))/((G503)-(H503))/(1+(G503))^'DCF'!$E$19)+'Equity Bridge'!$E$17)/'Equity Bridge'!$E$20</x:f>
        <x:v>234.7055016271508</x:v>
      </x:c>
      <x:c r="X503" s="255" t="n">
        <x:v>0.0807047140721282</x:v>
      </x:c>
      <x:c r="Y503" s="255" t="n">
        <x:v>0.45556112521648184</x:v>
      </x:c>
      <x:c r="Z503" s="255" t="n">
        <x:v>0.6825472286561483</x:v>
      </x:c>
      <x:c r="AA503" s="255" t="n">
        <x:v>0.5904804841925246</x:v>
      </x:c>
      <x:c r="AB503" s="255" t="n">
        <x:v>0.17561270832069598</x:v>
      </x:c>
    </x:row>
    <x:row r="504" ht="24" customHeight="1">
      <x:c r="C504" s="256" t="n">
        <x:f>473</x:f>
        <x:v>473</x:v>
      </x:c>
      <x:c r="D504" s="258" t="n">
        <x:f>IF(X504&lt;($E$12-$D$12)/($F$12-$D$12),$D$12+SQRT(X504*($F$12-$D$12)*($E$12-$D$12)),$F$12-SQRT((1-X504)*($F$12-$D$12)*($F$12-$E$12)))</x:f>
        <x:v>0.1494995944071919</x:v>
      </x:c>
      <x:c r="E504" s="258" t="n">
        <x:f>IF(Y504&lt;($E$13-$D$13)/($F$13-$D$13),$D$13+SQRT(Y504*($F$13-$D$13)*($E$13-$D$13)),$F$13-SQRT((1-Y504)*($F$13-$D$13)*($F$13-$E$13)))</x:f>
        <x:v>-0.011122915319932335</x:v>
      </x:c>
      <x:c r="F504" s="260" t="n">
        <x:f>IF(Z504&lt;($E$14-$D$14)/($F$14-$D$14),$D$14+SQRT(Z504*($F$14-$D$14)*($E$14-$D$14)),$F$14-SQRT((1-Z504)*($F$14-$D$14)*($F$14-$E$14)))</x:f>
        <x:v>1.1417247204098486</x:v>
      </x:c>
      <x:c r="G504" s="258" t="n">
        <x:f>IF(AA504&lt;($E$15-$D$15)/($F$15-$D$15),$D$15+SQRT(AA504*($F$15-$D$15)*($E$15-$D$15)),$F$15-SQRT((1-AA504)*($F$15-$D$15)*($F$15-$E$15)))</x:f>
        <x:v>0.093891078209925</x:v>
      </x:c>
      <x:c r="H504" s="258" t="n">
        <x:f>IF(AB504&lt;($E$16-$D$16)/($F$16-$D$16),$D$16+SQRT(AB504*($F$16-$D$16)*($E$16-$D$16)),$F$16-SQRT((1-AB504)*($F$16-$D$16)*($F$16-$E$16)))</x:f>
        <x:v>0.031435110379053666</x:v>
      </x:c>
      <x:c r="I504" s="262" t="n">
        <x:f>'Historical Inputs'!$N$9*(1+D504)^5</x:f>
        <x:v>665995.8727354602</x:v>
      </x:c>
      <x:c r="J504" s="262" t="n">
        <x:f>I504*(1+H504)*('Terminal Value'!$E$10+E504)*(1-'Assumptions'!$E$15)*(1-H504/'Terminal Value'!$E$12)</x:f>
        <x:v>180116.25677607348</x:v>
      </x:c>
      <x:c r="K504" s="264" t="n">
        <x:f>((SUM((('Historical Inputs'!$N$9*(1+(D504))^1)*(('Assumptions'!E37+(E504))*(1-'Assumptions'!E42-(0))+'Assumptions'!E47-'Assumptions'!E52*(F504)+'Assumptions'!E57-'Assumptions'!E62*(1)-'Assumptions'!E67-(0))+('Working Capital'!$E$6))*'DCF'!E12/(1+(G504))^'DCF'!E13,(('Historical Inputs'!$N$9*(1+(D504))^2)*(('Assumptions'!F37+(E504))*(1-'Assumptions'!F42-(0))+'Assumptions'!F47-'Assumptions'!F52*(F504)+'Assumptions'!F57-'Assumptions'!F62*(1)-'Assumptions'!F67-(0))+(('Historical Inputs'!$N$9*(1+(D504))^1)*('Assumptions'!E67+(0))))*'DCF'!F12/(1+(G504))^'DCF'!F13,(('Historical Inputs'!$N$9*(1+(D504))^3)*(('Assumptions'!G37+(E504))*(1-'Assumptions'!G42-(0))+'Assumptions'!G47-'Assumptions'!G52*(F504)+'Assumptions'!G57-'Assumptions'!G62*(1)-'Assumptions'!G67-(0))+(('Historical Inputs'!$N$9*(1+(D504))^2)*('Assumptions'!F67+(0))))*'DCF'!G12/(1+(G504))^'DCF'!G13,(('Historical Inputs'!$N$9*(1+(D504))^4)*(('Assumptions'!H37+(E504))*(1-'Assumptions'!H42-(0))+'Assumptions'!H47-'Assumptions'!H52*(F504)+'Assumptions'!H57-'Assumptions'!H62*(1)-'Assumptions'!H67-(0))+(('Historical Inputs'!$N$9*(1+(D504))^3)*('Assumptions'!G67+(0))))*'DCF'!H12/(1+(G504))^'DCF'!H13,(('Historical Inputs'!$N$9*(1+(D504))^5)*(('Assumptions'!I37+(E504))*(1-'Assumptions'!I42-(0))+'Assumptions'!I47-'Assumptions'!I52*(F504)+'Assumptions'!I57-'Assumptions'!I62*(1)-'Assumptions'!I67-(0))+(('Historical Inputs'!$N$9*(1+(D504))^4)*('Assumptions'!H67+(0))))*'DCF'!I12/(1+(G504))^'DCF'!I13)+('Historical Inputs'!$N$9*(1+(D504))^5)*(1+(H504))*('Terminal Value'!$E$10+(E504))*(1-'Assumptions'!$E$15-(0))*(1-(H504)/('Terminal Value'!$E$12))/((G504)-(H504))/(1+(G504))^'DCF'!$E$19)+'Equity Bridge'!$E$17)/'Equity Bridge'!$E$20</x:f>
        <x:v>299.1864824830319</x:v>
      </x:c>
      <x:c r="X504" s="255" t="n">
        <x:v>0.6170575091365439</x:v>
      </x:c>
      <x:c r="Y504" s="255" t="n">
        <x:v>0.30228554264423046</x:v>
      </x:c>
      <x:c r="Z504" s="255" t="n">
        <x:v>0.9514855969812813</x:v>
      </x:c>
      <x:c r="AA504" s="255" t="n">
        <x:v>0.2568394272419722</x:v>
      </x:c>
      <x:c r="AB504" s="255" t="n">
        <x:v>0.6332133289050287</x:v>
      </x:c>
    </x:row>
    <x:row r="505" ht="24" customHeight="1">
      <x:c r="C505" s="256" t="n">
        <x:f>474</x:f>
        <x:v>474</x:v>
      </x:c>
      <x:c r="D505" s="258" t="n">
        <x:f>IF(X505&lt;($E$12-$D$12)/($F$12-$D$12),$D$12+SQRT(X505*($F$12-$D$12)*($E$12-$D$12)),$F$12-SQRT((1-X505)*($F$12-$D$12)*($F$12-$E$12)))</x:f>
        <x:v>0.13724020678424914</x:v>
      </x:c>
      <x:c r="E505" s="258" t="n">
        <x:f>IF(Y505&lt;($E$13-$D$13)/($F$13-$D$13),$D$13+SQRT(Y505*($F$13-$D$13)*($E$13-$D$13)),$F$13-SQRT((1-Y505)*($F$13-$D$13)*($F$13-$E$13)))</x:f>
        <x:v>-0.022399197663377064</x:v>
      </x:c>
      <x:c r="F505" s="260" t="n">
        <x:f>IF(Z505&lt;($E$14-$D$14)/($F$14-$D$14),$D$14+SQRT(Z505*($F$14-$D$14)*($E$14-$D$14)),$F$14-SQRT((1-Z505)*($F$14-$D$14)*($F$14-$E$14)))</x:f>
        <x:v>1.1361596943605534</x:v>
      </x:c>
      <x:c r="G505" s="258" t="n">
        <x:f>IF(AA505&lt;($E$15-$D$15)/($F$15-$D$15),$D$15+SQRT(AA505*($F$15-$D$15)*($E$15-$D$15)),$F$15-SQRT((1-AA505)*($F$15-$D$15)*($F$15-$E$15)))</x:f>
        <x:v>0.09353733101134247</x:v>
      </x:c>
      <x:c r="H505" s="258" t="n">
        <x:f>IF(AB505&lt;($E$16-$D$16)/($F$16-$D$16),$D$16+SQRT(AB505*($F$16-$D$16)*($E$16-$D$16)),$F$16-SQRT((1-AB505)*($F$16-$D$16)*($F$16-$E$16)))</x:f>
        <x:v>0.029217495976157</x:v>
      </x:c>
      <x:c r="I505" s="262" t="n">
        <x:f>'Historical Inputs'!$N$9*(1+D505)^5</x:f>
        <x:v>631231.1963120928</x:v>
      </x:c>
      <x:c r="J505" s="262" t="n">
        <x:f>I505*(1+H505)*('Terminal Value'!$E$10+E505)*(1-'Assumptions'!$E$15)*(1-H505/'Terminal Value'!$E$12)</x:f>
        <x:v>167583.7449045643</x:v>
      </x:c>
      <x:c r="K505" s="264" t="n">
        <x:f>((SUM((('Historical Inputs'!$N$9*(1+(D505))^1)*(('Assumptions'!E37+(E505))*(1-'Assumptions'!E42-(0))+'Assumptions'!E47-'Assumptions'!E52*(F505)+'Assumptions'!E57-'Assumptions'!E62*(1)-'Assumptions'!E67-(0))+('Working Capital'!$E$6))*'DCF'!E12/(1+(G505))^'DCF'!E13,(('Historical Inputs'!$N$9*(1+(D505))^2)*(('Assumptions'!F37+(E505))*(1-'Assumptions'!F42-(0))+'Assumptions'!F47-'Assumptions'!F52*(F505)+'Assumptions'!F57-'Assumptions'!F62*(1)-'Assumptions'!F67-(0))+(('Historical Inputs'!$N$9*(1+(D505))^1)*('Assumptions'!E67+(0))))*'DCF'!F12/(1+(G505))^'DCF'!F13,(('Historical Inputs'!$N$9*(1+(D505))^3)*(('Assumptions'!G37+(E505))*(1-'Assumptions'!G42-(0))+'Assumptions'!G47-'Assumptions'!G52*(F505)+'Assumptions'!G57-'Assumptions'!G62*(1)-'Assumptions'!G67-(0))+(('Historical Inputs'!$N$9*(1+(D505))^2)*('Assumptions'!F67+(0))))*'DCF'!G12/(1+(G505))^'DCF'!G13,(('Historical Inputs'!$N$9*(1+(D505))^4)*(('Assumptions'!H37+(E505))*(1-'Assumptions'!H42-(0))+'Assumptions'!H47-'Assumptions'!H52*(F505)+'Assumptions'!H57-'Assumptions'!H62*(1)-'Assumptions'!H67-(0))+(('Historical Inputs'!$N$9*(1+(D505))^3)*('Assumptions'!G67+(0))))*'DCF'!H12/(1+(G505))^'DCF'!H13,(('Historical Inputs'!$N$9*(1+(D505))^5)*(('Assumptions'!I37+(E505))*(1-'Assumptions'!I42-(0))+'Assumptions'!I47-'Assumptions'!I52*(F505)+'Assumptions'!I57-'Assumptions'!I62*(1)-'Assumptions'!I67-(0))+(('Historical Inputs'!$N$9*(1+(D505))^4)*('Assumptions'!H67+(0))))*'DCF'!I12/(1+(G505))^'DCF'!I13)+('Historical Inputs'!$N$9*(1+(D505))^5)*(1+(H505))*('Terminal Value'!$E$10+(E505))*(1-'Assumptions'!$E$15-(0))*(1-(H505)/('Terminal Value'!$E$12))/((G505)-(H505))/(1+(G505))^'DCF'!$E$19)+'Equity Bridge'!$E$17)/'Equity Bridge'!$E$20</x:f>
        <x:v>271.33761810460527</x:v>
      </x:c>
      <x:c r="X505" s="255" t="n">
        <x:v>0.3869041118133013</x:v>
      </x:c>
      <x:c r="Y505" s="255" t="n">
        <x:v>0.15236085792506604</x:v>
      </x:c>
      <x:c r="Z505" s="255" t="n">
        <x:v>0.9417773625123148</x:v>
      </x:c>
      <x:c r="AA505" s="255" t="n">
        <x:v>0.24021514003048772</x:v>
      </x:c>
      <x:c r="AB505" s="255" t="n">
        <x:v>0.4248111603523522</x:v>
      </x:c>
    </x:row>
    <x:row r="506" ht="24" customHeight="1">
      <x:c r="C506" s="256" t="n">
        <x:f>475</x:f>
        <x:v>475</x:v>
      </x:c>
      <x:c r="D506" s="258" t="n">
        <x:f>IF(X506&lt;($E$12-$D$12)/($F$12-$D$12),$D$12+SQRT(X506*($F$12-$D$12)*($E$12-$D$12)),$F$12-SQRT((1-X506)*($F$12-$D$12)*($F$12-$E$12)))</x:f>
        <x:v>0.15293511105867877</x:v>
      </x:c>
      <x:c r="E506" s="258" t="n">
        <x:f>IF(Y506&lt;($E$13-$D$13)/($F$13-$D$13),$D$13+SQRT(Y506*($F$13-$D$13)*($E$13-$D$13)),$F$13-SQRT((1-Y506)*($F$13-$D$13)*($F$13-$E$13)))</x:f>
        <x:v>0.0029143795358926375</x:v>
      </x:c>
      <x:c r="F506" s="260" t="n">
        <x:f>IF(Z506&lt;($E$14-$D$14)/($F$14-$D$14),$D$14+SQRT(Z506*($F$14-$D$14)*($E$14-$D$14)),$F$14-SQRT((1-Z506)*($F$14-$D$14)*($F$14-$E$14)))</x:f>
        <x:v>1.031268158839292</x:v>
      </x:c>
      <x:c r="G506" s="258" t="n">
        <x:f>IF(AA506&lt;($E$15-$D$15)/($F$15-$D$15),$D$15+SQRT(AA506*($F$15-$D$15)*($E$15-$D$15)),$F$15-SQRT((1-AA506)*($F$15-$D$15)*($F$15-$E$15)))</x:f>
        <x:v>0.10180515846002683</x:v>
      </x:c>
      <x:c r="H506" s="258" t="n">
        <x:f>IF(AB506&lt;($E$16-$D$16)/($F$16-$D$16),$D$16+SQRT(AB506*($F$16-$D$16)*($E$16-$D$16)),$F$16-SQRT((1-AB506)*($F$16-$D$16)*($F$16-$E$16)))</x:f>
        <x:v>0.03647810070979511</x:v>
      </x:c>
      <x:c r="I506" s="262" t="n">
        <x:f>'Historical Inputs'!$N$9*(1+D506)^5</x:f>
        <x:v>676007.8702020824</x:v>
      </x:c>
      <x:c r="J506" s="262" t="n">
        <x:f>I506*(1+H506)*('Terminal Value'!$E$10+E506)*(1-'Assumptions'!$E$15)*(1-H506/'Terminal Value'!$E$12)</x:f>
        <x:v>184654.78403463314</x:v>
      </x:c>
      <x:c r="K506" s="264" t="n">
        <x:f>((SUM((('Historical Inputs'!$N$9*(1+(D506))^1)*(('Assumptions'!E37+(E506))*(1-'Assumptions'!E42-(0))+'Assumptions'!E47-'Assumptions'!E52*(F506)+'Assumptions'!E57-'Assumptions'!E62*(1)-'Assumptions'!E67-(0))+('Working Capital'!$E$6))*'DCF'!E12/(1+(G506))^'DCF'!E13,(('Historical Inputs'!$N$9*(1+(D506))^2)*(('Assumptions'!F37+(E506))*(1-'Assumptions'!F42-(0))+'Assumptions'!F47-'Assumptions'!F52*(F506)+'Assumptions'!F57-'Assumptions'!F62*(1)-'Assumptions'!F67-(0))+(('Historical Inputs'!$N$9*(1+(D506))^1)*('Assumptions'!E67+(0))))*'DCF'!F12/(1+(G506))^'DCF'!F13,(('Historical Inputs'!$N$9*(1+(D506))^3)*(('Assumptions'!G37+(E506))*(1-'Assumptions'!G42-(0))+'Assumptions'!G47-'Assumptions'!G52*(F506)+'Assumptions'!G57-'Assumptions'!G62*(1)-'Assumptions'!G67-(0))+(('Historical Inputs'!$N$9*(1+(D506))^2)*('Assumptions'!F67+(0))))*'DCF'!G12/(1+(G506))^'DCF'!G13,(('Historical Inputs'!$N$9*(1+(D506))^4)*(('Assumptions'!H37+(E506))*(1-'Assumptions'!H42-(0))+'Assumptions'!H47-'Assumptions'!H52*(F506)+'Assumptions'!H57-'Assumptions'!H62*(1)-'Assumptions'!H67-(0))+(('Historical Inputs'!$N$9*(1+(D506))^3)*('Assumptions'!G67+(0))))*'DCF'!H12/(1+(G506))^'DCF'!H13,(('Historical Inputs'!$N$9*(1+(D506))^5)*(('Assumptions'!I37+(E506))*(1-'Assumptions'!I42-(0))+'Assumptions'!I47-'Assumptions'!I52*(F506)+'Assumptions'!I57-'Assumptions'!I62*(1)-'Assumptions'!I67-(0))+(('Historical Inputs'!$N$9*(1+(D506))^4)*('Assumptions'!H67+(0))))*'DCF'!I12/(1+(G506))^'DCF'!I13)+('Historical Inputs'!$N$9*(1+(D506))^5)*(1+(H506))*('Terminal Value'!$E$10+(E506))*(1-'Assumptions'!$E$15-(0))*(1-(H506)/('Terminal Value'!$E$12))/((G506)-(H506))/(1+(G506))^'DCF'!$E$19)+'Equity Bridge'!$E$17)/'Equity Bridge'!$E$20</x:f>
        <x:v>295.44018503420324</x:v>
      </x:c>
      <x:c r="X506" s="255" t="n">
        <x:v>0.6748287024135114</x:v>
      </x:c>
      <x:c r="Y506" s="255" t="n">
        <x:v>0.5565888691020068</x:v>
      </x:c>
      <x:c r="Z506" s="255" t="n">
        <x:v>0.5932795111216801</x:v>
      </x:c>
      <x:c r="AA506" s="255" t="n">
        <x:v>0.7144733231484264</x:v>
      </x:c>
      <x:c r="AB506" s="255" t="n">
        <x:v>0.9379811269482715</x:v>
      </x:c>
    </x:row>
    <x:row r="507" ht="24" customHeight="1">
      <x:c r="C507" s="256" t="n">
        <x:f>476</x:f>
        <x:v>476</x:v>
      </x:c>
      <x:c r="D507" s="258" t="n">
        <x:f>IF(X507&lt;($E$12-$D$12)/($F$12-$D$12),$D$12+SQRT(X507*($F$12-$D$12)*($E$12-$D$12)),$F$12-SQRT((1-X507)*($F$12-$D$12)*($F$12-$E$12)))</x:f>
        <x:v>0.12735936175356072</x:v>
      </x:c>
      <x:c r="E507" s="258" t="n">
        <x:f>IF(Y507&lt;($E$13-$D$13)/($F$13-$D$13),$D$13+SQRT(Y507*($F$13-$D$13)*($E$13-$D$13)),$F$13-SQRT((1-Y507)*($F$13-$D$13)*($F$13-$E$13)))</x:f>
        <x:v>0.03094561564723269</x:v>
      </x:c>
      <x:c r="F507" s="260" t="n">
        <x:f>IF(Z507&lt;($E$14-$D$14)/($F$14-$D$14),$D$14+SQRT(Z507*($F$14-$D$14)*($E$14-$D$14)),$F$14-SQRT((1-Z507)*($F$14-$D$14)*($F$14-$E$14)))</x:f>
        <x:v>1.002914301380647</x:v>
      </x:c>
      <x:c r="G507" s="258" t="n">
        <x:f>IF(AA507&lt;($E$15-$D$15)/($F$15-$D$15),$D$15+SQRT(AA507*($F$15-$D$15)*($E$15-$D$15)),$F$15-SQRT((1-AA507)*($F$15-$D$15)*($F$15-$E$15)))</x:f>
        <x:v>0.09877564760748654</x:v>
      </x:c>
      <x:c r="H507" s="258" t="n">
        <x:f>IF(AB507&lt;($E$16-$D$16)/($F$16-$D$16),$D$16+SQRT(AB507*($F$16-$D$16)*($E$16-$D$16)),$F$16-SQRT((1-AB507)*($F$16-$D$16)*($F$16-$E$16)))</x:f>
        <x:v>0.02599992852308191</x:v>
      </x:c>
      <x:c r="I507" s="262" t="n">
        <x:f>'Historical Inputs'!$N$9*(1+D507)^5</x:f>
        <x:v>604281.5076809991</x:v>
      </x:c>
      <x:c r="J507" s="262" t="n">
        <x:f>I507*(1+H507)*('Terminal Value'!$E$10+E507)*(1-'Assumptions'!$E$15)*(1-H507/'Terminal Value'!$E$12)</x:f>
        <x:v>185959.56400671</x:v>
      </x:c>
      <x:c r="K507" s="264" t="n">
        <x:f>((SUM((('Historical Inputs'!$N$9*(1+(D507))^1)*(('Assumptions'!E37+(E507))*(1-'Assumptions'!E42-(0))+'Assumptions'!E47-'Assumptions'!E52*(F507)+'Assumptions'!E57-'Assumptions'!E62*(1)-'Assumptions'!E67-(0))+('Working Capital'!$E$6))*'DCF'!E12/(1+(G507))^'DCF'!E13,(('Historical Inputs'!$N$9*(1+(D507))^2)*(('Assumptions'!F37+(E507))*(1-'Assumptions'!F42-(0))+'Assumptions'!F47-'Assumptions'!F52*(F507)+'Assumptions'!F57-'Assumptions'!F62*(1)-'Assumptions'!F67-(0))+(('Historical Inputs'!$N$9*(1+(D507))^1)*('Assumptions'!E67+(0))))*'DCF'!F12/(1+(G507))^'DCF'!F13,(('Historical Inputs'!$N$9*(1+(D507))^3)*(('Assumptions'!G37+(E507))*(1-'Assumptions'!G42-(0))+'Assumptions'!G47-'Assumptions'!G52*(F507)+'Assumptions'!G57-'Assumptions'!G62*(1)-'Assumptions'!G67-(0))+(('Historical Inputs'!$N$9*(1+(D507))^2)*('Assumptions'!F67+(0))))*'DCF'!G12/(1+(G507))^'DCF'!G13,(('Historical Inputs'!$N$9*(1+(D507))^4)*(('Assumptions'!H37+(E507))*(1-'Assumptions'!H42-(0))+'Assumptions'!H47-'Assumptions'!H52*(F507)+'Assumptions'!H57-'Assumptions'!H62*(1)-'Assumptions'!H67-(0))+(('Historical Inputs'!$N$9*(1+(D507))^3)*('Assumptions'!G67+(0))))*'DCF'!H12/(1+(G507))^'DCF'!H13,(('Historical Inputs'!$N$9*(1+(D507))^5)*(('Assumptions'!I37+(E507))*(1-'Assumptions'!I42-(0))+'Assumptions'!I47-'Assumptions'!I52*(F507)+'Assumptions'!I57-'Assumptions'!I62*(1)-'Assumptions'!I67-(0))+(('Historical Inputs'!$N$9*(1+(D507))^4)*('Assumptions'!H67+(0))))*'DCF'!I12/(1+(G507))^'DCF'!I13)+('Historical Inputs'!$N$9*(1+(D507))^5)*(1+(H507))*('Terminal Value'!$E$10+(E507))*(1-'Assumptions'!$E$15-(0))*(1-(H507)/('Terminal Value'!$E$12))/((G507)-(H507))/(1+(G507))^'DCF'!$E$19)+'Equity Bridge'!$E$17)/'Equity Bridge'!$E$20</x:f>
        <x:v>278.4944898860193</x:v>
      </x:c>
      <x:c r="X507" s="255" t="n">
        <x:v>0.23259391770619797</x:v>
      </x:c>
      <x:c r="Y507" s="255" t="n">
        <x:v>0.9273860873874032</x:v>
      </x:c>
      <x:c r="Z507" s="255" t="n">
        <x:v>0.44510324856745076</x:v>
      </x:c>
      <x:c r="AA507" s="255" t="n">
        <x:v>0.5414550465654268</x:v>
      </x:c>
      <x:c r="AB507" s="255" t="n">
        <x:v>0.17999571141045945</x:v>
      </x:c>
    </x:row>
    <x:row r="508" ht="24" customHeight="1">
      <x:c r="C508" s="256" t="n">
        <x:f>477</x:f>
        <x:v>477</x:v>
      </x:c>
      <x:c r="D508" s="258" t="n">
        <x:f>IF(X508&lt;($E$12-$D$12)/($F$12-$D$12),$D$12+SQRT(X508*($F$12-$D$12)*($E$12-$D$12)),$F$12-SQRT((1-X508)*($F$12-$D$12)*($F$12-$E$12)))</x:f>
        <x:v>0.11364038183133404</x:v>
      </x:c>
      <x:c r="E508" s="258" t="n">
        <x:f>IF(Y508&lt;($E$13-$D$13)/($F$13-$D$13),$D$13+SQRT(Y508*($F$13-$D$13)*($E$13-$D$13)),$F$13-SQRT((1-Y508)*($F$13-$D$13)*($F$13-$E$13)))</x:f>
        <x:v>-0.0007913755572561479</x:v>
      </x:c>
      <x:c r="F508" s="260" t="n">
        <x:f>IF(Z508&lt;($E$14-$D$14)/($F$14-$D$14),$D$14+SQRT(Z508*($F$14-$D$14)*($E$14-$D$14)),$F$14-SQRT((1-Z508)*($F$14-$D$14)*($F$14-$E$14)))</x:f>
        <x:v>1.146908717765945</x:v>
      </x:c>
      <x:c r="G508" s="258" t="n">
        <x:f>IF(AA508&lt;($E$15-$D$15)/($F$15-$D$15),$D$15+SQRT(AA508*($F$15-$D$15)*($E$15-$D$15)),$F$15-SQRT((1-AA508)*($F$15-$D$15)*($F$15-$E$15)))</x:f>
        <x:v>0.09016591361158892</x:v>
      </x:c>
      <x:c r="H508" s="258" t="n">
        <x:f>IF(AB508&lt;($E$16-$D$16)/($F$16-$D$16),$D$16+SQRT(AB508*($F$16-$D$16)*($E$16-$D$16)),$F$16-SQRT((1-AB508)*($F$16-$D$16)*($F$16-$E$16)))</x:f>
        <x:v>0.03619382439009218</x:v>
      </x:c>
      <x:c r="I508" s="262" t="n">
        <x:f>'Historical Inputs'!$N$9*(1+D508)^5</x:f>
        <x:v>568397.6565586177</x:v>
      </x:c>
      <x:c r="J508" s="262" t="n">
        <x:f>I508*(1+H508)*('Terminal Value'!$E$10+E508)*(1-'Assumptions'!$E$15)*(1-H508/'Terminal Value'!$E$12)</x:f>
        <x:v>154057.71630133607</x:v>
      </x:c>
      <x:c r="K508" s="264" t="n">
        <x:f>((SUM((('Historical Inputs'!$N$9*(1+(D508))^1)*(('Assumptions'!E37+(E508))*(1-'Assumptions'!E42-(0))+'Assumptions'!E47-'Assumptions'!E52*(F508)+'Assumptions'!E57-'Assumptions'!E62*(1)-'Assumptions'!E67-(0))+('Working Capital'!$E$6))*'DCF'!E12/(1+(G508))^'DCF'!E13,(('Historical Inputs'!$N$9*(1+(D508))^2)*(('Assumptions'!F37+(E508))*(1-'Assumptions'!F42-(0))+'Assumptions'!F47-'Assumptions'!F52*(F508)+'Assumptions'!F57-'Assumptions'!F62*(1)-'Assumptions'!F67-(0))+(('Historical Inputs'!$N$9*(1+(D508))^1)*('Assumptions'!E67+(0))))*'DCF'!F12/(1+(G508))^'DCF'!F13,(('Historical Inputs'!$N$9*(1+(D508))^3)*(('Assumptions'!G37+(E508))*(1-'Assumptions'!G42-(0))+'Assumptions'!G47-'Assumptions'!G52*(F508)+'Assumptions'!G57-'Assumptions'!G62*(1)-'Assumptions'!G67-(0))+(('Historical Inputs'!$N$9*(1+(D508))^2)*('Assumptions'!F67+(0))))*'DCF'!G12/(1+(G508))^'DCF'!G13,(('Historical Inputs'!$N$9*(1+(D508))^4)*(('Assumptions'!H37+(E508))*(1-'Assumptions'!H42-(0))+'Assumptions'!H47-'Assumptions'!H52*(F508)+'Assumptions'!H57-'Assumptions'!H62*(1)-'Assumptions'!H67-(0))+(('Historical Inputs'!$N$9*(1+(D508))^3)*('Assumptions'!G67+(0))))*'DCF'!H12/(1+(G508))^'DCF'!H13,(('Historical Inputs'!$N$9*(1+(D508))^5)*(('Assumptions'!I37+(E508))*(1-'Assumptions'!I42-(0))+'Assumptions'!I47-'Assumptions'!I52*(F508)+'Assumptions'!I57-'Assumptions'!I62*(1)-'Assumptions'!I67-(0))+(('Historical Inputs'!$N$9*(1+(D508))^4)*('Assumptions'!H67+(0))))*'DCF'!I12/(1+(G508))^'DCF'!I13)+('Historical Inputs'!$N$9*(1+(D508))^5)*(1+(H508))*('Terminal Value'!$E$10+(E508))*(1-'Assumptions'!$E$15-(0))*(1-(H508)/('Terminal Value'!$E$12))/((G508)-(H508))/(1+(G508))^'DCF'!$E$19)+'Equity Bridge'!$E$17)/'Equity Bridge'!$E$20</x:f>
        <x:v>297.5549899240428</x:v>
      </x:c>
      <x:c r="X508" s="255" t="n">
        <x:v>0.08309627302094258</x:v>
      </x:c>
      <x:c r="Y508" s="255" t="n">
        <x:v>0.4842977439094016</x:v>
      </x:c>
      <x:c r="Z508" s="255" t="n">
        <x:v>0.9597330821534845</x:v>
      </x:c>
      <x:c r="AA508" s="255" t="n">
        <x:v>0.10968505111153182</x:v>
      </x:c>
      <x:c r="AB508" s="255" t="n">
        <x:v>0.9275651361327142</x:v>
      </x:c>
    </x:row>
    <x:row r="509" ht="24" customHeight="1">
      <x:c r="C509" s="256" t="n">
        <x:f>478</x:f>
        <x:v>478</x:v>
      </x:c>
      <x:c r="D509" s="258" t="n">
        <x:f>IF(X509&lt;($E$12-$D$12)/($F$12-$D$12),$D$12+SQRT(X509*($F$12-$D$12)*($E$12-$D$12)),$F$12-SQRT((1-X509)*($F$12-$D$12)*($F$12-$E$12)))</x:f>
        <x:v>0.13274724182954462</x:v>
      </x:c>
      <x:c r="E509" s="258" t="n">
        <x:f>IF(Y509&lt;($E$13-$D$13)/($F$13-$D$13),$D$13+SQRT(Y509*($F$13-$D$13)*($E$13-$D$13)),$F$13-SQRT((1-Y509)*($F$13-$D$13)*($F$13-$E$13)))</x:f>
        <x:v>0.015038618605498266</x:v>
      </x:c>
      <x:c r="F509" s="260" t="n">
        <x:f>IF(Z509&lt;($E$14-$D$14)/($F$14-$D$14),$D$14+SQRT(Z509*($F$14-$D$14)*($E$14-$D$14)),$F$14-SQRT((1-Z509)*($F$14-$D$14)*($F$14-$E$14)))</x:f>
        <x:v>1.035890093896121</x:v>
      </x:c>
      <x:c r="G509" s="258" t="n">
        <x:f>IF(AA509&lt;($E$15-$D$15)/($F$15-$D$15),$D$15+SQRT(AA509*($F$15-$D$15)*($E$15-$D$15)),$F$15-SQRT((1-AA509)*($F$15-$D$15)*($F$15-$E$15)))</x:f>
        <x:v>0.098963292930869</x:v>
      </x:c>
      <x:c r="H509" s="258" t="n">
        <x:f>IF(AB509&lt;($E$16-$D$16)/($F$16-$D$16),$D$16+SQRT(AB509*($F$16-$D$16)*($E$16-$D$16)),$F$16-SQRT((1-AB509)*($F$16-$D$16)*($F$16-$E$16)))</x:f>
        <x:v>0.025897689899410197</x:v>
      </x:c>
      <x:c r="I509" s="262" t="n">
        <x:f>'Historical Inputs'!$N$9*(1+D509)^5</x:f>
        <x:v>618860.1137596903</x:v>
      </x:c>
      <x:c r="J509" s="262" t="n">
        <x:f>I509*(1+H509)*('Terminal Value'!$E$10+E509)*(1-'Assumptions'!$E$15)*(1-H509/'Terminal Value'!$E$12)</x:f>
        <x:v>183505.70839840904</x:v>
      </x:c>
      <x:c r="K509" s="264" t="n">
        <x:f>((SUM((('Historical Inputs'!$N$9*(1+(D509))^1)*(('Assumptions'!E37+(E509))*(1-'Assumptions'!E42-(0))+'Assumptions'!E47-'Assumptions'!E52*(F509)+'Assumptions'!E57-'Assumptions'!E62*(1)-'Assumptions'!E67-(0))+('Working Capital'!$E$6))*'DCF'!E12/(1+(G509))^'DCF'!E13,(('Historical Inputs'!$N$9*(1+(D509))^2)*(('Assumptions'!F37+(E509))*(1-'Assumptions'!F42-(0))+'Assumptions'!F47-'Assumptions'!F52*(F509)+'Assumptions'!F57-'Assumptions'!F62*(1)-'Assumptions'!F67-(0))+(('Historical Inputs'!$N$9*(1+(D509))^1)*('Assumptions'!E67+(0))))*'DCF'!F12/(1+(G509))^'DCF'!F13,(('Historical Inputs'!$N$9*(1+(D509))^3)*(('Assumptions'!G37+(E509))*(1-'Assumptions'!G42-(0))+'Assumptions'!G47-'Assumptions'!G52*(F509)+'Assumptions'!G57-'Assumptions'!G62*(1)-'Assumptions'!G67-(0))+(('Historical Inputs'!$N$9*(1+(D509))^2)*('Assumptions'!F67+(0))))*'DCF'!G12/(1+(G509))^'DCF'!G13,(('Historical Inputs'!$N$9*(1+(D509))^4)*(('Assumptions'!H37+(E509))*(1-'Assumptions'!H42-(0))+'Assumptions'!H47-'Assumptions'!H52*(F509)+'Assumptions'!H57-'Assumptions'!H62*(1)-'Assumptions'!H67-(0))+(('Historical Inputs'!$N$9*(1+(D509))^3)*('Assumptions'!G67+(0))))*'DCF'!H12/(1+(G509))^'DCF'!H13,(('Historical Inputs'!$N$9*(1+(D509))^5)*(('Assumptions'!I37+(E509))*(1-'Assumptions'!I42-(0))+'Assumptions'!I47-'Assumptions'!I52*(F509)+'Assumptions'!I57-'Assumptions'!I62*(1)-'Assumptions'!I67-(0))+(('Historical Inputs'!$N$9*(1+(D509))^4)*('Assumptions'!H67+(0))))*'DCF'!I12/(1+(G509))^'DCF'!I13)+('Historical Inputs'!$N$9*(1+(D509))^5)*(1+(H509))*('Terminal Value'!$E$10+(E509))*(1-'Assumptions'!$E$15-(0))*(1-(H509)/('Terminal Value'!$E$12))/((G509)-(H509))/(1+(G509))^'DCF'!$E$19)+'Equity Bridge'!$E$17)/'Equity Bridge'!$E$20</x:f>
        <x:v>270.34425861109173</x:v>
      </x:c>
      <x:c r="X509" s="255" t="n">
        <x:v>0.31189549518476467</x:v>
      </x:c>
      <x:c r="Y509" s="255" t="n">
        <x:v>0.7555403621976376</x:v>
      </x:c>
      <x:c r="Z509" s="255" t="n">
        <x:v>0.6152562674082293</x:v>
      </x:c>
      <x:c r="AA509" s="255" t="n">
        <x:v>0.553356679729486</x:v>
      </x:c>
      <x:c r="AB509" s="255" t="n">
        <x:v>0.1739137307480254</x:v>
      </x:c>
    </x:row>
    <x:row r="510" ht="24" customHeight="1">
      <x:c r="C510" s="256" t="n">
        <x:f>479</x:f>
        <x:v>479</x:v>
      </x:c>
      <x:c r="D510" s="258" t="n">
        <x:f>IF(X510&lt;($E$12-$D$12)/($F$12-$D$12),$D$12+SQRT(X510*($F$12-$D$12)*($E$12-$D$12)),$F$12-SQRT((1-X510)*($F$12-$D$12)*($F$12-$E$12)))</x:f>
        <x:v>0.13453208909908</x:v>
      </x:c>
      <x:c r="E510" s="258" t="n">
        <x:f>IF(Y510&lt;($E$13-$D$13)/($F$13-$D$13),$D$13+SQRT(Y510*($F$13-$D$13)*($E$13-$D$13)),$F$13-SQRT((1-Y510)*($F$13-$D$13)*($F$13-$E$13)))</x:f>
        <x:v>-0.00952477176519656</x:v>
      </x:c>
      <x:c r="F510" s="260" t="n">
        <x:f>IF(Z510&lt;($E$14-$D$14)/($F$14-$D$14),$D$14+SQRT(Z510*($F$14-$D$14)*($E$14-$D$14)),$F$14-SQRT((1-Z510)*($F$14-$D$14)*($F$14-$E$14)))</x:f>
        <x:v>1.0882422075097704</x:v>
      </x:c>
      <x:c r="G510" s="258" t="n">
        <x:f>IF(AA510&lt;($E$15-$D$15)/($F$15-$D$15),$D$15+SQRT(AA510*($F$15-$D$15)*($E$15-$D$15)),$F$15-SQRT((1-AA510)*($F$15-$D$15)*($F$15-$E$15)))</x:f>
        <x:v>0.09205938361660357</x:v>
      </x:c>
      <x:c r="H510" s="258" t="n">
        <x:f>IF(AB510&lt;($E$16-$D$16)/($F$16-$D$16),$D$16+SQRT(AB510*($F$16-$D$16)*($E$16-$D$16)),$F$16-SQRT((1-AB510)*($F$16-$D$16)*($F$16-$E$16)))</x:f>
        <x:v>0.032390445872604125</x:v>
      </x:c>
      <x:c r="I510" s="262" t="n">
        <x:f>'Historical Inputs'!$N$9*(1+D510)^5</x:f>
        <x:v>623751.1306292596</x:v>
      </x:c>
      <x:c r="J510" s="262" t="n">
        <x:f>I510*(1+H510)*('Terminal Value'!$E$10+E510)*(1-'Assumptions'!$E$15)*(1-H510/'Terminal Value'!$E$12)</x:f>
        <x:v>168580.5910457656</x:v>
      </x:c>
      <x:c r="K510" s="264" t="n">
        <x:f>((SUM((('Historical Inputs'!$N$9*(1+(D510))^1)*(('Assumptions'!E37+(E510))*(1-'Assumptions'!E42-(0))+'Assumptions'!E47-'Assumptions'!E52*(F510)+'Assumptions'!E57-'Assumptions'!E62*(1)-'Assumptions'!E67-(0))+('Working Capital'!$E$6))*'DCF'!E12/(1+(G510))^'DCF'!E13,(('Historical Inputs'!$N$9*(1+(D510))^2)*(('Assumptions'!F37+(E510))*(1-'Assumptions'!F42-(0))+'Assumptions'!F47-'Assumptions'!F52*(F510)+'Assumptions'!F57-'Assumptions'!F62*(1)-'Assumptions'!F67-(0))+(('Historical Inputs'!$N$9*(1+(D510))^1)*('Assumptions'!E67+(0))))*'DCF'!F12/(1+(G510))^'DCF'!F13,(('Historical Inputs'!$N$9*(1+(D510))^3)*(('Assumptions'!G37+(E510))*(1-'Assumptions'!G42-(0))+'Assumptions'!G47-'Assumptions'!G52*(F510)+'Assumptions'!G57-'Assumptions'!G62*(1)-'Assumptions'!G67-(0))+(('Historical Inputs'!$N$9*(1+(D510))^2)*('Assumptions'!F67+(0))))*'DCF'!G12/(1+(G510))^'DCF'!G13,(('Historical Inputs'!$N$9*(1+(D510))^4)*(('Assumptions'!H37+(E510))*(1-'Assumptions'!H42-(0))+'Assumptions'!H47-'Assumptions'!H52*(F510)+'Assumptions'!H57-'Assumptions'!H62*(1)-'Assumptions'!H67-(0))+(('Historical Inputs'!$N$9*(1+(D510))^3)*('Assumptions'!G67+(0))))*'DCF'!H12/(1+(G510))^'DCF'!H13,(('Historical Inputs'!$N$9*(1+(D510))^5)*(('Assumptions'!I37+(E510))*(1-'Assumptions'!I42-(0))+'Assumptions'!I47-'Assumptions'!I52*(F510)+'Assumptions'!I57-'Assumptions'!I62*(1)-'Assumptions'!I67-(0))+(('Historical Inputs'!$N$9*(1+(D510))^4)*('Assumptions'!H67+(0))))*'DCF'!I12/(1+(G510))^'DCF'!I13)+('Historical Inputs'!$N$9*(1+(D510))^5)*(1+(H510))*('Terminal Value'!$E$10+(E510))*(1-'Assumptions'!$E$15-(0))*(1-(H510)/('Terminal Value'!$E$12))/((G510)-(H510))/(1+(G510))^'DCF'!$E$19)+'Equity Bridge'!$E$17)/'Equity Bridge'!$E$20</x:f>
        <x:v>297.68423207548085</x:v>
      </x:c>
      <x:c r="X510" s="255" t="n">
        <x:v>0.3407262356785087</x:v>
      </x:c>
      <x:c r="Y510" s="255" t="n">
        <x:v>0.3276488201318859</x:v>
      </x:c>
      <x:c r="Z510" s="255" t="n">
        <x:v>0.8215742259672971</x:v>
      </x:c>
      <x:c r="AA510" s="255" t="n">
        <x:v>0.17677514786633808</x:v>
      </x:c>
      <x:c r="AB510" s="255" t="n">
        <x:v>0.7104734299111619</x:v>
      </x:c>
    </x:row>
    <x:row r="511" ht="24" customHeight="1">
      <x:c r="C511" s="256" t="n">
        <x:f>480</x:f>
        <x:v>480</x:v>
      </x:c>
      <x:c r="D511" s="258" t="n">
        <x:f>IF(X511&lt;($E$12-$D$12)/($F$12-$D$12),$D$12+SQRT(X511*($F$12-$D$12)*($E$12-$D$12)),$F$12-SQRT((1-X511)*($F$12-$D$12)*($F$12-$E$12)))</x:f>
        <x:v>0.16374967485452568</x:v>
      </x:c>
      <x:c r="E511" s="258" t="n">
        <x:f>IF(Y511&lt;($E$13-$D$13)/($F$13-$D$13),$D$13+SQRT(Y511*($F$13-$D$13)*($E$13-$D$13)),$F$13-SQRT((1-Y511)*($F$13-$D$13)*($F$13-$E$13)))</x:f>
        <x:v>0.006524394570286252</x:v>
      </x:c>
      <x:c r="F511" s="260" t="n">
        <x:f>IF(Z511&lt;($E$14-$D$14)/($F$14-$D$14),$D$14+SQRT(Z511*($F$14-$D$14)*($E$14-$D$14)),$F$14-SQRT((1-Z511)*($F$14-$D$14)*($F$14-$E$14)))</x:f>
        <x:v>1.1753589963727689</x:v>
      </x:c>
      <x:c r="G511" s="258" t="n">
        <x:f>IF(AA511&lt;($E$15-$D$15)/($F$15-$D$15),$D$15+SQRT(AA511*($F$15-$D$15)*($E$15-$D$15)),$F$15-SQRT((1-AA511)*($F$15-$D$15)*($F$15-$E$15)))</x:f>
        <x:v>0.09184072793984024</x:v>
      </x:c>
      <x:c r="H511" s="258" t="n">
        <x:f>IF(AB511&lt;($E$16-$D$16)/($F$16-$D$16),$D$16+SQRT(AB511*($F$16-$D$16)*($E$16-$D$16)),$F$16-SQRT((1-AB511)*($F$16-$D$16)*($F$16-$E$16)))</x:f>
        <x:v>0.02982315133937307</x:v>
      </x:c>
      <x:c r="I511" s="262" t="n">
        <x:f>'Historical Inputs'!$N$9*(1+D511)^5</x:f>
        <x:v>708313.124813668</x:v>
      </x:c>
      <x:c r="J511" s="262" t="n">
        <x:f>I511*(1+H511)*('Terminal Value'!$E$10+E511)*(1-'Assumptions'!$E$15)*(1-H511/'Terminal Value'!$E$12)</x:f>
        <x:v>201852.91256170959</x:v>
      </x:c>
      <x:c r="K511" s="264" t="n">
        <x:f>((SUM((('Historical Inputs'!$N$9*(1+(D511))^1)*(('Assumptions'!E37+(E511))*(1-'Assumptions'!E42-(0))+'Assumptions'!E47-'Assumptions'!E52*(F511)+'Assumptions'!E57-'Assumptions'!E62*(1)-'Assumptions'!E67-(0))+('Working Capital'!$E$6))*'DCF'!E12/(1+(G511))^'DCF'!E13,(('Historical Inputs'!$N$9*(1+(D511))^2)*(('Assumptions'!F37+(E511))*(1-'Assumptions'!F42-(0))+'Assumptions'!F47-'Assumptions'!F52*(F511)+'Assumptions'!F57-'Assumptions'!F62*(1)-'Assumptions'!F67-(0))+(('Historical Inputs'!$N$9*(1+(D511))^1)*('Assumptions'!E67+(0))))*'DCF'!F12/(1+(G511))^'DCF'!F13,(('Historical Inputs'!$N$9*(1+(D511))^3)*(('Assumptions'!G37+(E511))*(1-'Assumptions'!G42-(0))+'Assumptions'!G47-'Assumptions'!G52*(F511)+'Assumptions'!G57-'Assumptions'!G62*(1)-'Assumptions'!G67-(0))+(('Historical Inputs'!$N$9*(1+(D511))^2)*('Assumptions'!F67+(0))))*'DCF'!G12/(1+(G511))^'DCF'!G13,(('Historical Inputs'!$N$9*(1+(D511))^4)*(('Assumptions'!H37+(E511))*(1-'Assumptions'!H42-(0))+'Assumptions'!H47-'Assumptions'!H52*(F511)+'Assumptions'!H57-'Assumptions'!H62*(1)-'Assumptions'!H67-(0))+(('Historical Inputs'!$N$9*(1+(D511))^3)*('Assumptions'!G67+(0))))*'DCF'!H12/(1+(G511))^'DCF'!H13,(('Historical Inputs'!$N$9*(1+(D511))^5)*(('Assumptions'!I37+(E511))*(1-'Assumptions'!I42-(0))+'Assumptions'!I47-'Assumptions'!I52*(F511)+'Assumptions'!I57-'Assumptions'!I62*(1)-'Assumptions'!I67-(0))+(('Historical Inputs'!$N$9*(1+(D511))^4)*('Assumptions'!H67+(0))))*'DCF'!I12/(1+(G511))^'DCF'!I13)+('Historical Inputs'!$N$9*(1+(D511))^5)*(1+(H511))*('Terminal Value'!$E$10+(E511))*(1-'Assumptions'!$E$15-(0))*(1-(H511)/('Terminal Value'!$E$12))/((G511)-(H511))/(1+(G511))^'DCF'!$E$19)+'Equity Bridge'!$E$17)/'Equity Bridge'!$E$20</x:f>
        <x:v>338.4083556720691</x:v>
      </x:c>
      <x:c r="X511" s="255" t="n">
        <x:v>0.8258632949403281</x:v>
      </x:c>
      <x:c r="Y511" s="255" t="n">
        <x:v>0.6219743465039689</x:v>
      </x:c>
      <x:c r="Z511" s="255" t="n">
        <x:v>0.9913260134320397</x:v>
      </x:c>
      <x:c r="AA511" s="255" t="n">
        <x:v>0.1682138680399805</x:v>
      </x:c>
      <x:c r="AB511" s="255" t="n">
        <x:v>0.48247151118113474</x:v>
      </x:c>
    </x:row>
    <x:row r="512" ht="24" customHeight="1">
      <x:c r="C512" s="256" t="n">
        <x:f>481</x:f>
        <x:v>481</x:v>
      </x:c>
      <x:c r="D512" s="258" t="n">
        <x:f>IF(X512&lt;($E$12-$D$12)/($F$12-$D$12),$D$12+SQRT(X512*($F$12-$D$12)*($E$12-$D$12)),$F$12-SQRT((1-X512)*($F$12-$D$12)*($F$12-$E$12)))</x:f>
        <x:v>0.12393548909877031</x:v>
      </x:c>
      <x:c r="E512" s="258" t="n">
        <x:f>IF(Y512&lt;($E$13-$D$13)/($F$13-$D$13),$D$13+SQRT(Y512*($F$13-$D$13)*($E$13-$D$13)),$F$13-SQRT((1-Y512)*($F$13-$D$13)*($F$13-$E$13)))</x:f>
        <x:v>0.024768362132527852</x:v>
      </x:c>
      <x:c r="F512" s="260" t="n">
        <x:f>IF(Z512&lt;($E$14-$D$14)/($F$14-$D$14),$D$14+SQRT(Z512*($F$14-$D$14)*($E$14-$D$14)),$F$14-SQRT((1-Z512)*($F$14-$D$14)*($F$14-$E$14)))</x:f>
        <x:v>0.9196286357374293</x:v>
      </x:c>
      <x:c r="G512" s="258" t="n">
        <x:f>IF(AA512&lt;($E$15-$D$15)/($F$15-$D$15),$D$15+SQRT(AA512*($F$15-$D$15)*($E$15-$D$15)),$F$15-SQRT((1-AA512)*($F$15-$D$15)*($F$15-$E$15)))</x:f>
        <x:v>0.10117624071313926</x:v>
      </x:c>
      <x:c r="H512" s="258" t="n">
        <x:f>IF(AB512&lt;($E$16-$D$16)/($F$16-$D$16),$D$16+SQRT(AB512*($F$16-$D$16)*($E$16-$D$16)),$F$16-SQRT((1-AB512)*($F$16-$D$16)*($F$16-$E$16)))</x:f>
        <x:v>0.028674918656665764</x:v>
      </x:c>
      <x:c r="I512" s="262" t="n">
        <x:f>'Historical Inputs'!$N$9*(1+D512)^5</x:f>
        <x:v>595160.841257728</x:v>
      </x:c>
      <x:c r="J512" s="262" t="n">
        <x:f>I512*(1+H512)*('Terminal Value'!$E$10+E512)*(1-'Assumptions'!$E$15)*(1-H512/'Terminal Value'!$E$12)</x:f>
        <x:v>178215.5518661596</x:v>
      </x:c>
      <x:c r="K512" s="264" t="n">
        <x:f>((SUM((('Historical Inputs'!$N$9*(1+(D512))^1)*(('Assumptions'!E37+(E512))*(1-'Assumptions'!E42-(0))+'Assumptions'!E47-'Assumptions'!E52*(F512)+'Assumptions'!E57-'Assumptions'!E62*(1)-'Assumptions'!E67-(0))+('Working Capital'!$E$6))*'DCF'!E12/(1+(G512))^'DCF'!E13,(('Historical Inputs'!$N$9*(1+(D512))^2)*(('Assumptions'!F37+(E512))*(1-'Assumptions'!F42-(0))+'Assumptions'!F47-'Assumptions'!F52*(F512)+'Assumptions'!F57-'Assumptions'!F62*(1)-'Assumptions'!F67-(0))+(('Historical Inputs'!$N$9*(1+(D512))^1)*('Assumptions'!E67+(0))))*'DCF'!F12/(1+(G512))^'DCF'!F13,(('Historical Inputs'!$N$9*(1+(D512))^3)*(('Assumptions'!G37+(E512))*(1-'Assumptions'!G42-(0))+'Assumptions'!G47-'Assumptions'!G52*(F512)+'Assumptions'!G57-'Assumptions'!G62*(1)-'Assumptions'!G67-(0))+(('Historical Inputs'!$N$9*(1+(D512))^2)*('Assumptions'!F67+(0))))*'DCF'!G12/(1+(G512))^'DCF'!G13,(('Historical Inputs'!$N$9*(1+(D512))^4)*(('Assumptions'!H37+(E512))*(1-'Assumptions'!H42-(0))+'Assumptions'!H47-'Assumptions'!H52*(F512)+'Assumptions'!H57-'Assumptions'!H62*(1)-'Assumptions'!H67-(0))+(('Historical Inputs'!$N$9*(1+(D512))^3)*('Assumptions'!G67+(0))))*'DCF'!H12/(1+(G512))^'DCF'!H13,(('Historical Inputs'!$N$9*(1+(D512))^5)*(('Assumptions'!I37+(E512))*(1-'Assumptions'!I42-(0))+'Assumptions'!I47-'Assumptions'!I52*(F512)+'Assumptions'!I57-'Assumptions'!I62*(1)-'Assumptions'!I67-(0))+(('Historical Inputs'!$N$9*(1+(D512))^4)*('Assumptions'!H67+(0))))*'DCF'!I12/(1+(G512))^'DCF'!I13)+('Historical Inputs'!$N$9*(1+(D512))^5)*(1+(H512))*('Terminal Value'!$E$10+(E512))*(1-'Assumptions'!$E$15-(0))*(1-(H512)/('Terminal Value'!$E$12))/((G512)-(H512))/(1+(G512))^'DCF'!$E$19)+'Equity Bridge'!$E$17)/'Equity Bridge'!$E$20</x:f>
        <x:v>270.78925294460703</x:v>
      </x:c>
      <x:c r="X512" s="255" t="n">
        <x:v>0.18823367084058384</x:v>
      </x:c>
      <x:c r="Y512" s="255" t="n">
        <x:v>0.8726728901049491</x:v>
      </x:c>
      <x:c r="Z512" s="255" t="n">
        <x:v>0.09234565551724994</x:v>
      </x:c>
      <x:c r="AA512" s="255" t="n">
        <x:v>0.6819102830484137</x:v>
      </x:c>
      <x:c r="AB512" s="255" t="n">
        <x:v>0.37627106849883896</x:v>
      </x:c>
    </x:row>
    <x:row r="513" ht="24" customHeight="1">
      <x:c r="C513" s="256" t="n">
        <x:f>482</x:f>
        <x:v>482</x:v>
      </x:c>
      <x:c r="D513" s="258" t="n">
        <x:f>IF(X513&lt;($E$12-$D$12)/($F$12-$D$12),$D$12+SQRT(X513*($F$12-$D$12)*($E$12-$D$12)),$F$12-SQRT((1-X513)*($F$12-$D$12)*($F$12-$E$12)))</x:f>
        <x:v>0.14461663280023335</x:v>
      </x:c>
      <x:c r="E513" s="258" t="n">
        <x:f>IF(Y513&lt;($E$13-$D$13)/($F$13-$D$13),$D$13+SQRT(Y513*($F$13-$D$13)*($E$13-$D$13)),$F$13-SQRT((1-Y513)*($F$13-$D$13)*($F$13-$E$13)))</x:f>
        <x:v>-0.008621648549851875</x:v>
      </x:c>
      <x:c r="F513" s="260" t="n">
        <x:f>IF(Z513&lt;($E$14-$D$14)/($F$14-$D$14),$D$14+SQRT(Z513*($F$14-$D$14)*($E$14-$D$14)),$F$14-SQRT((1-Z513)*($F$14-$D$14)*($F$14-$E$14)))</x:f>
        <x:v>1.1508661690592854</x:v>
      </x:c>
      <x:c r="G513" s="258" t="n">
        <x:f>IF(AA513&lt;($E$15-$D$15)/($F$15-$D$15),$D$15+SQRT(AA513*($F$15-$D$15)*($E$15-$D$15)),$F$15-SQRT((1-AA513)*($F$15-$D$15)*($F$15-$E$15)))</x:f>
        <x:v>0.09360346693758921</x:v>
      </x:c>
      <x:c r="H513" s="258" t="n">
        <x:f>IF(AB513&lt;($E$16-$D$16)/($F$16-$D$16),$D$16+SQRT(AB513*($F$16-$D$16)*($E$16-$D$16)),$F$16-SQRT((1-AB513)*($F$16-$D$16)*($F$16-$E$16)))</x:f>
        <x:v>0.036112224199408245</x:v>
      </x:c>
      <x:c r="I513" s="262" t="n">
        <x:f>'Historical Inputs'!$N$9*(1+D513)^5</x:f>
        <x:v>651970.1141420078</x:v>
      </x:c>
      <x:c r="J513" s="262" t="n">
        <x:f>I513*(1+H513)*('Terminal Value'!$E$10+E513)*(1-'Assumptions'!$E$15)*(1-H513/'Terminal Value'!$E$12)</x:f>
        <x:v>173315.67312231645</x:v>
      </x:c>
      <x:c r="K513" s="264" t="n">
        <x:f>((SUM((('Historical Inputs'!$N$9*(1+(D513))^1)*(('Assumptions'!E37+(E513))*(1-'Assumptions'!E42-(0))+'Assumptions'!E47-'Assumptions'!E52*(F513)+'Assumptions'!E57-'Assumptions'!E62*(1)-'Assumptions'!E67-(0))+('Working Capital'!$E$6))*'DCF'!E12/(1+(G513))^'DCF'!E13,(('Historical Inputs'!$N$9*(1+(D513))^2)*(('Assumptions'!F37+(E513))*(1-'Assumptions'!F42-(0))+'Assumptions'!F47-'Assumptions'!F52*(F513)+'Assumptions'!F57-'Assumptions'!F62*(1)-'Assumptions'!F67-(0))+(('Historical Inputs'!$N$9*(1+(D513))^1)*('Assumptions'!E67+(0))))*'DCF'!F12/(1+(G513))^'DCF'!F13,(('Historical Inputs'!$N$9*(1+(D513))^3)*(('Assumptions'!G37+(E513))*(1-'Assumptions'!G42-(0))+'Assumptions'!G47-'Assumptions'!G52*(F513)+'Assumptions'!G57-'Assumptions'!G62*(1)-'Assumptions'!G67-(0))+(('Historical Inputs'!$N$9*(1+(D513))^2)*('Assumptions'!F67+(0))))*'DCF'!G12/(1+(G513))^'DCF'!G13,(('Historical Inputs'!$N$9*(1+(D513))^4)*(('Assumptions'!H37+(E513))*(1-'Assumptions'!H42-(0))+'Assumptions'!H47-'Assumptions'!H52*(F513)+'Assumptions'!H57-'Assumptions'!H62*(1)-'Assumptions'!H67-(0))+(('Historical Inputs'!$N$9*(1+(D513))^3)*('Assumptions'!G67+(0))))*'DCF'!H12/(1+(G513))^'DCF'!H13,(('Historical Inputs'!$N$9*(1+(D513))^5)*(('Assumptions'!I37+(E513))*(1-'Assumptions'!I42-(0))+'Assumptions'!I47-'Assumptions'!I52*(F513)+'Assumptions'!I57-'Assumptions'!I62*(1)-'Assumptions'!I67-(0))+(('Historical Inputs'!$N$9*(1+(D513))^4)*('Assumptions'!H67+(0))))*'DCF'!I12/(1+(G513))^'DCF'!I13)+('Historical Inputs'!$N$9*(1+(D513))^5)*(1+(H513))*('Terminal Value'!$E$10+(E513))*(1-'Assumptions'!$E$15-(0))*(1-(H513)/('Terminal Value'!$E$12))/((G513)-(H513))/(1+(G513))^'DCF'!$E$19)+'Equity Bridge'!$E$17)/'Equity Bridge'!$E$20</x:f>
        <x:v>310.22862605938167</x:v>
      </x:c>
      <x:c r="X513" s="255" t="n">
        <x:v>0.5268225110832992</x:v>
      </x:c>
      <x:c r="Y513" s="255" t="n">
        <x:v>0.34243359374639515</x:v>
      </x:c>
      <x:c r="Z513" s="255" t="n">
        <x:v>0.9655123808155612</x:v>
      </x:c>
      <x:c r="AA513" s="255" t="n">
        <x:v>0.24328091635891114</x:v>
      </x:c>
      <x:c r="AB513" s="255" t="n">
        <x:v>0.9244259966216658</x:v>
      </x:c>
    </x:row>
    <x:row r="514" ht="24" customHeight="1">
      <x:c r="C514" s="256" t="n">
        <x:f>483</x:f>
        <x:v>483</x:v>
      </x:c>
      <x:c r="D514" s="258" t="n">
        <x:f>IF(X514&lt;($E$12-$D$12)/($F$12-$D$12),$D$12+SQRT(X514*($F$12-$D$12)*($E$12-$D$12)),$F$12-SQRT((1-X514)*($F$12-$D$12)*($F$12-$E$12)))</x:f>
        <x:v>0.15864947884632902</x:v>
      </x:c>
      <x:c r="E514" s="258" t="n">
        <x:f>IF(Y514&lt;($E$13-$D$13)/($F$13-$D$13),$D$13+SQRT(Y514*($F$13-$D$13)*($E$13-$D$13)),$F$13-SQRT((1-Y514)*($F$13-$D$13)*($F$13-$E$13)))</x:f>
        <x:v>0.024504889540744427</x:v>
      </x:c>
      <x:c r="F514" s="260" t="n">
        <x:f>IF(Z514&lt;($E$14-$D$14)/($F$14-$D$14),$D$14+SQRT(Z514*($F$14-$D$14)*($E$14-$D$14)),$F$14-SQRT((1-Z514)*($F$14-$D$14)*($F$14-$E$14)))</x:f>
        <x:v>0.9493001176383772</x:v>
      </x:c>
      <x:c r="G514" s="258" t="n">
        <x:f>IF(AA514&lt;($E$15-$D$15)/($F$15-$D$15),$D$15+SQRT(AA514*($F$15-$D$15)*($E$15-$D$15)),$F$15-SQRT((1-AA514)*($F$15-$D$15)*($F$15-$E$15)))</x:f>
        <x:v>0.09591373997091077</x:v>
      </x:c>
      <x:c r="H514" s="258" t="n">
        <x:f>IF(AB514&lt;($E$16-$D$16)/($F$16-$D$16),$D$16+SQRT(AB514*($F$16-$D$16)*($E$16-$D$16)),$F$16-SQRT((1-AB514)*($F$16-$D$16)*($F$16-$E$16)))</x:f>
        <x:v>0.03263902844936105</x:v>
      </x:c>
      <x:c r="I514" s="262" t="n">
        <x:f>'Historical Inputs'!$N$9*(1+D514)^5</x:f>
        <x:v>692927.470801803</x:v>
      </x:c>
      <x:c r="J514" s="262" t="n">
        <x:f>I514*(1+H514)*('Terminal Value'!$E$10+E514)*(1-'Assumptions'!$E$15)*(1-H514/'Terminal Value'!$E$12)</x:f>
        <x:v>203344.8560967779</x:v>
      </x:c>
      <x:c r="K514" s="264" t="n">
        <x:f>((SUM((('Historical Inputs'!$N$9*(1+(D514))^1)*(('Assumptions'!E37+(E514))*(1-'Assumptions'!E42-(0))+'Assumptions'!E47-'Assumptions'!E52*(F514)+'Assumptions'!E57-'Assumptions'!E62*(1)-'Assumptions'!E67-(0))+('Working Capital'!$E$6))*'DCF'!E12/(1+(G514))^'DCF'!E13,(('Historical Inputs'!$N$9*(1+(D514))^2)*(('Assumptions'!F37+(E514))*(1-'Assumptions'!F42-(0))+'Assumptions'!F47-'Assumptions'!F52*(F514)+'Assumptions'!F57-'Assumptions'!F62*(1)-'Assumptions'!F67-(0))+(('Historical Inputs'!$N$9*(1+(D514))^1)*('Assumptions'!E67+(0))))*'DCF'!F12/(1+(G514))^'DCF'!F13,(('Historical Inputs'!$N$9*(1+(D514))^3)*(('Assumptions'!G37+(E514))*(1-'Assumptions'!G42-(0))+'Assumptions'!G47-'Assumptions'!G52*(F514)+'Assumptions'!G57-'Assumptions'!G62*(1)-'Assumptions'!G67-(0))+(('Historical Inputs'!$N$9*(1+(D514))^2)*('Assumptions'!F67+(0))))*'DCF'!G12/(1+(G514))^'DCF'!G13,(('Historical Inputs'!$N$9*(1+(D514))^4)*(('Assumptions'!H37+(E514))*(1-'Assumptions'!H42-(0))+'Assumptions'!H47-'Assumptions'!H52*(F514)+'Assumptions'!H57-'Assumptions'!H62*(1)-'Assumptions'!H67-(0))+(('Historical Inputs'!$N$9*(1+(D514))^3)*('Assumptions'!G67+(0))))*'DCF'!H12/(1+(G514))^'DCF'!H13,(('Historical Inputs'!$N$9*(1+(D514))^5)*(('Assumptions'!I37+(E514))*(1-'Assumptions'!I42-(0))+'Assumptions'!I47-'Assumptions'!I52*(F514)+'Assumptions'!I57-'Assumptions'!I62*(1)-'Assumptions'!I67-(0))+(('Historical Inputs'!$N$9*(1+(D514))^4)*('Assumptions'!H67+(0))))*'DCF'!I12/(1+(G514))^'DCF'!I13)+('Historical Inputs'!$N$9*(1+(D514))^5)*(1+(H514))*('Terminal Value'!$E$10+(E514))*(1-'Assumptions'!$E$15-(0))*(1-(H514)/('Terminal Value'!$E$12))/((G514)-(H514))/(1+(G514))^'DCF'!$E$19)+'Equity Bridge'!$E$17)/'Equity Bridge'!$E$20</x:f>
        <x:v>347.30794576904464</x:v>
      </x:c>
      <x:c r="X514" s="255" t="n">
        <x:v>0.7604635937812512</x:v>
      </x:c>
      <x:c r="Y514" s="255" t="n">
        <x:v>0.8699998685340714</x:v>
      </x:c>
      <x:c r="Z514" s="255" t="n">
        <x:v>0.18781930215229614</x:v>
      </x:c>
      <x:c r="AA514" s="255" t="n">
        <x:v>0.3625755522794035</x:v>
      </x:c>
      <x:c r="AB514" s="255" t="n">
        <x:v>0.7290804891534198</x:v>
      </x:c>
    </x:row>
    <x:row r="515" ht="24" customHeight="1">
      <x:c r="C515" s="256" t="n">
        <x:f>484</x:f>
        <x:v>484</x:v>
      </x:c>
      <x:c r="D515" s="258" t="n">
        <x:f>IF(X515&lt;($E$12-$D$12)/($F$12-$D$12),$D$12+SQRT(X515*($F$12-$D$12)*($E$12-$D$12)),$F$12-SQRT((1-X515)*($F$12-$D$12)*($F$12-$E$12)))</x:f>
        <x:v>0.16196842550570958</x:v>
      </x:c>
      <x:c r="E515" s="258" t="n">
        <x:f>IF(Y515&lt;($E$13-$D$13)/($F$13-$D$13),$D$13+SQRT(Y515*($F$13-$D$13)*($E$13-$D$13)),$F$13-SQRT((1-Y515)*($F$13-$D$13)*($F$13-$E$13)))</x:f>
        <x:v>0.003206337596841677</x:v>
      </x:c>
      <x:c r="F515" s="260" t="n">
        <x:f>IF(Z515&lt;($E$14-$D$14)/($F$14-$D$14),$D$14+SQRT(Z515*($F$14-$D$14)*($E$14-$D$14)),$F$14-SQRT((1-Z515)*($F$14-$D$14)*($F$14-$E$14)))</x:f>
        <x:v>1.0730850679120785</x:v>
      </x:c>
      <x:c r="G515" s="258" t="n">
        <x:f>IF(AA515&lt;($E$15-$D$15)/($F$15-$D$15),$D$15+SQRT(AA515*($F$15-$D$15)*($E$15-$D$15)),$F$15-SQRT((1-AA515)*($F$15-$D$15)*($F$15-$E$15)))</x:f>
        <x:v>0.09627640612745139</x:v>
      </x:c>
      <x:c r="H515" s="258" t="n">
        <x:f>IF(AB515&lt;($E$16-$D$16)/($F$16-$D$16),$D$16+SQRT(AB515*($F$16-$D$16)*($E$16-$D$16)),$F$16-SQRT((1-AB515)*($F$16-$D$16)*($F$16-$E$16)))</x:f>
        <x:v>0.034815783423394725</x:v>
      </x:c>
      <x:c r="I515" s="262" t="n">
        <x:f>'Historical Inputs'!$N$9*(1+D515)^5</x:f>
        <x:v>702908.9303624886</x:v>
      </x:c>
      <x:c r="J515" s="262" t="n">
        <x:f>I515*(1+H515)*('Terminal Value'!$E$10+E515)*(1-'Assumptions'!$E$15)*(1-H515/'Terminal Value'!$E$12)</x:f>
        <x:v>193784.03478754326</x:v>
      </x:c>
      <x:c r="K515" s="264" t="n">
        <x:f>((SUM((('Historical Inputs'!$N$9*(1+(D515))^1)*(('Assumptions'!E37+(E515))*(1-'Assumptions'!E42-(0))+'Assumptions'!E47-'Assumptions'!E52*(F515)+'Assumptions'!E57-'Assumptions'!E62*(1)-'Assumptions'!E67-(0))+('Working Capital'!$E$6))*'DCF'!E12/(1+(G515))^'DCF'!E13,(('Historical Inputs'!$N$9*(1+(D515))^2)*(('Assumptions'!F37+(E515))*(1-'Assumptions'!F42-(0))+'Assumptions'!F47-'Assumptions'!F52*(F515)+'Assumptions'!F57-'Assumptions'!F62*(1)-'Assumptions'!F67-(0))+(('Historical Inputs'!$N$9*(1+(D515))^1)*('Assumptions'!E67+(0))))*'DCF'!F12/(1+(G515))^'DCF'!F13,(('Historical Inputs'!$N$9*(1+(D515))^3)*(('Assumptions'!G37+(E515))*(1-'Assumptions'!G42-(0))+'Assumptions'!G47-'Assumptions'!G52*(F515)+'Assumptions'!G57-'Assumptions'!G62*(1)-'Assumptions'!G67-(0))+(('Historical Inputs'!$N$9*(1+(D515))^2)*('Assumptions'!F67+(0))))*'DCF'!G12/(1+(G515))^'DCF'!G13,(('Historical Inputs'!$N$9*(1+(D515))^4)*(('Assumptions'!H37+(E515))*(1-'Assumptions'!H42-(0))+'Assumptions'!H47-'Assumptions'!H52*(F515)+'Assumptions'!H57-'Assumptions'!H62*(1)-'Assumptions'!H67-(0))+(('Historical Inputs'!$N$9*(1+(D515))^3)*('Assumptions'!G67+(0))))*'DCF'!H12/(1+(G515))^'DCF'!H13,(('Historical Inputs'!$N$9*(1+(D515))^5)*(('Assumptions'!I37+(E515))*(1-'Assumptions'!I42-(0))+'Assumptions'!I47-'Assumptions'!I52*(F515)+'Assumptions'!I57-'Assumptions'!I62*(1)-'Assumptions'!I67-(0))+(('Historical Inputs'!$N$9*(1+(D515))^4)*('Assumptions'!H67+(0))))*'DCF'!I12/(1+(G515))^'DCF'!I13)+('Historical Inputs'!$N$9*(1+(D515))^5)*(1+(H515))*('Terminal Value'!$E$10+(E515))*(1-'Assumptions'!$E$15-(0))*(1-(H515)/('Terminal Value'!$E$12))/((G515)-(H515))/(1+(G515))^'DCF'!$E$19)+'Equity Bridge'!$E$17)/'Equity Bridge'!$E$20</x:f>
        <x:v>329.3124536288835</x:v>
      </x:c>
      <x:c r="X515" s="255" t="n">
        <x:v>0.8042047480604639</x:v>
      </x:c>
      <x:c r="Y515" s="255" t="n">
        <x:v>0.5620706317798494</x:v>
      </x:c>
      <x:c r="Z515" s="255" t="n">
        <x:v>0.7698942859016898</x:v>
      </x:c>
      <x:c r="AA515" s="255" t="n">
        <x:v>0.3834565861509255</x:v>
      </x:c>
      <x:c r="AB515" s="255" t="n">
        <x:v>0.8656194924342556</x:v>
      </x:c>
    </x:row>
    <x:row r="516" ht="24" customHeight="1">
      <x:c r="C516" s="256" t="n">
        <x:f>485</x:f>
        <x:v>485</x:v>
      </x:c>
      <x:c r="D516" s="258" t="n">
        <x:f>IF(X516&lt;($E$12-$D$12)/($F$12-$D$12),$D$12+SQRT(X516*($F$12-$D$12)*($E$12-$D$12)),$F$12-SQRT((1-X516)*($F$12-$D$12)*($F$12-$E$12)))</x:f>
        <x:v>0.14421845064008762</x:v>
      </x:c>
      <x:c r="E516" s="258" t="n">
        <x:f>IF(Y516&lt;($E$13-$D$13)/($F$13-$D$13),$D$13+SQRT(Y516*($F$13-$D$13)*($E$13-$D$13)),$F$13-SQRT((1-Y516)*($F$13-$D$13)*($F$13-$E$13)))</x:f>
        <x:v>-0.03283755336105763</x:v>
      </x:c>
      <x:c r="F516" s="260" t="n">
        <x:f>IF(Z516&lt;($E$14-$D$14)/($F$14-$D$14),$D$14+SQRT(Z516*($F$14-$D$14)*($E$14-$D$14)),$F$14-SQRT((1-Z516)*($F$14-$D$14)*($F$14-$E$14)))</x:f>
        <x:v>1.0336551724825027</x:v>
      </x:c>
      <x:c r="G516" s="258" t="n">
        <x:f>IF(AA516&lt;($E$15-$D$15)/($F$15-$D$15),$D$15+SQRT(AA516*($F$15-$D$15)*($E$15-$D$15)),$F$15-SQRT((1-AA516)*($F$15-$D$15)*($F$15-$E$15)))</x:f>
        <x:v>0.10946397276578883</x:v>
      </x:c>
      <x:c r="H516" s="258" t="n">
        <x:f>IF(AB516&lt;($E$16-$D$16)/($F$16-$D$16),$D$16+SQRT(AB516*($F$16-$D$16)*($E$16-$D$16)),$F$16-SQRT((1-AB516)*($F$16-$D$16)*($F$16-$E$16)))</x:f>
        <x:v>0.033366726676814576</x:v>
      </x:c>
      <x:c r="I516" s="262" t="n">
        <x:f>'Historical Inputs'!$N$9*(1+D516)^5</x:f>
        <x:v>650836.8861873196</x:v>
      </x:c>
      <x:c r="J516" s="262" t="n">
        <x:f>I516*(1+H516)*('Terminal Value'!$E$10+E516)*(1-'Assumptions'!$E$15)*(1-H516/'Terminal Value'!$E$12)</x:f>
        <x:v>164591.19725404304</x:v>
      </x:c>
      <x:c r="K516" s="264" t="n">
        <x:f>((SUM((('Historical Inputs'!$N$9*(1+(D516))^1)*(('Assumptions'!E37+(E516))*(1-'Assumptions'!E42-(0))+'Assumptions'!E47-'Assumptions'!E52*(F516)+'Assumptions'!E57-'Assumptions'!E62*(1)-'Assumptions'!E67-(0))+('Working Capital'!$E$6))*'DCF'!E12/(1+(G516))^'DCF'!E13,(('Historical Inputs'!$N$9*(1+(D516))^2)*(('Assumptions'!F37+(E516))*(1-'Assumptions'!F42-(0))+'Assumptions'!F47-'Assumptions'!F52*(F516)+'Assumptions'!F57-'Assumptions'!F62*(1)-'Assumptions'!F67-(0))+(('Historical Inputs'!$N$9*(1+(D516))^1)*('Assumptions'!E67+(0))))*'DCF'!F12/(1+(G516))^'DCF'!F13,(('Historical Inputs'!$N$9*(1+(D516))^3)*(('Assumptions'!G37+(E516))*(1-'Assumptions'!G42-(0))+'Assumptions'!G47-'Assumptions'!G52*(F516)+'Assumptions'!G57-'Assumptions'!G62*(1)-'Assumptions'!G67-(0))+(('Historical Inputs'!$N$9*(1+(D516))^2)*('Assumptions'!F67+(0))))*'DCF'!G12/(1+(G516))^'DCF'!G13,(('Historical Inputs'!$N$9*(1+(D516))^4)*(('Assumptions'!H37+(E516))*(1-'Assumptions'!H42-(0))+'Assumptions'!H47-'Assumptions'!H52*(F516)+'Assumptions'!H57-'Assumptions'!H62*(1)-'Assumptions'!H67-(0))+(('Historical Inputs'!$N$9*(1+(D516))^3)*('Assumptions'!G67+(0))))*'DCF'!H12/(1+(G516))^'DCF'!H13,(('Historical Inputs'!$N$9*(1+(D516))^5)*(('Assumptions'!I37+(E516))*(1-'Assumptions'!I42-(0))+'Assumptions'!I47-'Assumptions'!I52*(F516)+'Assumptions'!I57-'Assumptions'!I62*(1)-'Assumptions'!I67-(0))+(('Historical Inputs'!$N$9*(1+(D516))^4)*('Assumptions'!H67+(0))))*'DCF'!I12/(1+(G516))^'DCF'!I13)+('Historical Inputs'!$N$9*(1+(D516))^5)*(1+(H516))*('Terminal Value'!$E$10+(E516))*(1-'Assumptions'!$E$15-(0))*(1-(H516)/('Terminal Value'!$E$12))/((G516)-(H516))/(1+(G516))^'DCF'!$E$19)+'Equity Bridge'!$E$17)/'Equity Bridge'!$E$20</x:f>
        <x:v>223.25983413633517</x:v>
      </x:c>
      <x:c r="X516" s="255" t="n">
        <x:v>0.5190437072077156</x:v>
      </x:c>
      <x:c r="Y516" s="255" t="n">
        <x:v>0.05890991492690889</x:v>
      </x:c>
      <x:c r="Z516" s="255" t="n">
        <x:v>0.6047056908310587</x:v>
      </x:c>
      <x:c r="AA516" s="255" t="n">
        <x:v>0.9699646857538261</x:v>
      </x:c>
      <x:c r="AB516" s="255" t="n">
        <x:v>0.7799984250995833</x:v>
      </x:c>
    </x:row>
    <x:row r="517" ht="24" customHeight="1">
      <x:c r="C517" s="256" t="n">
        <x:f>486</x:f>
        <x:v>486</x:v>
      </x:c>
      <x:c r="D517" s="258" t="n">
        <x:f>IF(X517&lt;($E$12-$D$12)/($F$12-$D$12),$D$12+SQRT(X517*($F$12-$D$12)*($E$12-$D$12)),$F$12-SQRT((1-X517)*($F$12-$D$12)*($F$12-$E$12)))</x:f>
        <x:v>0.17073683357944683</x:v>
      </x:c>
      <x:c r="E517" s="258" t="n">
        <x:f>IF(Y517&lt;($E$13-$D$13)/($F$13-$D$13),$D$13+SQRT(Y517*($F$13-$D$13)*($E$13-$D$13)),$F$13-SQRT((1-Y517)*($F$13-$D$13)*($F$13-$E$13)))</x:f>
        <x:v>-0.04313211539774505</x:v>
      </x:c>
      <x:c r="F517" s="260" t="n">
        <x:f>IF(Z517&lt;($E$14-$D$14)/($F$14-$D$14),$D$14+SQRT(Z517*($F$14-$D$14)*($E$14-$D$14)),$F$14-SQRT((1-Z517)*($F$14-$D$14)*($F$14-$E$14)))</x:f>
        <x:v>1.0622040373856998</x:v>
      </x:c>
      <x:c r="G517" s="258" t="n">
        <x:f>IF(AA517&lt;($E$15-$D$15)/($F$15-$D$15),$D$15+SQRT(AA517*($F$15-$D$15)*($E$15-$D$15)),$F$15-SQRT((1-AA517)*($F$15-$D$15)*($F$15-$E$15)))</x:f>
        <x:v>0.10620323818325976</x:v>
      </x:c>
      <x:c r="H517" s="258" t="n">
        <x:f>IF(AB517&lt;($E$16-$D$16)/($F$16-$D$16),$D$16+SQRT(AB517*($F$16-$D$16)*($E$16-$D$16)),$F$16-SQRT((1-AB517)*($F$16-$D$16)*($F$16-$E$16)))</x:f>
        <x:v>0.025069682172534254</x:v>
      </x:c>
      <x:c r="I517" s="262" t="n">
        <x:f>'Historical Inputs'!$N$9*(1+D517)^5</x:f>
        <x:v>729833.572970499</x:v>
      </x:c>
      <x:c r="J517" s="262" t="n">
        <x:f>I517*(1+H517)*('Terminal Value'!$E$10+E517)*(1-'Assumptions'!$E$15)*(1-H517/'Terminal Value'!$E$12)</x:f>
        <x:v>186814.15046683027</x:v>
      </x:c>
      <x:c r="K517" s="264" t="n">
        <x:f>((SUM((('Historical Inputs'!$N$9*(1+(D517))^1)*(('Assumptions'!E37+(E517))*(1-'Assumptions'!E42-(0))+'Assumptions'!E47-'Assumptions'!E52*(F517)+'Assumptions'!E57-'Assumptions'!E62*(1)-'Assumptions'!E67-(0))+('Working Capital'!$E$6))*'DCF'!E12/(1+(G517))^'DCF'!E13,(('Historical Inputs'!$N$9*(1+(D517))^2)*(('Assumptions'!F37+(E517))*(1-'Assumptions'!F42-(0))+'Assumptions'!F47-'Assumptions'!F52*(F517)+'Assumptions'!F57-'Assumptions'!F62*(1)-'Assumptions'!F67-(0))+(('Historical Inputs'!$N$9*(1+(D517))^1)*('Assumptions'!E67+(0))))*'DCF'!F12/(1+(G517))^'DCF'!F13,(('Historical Inputs'!$N$9*(1+(D517))^3)*(('Assumptions'!G37+(E517))*(1-'Assumptions'!G42-(0))+'Assumptions'!G47-'Assumptions'!G52*(F517)+'Assumptions'!G57-'Assumptions'!G62*(1)-'Assumptions'!G67-(0))+(('Historical Inputs'!$N$9*(1+(D517))^2)*('Assumptions'!F67+(0))))*'DCF'!G12/(1+(G517))^'DCF'!G13,(('Historical Inputs'!$N$9*(1+(D517))^4)*(('Assumptions'!H37+(E517))*(1-'Assumptions'!H42-(0))+'Assumptions'!H47-'Assumptions'!H52*(F517)+'Assumptions'!H57-'Assumptions'!H62*(1)-'Assumptions'!H67-(0))+(('Historical Inputs'!$N$9*(1+(D517))^3)*('Assumptions'!G67+(0))))*'DCF'!H12/(1+(G517))^'DCF'!H13,(('Historical Inputs'!$N$9*(1+(D517))^5)*(('Assumptions'!I37+(E517))*(1-'Assumptions'!I42-(0))+'Assumptions'!I47-'Assumptions'!I52*(F517)+'Assumptions'!I57-'Assumptions'!I62*(1)-'Assumptions'!I67-(0))+(('Historical Inputs'!$N$9*(1+(D517))^4)*('Assumptions'!H67+(0))))*'DCF'!I12/(1+(G517))^'DCF'!I13)+('Historical Inputs'!$N$9*(1+(D517))^5)*(1+(H517))*('Terminal Value'!$E$10+(E517))*(1-'Assumptions'!$E$15-(0))*(1-(H517)/('Terminal Value'!$E$12))/((G517)-(H517))/(1+(G517))^'DCF'!$E$19)+'Equity Bridge'!$E$17)/'Equity Bridge'!$E$20</x:f>
        <x:v>237.7551909510416</x:v>
      </x:c>
      <x:c r="X517" s="255" t="n">
        <x:v>0.898568224267445</x:v>
      </x:c>
      <x:c r="Y517" s="255" t="n">
        <x:v>0.009433567781978125</x:v>
      </x:c>
      <x:c r="Z517" s="255" t="n">
        <x:v>0.7287467526742627</x:v>
      </x:c>
      <x:c r="AA517" s="255" t="n">
        <x:v>0.8930582488747943</x:v>
      </x:c>
      <x:c r="AB517" s="255" t="n">
        <x:v>0.12850838665255826</x:v>
      </x:c>
    </x:row>
    <x:row r="518" ht="24" customHeight="1">
      <x:c r="C518" s="256" t="n">
        <x:f>487</x:f>
        <x:v>487</x:v>
      </x:c>
      <x:c r="D518" s="258" t="n">
        <x:f>IF(X518&lt;($E$12-$D$12)/($F$12-$D$12),$D$12+SQRT(X518*($F$12-$D$12)*($E$12-$D$12)),$F$12-SQRT((1-X518)*($F$12-$D$12)*($F$12-$E$12)))</x:f>
        <x:v>0.1389520364665718</x:v>
      </x:c>
      <x:c r="E518" s="258" t="n">
        <x:f>IF(Y518&lt;($E$13-$D$13)/($F$13-$D$13),$D$13+SQRT(Y518*($F$13-$D$13)*($E$13-$D$13)),$F$13-SQRT((1-Y518)*($F$13-$D$13)*($F$13-$E$13)))</x:f>
        <x:v>-0.008695347311870959</x:v>
      </x:c>
      <x:c r="F518" s="260" t="n">
        <x:f>IF(Z518&lt;($E$14-$D$14)/($F$14-$D$14),$D$14+SQRT(Z518*($F$14-$D$14)*($E$14-$D$14)),$F$14-SQRT((1-Z518)*($F$14-$D$14)*($F$14-$E$14)))</x:f>
        <x:v>0.9947016146185509</x:v>
      </x:c>
      <x:c r="G518" s="258" t="n">
        <x:f>IF(AA518&lt;($E$15-$D$15)/($F$15-$D$15),$D$15+SQRT(AA518*($F$15-$D$15)*($E$15-$D$15)),$F$15-SQRT((1-AA518)*($F$15-$D$15)*($F$15-$E$15)))</x:f>
        <x:v>0.08604320914880068</x:v>
      </x:c>
      <x:c r="H518" s="258" t="n">
        <x:f>IF(AB518&lt;($E$16-$D$16)/($F$16-$D$16),$D$16+SQRT(AB518*($F$16-$D$16)*($E$16-$D$16)),$F$16-SQRT((1-AB518)*($F$16-$D$16)*($F$16-$E$16)))</x:f>
        <x:v>0.03139966098771228</x:v>
      </x:c>
      <x:c r="I518" s="262" t="n">
        <x:f>'Historical Inputs'!$N$9*(1+D518)^5</x:f>
        <x:v>635996.3207629411</x:v>
      </x:c>
      <x:c r="J518" s="262" t="n">
        <x:f>I518*(1+H518)*('Terminal Value'!$E$10+E518)*(1-'Assumptions'!$E$15)*(1-H518/'Terminal Value'!$E$12)</x:f>
        <x:v>173107.16113444572</x:v>
      </x:c>
      <x:c r="K518" s="264" t="n">
        <x:f>((SUM((('Historical Inputs'!$N$9*(1+(D518))^1)*(('Assumptions'!E37+(E518))*(1-'Assumptions'!E42-(0))+'Assumptions'!E47-'Assumptions'!E52*(F518)+'Assumptions'!E57-'Assumptions'!E62*(1)-'Assumptions'!E67-(0))+('Working Capital'!$E$6))*'DCF'!E12/(1+(G518))^'DCF'!E13,(('Historical Inputs'!$N$9*(1+(D518))^2)*(('Assumptions'!F37+(E518))*(1-'Assumptions'!F42-(0))+'Assumptions'!F47-'Assumptions'!F52*(F518)+'Assumptions'!F57-'Assumptions'!F62*(1)-'Assumptions'!F67-(0))+(('Historical Inputs'!$N$9*(1+(D518))^1)*('Assumptions'!E67+(0))))*'DCF'!F12/(1+(G518))^'DCF'!F13,(('Historical Inputs'!$N$9*(1+(D518))^3)*(('Assumptions'!G37+(E518))*(1-'Assumptions'!G42-(0))+'Assumptions'!G47-'Assumptions'!G52*(F518)+'Assumptions'!G57-'Assumptions'!G62*(1)-'Assumptions'!G67-(0))+(('Historical Inputs'!$N$9*(1+(D518))^2)*('Assumptions'!F67+(0))))*'DCF'!G12/(1+(G518))^'DCF'!G13,(('Historical Inputs'!$N$9*(1+(D518))^4)*(('Assumptions'!H37+(E518))*(1-'Assumptions'!H42-(0))+'Assumptions'!H47-'Assumptions'!H52*(F518)+'Assumptions'!H57-'Assumptions'!H62*(1)-'Assumptions'!H67-(0))+(('Historical Inputs'!$N$9*(1+(D518))^3)*('Assumptions'!G67+(0))))*'DCF'!H12/(1+(G518))^'DCF'!H13,(('Historical Inputs'!$N$9*(1+(D518))^5)*(('Assumptions'!I37+(E518))*(1-'Assumptions'!I42-(0))+'Assumptions'!I47-'Assumptions'!I52*(F518)+'Assumptions'!I57-'Assumptions'!I62*(1)-'Assumptions'!I67-(0))+(('Historical Inputs'!$N$9*(1+(D518))^4)*('Assumptions'!H67+(0))))*'DCF'!I12/(1+(G518))^'DCF'!I13)+('Historical Inputs'!$N$9*(1+(D518))^5)*(1+(H518))*('Terminal Value'!$E$10+(E518))*(1-'Assumptions'!$E$15-(0))*(1-(H518)/('Terminal Value'!$E$12))/((G518)-(H518))/(1+(G518))^'DCF'!$E$19)+'Equity Bridge'!$E$17)/'Equity Bridge'!$E$20</x:f>
        <x:v>343.1416783915821</x:v>
      </x:c>
      <x:c r="X518" s="255" t="n">
        <x:v>0.4176068725993659</x:v>
      </x:c>
      <x:c r="Y518" s="255" t="n">
        <x:v>0.3412148667373931</x:v>
      </x:c>
      <x:c r="Z518" s="255" t="n">
        <x:v>0.3988296623469644</x:v>
      </x:c>
      <x:c r="AA518" s="255" t="n">
        <x:v>0.01872550942196327</x:v>
      </x:c>
      <x:c r="AB518" s="255" t="n">
        <x:v>0.6301708443686096</x:v>
      </x:c>
    </x:row>
    <x:row r="519" ht="24" customHeight="1">
      <x:c r="C519" s="256" t="n">
        <x:f>488</x:f>
        <x:v>488</x:v>
      </x:c>
      <x:c r="D519" s="258" t="n">
        <x:f>IF(X519&lt;($E$12-$D$12)/($F$12-$D$12),$D$12+SQRT(X519*($F$12-$D$12)*($E$12-$D$12)),$F$12-SQRT((1-X519)*($F$12-$D$12)*($F$12-$E$12)))</x:f>
        <x:v>0.13915340128301198</x:v>
      </x:c>
      <x:c r="E519" s="258" t="n">
        <x:f>IF(Y519&lt;($E$13-$D$13)/($F$13-$D$13),$D$13+SQRT(Y519*($F$13-$D$13)*($E$13-$D$13)),$F$13-SQRT((1-Y519)*($F$13-$D$13)*($F$13-$E$13)))</x:f>
        <x:v>0.0032817262423376417</x:v>
      </x:c>
      <x:c r="F519" s="260" t="n">
        <x:f>IF(Z519&lt;($E$14-$D$14)/($F$14-$D$14),$D$14+SQRT(Z519*($F$14-$D$14)*($E$14-$D$14)),$F$14-SQRT((1-Z519)*($F$14-$D$14)*($F$14-$E$14)))</x:f>
        <x:v>1.0545231717640338</x:v>
      </x:c>
      <x:c r="G519" s="258" t="n">
        <x:f>IF(AA519&lt;($E$15-$D$15)/($F$15-$D$15),$D$15+SQRT(AA519*($F$15-$D$15)*($E$15-$D$15)),$F$15-SQRT((1-AA519)*($F$15-$D$15)*($F$15-$E$15)))</x:f>
        <x:v>0.09857327109172881</x:v>
      </x:c>
      <x:c r="H519" s="258" t="n">
        <x:f>IF(AB519&lt;($E$16-$D$16)/($F$16-$D$16),$D$16+SQRT(AB519*($F$16-$D$16)*($E$16-$D$16)),$F$16-SQRT((1-AB519)*($F$16-$D$16)*($F$16-$E$16)))</x:f>
        <x:v>0.02823001769615876</x:v>
      </x:c>
      <x:c r="I519" s="262" t="n">
        <x:f>'Historical Inputs'!$N$9*(1+D519)^5</x:f>
        <x:v>636558.7350282266</x:v>
      </x:c>
      <x:c r="J519" s="262" t="n">
        <x:f>I519*(1+H519)*('Terminal Value'!$E$10+E519)*(1-'Assumptions'!$E$15)*(1-H519/'Terminal Value'!$E$12)</x:f>
        <x:v>181361.27738614607</x:v>
      </x:c>
      <x:c r="K519" s="264" t="n">
        <x:f>((SUM((('Historical Inputs'!$N$9*(1+(D519))^1)*(('Assumptions'!E37+(E519))*(1-'Assumptions'!E42-(0))+'Assumptions'!E47-'Assumptions'!E52*(F519)+'Assumptions'!E57-'Assumptions'!E62*(1)-'Assumptions'!E67-(0))+('Working Capital'!$E$6))*'DCF'!E12/(1+(G519))^'DCF'!E13,(('Historical Inputs'!$N$9*(1+(D519))^2)*(('Assumptions'!F37+(E519))*(1-'Assumptions'!F42-(0))+'Assumptions'!F47-'Assumptions'!F52*(F519)+'Assumptions'!F57-'Assumptions'!F62*(1)-'Assumptions'!F67-(0))+(('Historical Inputs'!$N$9*(1+(D519))^1)*('Assumptions'!E67+(0))))*'DCF'!F12/(1+(G519))^'DCF'!F13,(('Historical Inputs'!$N$9*(1+(D519))^3)*(('Assumptions'!G37+(E519))*(1-'Assumptions'!G42-(0))+'Assumptions'!G47-'Assumptions'!G52*(F519)+'Assumptions'!G57-'Assumptions'!G62*(1)-'Assumptions'!G67-(0))+(('Historical Inputs'!$N$9*(1+(D519))^2)*('Assumptions'!F67+(0))))*'DCF'!G12/(1+(G519))^'DCF'!G13,(('Historical Inputs'!$N$9*(1+(D519))^4)*(('Assumptions'!H37+(E519))*(1-'Assumptions'!H42-(0))+'Assumptions'!H47-'Assumptions'!H52*(F519)+'Assumptions'!H57-'Assumptions'!H62*(1)-'Assumptions'!H67-(0))+(('Historical Inputs'!$N$9*(1+(D519))^3)*('Assumptions'!G67+(0))))*'DCF'!H12/(1+(G519))^'DCF'!H13,(('Historical Inputs'!$N$9*(1+(D519))^5)*(('Assumptions'!I37+(E519))*(1-'Assumptions'!I42-(0))+'Assumptions'!I47-'Assumptions'!I52*(F519)+'Assumptions'!I57-'Assumptions'!I62*(1)-'Assumptions'!I67-(0))+(('Historical Inputs'!$N$9*(1+(D519))^4)*('Assumptions'!H67+(0))))*'DCF'!I12/(1+(G519))^'DCF'!I13)+('Historical Inputs'!$N$9*(1+(D519))^5)*(1+(H519))*('Terminal Value'!$E$10+(E519))*(1-'Assumptions'!$E$15-(0))*(1-(H519)/('Terminal Value'!$E$12))/((G519)-(H519))/(1+(G519))^'DCF'!$E$19)+'Equity Bridge'!$E$17)/'Equity Bridge'!$E$20</x:f>
        <x:v>274.08434165260644</x:v>
      </x:c>
      <x:c r="X519" s="255" t="n">
        <x:v>0.4212955294513532</x:v>
      </x:c>
      <x:c r="Y519" s="255" t="n">
        <x:v>0.5634805794208233</x:v>
      </x:c>
      <x:c r="Z519" s="255" t="n">
        <x:v>0.6976641778057601</x:v>
      </x:c>
      <x:c r="AA519" s="255" t="n">
        <x:v>0.5284436667822734</x:v>
      </x:c>
      <x:c r="AB519" s="255" t="n">
        <x:v>0.33866595639543184</x:v>
      </x:c>
    </x:row>
    <x:row r="520" ht="24" customHeight="1">
      <x:c r="C520" s="256" t="n">
        <x:f>489</x:f>
        <x:v>489</x:v>
      </x:c>
      <x:c r="D520" s="258" t="n">
        <x:f>IF(X520&lt;($E$12-$D$12)/($F$12-$D$12),$D$12+SQRT(X520*($F$12-$D$12)*($E$12-$D$12)),$F$12-SQRT((1-X520)*($F$12-$D$12)*($F$12-$E$12)))</x:f>
        <x:v>0.1302782096475139</x:v>
      </x:c>
      <x:c r="E520" s="258" t="n">
        <x:f>IF(Y520&lt;($E$13-$D$13)/($F$13-$D$13),$D$13+SQRT(Y520*($F$13-$D$13)*($E$13-$D$13)),$F$13-SQRT((1-Y520)*($F$13-$D$13)*($F$13-$E$13)))</x:f>
        <x:v>0.017230986308296926</x:v>
      </x:c>
      <x:c r="F520" s="260" t="n">
        <x:f>IF(Z520&lt;($E$14-$D$14)/($F$14-$D$14),$D$14+SQRT(Z520*($F$14-$D$14)*($E$14-$D$14)),$F$14-SQRT((1-Z520)*($F$14-$D$14)*($F$14-$E$14)))</x:f>
        <x:v>1.062828902226339</x:v>
      </x:c>
      <x:c r="G520" s="258" t="n">
        <x:f>IF(AA520&lt;($E$15-$D$15)/($F$15-$D$15),$D$15+SQRT(AA520*($F$15-$D$15)*($E$15-$D$15)),$F$15-SQRT((1-AA520)*($F$15-$D$15)*($F$15-$E$15)))</x:f>
        <x:v>0.10731096755612432</x:v>
      </x:c>
      <x:c r="H520" s="258" t="n">
        <x:f>IF(AB520&lt;($E$16-$D$16)/($F$16-$D$16),$D$16+SQRT(AB520*($F$16-$D$16)*($E$16-$D$16)),$F$16-SQRT((1-AB520)*($F$16-$D$16)*($F$16-$E$16)))</x:f>
        <x:v>0.02990495944548193</x:v>
      </x:c>
      <x:c r="I520" s="262" t="n">
        <x:f>'Historical Inputs'!$N$9*(1+D520)^5</x:f>
        <x:v>612144.8513882005</x:v>
      </x:c>
      <x:c r="J520" s="262" t="n">
        <x:f>I520*(1+H520)*('Terminal Value'!$E$10+E520)*(1-'Assumptions'!$E$15)*(1-H520/'Terminal Value'!$E$12)</x:f>
        <x:v>178969.71541430242</x:v>
      </x:c>
      <x:c r="K520" s="264" t="n">
        <x:f>((SUM((('Historical Inputs'!$N$9*(1+(D520))^1)*(('Assumptions'!E37+(E520))*(1-'Assumptions'!E42-(0))+'Assumptions'!E47-'Assumptions'!E52*(F520)+'Assumptions'!E57-'Assumptions'!E62*(1)-'Assumptions'!E67-(0))+('Working Capital'!$E$6))*'DCF'!E12/(1+(G520))^'DCF'!E13,(('Historical Inputs'!$N$9*(1+(D520))^2)*(('Assumptions'!F37+(E520))*(1-'Assumptions'!F42-(0))+'Assumptions'!F47-'Assumptions'!F52*(F520)+'Assumptions'!F57-'Assumptions'!F62*(1)-'Assumptions'!F67-(0))+(('Historical Inputs'!$N$9*(1+(D520))^1)*('Assumptions'!E67+(0))))*'DCF'!F12/(1+(G520))^'DCF'!F13,(('Historical Inputs'!$N$9*(1+(D520))^3)*(('Assumptions'!G37+(E520))*(1-'Assumptions'!G42-(0))+'Assumptions'!G47-'Assumptions'!G52*(F520)+'Assumptions'!G57-'Assumptions'!G62*(1)-'Assumptions'!G67-(0))+(('Historical Inputs'!$N$9*(1+(D520))^2)*('Assumptions'!F67+(0))))*'DCF'!G12/(1+(G520))^'DCF'!G13,(('Historical Inputs'!$N$9*(1+(D520))^4)*(('Assumptions'!H37+(E520))*(1-'Assumptions'!H42-(0))+'Assumptions'!H47-'Assumptions'!H52*(F520)+'Assumptions'!H57-'Assumptions'!H62*(1)-'Assumptions'!H67-(0))+(('Historical Inputs'!$N$9*(1+(D520))^3)*('Assumptions'!G67+(0))))*'DCF'!H12/(1+(G520))^'DCF'!H13,(('Historical Inputs'!$N$9*(1+(D520))^5)*(('Assumptions'!I37+(E520))*(1-'Assumptions'!I42-(0))+'Assumptions'!I47-'Assumptions'!I52*(F520)+'Assumptions'!I57-'Assumptions'!I62*(1)-'Assumptions'!I67-(0))+(('Historical Inputs'!$N$9*(1+(D520))^4)*('Assumptions'!H67+(0))))*'DCF'!I12/(1+(G520))^'DCF'!I13)+('Historical Inputs'!$N$9*(1+(D520))^5)*(1+(H520))*('Terminal Value'!$E$10+(E520))*(1-'Assumptions'!$E$15-(0))*(1-(H520)/('Terminal Value'!$E$12))/((G520)-(H520))/(1+(G520))^'DCF'!$E$19)+'Equity Bridge'!$E$17)/'Equity Bridge'!$E$20</x:f>
        <x:v>243.43440326230723</x:v>
      </x:c>
      <x:c r="X520" s="255" t="n">
        <x:v>0.2741136695423122</x:v>
      </x:c>
      <x:c r="Y520" s="255" t="n">
        <x:v>0.7852383483345953</x:v>
      </x:c>
      <x:c r="Z520" s="255" t="n">
        <x:v>0.7312012847938397</x:v>
      </x:c>
      <x:c r="AA520" s="255" t="n">
        <x:v>0.924484612029159</x:v>
      </x:c>
      <x:c r="AB520" s="255" t="n">
        <x:v>0.49054110808320894</x:v>
      </x:c>
    </x:row>
    <x:row r="521" ht="24" customHeight="1">
      <x:c r="C521" s="256" t="n">
        <x:f>490</x:f>
        <x:v>490</x:v>
      </x:c>
      <x:c r="D521" s="258" t="n">
        <x:f>IF(X521&lt;($E$12-$D$12)/($F$12-$D$12),$D$12+SQRT(X521*($F$12-$D$12)*($E$12-$D$12)),$F$12-SQRT((1-X521)*($F$12-$D$12)*($F$12-$E$12)))</x:f>
        <x:v>0.17257690840152054</x:v>
      </x:c>
      <x:c r="E521" s="258" t="n">
        <x:f>IF(Y521&lt;($E$13-$D$13)/($F$13-$D$13),$D$13+SQRT(Y521*($F$13-$D$13)*($E$13-$D$13)),$F$13-SQRT((1-Y521)*($F$13-$D$13)*($F$13-$E$13)))</x:f>
        <x:v>0.0017352180106179685</x:v>
      </x:c>
      <x:c r="F521" s="260" t="n">
        <x:f>IF(Z521&lt;($E$14-$D$14)/($F$14-$D$14),$D$14+SQRT(Z521*($F$14-$D$14)*($E$14-$D$14)),$F$14-SQRT((1-Z521)*($F$14-$D$14)*($F$14-$E$14)))</x:f>
        <x:v>0.913697062807547</x:v>
      </x:c>
      <x:c r="G521" s="258" t="n">
        <x:f>IF(AA521&lt;($E$15-$D$15)/($F$15-$D$15),$D$15+SQRT(AA521*($F$15-$D$15)*($E$15-$D$15)),$F$15-SQRT((1-AA521)*($F$15-$D$15)*($F$15-$E$15)))</x:f>
        <x:v>0.09792307283745687</x:v>
      </x:c>
      <x:c r="H521" s="258" t="n">
        <x:f>IF(AB521&lt;($E$16-$D$16)/($F$16-$D$16),$D$16+SQRT(AB521*($F$16-$D$16)*($E$16-$D$16)),$F$16-SQRT((1-AB521)*($F$16-$D$16)*($F$16-$E$16)))</x:f>
        <x:v>0.031083265055699805</x:v>
      </x:c>
      <x:c r="I521" s="262" t="n">
        <x:f>'Historical Inputs'!$N$9*(1+D521)^5</x:f>
        <x:v>735587.1141212566</x:v>
      </x:c>
      <x:c r="J521" s="262" t="n">
        <x:f>I521*(1+H521)*('Terminal Value'!$E$10+E521)*(1-'Assumptions'!$E$15)*(1-H521/'Terminal Value'!$E$12)</x:f>
        <x:v>205873.48965819136</x:v>
      </x:c>
      <x:c r="K521" s="264" t="n">
        <x:f>((SUM((('Historical Inputs'!$N$9*(1+(D521))^1)*(('Assumptions'!E37+(E521))*(1-'Assumptions'!E42-(0))+'Assumptions'!E47-'Assumptions'!E52*(F521)+'Assumptions'!E57-'Assumptions'!E62*(1)-'Assumptions'!E67-(0))+('Working Capital'!$E$6))*'DCF'!E12/(1+(G521))^'DCF'!E13,(('Historical Inputs'!$N$9*(1+(D521))^2)*(('Assumptions'!F37+(E521))*(1-'Assumptions'!F42-(0))+'Assumptions'!F47-'Assumptions'!F52*(F521)+'Assumptions'!F57-'Assumptions'!F62*(1)-'Assumptions'!F67-(0))+(('Historical Inputs'!$N$9*(1+(D521))^1)*('Assumptions'!E67+(0))))*'DCF'!F12/(1+(G521))^'DCF'!F13,(('Historical Inputs'!$N$9*(1+(D521))^3)*(('Assumptions'!G37+(E521))*(1-'Assumptions'!G42-(0))+'Assumptions'!G47-'Assumptions'!G52*(F521)+'Assumptions'!G57-'Assumptions'!G62*(1)-'Assumptions'!G67-(0))+(('Historical Inputs'!$N$9*(1+(D521))^2)*('Assumptions'!F67+(0))))*'DCF'!G12/(1+(G521))^'DCF'!G13,(('Historical Inputs'!$N$9*(1+(D521))^4)*(('Assumptions'!H37+(E521))*(1-'Assumptions'!H42-(0))+'Assumptions'!H47-'Assumptions'!H52*(F521)+'Assumptions'!H57-'Assumptions'!H62*(1)-'Assumptions'!H67-(0))+(('Historical Inputs'!$N$9*(1+(D521))^3)*('Assumptions'!G67+(0))))*'DCF'!H12/(1+(G521))^'DCF'!H13,(('Historical Inputs'!$N$9*(1+(D521))^5)*(('Assumptions'!I37+(E521))*(1-'Assumptions'!I42-(0))+'Assumptions'!I47-'Assumptions'!I52*(F521)+'Assumptions'!I57-'Assumptions'!I62*(1)-'Assumptions'!I67-(0))+(('Historical Inputs'!$N$9*(1+(D521))^4)*('Assumptions'!H67+(0))))*'DCF'!I12/(1+(G521))^'DCF'!I13)+('Historical Inputs'!$N$9*(1+(D521))^5)*(1+(H521))*('Terminal Value'!$E$10+(E521))*(1-'Assumptions'!$E$15-(0))*(1-(H521)/('Terminal Value'!$E$12))/((G521)-(H521))/(1+(G521))^'DCF'!$E$19)+'Equity Bridge'!$E$17)/'Equity Bridge'!$E$20</x:f>
        <x:v>333.3461276587318</x:v>
      </x:c>
      <x:c r="X521" s="255" t="n">
        <x:v>0.9144665817496583</x:v>
      </x:c>
      <x:c r="Y521" s="255" t="n">
        <x:v>0.5341021639034848</x:v>
      </x:c>
      <x:c r="Z521" s="255" t="n">
        <x:v>0.07728220591063995</x:v>
      </x:c>
      <x:c r="AA521" s="255" t="n">
        <x:v>0.4856184980925562</x:v>
      </x:c>
      <x:c r="AB521" s="255" t="n">
        <x:v>0.6024591896654791</x:v>
      </x:c>
    </x:row>
    <x:row r="522" ht="24" customHeight="1">
      <x:c r="C522" s="256" t="n">
        <x:f>491</x:f>
        <x:v>491</x:v>
      </x:c>
      <x:c r="D522" s="258" t="n">
        <x:f>IF(X522&lt;($E$12-$D$12)/($F$12-$D$12),$D$12+SQRT(X522*($F$12-$D$12)*($E$12-$D$12)),$F$12-SQRT((1-X522)*($F$12-$D$12)*($F$12-$E$12)))</x:f>
        <x:v>0.12621428842013238</x:v>
      </x:c>
      <x:c r="E522" s="258" t="n">
        <x:f>IF(Y522&lt;($E$13-$D$13)/($F$13-$D$13),$D$13+SQRT(Y522*($F$13-$D$13)*($E$13-$D$13)),$F$13-SQRT((1-Y522)*($F$13-$D$13)*($F$13-$E$13)))</x:f>
        <x:v>-0.03147659729403759</x:v>
      </x:c>
      <x:c r="F522" s="260" t="n">
        <x:f>IF(Z522&lt;($E$14-$D$14)/($F$14-$D$14),$D$14+SQRT(Z522*($F$14-$D$14)*($E$14-$D$14)),$F$14-SQRT((1-Z522)*($F$14-$D$14)*($F$14-$E$14)))</x:f>
        <x:v>0.9490112445592351</x:v>
      </x:c>
      <x:c r="G522" s="258" t="n">
        <x:f>IF(AA522&lt;($E$15-$D$15)/($F$15-$D$15),$D$15+SQRT(AA522*($F$15-$D$15)*($E$15-$D$15)),$F$15-SQRT((1-AA522)*($F$15-$D$15)*($F$15-$E$15)))</x:f>
        <x:v>0.09163852348374349</x:v>
      </x:c>
      <x:c r="H522" s="258" t="n">
        <x:f>IF(AB522&lt;($E$16-$D$16)/($F$16-$D$16),$D$16+SQRT(AB522*($F$16-$D$16)*($E$16-$D$16)),$F$16-SQRT((1-AB522)*($F$16-$D$16)*($F$16-$E$16)))</x:f>
        <x:v>0.026968454514847823</x:v>
      </x:c>
      <x:c r="I522" s="262" t="n">
        <x:f>'Historical Inputs'!$N$9*(1+D522)^5</x:f>
        <x:v>601218.8532487131</x:v>
      </x:c>
      <x:c r="J522" s="262" t="n">
        <x:f>I522*(1+H522)*('Terminal Value'!$E$10+E522)*(1-'Assumptions'!$E$15)*(1-H522/'Terminal Value'!$E$12)</x:f>
        <x:v>157485.30834808227</x:v>
      </x:c>
      <x:c r="K522" s="264" t="n">
        <x:f>((SUM((('Historical Inputs'!$N$9*(1+(D522))^1)*(('Assumptions'!E37+(E522))*(1-'Assumptions'!E42-(0))+'Assumptions'!E47-'Assumptions'!E52*(F522)+'Assumptions'!E57-'Assumptions'!E62*(1)-'Assumptions'!E67-(0))+('Working Capital'!$E$6))*'DCF'!E12/(1+(G522))^'DCF'!E13,(('Historical Inputs'!$N$9*(1+(D522))^2)*(('Assumptions'!F37+(E522))*(1-'Assumptions'!F42-(0))+'Assumptions'!F47-'Assumptions'!F52*(F522)+'Assumptions'!F57-'Assumptions'!F62*(1)-'Assumptions'!F67-(0))+(('Historical Inputs'!$N$9*(1+(D522))^1)*('Assumptions'!E67+(0))))*'DCF'!F12/(1+(G522))^'DCF'!F13,(('Historical Inputs'!$N$9*(1+(D522))^3)*(('Assumptions'!G37+(E522))*(1-'Assumptions'!G42-(0))+'Assumptions'!G47-'Assumptions'!G52*(F522)+'Assumptions'!G57-'Assumptions'!G62*(1)-'Assumptions'!G67-(0))+(('Historical Inputs'!$N$9*(1+(D522))^2)*('Assumptions'!F67+(0))))*'DCF'!G12/(1+(G522))^'DCF'!G13,(('Historical Inputs'!$N$9*(1+(D522))^4)*(('Assumptions'!H37+(E522))*(1-'Assumptions'!H42-(0))+'Assumptions'!H47-'Assumptions'!H52*(F522)+'Assumptions'!H57-'Assumptions'!H62*(1)-'Assumptions'!H67-(0))+(('Historical Inputs'!$N$9*(1+(D522))^3)*('Assumptions'!G67+(0))))*'DCF'!H12/(1+(G522))^'DCF'!H13,(('Historical Inputs'!$N$9*(1+(D522))^5)*(('Assumptions'!I37+(E522))*(1-'Assumptions'!I42-(0))+'Assumptions'!I47-'Assumptions'!I52*(F522)+'Assumptions'!I57-'Assumptions'!I62*(1)-'Assumptions'!I67-(0))+(('Historical Inputs'!$N$9*(1+(D522))^4)*('Assumptions'!H67+(0))))*'DCF'!I12/(1+(G522))^'DCF'!I13)+('Historical Inputs'!$N$9*(1+(D522))^5)*(1+(H522))*('Terminal Value'!$E$10+(E522))*(1-'Assumptions'!$E$15-(0))*(1-(H522)/('Terminal Value'!$E$12))/((G522)-(H522))/(1+(G522))^'DCF'!$E$19)+'Equity Bridge'!$E$17)/'Equity Bridge'!$E$20</x:f>
        <x:v>266.52633499284235</x:v>
      </x:c>
      <x:c r="X522" s="255" t="n">
        <x:v>0.21723628427058672</x:v>
      </x:c>
      <x:c r="Y522" s="255" t="n">
        <x:v>0.06862328956145114</x:v>
      </x:c>
      <x:c r="Z522" s="255" t="n">
        <x:v>0.18672812474607015</x:v>
      </x:c>
      <x:c r="AA522" s="255" t="n">
        <x:v>0.16048583262932514</x:v>
      </x:c>
      <x:c r="AB522" s="255" t="n">
        <x:v>0.2427967916275151</x:v>
      </x:c>
    </x:row>
    <x:row r="523" ht="24" customHeight="1">
      <x:c r="C523" s="256" t="n">
        <x:f>492</x:f>
        <x:v>492</x:v>
      </x:c>
      <x:c r="D523" s="258" t="n">
        <x:f>IF(X523&lt;($E$12-$D$12)/($F$12-$D$12),$D$12+SQRT(X523*($F$12-$D$12)*($E$12-$D$12)),$F$12-SQRT((1-X523)*($F$12-$D$12)*($F$12-$E$12)))</x:f>
        <x:v>0.12583703296246548</x:v>
      </x:c>
      <x:c r="E523" s="258" t="n">
        <x:f>IF(Y523&lt;($E$13-$D$13)/($F$13-$D$13),$D$13+SQRT(Y523*($F$13-$D$13)*($E$13-$D$13)),$F$13-SQRT((1-Y523)*($F$13-$D$13)*($F$13-$E$13)))</x:f>
        <x:v>0.016620751494363983</x:v>
      </x:c>
      <x:c r="F523" s="260" t="n">
        <x:f>IF(Z523&lt;($E$14-$D$14)/($F$14-$D$14),$D$14+SQRT(Z523*($F$14-$D$14)*($E$14-$D$14)),$F$14-SQRT((1-Z523)*($F$14-$D$14)*($F$14-$E$14)))</x:f>
        <x:v>1.057955849335451</x:v>
      </x:c>
      <x:c r="G523" s="258" t="n">
        <x:f>IF(AA523&lt;($E$15-$D$15)/($F$15-$D$15),$D$15+SQRT(AA523*($F$15-$D$15)*($E$15-$D$15)),$F$15-SQRT((1-AA523)*($F$15-$D$15)*($F$15-$E$15)))</x:f>
        <x:v>0.0915839124977736</x:v>
      </x:c>
      <x:c r="H523" s="258" t="n">
        <x:f>IF(AB523&lt;($E$16-$D$16)/($F$16-$D$16),$D$16+SQRT(AB523*($F$16-$D$16)*($E$16-$D$16)),$F$16-SQRT((1-AB523)*($F$16-$D$16)*($F$16-$E$16)))</x:f>
        <x:v>0.03110612146910943</x:v>
      </x:c>
      <x:c r="I523" s="262" t="n">
        <x:f>'Historical Inputs'!$N$9*(1+D523)^5</x:f>
        <x:v>600212.5563445818</x:v>
      </x:c>
      <x:c r="J523" s="262" t="n">
        <x:f>I523*(1+H523)*('Terminal Value'!$E$10+E523)*(1-'Assumptions'!$E$15)*(1-H523/'Terminal Value'!$E$12)</x:f>
        <x:v>174190.00839982368</x:v>
      </x:c>
      <x:c r="K523" s="264" t="n">
        <x:f>((SUM((('Historical Inputs'!$N$9*(1+(D523))^1)*(('Assumptions'!E37+(E523))*(1-'Assumptions'!E42-(0))+'Assumptions'!E47-'Assumptions'!E52*(F523)+'Assumptions'!E57-'Assumptions'!E62*(1)-'Assumptions'!E67-(0))+('Working Capital'!$E$6))*'DCF'!E12/(1+(G523))^'DCF'!E13,(('Historical Inputs'!$N$9*(1+(D523))^2)*(('Assumptions'!F37+(E523))*(1-'Assumptions'!F42-(0))+'Assumptions'!F47-'Assumptions'!F52*(F523)+'Assumptions'!F57-'Assumptions'!F62*(1)-'Assumptions'!F67-(0))+(('Historical Inputs'!$N$9*(1+(D523))^1)*('Assumptions'!E67+(0))))*'DCF'!F12/(1+(G523))^'DCF'!F13,(('Historical Inputs'!$N$9*(1+(D523))^3)*(('Assumptions'!G37+(E523))*(1-'Assumptions'!G42-(0))+'Assumptions'!G47-'Assumptions'!G52*(F523)+'Assumptions'!G57-'Assumptions'!G62*(1)-'Assumptions'!G67-(0))+(('Historical Inputs'!$N$9*(1+(D523))^2)*('Assumptions'!F67+(0))))*'DCF'!G12/(1+(G523))^'DCF'!G13,(('Historical Inputs'!$N$9*(1+(D523))^4)*(('Assumptions'!H37+(E523))*(1-'Assumptions'!H42-(0))+'Assumptions'!H47-'Assumptions'!H52*(F523)+'Assumptions'!H57-'Assumptions'!H62*(1)-'Assumptions'!H67-(0))+(('Historical Inputs'!$N$9*(1+(D523))^3)*('Assumptions'!G67+(0))))*'DCF'!H12/(1+(G523))^'DCF'!H13,(('Historical Inputs'!$N$9*(1+(D523))^5)*(('Assumptions'!I37+(E523))*(1-'Assumptions'!I42-(0))+'Assumptions'!I47-'Assumptions'!I52*(F523)+'Assumptions'!I57-'Assumptions'!I62*(1)-'Assumptions'!I67-(0))+(('Historical Inputs'!$N$9*(1+(D523))^4)*('Assumptions'!H67+(0))))*'DCF'!I12/(1+(G523))^'DCF'!I13)+('Historical Inputs'!$N$9*(1+(D523))^5)*(1+(H523))*('Terminal Value'!$E$10+(E523))*(1-'Assumptions'!$E$15-(0))*(1-(H523)/('Terminal Value'!$E$12))/((G523)-(H523))/(1+(G523))^'DCF'!$E$19)+'Equity Bridge'!$E$17)/'Equity Bridge'!$E$20</x:f>
        <x:v>308.8350431984401</x:v>
      </x:c>
      <x:c r="X523" s="255" t="n">
        <x:v>0.21229142512969534</x:v>
      </x:c>
      <x:c r="Y523" s="255" t="n">
        <x:v>0.7771651538397991</x:v>
      </x:c>
      <x:c r="Z523" s="255" t="n">
        <x:v>0.7117637037426708</x:v>
      </x:c>
      <x:c r="AA523" s="255" t="n">
        <x:v>0.15842982640935144</x:v>
      </x:c>
      <x:c r="AB523" s="255" t="n">
        <x:v>0.604494623388819</x:v>
      </x:c>
    </x:row>
    <x:row r="524" ht="24" customHeight="1">
      <x:c r="C524" s="256" t="n">
        <x:f>493</x:f>
        <x:v>493</x:v>
      </x:c>
      <x:c r="D524" s="258" t="n">
        <x:f>IF(X524&lt;($E$12-$D$12)/($F$12-$D$12),$D$12+SQRT(X524*($F$12-$D$12)*($E$12-$D$12)),$F$12-SQRT((1-X524)*($F$12-$D$12)*($F$12-$E$12)))</x:f>
        <x:v>0.1273864257418088</x:v>
      </x:c>
      <x:c r="E524" s="258" t="n">
        <x:f>IF(Y524&lt;($E$13-$D$13)/($F$13-$D$13),$D$13+SQRT(Y524*($F$13-$D$13)*($E$13-$D$13)),$F$13-SQRT((1-Y524)*($F$13-$D$13)*($F$13-$E$13)))</x:f>
        <x:v>-0.006687600758393655</x:v>
      </x:c>
      <x:c r="F524" s="260" t="n">
        <x:f>IF(Z524&lt;($E$14-$D$14)/($F$14-$D$14),$D$14+SQRT(Z524*($F$14-$D$14)*($E$14-$D$14)),$F$14-SQRT((1-Z524)*($F$14-$D$14)*($F$14-$E$14)))</x:f>
        <x:v>0.9544568952406509</x:v>
      </x:c>
      <x:c r="G524" s="258" t="n">
        <x:f>IF(AA524&lt;($E$15-$D$15)/($F$15-$D$15),$D$15+SQRT(AA524*($F$15-$D$15)*($E$15-$D$15)),$F$15-SQRT((1-AA524)*($F$15-$D$15)*($F$15-$E$15)))</x:f>
        <x:v>0.10024205518804598</x:v>
      </x:c>
      <x:c r="H524" s="258" t="n">
        <x:f>IF(AB524&lt;($E$16-$D$16)/($F$16-$D$16),$D$16+SQRT(AB524*($F$16-$D$16)*($E$16-$D$16)),$F$16-SQRT((1-AB524)*($F$16-$D$16)*($F$16-$E$16)))</x:f>
        <x:v>0.033851446121332195</x:v>
      </x:c>
      <x:c r="I524" s="262" t="n">
        <x:f>'Historical Inputs'!$N$9*(1+D524)^5</x:f>
        <x:v>604354.0446794697</x:v>
      </x:c>
      <x:c r="J524" s="262" t="n">
        <x:f>I524*(1+H524)*('Terminal Value'!$E$10+E524)*(1-'Assumptions'!$E$15)*(1-H524/'Terminal Value'!$E$12)</x:f>
        <x:v>163321.65319812144</x:v>
      </x:c>
      <x:c r="K524" s="264" t="n">
        <x:f>((SUM((('Historical Inputs'!$N$9*(1+(D524))^1)*(('Assumptions'!E37+(E524))*(1-'Assumptions'!E42-(0))+'Assumptions'!E47-'Assumptions'!E52*(F524)+'Assumptions'!E57-'Assumptions'!E62*(1)-'Assumptions'!E67-(0))+('Working Capital'!$E$6))*'DCF'!E12/(1+(G524))^'DCF'!E13,(('Historical Inputs'!$N$9*(1+(D524))^2)*(('Assumptions'!F37+(E524))*(1-'Assumptions'!F42-(0))+'Assumptions'!F47-'Assumptions'!F52*(F524)+'Assumptions'!F57-'Assumptions'!F62*(1)-'Assumptions'!F67-(0))+(('Historical Inputs'!$N$9*(1+(D524))^1)*('Assumptions'!E67+(0))))*'DCF'!F12/(1+(G524))^'DCF'!F13,(('Historical Inputs'!$N$9*(1+(D524))^3)*(('Assumptions'!G37+(E524))*(1-'Assumptions'!G42-(0))+'Assumptions'!G47-'Assumptions'!G52*(F524)+'Assumptions'!G57-'Assumptions'!G62*(1)-'Assumptions'!G67-(0))+(('Historical Inputs'!$N$9*(1+(D524))^2)*('Assumptions'!F67+(0))))*'DCF'!G12/(1+(G524))^'DCF'!G13,(('Historical Inputs'!$N$9*(1+(D524))^4)*(('Assumptions'!H37+(E524))*(1-'Assumptions'!H42-(0))+'Assumptions'!H47-'Assumptions'!H52*(F524)+'Assumptions'!H57-'Assumptions'!H62*(1)-'Assumptions'!H67-(0))+(('Historical Inputs'!$N$9*(1+(D524))^3)*('Assumptions'!G67+(0))))*'DCF'!H12/(1+(G524))^'DCF'!H13,(('Historical Inputs'!$N$9*(1+(D524))^5)*(('Assumptions'!I37+(E524))*(1-'Assumptions'!I42-(0))+'Assumptions'!I47-'Assumptions'!I52*(F524)+'Assumptions'!I57-'Assumptions'!I62*(1)-'Assumptions'!I67-(0))+(('Historical Inputs'!$N$9*(1+(D524))^4)*('Assumptions'!H67+(0))))*'DCF'!I12/(1+(G524))^'DCF'!I13)+('Historical Inputs'!$N$9*(1+(D524))^5)*(1+(H524))*('Terminal Value'!$E$10+(E524))*(1-'Assumptions'!$E$15-(0))*(1-(H524)/('Terminal Value'!$E$12))/((G524)-(H524))/(1+(G524))^'DCF'!$E$19)+'Equity Bridge'!$E$17)/'Equity Bridge'!$E$20</x:f>
        <x:v>264.34958693659365</x:v>
      </x:c>
      <x:c r="X524" s="255" t="n">
        <x:v>0.23296324232890198</x:v>
      </x:c>
      <x:c r="Y524" s="255" t="n">
        <x:v>0.3751927856128603</x:v>
      </x:c>
      <x:c r="Z524" s="255" t="n">
        <x:v>0.20783319930126332</x:v>
      </x:c>
      <x:c r="AA524" s="255" t="n">
        <x:v>0.6302966517796853</x:v>
      </x:c>
      <x:c r="AB524" s="255" t="n">
        <x:v>0.8109764260055955</x:v>
      </x:c>
    </x:row>
    <x:row r="525" ht="24" customHeight="1">
      <x:c r="C525" s="256" t="n">
        <x:f>494</x:f>
        <x:v>494</x:v>
      </x:c>
      <x:c r="D525" s="258" t="n">
        <x:f>IF(X525&lt;($E$12-$D$12)/($F$12-$D$12),$D$12+SQRT(X525*($F$12-$D$12)*($E$12-$D$12)),$F$12-SQRT((1-X525)*($F$12-$D$12)*($F$12-$E$12)))</x:f>
        <x:v>0.1633178699947625</x:v>
      </x:c>
      <x:c r="E525" s="258" t="n">
        <x:f>IF(Y525&lt;($E$13-$D$13)/($F$13-$D$13),$D$13+SQRT(Y525*($F$13-$D$13)*($E$13-$D$13)),$F$13-SQRT((1-Y525)*($F$13-$D$13)*($F$13-$E$13)))</x:f>
        <x:v>-0.032264153733126105</x:v>
      </x:c>
      <x:c r="F525" s="260" t="n">
        <x:f>IF(Z525&lt;($E$14-$D$14)/($F$14-$D$14),$D$14+SQRT(Z525*($F$14-$D$14)*($E$14-$D$14)),$F$14-SQRT((1-Z525)*($F$14-$D$14)*($F$14-$E$14)))</x:f>
        <x:v>1.043347468094859</x:v>
      </x:c>
      <x:c r="G525" s="258" t="n">
        <x:f>IF(AA525&lt;($E$15-$D$15)/($F$15-$D$15),$D$15+SQRT(AA525*($F$15-$D$15)*($E$15-$D$15)),$F$15-SQRT((1-AA525)*($F$15-$D$15)*($F$15-$E$15)))</x:f>
        <x:v>0.10948795026251681</x:v>
      </x:c>
      <x:c r="H525" s="258" t="n">
        <x:f>IF(AB525&lt;($E$16-$D$16)/($F$16-$D$16),$D$16+SQRT(AB525*($F$16-$D$16)*($E$16-$D$16)),$F$16-SQRT((1-AB525)*($F$16-$D$16)*($F$16-$E$16)))</x:f>
        <x:v>0.02898896857929835</x:v>
      </x:c>
      <x:c r="I525" s="262" t="n">
        <x:f>'Historical Inputs'!$N$9*(1+D525)^5</x:f>
        <x:v>707000.0152630137</x:v>
      </x:c>
      <x:c r="J525" s="262" t="n">
        <x:f>I525*(1+H525)*('Terminal Value'!$E$10+E525)*(1-'Assumptions'!$E$15)*(1-H525/'Terminal Value'!$E$12)</x:f>
        <x:v>182999.63602900814</x:v>
      </x:c>
      <x:c r="K525" s="264" t="n">
        <x:f>((SUM((('Historical Inputs'!$N$9*(1+(D525))^1)*(('Assumptions'!E37+(E525))*(1-'Assumptions'!E42-(0))+'Assumptions'!E47-'Assumptions'!E52*(F525)+'Assumptions'!E57-'Assumptions'!E62*(1)-'Assumptions'!E67-(0))+('Working Capital'!$E$6))*'DCF'!E12/(1+(G525))^'DCF'!E13,(('Historical Inputs'!$N$9*(1+(D525))^2)*(('Assumptions'!F37+(E525))*(1-'Assumptions'!F42-(0))+'Assumptions'!F47-'Assumptions'!F52*(F525)+'Assumptions'!F57-'Assumptions'!F62*(1)-'Assumptions'!F67-(0))+(('Historical Inputs'!$N$9*(1+(D525))^1)*('Assumptions'!E67+(0))))*'DCF'!F12/(1+(G525))^'DCF'!F13,(('Historical Inputs'!$N$9*(1+(D525))^3)*(('Assumptions'!G37+(E525))*(1-'Assumptions'!G42-(0))+'Assumptions'!G47-'Assumptions'!G52*(F525)+'Assumptions'!G57-'Assumptions'!G62*(1)-'Assumptions'!G67-(0))+(('Historical Inputs'!$N$9*(1+(D525))^2)*('Assumptions'!F67+(0))))*'DCF'!G12/(1+(G525))^'DCF'!G13,(('Historical Inputs'!$N$9*(1+(D525))^4)*(('Assumptions'!H37+(E525))*(1-'Assumptions'!H42-(0))+'Assumptions'!H47-'Assumptions'!H52*(F525)+'Assumptions'!H57-'Assumptions'!H62*(1)-'Assumptions'!H67-(0))+(('Historical Inputs'!$N$9*(1+(D525))^3)*('Assumptions'!G67+(0))))*'DCF'!H12/(1+(G525))^'DCF'!H13,(('Historical Inputs'!$N$9*(1+(D525))^5)*(('Assumptions'!I37+(E525))*(1-'Assumptions'!I42-(0))+'Assumptions'!I47-'Assumptions'!I52*(F525)+'Assumptions'!I57-'Assumptions'!I62*(1)-'Assumptions'!I67-(0))+(('Historical Inputs'!$N$9*(1+(D525))^4)*('Assumptions'!H67+(0))))*'DCF'!I12/(1+(G525))^'DCF'!I13)+('Historical Inputs'!$N$9*(1+(D525))^5)*(1+(H525))*('Terminal Value'!$E$10+(E525))*(1-'Assumptions'!$E$15-(0))*(1-(H525)/('Terminal Value'!$E$12))/((G525)-(H525))/(1+(G525))^'DCF'!$E$19)+'Equity Bridge'!$E$17)/'Equity Bridge'!$E$20</x:f>
        <x:v>234.71162520707202</x:v>
      </x:c>
      <x:c r="X525" s="255" t="n">
        <x:v>0.8207294375245346</x:v>
      </x:c>
      <x:c r="Y525" s="255" t="n">
        <x:v>0.06291204856043697</x:v>
      </x:c>
      <x:c r="Z525" s="255" t="n">
        <x:v>0.6494283463958394</x:v>
      </x:c>
      <x:c r="AA525" s="255" t="n">
        <x:v>0.970355189422626</x:v>
      </x:c>
      <x:c r="AB525" s="255" t="n">
        <x:v>0.40400778059806486</x:v>
      </x:c>
    </x:row>
    <x:row r="526" ht="24" customHeight="1">
      <x:c r="C526" s="256" t="n">
        <x:f>495</x:f>
        <x:v>495</x:v>
      </x:c>
      <x:c r="D526" s="258" t="n">
        <x:f>IF(X526&lt;($E$12-$D$12)/($F$12-$D$12),$D$12+SQRT(X526*($F$12-$D$12)*($E$12-$D$12)),$F$12-SQRT((1-X526)*($F$12-$D$12)*($F$12-$E$12)))</x:f>
        <x:v>0.12122806126337471</x:v>
      </x:c>
      <x:c r="E526" s="258" t="n">
        <x:f>IF(Y526&lt;($E$13-$D$13)/($F$13-$D$13),$D$13+SQRT(Y526*($F$13-$D$13)*($E$13-$D$13)),$F$13-SQRT((1-Y526)*($F$13-$D$13)*($F$13-$E$13)))</x:f>
        <x:v>0.021201815458084857</x:v>
      </x:c>
      <x:c r="F526" s="260" t="n">
        <x:f>IF(Z526&lt;($E$14-$D$14)/($F$14-$D$14),$D$14+SQRT(Z526*($F$14-$D$14)*($E$14-$D$14)),$F$14-SQRT((1-Z526)*($F$14-$D$14)*($F$14-$E$14)))</x:f>
        <x:v>1.095939851105165</x:v>
      </x:c>
      <x:c r="G526" s="258" t="n">
        <x:f>IF(AA526&lt;($E$15-$D$15)/($F$15-$D$15),$D$15+SQRT(AA526*($F$15-$D$15)*($E$15-$D$15)),$F$15-SQRT((1-AA526)*($F$15-$D$15)*($F$15-$E$15)))</x:f>
        <x:v>0.09582315239514783</x:v>
      </x:c>
      <x:c r="H526" s="258" t="n">
        <x:f>IF(AB526&lt;($E$16-$D$16)/($F$16-$D$16),$D$16+SQRT(AB526*($F$16-$D$16)*($E$16-$D$16)),$F$16-SQRT((1-AB526)*($F$16-$D$16)*($F$16-$E$16)))</x:f>
        <x:v>0.029932643254887165</x:v>
      </x:c>
      <x:c r="I526" s="262" t="n">
        <x:f>'Historical Inputs'!$N$9*(1+D526)^5</x:f>
        <x:v>588026.9328003727</x:v>
      </x:c>
      <x:c r="J526" s="262" t="n">
        <x:f>I526*(1+H526)*('Terminal Value'!$E$10+E526)*(1-'Assumptions'!$E$15)*(1-H526/'Terminal Value'!$E$12)</x:f>
        <x:v>173531.06363286448</x:v>
      </x:c>
      <x:c r="K526" s="264" t="n">
        <x:f>((SUM((('Historical Inputs'!$N$9*(1+(D526))^1)*(('Assumptions'!E37+(E526))*(1-'Assumptions'!E42-(0))+'Assumptions'!E47-'Assumptions'!E52*(F526)+'Assumptions'!E57-'Assumptions'!E62*(1)-'Assumptions'!E67-(0))+('Working Capital'!$E$6))*'DCF'!E12/(1+(G526))^'DCF'!E13,(('Historical Inputs'!$N$9*(1+(D526))^2)*(('Assumptions'!F37+(E526))*(1-'Assumptions'!F42-(0))+'Assumptions'!F47-'Assumptions'!F52*(F526)+'Assumptions'!F57-'Assumptions'!F62*(1)-'Assumptions'!F67-(0))+(('Historical Inputs'!$N$9*(1+(D526))^1)*('Assumptions'!E67+(0))))*'DCF'!F12/(1+(G526))^'DCF'!F13,(('Historical Inputs'!$N$9*(1+(D526))^3)*(('Assumptions'!G37+(E526))*(1-'Assumptions'!G42-(0))+'Assumptions'!G47-'Assumptions'!G52*(F526)+'Assumptions'!G57-'Assumptions'!G62*(1)-'Assumptions'!G67-(0))+(('Historical Inputs'!$N$9*(1+(D526))^2)*('Assumptions'!F67+(0))))*'DCF'!G12/(1+(G526))^'DCF'!G13,(('Historical Inputs'!$N$9*(1+(D526))^4)*(('Assumptions'!H37+(E526))*(1-'Assumptions'!H42-(0))+'Assumptions'!H47-'Assumptions'!H52*(F526)+'Assumptions'!H57-'Assumptions'!H62*(1)-'Assumptions'!H67-(0))+(('Historical Inputs'!$N$9*(1+(D526))^3)*('Assumptions'!G67+(0))))*'DCF'!H12/(1+(G526))^'DCF'!H13,(('Historical Inputs'!$N$9*(1+(D526))^5)*(('Assumptions'!I37+(E526))*(1-'Assumptions'!I42-(0))+'Assumptions'!I47-'Assumptions'!I52*(F526)+'Assumptions'!I57-'Assumptions'!I62*(1)-'Assumptions'!I67-(0))+(('Historical Inputs'!$N$9*(1+(D526))^4)*('Assumptions'!H67+(0))))*'DCF'!I12/(1+(G526))^'DCF'!I13)+('Historical Inputs'!$N$9*(1+(D526))^5)*(1+(H526))*('Terminal Value'!$E$10+(E526))*(1-'Assumptions'!$E$15-(0))*(1-(H526)/('Terminal Value'!$E$12))/((G526)-(H526))/(1+(G526))^'DCF'!$E$19)+'Equity Bridge'!$E$17)/'Equity Bridge'!$E$20</x:f>
        <x:v>279.9381120101878</x:v>
      </x:c>
      <x:c r="X526" s="255" t="n">
        <x:v>0.1564758094407923</x:v>
      </x:c>
      <x:c r="Y526" s="255" t="n">
        <x:v>0.8341329134179599</x:v>
      </x:c>
      <x:c r="Z526" s="255" t="n">
        <x:v>0.8453069344569255</x:v>
      </x:c>
      <x:c r="AA526" s="255" t="n">
        <x:v>0.35745108281375504</x:v>
      </x:c>
      <x:c r="AB526" s="255" t="n">
        <x:v>0.49328701014427756</x:v>
      </x:c>
    </x:row>
    <x:row r="527" ht="24" customHeight="1">
      <x:c r="C527" s="256" t="n">
        <x:f>496</x:f>
        <x:v>496</x:v>
      </x:c>
      <x:c r="D527" s="258" t="n">
        <x:f>IF(X527&lt;($E$12-$D$12)/($F$12-$D$12),$D$12+SQRT(X527*($F$12-$D$12)*($E$12-$D$12)),$F$12-SQRT((1-X527)*($F$12-$D$12)*($F$12-$E$12)))</x:f>
        <x:v>0.1215671561399185</x:v>
      </x:c>
      <x:c r="E527" s="258" t="n">
        <x:f>IF(Y527&lt;($E$13-$D$13)/($F$13-$D$13),$D$13+SQRT(Y527*($F$13-$D$13)*($E$13-$D$13)),$F$13-SQRT((1-Y527)*($F$13-$D$13)*($F$13-$E$13)))</x:f>
        <x:v>0.013357765595330834</x:v>
      </x:c>
      <x:c r="F527" s="260" t="n">
        <x:f>IF(Z527&lt;($E$14-$D$14)/($F$14-$D$14),$D$14+SQRT(Z527*($F$14-$D$14)*($E$14-$D$14)),$F$14-SQRT((1-Z527)*($F$14-$D$14)*($F$14-$E$14)))</x:f>
        <x:v>0.947879500965277</x:v>
      </x:c>
      <x:c r="G527" s="258" t="n">
        <x:f>IF(AA527&lt;($E$15-$D$15)/($F$15-$D$15),$D$15+SQRT(AA527*($F$15-$D$15)*($E$15-$D$15)),$F$15-SQRT((1-AA527)*($F$15-$D$15)*($F$15-$E$15)))</x:f>
        <x:v>0.09267825225752865</x:v>
      </x:c>
      <x:c r="H527" s="258" t="n">
        <x:f>IF(AB527&lt;($E$16-$D$16)/($F$16-$D$16),$D$16+SQRT(AB527*($F$16-$D$16)*($E$16-$D$16)),$F$16-SQRT((1-AB527)*($F$16-$D$16)*($F$16-$E$16)))</x:f>
        <x:v>0.02188259296448867</x:v>
      </x:c>
      <x:c r="I527" s="262" t="n">
        <x:f>'Historical Inputs'!$N$9*(1+D527)^5</x:f>
        <x:v>588916.660641854</x:v>
      </x:c>
      <x:c r="J527" s="262" t="n">
        <x:f>I527*(1+H527)*('Terminal Value'!$E$10+E527)*(1-'Assumptions'!$E$15)*(1-H527/'Terminal Value'!$E$12)</x:f>
        <x:v>177234.10588207268</x:v>
      </x:c>
      <x:c r="K527" s="264" t="n">
        <x:f>((SUM((('Historical Inputs'!$N$9*(1+(D527))^1)*(('Assumptions'!E37+(E527))*(1-'Assumptions'!E42-(0))+'Assumptions'!E47-'Assumptions'!E52*(F527)+'Assumptions'!E57-'Assumptions'!E62*(1)-'Assumptions'!E67-(0))+('Working Capital'!$E$6))*'DCF'!E12/(1+(G527))^'DCF'!E13,(('Historical Inputs'!$N$9*(1+(D527))^2)*(('Assumptions'!F37+(E527))*(1-'Assumptions'!F42-(0))+'Assumptions'!F47-'Assumptions'!F52*(F527)+'Assumptions'!F57-'Assumptions'!F62*(1)-'Assumptions'!F67-(0))+(('Historical Inputs'!$N$9*(1+(D527))^1)*('Assumptions'!E67+(0))))*'DCF'!F12/(1+(G527))^'DCF'!F13,(('Historical Inputs'!$N$9*(1+(D527))^3)*(('Assumptions'!G37+(E527))*(1-'Assumptions'!G42-(0))+'Assumptions'!G47-'Assumptions'!G52*(F527)+'Assumptions'!G57-'Assumptions'!G62*(1)-'Assumptions'!G67-(0))+(('Historical Inputs'!$N$9*(1+(D527))^2)*('Assumptions'!F67+(0))))*'DCF'!G12/(1+(G527))^'DCF'!G13,(('Historical Inputs'!$N$9*(1+(D527))^4)*(('Assumptions'!H37+(E527))*(1-'Assumptions'!H42-(0))+'Assumptions'!H47-'Assumptions'!H52*(F527)+'Assumptions'!H57-'Assumptions'!H62*(1)-'Assumptions'!H67-(0))+(('Historical Inputs'!$N$9*(1+(D527))^3)*('Assumptions'!G67+(0))))*'DCF'!H12/(1+(G527))^'DCF'!H13,(('Historical Inputs'!$N$9*(1+(D527))^5)*(('Assumptions'!I37+(E527))*(1-'Assumptions'!I42-(0))+'Assumptions'!I47-'Assumptions'!I52*(F527)+'Assumptions'!I57-'Assumptions'!I62*(1)-'Assumptions'!I67-(0))+(('Historical Inputs'!$N$9*(1+(D527))^4)*('Assumptions'!H67+(0))))*'DCF'!I12/(1+(G527))^'DCF'!I13)+('Historical Inputs'!$N$9*(1+(D527))^5)*(1+(H527))*('Terminal Value'!$E$10+(E527))*(1-'Assumptions'!$E$15-(0))*(1-(H527)/('Terminal Value'!$E$12))/((G527)-(H527))/(1+(G527))^'DCF'!$E$19)+'Equity Bridge'!$E$17)/'Equity Bridge'!$E$20</x:f>
        <x:v>279.52065951449504</x:v>
      </x:c>
      <x:c r="X527" s="255" t="n">
        <x:v>0.16029274097377155</x:v>
      </x:c>
      <x:c r="Y527" s="255" t="n">
        <x:v>0.7314693315666558</x:v>
      </x:c>
      <x:c r="Z527" s="255" t="n">
        <x:v>0.18248374684212687</x:v>
      </x:c>
      <x:c r="AA527" s="255" t="n">
        <x:v>0.202158247739323</x:v>
      </x:c>
      <x:c r="AB527" s="255" t="n">
        <x:v>0.017720781349711223</x:v>
      </x:c>
    </x:row>
    <x:row r="528" ht="24" customHeight="1">
      <x:c r="C528" s="256" t="n">
        <x:f>497</x:f>
        <x:v>497</x:v>
      </x:c>
      <x:c r="D528" s="258" t="n">
        <x:f>IF(X528&lt;($E$12-$D$12)/($F$12-$D$12),$D$12+SQRT(X528*($F$12-$D$12)*($E$12-$D$12)),$F$12-SQRT((1-X528)*($F$12-$D$12)*($F$12-$E$12)))</x:f>
        <x:v>0.1441558575025194</x:v>
      </x:c>
      <x:c r="E528" s="258" t="n">
        <x:f>IF(Y528&lt;($E$13-$D$13)/($F$13-$D$13),$D$13+SQRT(Y528*($F$13-$D$13)*($E$13-$D$13)),$F$13-SQRT((1-Y528)*($F$13-$D$13)*($F$13-$E$13)))</x:f>
        <x:v>-0.01746941250994534</x:v>
      </x:c>
      <x:c r="F528" s="260" t="n">
        <x:f>IF(Z528&lt;($E$14-$D$14)/($F$14-$D$14),$D$14+SQRT(Z528*($F$14-$D$14)*($E$14-$D$14)),$F$14-SQRT((1-Z528)*($F$14-$D$14)*($F$14-$E$14)))</x:f>
        <x:v>1.177568475570787</x:v>
      </x:c>
      <x:c r="G528" s="258" t="n">
        <x:f>IF(AA528&lt;($E$15-$D$15)/($F$15-$D$15),$D$15+SQRT(AA528*($F$15-$D$15)*($E$15-$D$15)),$F$15-SQRT((1-AA528)*($F$15-$D$15)*($F$15-$E$15)))</x:f>
        <x:v>0.09234730597302457</x:v>
      </x:c>
      <x:c r="H528" s="258" t="n">
        <x:f>IF(AB528&lt;($E$16-$D$16)/($F$16-$D$16),$D$16+SQRT(AB528*($F$16-$D$16)*($E$16-$D$16)),$F$16-SQRT((1-AB528)*($F$16-$D$16)*($F$16-$E$16)))</x:f>
        <x:v>0.028351337890730438</x:v>
      </x:c>
      <x:c r="I528" s="262" t="n">
        <x:f>'Historical Inputs'!$N$9*(1+D528)^5</x:f>
        <x:v>650658.8892937572</x:v>
      </x:c>
      <x:c r="J528" s="262" t="n">
        <x:f>I528*(1+H528)*('Terminal Value'!$E$10+E528)*(1-'Assumptions'!$E$15)*(1-H528/'Terminal Value'!$E$12)</x:f>
        <x:v>175736.29515047817</x:v>
      </x:c>
      <x:c r="K528" s="264" t="n">
        <x:f>((SUM((('Historical Inputs'!$N$9*(1+(D528))^1)*(('Assumptions'!E37+(E528))*(1-'Assumptions'!E42-(0))+'Assumptions'!E47-'Assumptions'!E52*(F528)+'Assumptions'!E57-'Assumptions'!E62*(1)-'Assumptions'!E67-(0))+('Working Capital'!$E$6))*'DCF'!E12/(1+(G528))^'DCF'!E13,(('Historical Inputs'!$N$9*(1+(D528))^2)*(('Assumptions'!F37+(E528))*(1-'Assumptions'!F42-(0))+'Assumptions'!F47-'Assumptions'!F52*(F528)+'Assumptions'!F57-'Assumptions'!F62*(1)-'Assumptions'!F67-(0))+(('Historical Inputs'!$N$9*(1+(D528))^1)*('Assumptions'!E67+(0))))*'DCF'!F12/(1+(G528))^'DCF'!F13,(('Historical Inputs'!$N$9*(1+(D528))^3)*(('Assumptions'!G37+(E528))*(1-'Assumptions'!G42-(0))+'Assumptions'!G47-'Assumptions'!G52*(F528)+'Assumptions'!G57-'Assumptions'!G62*(1)-'Assumptions'!G67-(0))+(('Historical Inputs'!$N$9*(1+(D528))^2)*('Assumptions'!F67+(0))))*'DCF'!G12/(1+(G528))^'DCF'!G13,(('Historical Inputs'!$N$9*(1+(D528))^4)*(('Assumptions'!H37+(E528))*(1-'Assumptions'!H42-(0))+'Assumptions'!H47-'Assumptions'!H52*(F528)+'Assumptions'!H57-'Assumptions'!H62*(1)-'Assumptions'!H67-(0))+(('Historical Inputs'!$N$9*(1+(D528))^3)*('Assumptions'!G67+(0))))*'DCF'!H12/(1+(G528))^'DCF'!H13,(('Historical Inputs'!$N$9*(1+(D528))^5)*(('Assumptions'!I37+(E528))*(1-'Assumptions'!I42-(0))+'Assumptions'!I47-'Assumptions'!I52*(F528)+'Assumptions'!I57-'Assumptions'!I62*(1)-'Assumptions'!I67-(0))+(('Historical Inputs'!$N$9*(1+(D528))^4)*('Assumptions'!H67+(0))))*'DCF'!I12/(1+(G528))^'DCF'!I13)+('Historical Inputs'!$N$9*(1+(D528))^5)*(1+(H528))*('Terminal Value'!$E$10+(E528))*(1-'Assumptions'!$E$15-(0))*(1-(H528)/('Terminal Value'!$E$12))/((G528)-(H528))/(1+(G528))^'DCF'!$E$19)+'Equity Bridge'!$E$17)/'Equity Bridge'!$E$20</x:f>
        <x:v>284.4453437430456</x:v>
      </x:c>
      <x:c r="X528" s="255" t="n">
        <x:v>0.5178151324145847</x:v>
      </x:c>
      <x:c r="Y528" s="255" t="n">
        <x:v>0.21164782448962016</x:v>
      </x:c>
      <x:c r="Z528" s="255" t="n">
        <x:v>0.9928118101683088</x:v>
      </x:c>
      <x:c r="AA528" s="255" t="n">
        <x:v>0.18837262903627772</x:v>
      </x:c>
      <x:c r="AB528" s="255" t="n">
        <x:v>0.34872422282574966</x:v>
      </x:c>
    </x:row>
    <x:row r="529" ht="24" customHeight="1">
      <x:c r="C529" s="256" t="n">
        <x:f>498</x:f>
        <x:v>498</x:v>
      </x:c>
      <x:c r="D529" s="258" t="n">
        <x:f>IF(X529&lt;($E$12-$D$12)/($F$12-$D$12),$D$12+SQRT(X529*($F$12-$D$12)*($E$12-$D$12)),$F$12-SQRT((1-X529)*($F$12-$D$12)*($F$12-$E$12)))</x:f>
        <x:v>0.12520208086386692</x:v>
      </x:c>
      <x:c r="E529" s="258" t="n">
        <x:f>IF(Y529&lt;($E$13-$D$13)/($F$13-$D$13),$D$13+SQRT(Y529*($F$13-$D$13)*($E$13-$D$13)),$F$13-SQRT((1-Y529)*($F$13-$D$13)*($F$13-$E$13)))</x:f>
        <x:v>0.008272473629319259</x:v>
      </x:c>
      <x:c r="F529" s="260" t="n">
        <x:f>IF(Z529&lt;($E$14-$D$14)/($F$14-$D$14),$D$14+SQRT(Z529*($F$14-$D$14)*($E$14-$D$14)),$F$14-SQRT((1-Z529)*($F$14-$D$14)*($F$14-$E$14)))</x:f>
        <x:v>1.0567477607658409</x:v>
      </x:c>
      <x:c r="G529" s="258" t="n">
        <x:f>IF(AA529&lt;($E$15-$D$15)/($F$15-$D$15),$D$15+SQRT(AA529*($F$15-$D$15)*($E$15-$D$15)),$F$15-SQRT((1-AA529)*($F$15-$D$15)*($F$15-$E$15)))</x:f>
        <x:v>0.10852505995440338</x:v>
      </x:c>
      <x:c r="H529" s="258" t="n">
        <x:f>IF(AB529&lt;($E$16-$D$16)/($F$16-$D$16),$D$16+SQRT(AB529*($F$16-$D$16)*($E$16-$D$16)),$F$16-SQRT((1-AB529)*($F$16-$D$16)*($F$16-$E$16)))</x:f>
        <x:v>0.02597244273049236</x:v>
      </x:c>
      <x:c r="I529" s="262" t="n">
        <x:f>'Historical Inputs'!$N$9*(1+D529)^5</x:f>
        <x:v>598521.9182717646</x:v>
      </x:c>
      <x:c r="J529" s="262" t="n">
        <x:f>I529*(1+H529)*('Terminal Value'!$E$10+E529)*(1-'Assumptions'!$E$15)*(1-H529/'Terminal Value'!$E$12)</x:f>
        <x:v>174519.46413758482</x:v>
      </x:c>
      <x:c r="K529" s="264" t="n">
        <x:f>((SUM((('Historical Inputs'!$N$9*(1+(D529))^1)*(('Assumptions'!E37+(E529))*(1-'Assumptions'!E42-(0))+'Assumptions'!E47-'Assumptions'!E52*(F529)+'Assumptions'!E57-'Assumptions'!E62*(1)-'Assumptions'!E67-(0))+('Working Capital'!$E$6))*'DCF'!E12/(1+(G529))^'DCF'!E13,(('Historical Inputs'!$N$9*(1+(D529))^2)*(('Assumptions'!F37+(E529))*(1-'Assumptions'!F42-(0))+'Assumptions'!F47-'Assumptions'!F52*(F529)+'Assumptions'!F57-'Assumptions'!F62*(1)-'Assumptions'!F67-(0))+(('Historical Inputs'!$N$9*(1+(D529))^1)*('Assumptions'!E67+(0))))*'DCF'!F12/(1+(G529))^'DCF'!F13,(('Historical Inputs'!$N$9*(1+(D529))^3)*(('Assumptions'!G37+(E529))*(1-'Assumptions'!G42-(0))+'Assumptions'!G47-'Assumptions'!G52*(F529)+'Assumptions'!G57-'Assumptions'!G62*(1)-'Assumptions'!G67-(0))+(('Historical Inputs'!$N$9*(1+(D529))^2)*('Assumptions'!F67+(0))))*'DCF'!G12/(1+(G529))^'DCF'!G13,(('Historical Inputs'!$N$9*(1+(D529))^4)*(('Assumptions'!H37+(E529))*(1-'Assumptions'!H42-(0))+'Assumptions'!H47-'Assumptions'!H52*(F529)+'Assumptions'!H57-'Assumptions'!H62*(1)-'Assumptions'!H67-(0))+(('Historical Inputs'!$N$9*(1+(D529))^3)*('Assumptions'!G67+(0))))*'DCF'!H12/(1+(G529))^'DCF'!H13,(('Historical Inputs'!$N$9*(1+(D529))^5)*(('Assumptions'!I37+(E529))*(1-'Assumptions'!I42-(0))+'Assumptions'!I47-'Assumptions'!I52*(F529)+'Assumptions'!I57-'Assumptions'!I62*(1)-'Assumptions'!I67-(0))+(('Historical Inputs'!$N$9*(1+(D529))^4)*('Assumptions'!H67+(0))))*'DCF'!I12/(1+(G529))^'DCF'!I13)+('Historical Inputs'!$N$9*(1+(D529))^5)*(1+(H529))*('Terminal Value'!$E$10+(E529))*(1-'Assumptions'!$E$15-(0))*(1-(H529)/('Terminal Value'!$E$12))/((G529)-(H529))/(1+(G529))^'DCF'!$E$19)+'Equity Bridge'!$E$17)/'Equity Bridge'!$E$20</x:f>
        <x:v>223.75890936643418</x:v>
      </x:c>
      <x:c r="X529" s="255" t="n">
        <x:v>0.2040973593858273</x:v>
      </x:c>
      <x:c r="Y529" s="255" t="n">
        <x:v>0.6517627085968287</x:v>
      </x:c>
      <x:c r="Z529" s="255" t="n">
        <x:v>0.7068399422057038</x:v>
      </x:c>
      <x:c r="AA529" s="255" t="n">
        <x:v>0.9526642660606247</x:v>
      </x:c>
      <x:c r="AB529" s="255" t="n">
        <x:v>0.1783503608450553</x:v>
      </x:c>
    </x:row>
    <x:row r="530" ht="24" customHeight="1">
      <x:c r="C530" s="256" t="n">
        <x:f>499</x:f>
        <x:v>499</x:v>
      </x:c>
      <x:c r="D530" s="258" t="n">
        <x:f>IF(X530&lt;($E$12-$D$12)/($F$12-$D$12),$D$12+SQRT(X530*($F$12-$D$12)*($E$12-$D$12)),$F$12-SQRT((1-X530)*($F$12-$D$12)*($F$12-$E$12)))</x:f>
        <x:v>0.124623480549065</x:v>
      </x:c>
      <x:c r="E530" s="258" t="n">
        <x:f>IF(Y530&lt;($E$13-$D$13)/($F$13-$D$13),$D$13+SQRT(Y530*($F$13-$D$13)*($E$13-$D$13)),$F$13-SQRT((1-Y530)*($F$13-$D$13)*($F$13-$E$13)))</x:f>
        <x:v>-0.006821847889266104</x:v>
      </x:c>
      <x:c r="F530" s="260" t="n">
        <x:f>IF(Z530&lt;($E$14-$D$14)/($F$14-$D$14),$D$14+SQRT(Z530*($F$14-$D$14)*($E$14-$D$14)),$F$14-SQRT((1-Z530)*($F$14-$D$14)*($F$14-$E$14)))</x:f>
        <x:v>1.1106898633706634</x:v>
      </x:c>
      <x:c r="G530" s="258" t="n">
        <x:f>IF(AA530&lt;($E$15-$D$15)/($F$15-$D$15),$D$15+SQRT(AA530*($F$15-$D$15)*($E$15-$D$15)),$F$15-SQRT((1-AA530)*($F$15-$D$15)*($F$15-$E$15)))</x:f>
        <x:v>0.09687818323863848</x:v>
      </x:c>
      <x:c r="H530" s="258" t="n">
        <x:f>IF(AB530&lt;($E$16-$D$16)/($F$16-$D$16),$D$16+SQRT(AB530*($F$16-$D$16)*($E$16-$D$16)),$F$16-SQRT((1-AB530)*($F$16-$D$16)*($F$16-$E$16)))</x:f>
        <x:v>0.03389064089102478</x:v>
      </x:c>
      <x:c r="I530" s="262" t="n">
        <x:f>'Historical Inputs'!$N$9*(1+D530)^5</x:f>
        <x:v>596984.6432964598</x:v>
      </x:c>
      <x:c r="J530" s="262" t="n">
        <x:f>I530*(1+H530)*('Terminal Value'!$E$10+E530)*(1-'Assumptions'!$E$15)*(1-H530/'Terminal Value'!$E$12)</x:f>
        <x:v>161243.1354799758</x:v>
      </x:c>
      <x:c r="K530" s="264" t="n">
        <x:f>((SUM((('Historical Inputs'!$N$9*(1+(D530))^1)*(('Assumptions'!E37+(E530))*(1-'Assumptions'!E42-(0))+'Assumptions'!E47-'Assumptions'!E52*(F530)+'Assumptions'!E57-'Assumptions'!E62*(1)-'Assumptions'!E67-(0))+('Working Capital'!$E$6))*'DCF'!E12/(1+(G530))^'DCF'!E13,(('Historical Inputs'!$N$9*(1+(D530))^2)*(('Assumptions'!F37+(E530))*(1-'Assumptions'!F42-(0))+'Assumptions'!F47-'Assumptions'!F52*(F530)+'Assumptions'!F57-'Assumptions'!F62*(1)-'Assumptions'!F67-(0))+(('Historical Inputs'!$N$9*(1+(D530))^1)*('Assumptions'!E67+(0))))*'DCF'!F12/(1+(G530))^'DCF'!F13,(('Historical Inputs'!$N$9*(1+(D530))^3)*(('Assumptions'!G37+(E530))*(1-'Assumptions'!G42-(0))+'Assumptions'!G47-'Assumptions'!G52*(F530)+'Assumptions'!G57-'Assumptions'!G62*(1)-'Assumptions'!G67-(0))+(('Historical Inputs'!$N$9*(1+(D530))^2)*('Assumptions'!F67+(0))))*'DCF'!G12/(1+(G530))^'DCF'!G13,(('Historical Inputs'!$N$9*(1+(D530))^4)*(('Assumptions'!H37+(E530))*(1-'Assumptions'!H42-(0))+'Assumptions'!H47-'Assumptions'!H52*(F530)+'Assumptions'!H57-'Assumptions'!H62*(1)-'Assumptions'!H67-(0))+(('Historical Inputs'!$N$9*(1+(D530))^3)*('Assumptions'!G67+(0))))*'DCF'!H12/(1+(G530))^'DCF'!H13,(('Historical Inputs'!$N$9*(1+(D530))^5)*(('Assumptions'!I37+(E530))*(1-'Assumptions'!I42-(0))+'Assumptions'!I47-'Assumptions'!I52*(F530)+'Assumptions'!I57-'Assumptions'!I62*(1)-'Assumptions'!I67-(0))+(('Historical Inputs'!$N$9*(1+(D530))^4)*('Assumptions'!H67+(0))))*'DCF'!I12/(1+(G530))^'DCF'!I13)+('Historical Inputs'!$N$9*(1+(D530))^5)*(1+(H530))*('Terminal Value'!$E$10+(E530))*(1-'Assumptions'!$E$15-(0))*(1-(H530)/('Terminal Value'!$E$12))/((G530)-(H530))/(1+(G530))^'DCF'!$E$19)+'Equity Bridge'!$E$17)/'Equity Bridge'!$E$20</x:f>
        <x:v>266.5584539802287</x:v>
      </x:c>
      <x:c r="X530" s="255" t="n">
        <x:v>0.19677094656442828</x:v>
      </x:c>
      <x:c r="Y530" s="255" t="n">
        <x:v>0.3728705639395349</x:v>
      </x:c>
      <x:c r="Z530" s="255" t="n">
        <x:v>0.8860528499321321</x:v>
      </x:c>
      <x:c r="AA530" s="255" t="n">
        <x:v>0.41939451568712705</x:v>
      </x:c>
      <x:c r="AB530" s="255" t="n">
        <x:v>0.8133786563879079</x:v>
      </x:c>
    </x:row>
    <x:row r="531" ht="24" customHeight="1">
      <x:c r="C531" s="256" t="n">
        <x:f>500</x:f>
        <x:v>500</x:v>
      </x:c>
      <x:c r="D531" s="258" t="n">
        <x:f>IF(X531&lt;($E$12-$D$12)/($F$12-$D$12),$D$12+SQRT(X531*($F$12-$D$12)*($E$12-$D$12)),$F$12-SQRT((1-X531)*($F$12-$D$12)*($F$12-$E$12)))</x:f>
        <x:v>0.1317914894313619</x:v>
      </x:c>
      <x:c r="E531" s="258" t="n">
        <x:f>IF(Y531&lt;($E$13-$D$13)/($F$13-$D$13),$D$13+SQRT(Y531*($F$13-$D$13)*($E$13-$D$13)),$F$13-SQRT((1-Y531)*($F$13-$D$13)*($F$13-$E$13)))</x:f>
        <x:v>-0.0159269689094573</x:v>
      </x:c>
      <x:c r="F531" s="260" t="n">
        <x:f>IF(Z531&lt;($E$14-$D$14)/($F$14-$D$14),$D$14+SQRT(Z531*($F$14-$D$14)*($E$14-$D$14)),$F$14-SQRT((1-Z531)*($F$14-$D$14)*($F$14-$E$14)))</x:f>
        <x:v>0.9401999965268866</x:v>
      </x:c>
      <x:c r="G531" s="258" t="n">
        <x:f>IF(AA531&lt;($E$15-$D$15)/($F$15-$D$15),$D$15+SQRT(AA531*($F$15-$D$15)*($E$15-$D$15)),$F$15-SQRT((1-AA531)*($F$15-$D$15)*($F$15-$E$15)))</x:f>
        <x:v>0.08900486643577514</x:v>
      </x:c>
      <x:c r="H531" s="258" t="n">
        <x:f>IF(AB531&lt;($E$16-$D$16)/($F$16-$D$16),$D$16+SQRT(AB531*($F$16-$D$16)*($E$16-$D$16)),$F$16-SQRT((1-AB531)*($F$16-$D$16)*($F$16-$E$16)))</x:f>
        <x:v>0.03277716023468615</x:v>
      </x:c>
      <x:c r="I531" s="262" t="n">
        <x:f>'Historical Inputs'!$N$9*(1+D531)^5</x:f>
        <x:v>616253.7080957257</x:v>
      </x:c>
      <x:c r="J531" s="262" t="n">
        <x:f>I531*(1+H531)*('Terminal Value'!$E$10+E531)*(1-'Assumptions'!$E$15)*(1-H531/'Terminal Value'!$E$12)</x:f>
        <x:v>163506.70587244182</x:v>
      </x:c>
      <x:c r="K531" s="264" t="n">
        <x:f>((SUM((('Historical Inputs'!$N$9*(1+(D531))^1)*(('Assumptions'!E37+(E531))*(1-'Assumptions'!E42-(0))+'Assumptions'!E47-'Assumptions'!E52*(F531)+'Assumptions'!E57-'Assumptions'!E62*(1)-'Assumptions'!E67-(0))+('Working Capital'!$E$6))*'DCF'!E12/(1+(G531))^'DCF'!E13,(('Historical Inputs'!$N$9*(1+(D531))^2)*(('Assumptions'!F37+(E531))*(1-'Assumptions'!F42-(0))+'Assumptions'!F47-'Assumptions'!F52*(F531)+'Assumptions'!F57-'Assumptions'!F62*(1)-'Assumptions'!F67-(0))+(('Historical Inputs'!$N$9*(1+(D531))^1)*('Assumptions'!E67+(0))))*'DCF'!F12/(1+(G531))^'DCF'!F13,(('Historical Inputs'!$N$9*(1+(D531))^3)*(('Assumptions'!G37+(E531))*(1-'Assumptions'!G42-(0))+'Assumptions'!G47-'Assumptions'!G52*(F531)+'Assumptions'!G57-'Assumptions'!G62*(1)-'Assumptions'!G67-(0))+(('Historical Inputs'!$N$9*(1+(D531))^2)*('Assumptions'!F67+(0))))*'DCF'!G12/(1+(G531))^'DCF'!G13,(('Historical Inputs'!$N$9*(1+(D531))^4)*(('Assumptions'!H37+(E531))*(1-'Assumptions'!H42-(0))+'Assumptions'!H47-'Assumptions'!H52*(F531)+'Assumptions'!H57-'Assumptions'!H62*(1)-'Assumptions'!H67-(0))+(('Historical Inputs'!$N$9*(1+(D531))^3)*('Assumptions'!G67+(0))))*'DCF'!H12/(1+(G531))^'DCF'!H13,(('Historical Inputs'!$N$9*(1+(D531))^5)*(('Assumptions'!I37+(E531))*(1-'Assumptions'!I42-(0))+'Assumptions'!I47-'Assumptions'!I52*(F531)+'Assumptions'!I57-'Assumptions'!I62*(1)-'Assumptions'!I67-(0))+(('Historical Inputs'!$N$9*(1+(D531))^4)*('Assumptions'!H67+(0))))*'DCF'!I12/(1+(G531))^'DCF'!I13)+('Historical Inputs'!$N$9*(1+(D531))^5)*(1+(H531))*('Terminal Value'!$E$10+(E531))*(1-'Assumptions'!$E$15-(0))*(1-(H531)/('Terminal Value'!$E$12))/((G531)-(H531))/(1+(G531))^'DCF'!$E$19)+'Equity Bridge'!$E$17)/'Equity Bridge'!$E$20</x:f>
        <x:v>316.4063692362392</x:v>
      </x:c>
      <x:c r="X531" s="255" t="n">
        <x:v>0.2969810387248528</x:v>
      </x:c>
      <x:c r="Y531" s="255" t="n">
        <x:v>0.2321942895394179</x:v>
      </x:c>
      <x:c r="Z531" s="255" t="n">
        <x:v>0.15497217854191148</x:v>
      </x:c>
      <x:c r="AA531" s="255" t="n">
        <x:v>0.07642739280170474</x:v>
      </x:c>
      <x:c r="AB531" s="255" t="n">
        <x:v>0.7391529286230052</x:v>
      </x:c>
    </x:row>
    <x:row r="532" ht="24" customHeight="1">
      <x:c r="C532" s="256" t="n">
        <x:f>501</x:f>
        <x:v>501</x:v>
      </x:c>
      <x:c r="D532" s="258" t="n">
        <x:f>IF(X532&lt;($E$12-$D$12)/($F$12-$D$12),$D$12+SQRT(X532*($F$12-$D$12)*($E$12-$D$12)),$F$12-SQRT((1-X532)*($F$12-$D$12)*($F$12-$E$12)))</x:f>
        <x:v>0.17583213501660172</x:v>
      </x:c>
      <x:c r="E532" s="258" t="n">
        <x:f>IF(Y532&lt;($E$13-$D$13)/($F$13-$D$13),$D$13+SQRT(Y532*($F$13-$D$13)*($E$13-$D$13)),$F$13-SQRT((1-Y532)*($F$13-$D$13)*($F$13-$E$13)))</x:f>
        <x:v>-0.010831790168630263</x:v>
      </x:c>
      <x:c r="F532" s="260" t="n">
        <x:f>IF(Z532&lt;($E$14-$D$14)/($F$14-$D$14),$D$14+SQRT(Z532*($F$14-$D$14)*($E$14-$D$14)),$F$14-SQRT((1-Z532)*($F$14-$D$14)*($F$14-$E$14)))</x:f>
        <x:v>0.9261002551042407</x:v>
      </x:c>
      <x:c r="G532" s="258" t="n">
        <x:f>IF(AA532&lt;($E$15-$D$15)/($F$15-$D$15),$D$15+SQRT(AA532*($F$15-$D$15)*($E$15-$D$15)),$F$15-SQRT((1-AA532)*($F$15-$D$15)*($F$15-$E$15)))</x:f>
        <x:v>0.09264681648137615</x:v>
      </x:c>
      <x:c r="H532" s="258" t="n">
        <x:f>IF(AB532&lt;($E$16-$D$16)/($F$16-$D$16),$D$16+SQRT(AB532*($F$16-$D$16)*($E$16-$D$16)),$F$16-SQRT((1-AB532)*($F$16-$D$16)*($F$16-$E$16)))</x:f>
        <x:v>0.0244002980345971</x:v>
      </x:c>
      <x:c r="I532" s="262" t="n">
        <x:f>'Historical Inputs'!$N$9*(1+D532)^5</x:f>
        <x:v>745854.3921080207</x:v>
      </x:c>
      <x:c r="J532" s="262" t="n">
        <x:f>I532*(1+H532)*('Terminal Value'!$E$10+E532)*(1-'Assumptions'!$E$15)*(1-H532/'Terminal Value'!$E$12)</x:f>
        <x:v>208854.99678321488</x:v>
      </x:c>
      <x:c r="K532" s="264" t="n">
        <x:f>((SUM((('Historical Inputs'!$N$9*(1+(D532))^1)*(('Assumptions'!E37+(E532))*(1-'Assumptions'!E42-(0))+'Assumptions'!E47-'Assumptions'!E52*(F532)+'Assumptions'!E57-'Assumptions'!E62*(1)-'Assumptions'!E67-(0))+('Working Capital'!$E$6))*'DCF'!E12/(1+(G532))^'DCF'!E13,(('Historical Inputs'!$N$9*(1+(D532))^2)*(('Assumptions'!F37+(E532))*(1-'Assumptions'!F42-(0))+'Assumptions'!F47-'Assumptions'!F52*(F532)+'Assumptions'!F57-'Assumptions'!F62*(1)-'Assumptions'!F67-(0))+(('Historical Inputs'!$N$9*(1+(D532))^1)*('Assumptions'!E67+(0))))*'DCF'!F12/(1+(G532))^'DCF'!F13,(('Historical Inputs'!$N$9*(1+(D532))^3)*(('Assumptions'!G37+(E532))*(1-'Assumptions'!G42-(0))+'Assumptions'!G47-'Assumptions'!G52*(F532)+'Assumptions'!G57-'Assumptions'!G62*(1)-'Assumptions'!G67-(0))+(('Historical Inputs'!$N$9*(1+(D532))^2)*('Assumptions'!F67+(0))))*'DCF'!G12/(1+(G532))^'DCF'!G13,(('Historical Inputs'!$N$9*(1+(D532))^4)*(('Assumptions'!H37+(E532))*(1-'Assumptions'!H42-(0))+'Assumptions'!H47-'Assumptions'!H52*(F532)+'Assumptions'!H57-'Assumptions'!H62*(1)-'Assumptions'!H67-(0))+(('Historical Inputs'!$N$9*(1+(D532))^3)*('Assumptions'!G67+(0))))*'DCF'!H12/(1+(G532))^'DCF'!H13,(('Historical Inputs'!$N$9*(1+(D532))^5)*(('Assumptions'!I37+(E532))*(1-'Assumptions'!I42-(0))+'Assumptions'!I47-'Assumptions'!I52*(F532)+'Assumptions'!I57-'Assumptions'!I62*(1)-'Assumptions'!I67-(0))+(('Historical Inputs'!$N$9*(1+(D532))^4)*('Assumptions'!H67+(0))))*'DCF'!I12/(1+(G532))^'DCF'!I13)+('Historical Inputs'!$N$9*(1+(D532))^5)*(1+(H532))*('Terminal Value'!$E$10+(E532))*(1-'Assumptions'!$E$15-(0))*(1-(H532)/('Terminal Value'!$E$12))/((G532)-(H532))/(1+(G532))^'DCF'!$E$19)+'Equity Bridge'!$E$17)/'Equity Bridge'!$E$20</x:f>
        <x:v>335.6232963368913</x:v>
      </x:c>
      <x:c r="X532" s="255" t="n">
        <x:v>0.9392746639355318</x:v>
      </x:c>
      <x:c r="Y532" s="255" t="n">
        <x:v>0.3068297322788418</x:v>
      </x:c>
      <x:c r="Z532" s="255" t="n">
        <x:v>0.11030950146534313</x:v>
      </x:c>
      <x:c r="AA532" s="255" t="n">
        <x:v>0.20082786262868935</x:v>
      </x:c>
      <x:c r="AB532" s="255" t="n">
        <x:v>0.09681311396639558</x:v>
      </x:c>
    </x:row>
    <x:row r="533" ht="24" customHeight="1">
      <x:c r="C533" s="256" t="n">
        <x:f>502</x:f>
        <x:v>502</x:v>
      </x:c>
      <x:c r="D533" s="258" t="n">
        <x:f>IF(X533&lt;($E$12-$D$12)/($F$12-$D$12),$D$12+SQRT(X533*($F$12-$D$12)*($E$12-$D$12)),$F$12-SQRT((1-X533)*($F$12-$D$12)*($F$12-$E$12)))</x:f>
        <x:v>0.11761328079125102</x:v>
      </x:c>
      <x:c r="E533" s="258" t="n">
        <x:f>IF(Y533&lt;($E$13-$D$13)/($F$13-$D$13),$D$13+SQRT(Y533*($F$13-$D$13)*($E$13-$D$13)),$F$13-SQRT((1-Y533)*($F$13-$D$13)*($F$13-$E$13)))</x:f>
        <x:v>0.006113579479440016</x:v>
      </x:c>
      <x:c r="F533" s="260" t="n">
        <x:f>IF(Z533&lt;($E$14-$D$14)/($F$14-$D$14),$D$14+SQRT(Z533*($F$14-$D$14)*($E$14-$D$14)),$F$14-SQRT((1-Z533)*($F$14-$D$14)*($F$14-$E$14)))</x:f>
        <x:v>1.053929735152375</x:v>
      </x:c>
      <x:c r="G533" s="258" t="n">
        <x:f>IF(AA533&lt;($E$15-$D$15)/($F$15-$D$15),$D$15+SQRT(AA533*($F$15-$D$15)*($E$15-$D$15)),$F$15-SQRT((1-AA533)*($F$15-$D$15)*($F$15-$E$15)))</x:f>
        <x:v>0.09316046184657478</x:v>
      </x:c>
      <x:c r="H533" s="258" t="n">
        <x:f>IF(AB533&lt;($E$16-$D$16)/($F$16-$D$16),$D$16+SQRT(AB533*($F$16-$D$16)*($E$16-$D$16)),$F$16-SQRT((1-AB533)*($F$16-$D$16)*($F$16-$E$16)))</x:f>
        <x:v>0.03160407894473215</x:v>
      </x:c>
      <x:c r="I533" s="262" t="n">
        <x:f>'Historical Inputs'!$N$9*(1+D533)^5</x:f>
        <x:v>578609.0146651809</x:v>
      </x:c>
      <x:c r="J533" s="262" t="n">
        <x:f>I533*(1+H533)*('Terminal Value'!$E$10+E533)*(1-'Assumptions'!$E$15)*(1-H533/'Terminal Value'!$E$12)</x:f>
        <x:v>163281.62609194132</x:v>
      </x:c>
      <x:c r="K533" s="264" t="n">
        <x:f>((SUM((('Historical Inputs'!$N$9*(1+(D533))^1)*(('Assumptions'!E37+(E533))*(1-'Assumptions'!E42-(0))+'Assumptions'!E47-'Assumptions'!E52*(F533)+'Assumptions'!E57-'Assumptions'!E62*(1)-'Assumptions'!E67-(0))+('Working Capital'!$E$6))*'DCF'!E12/(1+(G533))^'DCF'!E13,(('Historical Inputs'!$N$9*(1+(D533))^2)*(('Assumptions'!F37+(E533))*(1-'Assumptions'!F42-(0))+'Assumptions'!F47-'Assumptions'!F52*(F533)+'Assumptions'!F57-'Assumptions'!F62*(1)-'Assumptions'!F67-(0))+(('Historical Inputs'!$N$9*(1+(D533))^1)*('Assumptions'!E67+(0))))*'DCF'!F12/(1+(G533))^'DCF'!F13,(('Historical Inputs'!$N$9*(1+(D533))^3)*(('Assumptions'!G37+(E533))*(1-'Assumptions'!G42-(0))+'Assumptions'!G47-'Assumptions'!G52*(F533)+'Assumptions'!G57-'Assumptions'!G62*(1)-'Assumptions'!G67-(0))+(('Historical Inputs'!$N$9*(1+(D533))^2)*('Assumptions'!F67+(0))))*'DCF'!G12/(1+(G533))^'DCF'!G13,(('Historical Inputs'!$N$9*(1+(D533))^4)*(('Assumptions'!H37+(E533))*(1-'Assumptions'!H42-(0))+'Assumptions'!H47-'Assumptions'!H52*(F533)+'Assumptions'!H57-'Assumptions'!H62*(1)-'Assumptions'!H67-(0))+(('Historical Inputs'!$N$9*(1+(D533))^3)*('Assumptions'!G67+(0))))*'DCF'!H12/(1+(G533))^'DCF'!H13,(('Historical Inputs'!$N$9*(1+(D533))^5)*(('Assumptions'!I37+(E533))*(1-'Assumptions'!I42-(0))+'Assumptions'!I47-'Assumptions'!I52*(F533)+'Assumptions'!I57-'Assumptions'!I62*(1)-'Assumptions'!I67-(0))+(('Historical Inputs'!$N$9*(1+(D533))^4)*('Assumptions'!H67+(0))))*'DCF'!I12/(1+(G533))^'DCF'!I13)+('Historical Inputs'!$N$9*(1+(D533))^5)*(1+(H533))*('Terminal Value'!$E$10+(E533))*(1-'Assumptions'!$E$15-(0))*(1-(H533)/('Terminal Value'!$E$12))/((G533)-(H533))/(1+(G533))^'DCF'!$E$19)+'Equity Bridge'!$E$17)/'Equity Bridge'!$E$20</x:f>
        <x:v>283.626874757485</x:v>
      </x:c>
      <x:c r="X533" s="255" t="n">
        <x:v>0.11864547015591531</x:v>
      </x:c>
      <x:c r="Y533" s="255" t="n">
        <x:v>0.6147964187785143</x:v>
      </x:c>
      <x:c r="Z533" s="255" t="n">
        <x:v>0.695192538962067</x:v>
      </x:c>
      <x:c r="AA533" s="255" t="n">
        <x:v>0.2231161218261285</x:v>
      </x:c>
      <x:c r="AB533" s="255" t="n">
        <x:v>0.6475425481685495</x:v>
      </x:c>
    </x:row>
    <x:row r="534" ht="24" customHeight="1">
      <x:c r="C534" s="256" t="n">
        <x:f>503</x:f>
        <x:v>503</x:v>
      </x:c>
      <x:c r="D534" s="258" t="n">
        <x:f>IF(X534&lt;($E$12-$D$12)/($F$12-$D$12),$D$12+SQRT(X534*($F$12-$D$12)*($E$12-$D$12)),$F$12-SQRT((1-X534)*($F$12-$D$12)*($F$12-$E$12)))</x:f>
        <x:v>0.18640217851635063</x:v>
      </x:c>
      <x:c r="E534" s="258" t="n">
        <x:f>IF(Y534&lt;($E$13-$D$13)/($F$13-$D$13),$D$13+SQRT(Y534*($F$13-$D$13)*($E$13-$D$13)),$F$13-SQRT((1-Y534)*($F$13-$D$13)*($F$13-$E$13)))</x:f>
        <x:v>0.02236142416637074</x:v>
      </x:c>
      <x:c r="F534" s="260" t="n">
        <x:f>IF(Z534&lt;($E$14-$D$14)/($F$14-$D$14),$D$14+SQRT(Z534*($F$14-$D$14)*($E$14-$D$14)),$F$14-SQRT((1-Z534)*($F$14-$D$14)*($F$14-$E$14)))</x:f>
        <x:v>0.9056186246889512</x:v>
      </x:c>
      <x:c r="G534" s="258" t="n">
        <x:f>IF(AA534&lt;($E$15-$D$15)/($F$15-$D$15),$D$15+SQRT(AA534*($F$15-$D$15)*($E$15-$D$15)),$F$15-SQRT((1-AA534)*($F$15-$D$15)*($F$15-$E$15)))</x:f>
        <x:v>0.09701415673554688</x:v>
      </x:c>
      <x:c r="H534" s="258" t="n">
        <x:f>IF(AB534&lt;($E$16-$D$16)/($F$16-$D$16),$D$16+SQRT(AB534*($F$16-$D$16)*($E$16-$D$16)),$F$16-SQRT((1-AB534)*($F$16-$D$16)*($F$16-$E$16)))</x:f>
        <x:v>0.025618006711576324</x:v>
      </x:c>
      <x:c r="I534" s="262" t="n">
        <x:f>'Historical Inputs'!$N$9*(1+D534)^5</x:f>
        <x:v>779986.5312768396</x:v>
      </x:c>
      <x:c r="J534" s="262" t="n">
        <x:f>I534*(1+H534)*('Terminal Value'!$E$10+E534)*(1-'Assumptions'!$E$15)*(1-H534/'Terminal Value'!$E$12)</x:f>
        <x:v>235677.7672177333</x:v>
      </x:c>
      <x:c r="K534" s="264" t="n">
        <x:f>((SUM((('Historical Inputs'!$N$9*(1+(D534))^1)*(('Assumptions'!E37+(E534))*(1-'Assumptions'!E42-(0))+'Assumptions'!E47-'Assumptions'!E52*(F534)+'Assumptions'!E57-'Assumptions'!E62*(1)-'Assumptions'!E67-(0))+('Working Capital'!$E$6))*'DCF'!E12/(1+(G534))^'DCF'!E13,(('Historical Inputs'!$N$9*(1+(D534))^2)*(('Assumptions'!F37+(E534))*(1-'Assumptions'!F42-(0))+'Assumptions'!F47-'Assumptions'!F52*(F534)+'Assumptions'!F57-'Assumptions'!F62*(1)-'Assumptions'!F67-(0))+(('Historical Inputs'!$N$9*(1+(D534))^1)*('Assumptions'!E67+(0))))*'DCF'!F12/(1+(G534))^'DCF'!F13,(('Historical Inputs'!$N$9*(1+(D534))^3)*(('Assumptions'!G37+(E534))*(1-'Assumptions'!G42-(0))+'Assumptions'!G47-'Assumptions'!G52*(F534)+'Assumptions'!G57-'Assumptions'!G62*(1)-'Assumptions'!G67-(0))+(('Historical Inputs'!$N$9*(1+(D534))^2)*('Assumptions'!F67+(0))))*'DCF'!G12/(1+(G534))^'DCF'!G13,(('Historical Inputs'!$N$9*(1+(D534))^4)*(('Assumptions'!H37+(E534))*(1-'Assumptions'!H42-(0))+'Assumptions'!H47-'Assumptions'!H52*(F534)+'Assumptions'!H57-'Assumptions'!H62*(1)-'Assumptions'!H67-(0))+(('Historical Inputs'!$N$9*(1+(D534))^3)*('Assumptions'!G67+(0))))*'DCF'!H12/(1+(G534))^'DCF'!H13,(('Historical Inputs'!$N$9*(1+(D534))^5)*(('Assumptions'!I37+(E534))*(1-'Assumptions'!I42-(0))+'Assumptions'!I47-'Assumptions'!I52*(F534)+'Assumptions'!I57-'Assumptions'!I62*(1)-'Assumptions'!I67-(0))+(('Historical Inputs'!$N$9*(1+(D534))^4)*('Assumptions'!H67+(0))))*'DCF'!I12/(1+(G534))^'DCF'!I13)+('Historical Inputs'!$N$9*(1+(D534))^5)*(1+(H534))*('Terminal Value'!$E$10+(E534))*(1-'Assumptions'!$E$15-(0))*(1-(H534)/('Terminal Value'!$E$12))/((G534)-(H534))/(1+(G534))^'DCF'!$E$19)+'Equity Bridge'!$E$17)/'Equity Bridge'!$E$20</x:f>
        <x:v>361.99424613213563</x:v>
      </x:c>
      <x:c r="X534" s="255" t="n">
        <x:v>0.9906022246398738</x:v>
      </x:c>
      <x:c r="Y534" s="255" t="n">
        <x:v>0.8472218251777449</x:v>
      </x:c>
      <x:c r="Z534" s="255" t="n">
        <x:v>0.058922503091245804</x:v>
      </x:c>
      <x:c r="AA534" s="255" t="n">
        <x:v>0.4277377290127472</x:v>
      </x:c>
      <x:c r="AB534" s="255" t="n">
        <x:v>0.15780999705658316</x:v>
      </x:c>
    </x:row>
    <x:row r="535" ht="24" customHeight="1">
      <x:c r="C535" s="256" t="n">
        <x:f>504</x:f>
        <x:v>504</x:v>
      </x:c>
      <x:c r="D535" s="258" t="n">
        <x:f>IF(X535&lt;($E$12-$D$12)/($F$12-$D$12),$D$12+SQRT(X535*($F$12-$D$12)*($E$12-$D$12)),$F$12-SQRT((1-X535)*($F$12-$D$12)*($F$12-$E$12)))</x:f>
        <x:v>0.1238670360346652</x:v>
      </x:c>
      <x:c r="E535" s="258" t="n">
        <x:f>IF(Y535&lt;($E$13-$D$13)/($F$13-$D$13),$D$13+SQRT(Y535*($F$13-$D$13)*($E$13-$D$13)),$F$13-SQRT((1-Y535)*($F$13-$D$13)*($F$13-$E$13)))</x:f>
        <x:v>0.017865573333472246</x:v>
      </x:c>
      <x:c r="F535" s="260" t="n">
        <x:f>IF(Z535&lt;($E$14-$D$14)/($F$14-$D$14),$D$14+SQRT(Z535*($F$14-$D$14)*($E$14-$D$14)),$F$14-SQRT((1-Z535)*($F$14-$D$14)*($F$14-$E$14)))</x:f>
        <x:v>1.0944721478118429</x:v>
      </x:c>
      <x:c r="G535" s="258" t="n">
        <x:f>IF(AA535&lt;($E$15-$D$15)/($F$15-$D$15),$D$15+SQRT(AA535*($F$15-$D$15)*($E$15-$D$15)),$F$15-SQRT((1-AA535)*($F$15-$D$15)*($F$15-$E$15)))</x:f>
        <x:v>0.09118923962555911</x:v>
      </x:c>
      <x:c r="H535" s="258" t="n">
        <x:f>IF(AB535&lt;($E$16-$D$16)/($F$16-$D$16),$D$16+SQRT(AB535*($F$16-$D$16)*($E$16-$D$16)),$F$16-SQRT((1-AB535)*($F$16-$D$16)*($F$16-$E$16)))</x:f>
        <x:v>0.032183362842470475</x:v>
      </x:c>
      <x:c r="I535" s="262" t="n">
        <x:f>'Historical Inputs'!$N$9*(1+D535)^5</x:f>
        <x:v>594979.6225787079</x:v>
      </x:c>
      <x:c r="J535" s="262" t="n">
        <x:f>I535*(1+H535)*('Terminal Value'!$E$10+E535)*(1-'Assumptions'!$E$15)*(1-H535/'Terminal Value'!$E$12)</x:f>
        <x:v>172262.42013124024</x:v>
      </x:c>
      <x:c r="K535" s="264" t="n">
        <x:f>((SUM((('Historical Inputs'!$N$9*(1+(D535))^1)*(('Assumptions'!E37+(E535))*(1-'Assumptions'!E42-(0))+'Assumptions'!E47-'Assumptions'!E52*(F535)+'Assumptions'!E57-'Assumptions'!E62*(1)-'Assumptions'!E67-(0))+('Working Capital'!$E$6))*'DCF'!E12/(1+(G535))^'DCF'!E13,(('Historical Inputs'!$N$9*(1+(D535))^2)*(('Assumptions'!F37+(E535))*(1-'Assumptions'!F42-(0))+'Assumptions'!F47-'Assumptions'!F52*(F535)+'Assumptions'!F57-'Assumptions'!F62*(1)-'Assumptions'!F67-(0))+(('Historical Inputs'!$N$9*(1+(D535))^1)*('Assumptions'!E67+(0))))*'DCF'!F12/(1+(G535))^'DCF'!F13,(('Historical Inputs'!$N$9*(1+(D535))^3)*(('Assumptions'!G37+(E535))*(1-'Assumptions'!G42-(0))+'Assumptions'!G47-'Assumptions'!G52*(F535)+'Assumptions'!G57-'Assumptions'!G62*(1)-'Assumptions'!G67-(0))+(('Historical Inputs'!$N$9*(1+(D535))^2)*('Assumptions'!F67+(0))))*'DCF'!G12/(1+(G535))^'DCF'!G13,(('Historical Inputs'!$N$9*(1+(D535))^4)*(('Assumptions'!H37+(E535))*(1-'Assumptions'!H42-(0))+'Assumptions'!H47-'Assumptions'!H52*(F535)+'Assumptions'!H57-'Assumptions'!H62*(1)-'Assumptions'!H67-(0))+(('Historical Inputs'!$N$9*(1+(D535))^3)*('Assumptions'!G67+(0))))*'DCF'!H12/(1+(G535))^'DCF'!H13,(('Historical Inputs'!$N$9*(1+(D535))^5)*(('Assumptions'!I37+(E535))*(1-'Assumptions'!I42-(0))+'Assumptions'!I47-'Assumptions'!I52*(F535)+'Assumptions'!I57-'Assumptions'!I62*(1)-'Assumptions'!I67-(0))+(('Historical Inputs'!$N$9*(1+(D535))^4)*('Assumptions'!H67+(0))))*'DCF'!I12/(1+(G535))^'DCF'!I13)+('Historical Inputs'!$N$9*(1+(D535))^5)*(1+(H535))*('Terminal Value'!$E$10+(E535))*(1-'Assumptions'!$E$15-(0))*(1-(H535)/('Terminal Value'!$E$12))/((G535)-(H535))/(1+(G535))^'DCF'!$E$19)+'Equity Bridge'!$E$17)/'Equity Bridge'!$E$20</x:f>
        <x:v>310.4770303206623</x:v>
      </x:c>
      <x:c r="X535" s="255" t="n">
        <x:v>0.18739459397023472</x:v>
      </x:c>
      <x:c r="Y535" s="255" t="n">
        <x:v>0.79347572456271</x:v>
      </x:c>
      <x:c r="Z535" s="255" t="n">
        <x:v>0.8409124630364921</x:v>
      </x:c>
      <x:c r="AA535" s="255" t="n">
        <x:v>0.14396514147138206</x:v>
      </x:c>
      <x:c r="AB535" s="255" t="n">
        <x:v>0.6945009177376441</x:v>
      </x:c>
    </x:row>
    <x:row r="536" ht="24" customHeight="1">
      <x:c r="C536" s="256" t="n">
        <x:f>505</x:f>
        <x:v>505</x:v>
      </x:c>
      <x:c r="D536" s="258" t="n">
        <x:f>IF(X536&lt;($E$12-$D$12)/($F$12-$D$12),$D$12+SQRT(X536*($F$12-$D$12)*($E$12-$D$12)),$F$12-SQRT((1-X536)*($F$12-$D$12)*($F$12-$E$12)))</x:f>
        <x:v>0.10452414323398583</x:v>
      </x:c>
      <x:c r="E536" s="258" t="n">
        <x:f>IF(Y536&lt;($E$13-$D$13)/($F$13-$D$13),$D$13+SQRT(Y536*($F$13-$D$13)*($E$13-$D$13)),$F$13-SQRT((1-Y536)*($F$13-$D$13)*($F$13-$E$13)))</x:f>
        <x:v>0.0008955719685155641</x:v>
      </x:c>
      <x:c r="F536" s="260" t="n">
        <x:f>IF(Z536&lt;($E$14-$D$14)/($F$14-$D$14),$D$14+SQRT(Z536*($F$14-$D$14)*($E$14-$D$14)),$F$14-SQRT((1-Z536)*($F$14-$D$14)*($F$14-$E$14)))</x:f>
        <x:v>1.0310686199435593</x:v>
      </x:c>
      <x:c r="G536" s="258" t="n">
        <x:f>IF(AA536&lt;($E$15-$D$15)/($F$15-$D$15),$D$15+SQRT(AA536*($F$15-$D$15)*($E$15-$D$15)),$F$15-SQRT((1-AA536)*($F$15-$D$15)*($F$15-$E$15)))</x:f>
        <x:v>0.0907942830090885</x:v>
      </x:c>
      <x:c r="H536" s="258" t="n">
        <x:f>IF(AB536&lt;($E$16-$D$16)/($F$16-$D$16),$D$16+SQRT(AB536*($F$16-$D$16)*($E$16-$D$16)),$F$16-SQRT((1-AB536)*($F$16-$D$16)*($F$16-$E$16)))</x:f>
        <x:v>0.03093816231251835</x:v>
      </x:c>
      <x:c r="I536" s="262" t="n">
        <x:f>'Historical Inputs'!$N$9*(1+D536)^5</x:f>
        <x:v>545510.975197288</x:v>
      </x:c>
      <x:c r="J536" s="262" t="n">
        <x:f>I536*(1+H536)*('Terminal Value'!$E$10+E536)*(1-'Assumptions'!$E$15)*(1-H536/'Terminal Value'!$E$12)</x:f>
        <x:v>152465.97836283746</x:v>
      </x:c>
      <x:c r="K536" s="264" t="n">
        <x:f>((SUM((('Historical Inputs'!$N$9*(1+(D536))^1)*(('Assumptions'!E37+(E536))*(1-'Assumptions'!E42-(0))+'Assumptions'!E47-'Assumptions'!E52*(F536)+'Assumptions'!E57-'Assumptions'!E62*(1)-'Assumptions'!E67-(0))+('Working Capital'!$E$6))*'DCF'!E12/(1+(G536))^'DCF'!E13,(('Historical Inputs'!$N$9*(1+(D536))^2)*(('Assumptions'!F37+(E536))*(1-'Assumptions'!F42-(0))+'Assumptions'!F47-'Assumptions'!F52*(F536)+'Assumptions'!F57-'Assumptions'!F62*(1)-'Assumptions'!F67-(0))+(('Historical Inputs'!$N$9*(1+(D536))^1)*('Assumptions'!E67+(0))))*'DCF'!F12/(1+(G536))^'DCF'!F13,(('Historical Inputs'!$N$9*(1+(D536))^3)*(('Assumptions'!G37+(E536))*(1-'Assumptions'!G42-(0))+'Assumptions'!G47-'Assumptions'!G52*(F536)+'Assumptions'!G57-'Assumptions'!G62*(1)-'Assumptions'!G67-(0))+(('Historical Inputs'!$N$9*(1+(D536))^2)*('Assumptions'!F67+(0))))*'DCF'!G12/(1+(G536))^'DCF'!G13,(('Historical Inputs'!$N$9*(1+(D536))^4)*(('Assumptions'!H37+(E536))*(1-'Assumptions'!H42-(0))+'Assumptions'!H47-'Assumptions'!H52*(F536)+'Assumptions'!H57-'Assumptions'!H62*(1)-'Assumptions'!H67-(0))+(('Historical Inputs'!$N$9*(1+(D536))^3)*('Assumptions'!G67+(0))))*'DCF'!H12/(1+(G536))^'DCF'!H13,(('Historical Inputs'!$N$9*(1+(D536))^5)*(('Assumptions'!I37+(E536))*(1-'Assumptions'!I42-(0))+'Assumptions'!I47-'Assumptions'!I52*(F536)+'Assumptions'!I57-'Assumptions'!I62*(1)-'Assumptions'!I67-(0))+(('Historical Inputs'!$N$9*(1+(D536))^4)*('Assumptions'!H67+(0))))*'DCF'!I12/(1+(G536))^'DCF'!I13)+('Historical Inputs'!$N$9*(1+(D536))^5)*(1+(H536))*('Terminal Value'!$E$10+(E536))*(1-'Assumptions'!$E$15-(0))*(1-(H536)/('Terminal Value'!$E$12))/((G536)-(H536))/(1+(G536))^'DCF'!$E$19)+'Equity Bridge'!$E$17)/'Equity Bridge'!$E$20</x:f>
        <x:v>275.2092481828377</x:v>
      </x:c>
      <x:c r="X536" s="255" t="n">
        <x:v>0.025389604964199952</x:v>
      </x:c>
      <x:c r="Y536" s="255" t="n">
        <x:v>0.5177510295401532</x:v>
      </x:c>
      <x:c r="Z536" s="255" t="n">
        <x:v>0.5923169833175199</x:v>
      </x:c>
      <x:c r="AA536" s="255" t="n">
        <x:v>0.13018310045231207</x:v>
      </x:c>
      <x:c r="AB536" s="255" t="n">
        <x:v>0.5894154886286863</x:v>
      </x:c>
    </x:row>
    <x:row r="537" ht="24" customHeight="1">
      <x:c r="C537" s="256" t="n">
        <x:f>506</x:f>
        <x:v>506</x:v>
      </x:c>
      <x:c r="D537" s="258" t="n">
        <x:f>IF(X537&lt;($E$12-$D$12)/($F$12-$D$12),$D$12+SQRT(X537*($F$12-$D$12)*($E$12-$D$12)),$F$12-SQRT((1-X537)*($F$12-$D$12)*($F$12-$E$12)))</x:f>
        <x:v>0.13684378876076325</x:v>
      </x:c>
      <x:c r="E537" s="258" t="n">
        <x:f>IF(Y537&lt;($E$13-$D$13)/($F$13-$D$13),$D$13+SQRT(Y537*($F$13-$D$13)*($E$13-$D$13)),$F$13-SQRT((1-Y537)*($F$13-$D$13)*($F$13-$E$13)))</x:f>
        <x:v>-0.018403005357870157</x:v>
      </x:c>
      <x:c r="F537" s="260" t="n">
        <x:f>IF(Z537&lt;($E$14-$D$14)/($F$14-$D$14),$D$14+SQRT(Z537*($F$14-$D$14)*($E$14-$D$14)),$F$14-SQRT((1-Z537)*($F$14-$D$14)*($F$14-$E$14)))</x:f>
        <x:v>1.0502959671975203</x:v>
      </x:c>
      <x:c r="G537" s="258" t="n">
        <x:f>IF(AA537&lt;($E$15-$D$15)/($F$15-$D$15),$D$15+SQRT(AA537*($F$15-$D$15)*($E$15-$D$15)),$F$15-SQRT((1-AA537)*($F$15-$D$15)*($F$15-$E$15)))</x:f>
        <x:v>0.10941722975885482</x:v>
      </x:c>
      <x:c r="H537" s="258" t="n">
        <x:f>IF(AB537&lt;($E$16-$D$16)/($F$16-$D$16),$D$16+SQRT(AB537*($F$16-$D$16)*($E$16-$D$16)),$F$16-SQRT((1-AB537)*($F$16-$D$16)*($F$16-$E$16)))</x:f>
        <x:v>0.028493637635718903</x:v>
      </x:c>
      <x:c r="I537" s="262" t="n">
        <x:f>'Historical Inputs'!$N$9*(1+D537)^5</x:f>
        <x:v>630131.7934256704</x:v>
      </x:c>
      <x:c r="J537" s="262" t="n">
        <x:f>I537*(1+H537)*('Terminal Value'!$E$10+E537)*(1-'Assumptions'!$E$15)*(1-H537/'Terminal Value'!$E$12)</x:f>
        <x:v>169659.49684795548</x:v>
      </x:c>
      <x:c r="K537" s="264" t="n">
        <x:f>((SUM((('Historical Inputs'!$N$9*(1+(D537))^1)*(('Assumptions'!E37+(E537))*(1-'Assumptions'!E42-(0))+'Assumptions'!E47-'Assumptions'!E52*(F537)+'Assumptions'!E57-'Assumptions'!E62*(1)-'Assumptions'!E67-(0))+('Working Capital'!$E$6))*'DCF'!E12/(1+(G537))^'DCF'!E13,(('Historical Inputs'!$N$9*(1+(D537))^2)*(('Assumptions'!F37+(E537))*(1-'Assumptions'!F42-(0))+'Assumptions'!F47-'Assumptions'!F52*(F537)+'Assumptions'!F57-'Assumptions'!F62*(1)-'Assumptions'!F67-(0))+(('Historical Inputs'!$N$9*(1+(D537))^1)*('Assumptions'!E67+(0))))*'DCF'!F12/(1+(G537))^'DCF'!F13,(('Historical Inputs'!$N$9*(1+(D537))^3)*(('Assumptions'!G37+(E537))*(1-'Assumptions'!G42-(0))+'Assumptions'!G47-'Assumptions'!G52*(F537)+'Assumptions'!G57-'Assumptions'!G62*(1)-'Assumptions'!G67-(0))+(('Historical Inputs'!$N$9*(1+(D537))^2)*('Assumptions'!F67+(0))))*'DCF'!G12/(1+(G537))^'DCF'!G13,(('Historical Inputs'!$N$9*(1+(D537))^4)*(('Assumptions'!H37+(E537))*(1-'Assumptions'!H42-(0))+'Assumptions'!H47-'Assumptions'!H52*(F537)+'Assumptions'!H57-'Assumptions'!H62*(1)-'Assumptions'!H67-(0))+(('Historical Inputs'!$N$9*(1+(D537))^3)*('Assumptions'!G67+(0))))*'DCF'!H12/(1+(G537))^'DCF'!H13,(('Historical Inputs'!$N$9*(1+(D537))^5)*(('Assumptions'!I37+(E537))*(1-'Assumptions'!I42-(0))+'Assumptions'!I47-'Assumptions'!I52*(F537)+'Assumptions'!I57-'Assumptions'!I62*(1)-'Assumptions'!I67-(0))+(('Historical Inputs'!$N$9*(1+(D537))^4)*('Assumptions'!H67+(0))))*'DCF'!I12/(1+(G537))^'DCF'!I13)+('Historical Inputs'!$N$9*(1+(D537))^5)*(1+(H537))*('Terminal Value'!$E$10+(E537))*(1-'Assumptions'!$E$15-(0))*(1-(H537)/('Terminal Value'!$E$12))/((G537)-(H537))/(1+(G537))^'DCF'!$E$19)+'Equity Bridge'!$E$17)/'Equity Bridge'!$E$20</x:f>
        <x:v>218.58181433862777</x:v>
      </x:c>
      <x:c r="X537" s="255" t="n">
        <x:v>0.379961250364074</x:v>
      </x:c>
      <x:c r="Y537" s="255" t="n">
        <x:v>0.19967401408295637</x:v>
      </x:c>
      <x:c r="Z537" s="255" t="n">
        <x:v>0.6798386080382008</x:v>
      </x:c>
      <x:c r="AA537" s="255" t="n">
        <x:v>0.9691960711644039</x:v>
      </x:c>
      <x:c r="AB537" s="255" t="n">
        <x:v>0.36070940143450325</x:v>
      </x:c>
    </x:row>
    <x:row r="538" ht="24" customHeight="1">
      <x:c r="C538" s="256" t="n">
        <x:f>507</x:f>
        <x:v>507</x:v>
      </x:c>
      <x:c r="D538" s="258" t="n">
        <x:f>IF(X538&lt;($E$12-$D$12)/($F$12-$D$12),$D$12+SQRT(X538*($F$12-$D$12)*($E$12-$D$12)),$F$12-SQRT((1-X538)*($F$12-$D$12)*($F$12-$E$12)))</x:f>
        <x:v>0.11697652905083203</x:v>
      </x:c>
      <x:c r="E538" s="258" t="n">
        <x:f>IF(Y538&lt;($E$13-$D$13)/($F$13-$D$13),$D$13+SQRT(Y538*($F$13-$D$13)*($E$13-$D$13)),$F$13-SQRT((1-Y538)*($F$13-$D$13)*($F$13-$E$13)))</x:f>
        <x:v>-0.030626578614901014</x:v>
      </x:c>
      <x:c r="F538" s="260" t="n">
        <x:f>IF(Z538&lt;($E$14-$D$14)/($F$14-$D$14),$D$14+SQRT(Z538*($F$14-$D$14)*($E$14-$D$14)),$F$14-SQRT((1-Z538)*($F$14-$D$14)*($F$14-$E$14)))</x:f>
        <x:v>1.1346436907053998</x:v>
      </x:c>
      <x:c r="G538" s="258" t="n">
        <x:f>IF(AA538&lt;($E$15-$D$15)/($F$15-$D$15),$D$15+SQRT(AA538*($F$15-$D$15)*($E$15-$D$15)),$F$15-SQRT((1-AA538)*($F$15-$D$15)*($F$15-$E$15)))</x:f>
        <x:v>0.0895328017727063</x:v>
      </x:c>
      <x:c r="H538" s="258" t="n">
        <x:f>IF(AB538&lt;($E$16-$D$16)/($F$16-$D$16),$D$16+SQRT(AB538*($F$16-$D$16)*($E$16-$D$16)),$F$16-SQRT((1-AB538)*($F$16-$D$16)*($F$16-$E$16)))</x:f>
        <x:v>0.025277271388551487</x:v>
      </x:c>
      <x:c r="I538" s="262" t="n">
        <x:f>'Historical Inputs'!$N$9*(1+D538)^5</x:f>
        <x:v>576962.6011794566</x:v>
      </x:c>
      <x:c r="J538" s="262" t="n">
        <x:f>I538*(1+H538)*('Terminal Value'!$E$10+E538)*(1-'Assumptions'!$E$15)*(1-H538/'Terminal Value'!$E$12)</x:f>
        <x:v>152708.7878221048</x:v>
      </x:c>
      <x:c r="K538" s="264" t="n">
        <x:f>((SUM((('Historical Inputs'!$N$9*(1+(D538))^1)*(('Assumptions'!E37+(E538))*(1-'Assumptions'!E42-(0))+'Assumptions'!E47-'Assumptions'!E52*(F538)+'Assumptions'!E57-'Assumptions'!E62*(1)-'Assumptions'!E67-(0))+('Working Capital'!$E$6))*'DCF'!E12/(1+(G538))^'DCF'!E13,(('Historical Inputs'!$N$9*(1+(D538))^2)*(('Assumptions'!F37+(E538))*(1-'Assumptions'!F42-(0))+'Assumptions'!F47-'Assumptions'!F52*(F538)+'Assumptions'!F57-'Assumptions'!F62*(1)-'Assumptions'!F67-(0))+(('Historical Inputs'!$N$9*(1+(D538))^1)*('Assumptions'!E67+(0))))*'DCF'!F12/(1+(G538))^'DCF'!F13,(('Historical Inputs'!$N$9*(1+(D538))^3)*(('Assumptions'!G37+(E538))*(1-'Assumptions'!G42-(0))+'Assumptions'!G47-'Assumptions'!G52*(F538)+'Assumptions'!G57-'Assumptions'!G62*(1)-'Assumptions'!G67-(0))+(('Historical Inputs'!$N$9*(1+(D538))^2)*('Assumptions'!F67+(0))))*'DCF'!G12/(1+(G538))^'DCF'!G13,(('Historical Inputs'!$N$9*(1+(D538))^4)*(('Assumptions'!H37+(E538))*(1-'Assumptions'!H42-(0))+'Assumptions'!H47-'Assumptions'!H52*(F538)+'Assumptions'!H57-'Assumptions'!H62*(1)-'Assumptions'!H67-(0))+(('Historical Inputs'!$N$9*(1+(D538))^3)*('Assumptions'!G67+(0))))*'DCF'!H12/(1+(G538))^'DCF'!H13,(('Historical Inputs'!$N$9*(1+(D538))^5)*(('Assumptions'!I37+(E538))*(1-'Assumptions'!I42-(0))+'Assumptions'!I47-'Assumptions'!I52*(F538)+'Assumptions'!I57-'Assumptions'!I62*(1)-'Assumptions'!I67-(0))+(('Historical Inputs'!$N$9*(1+(D538))^4)*('Assumptions'!H67+(0))))*'DCF'!I12/(1+(G538))^'DCF'!I13)+('Historical Inputs'!$N$9*(1+(D538))^5)*(1+(H538))*('Terminal Value'!$E$10+(E538))*(1-'Assumptions'!$E$15-(0))*(1-(H538)/('Terminal Value'!$E$12))/((G538)-(H538))/(1+(G538))^'DCF'!$E$19)+'Equity Bridge'!$E$17)/'Equity Bridge'!$E$20</x:f>
        <x:v>250.9917932670935</x:v>
      </x:c>
      <x:c r="X538" s="255" t="n">
        <x:v>0.11252300459722753</x:v>
      </x:c>
      <x:c r="Y538" s="255" t="n">
        <x:v>0.07506589123292218</x:v>
      </x:c>
      <x:c r="Z538" s="255" t="n">
        <x:v>0.9389793262198368</x:v>
      </x:c>
      <x:c r="AA538" s="255" t="n">
        <x:v>0.09080709562852729</x:v>
      </x:c>
      <x:c r="AB538" s="255" t="n">
        <x:v>0.1392479665421208</x:v>
      </x:c>
    </x:row>
    <x:row r="539" ht="24" customHeight="1">
      <x:c r="C539" s="256" t="n">
        <x:f>508</x:f>
        <x:v>508</x:v>
      </x:c>
      <x:c r="D539" s="258" t="n">
        <x:f>IF(X539&lt;($E$12-$D$12)/($F$12-$D$12),$D$12+SQRT(X539*($F$12-$D$12)*($E$12-$D$12)),$F$12-SQRT((1-X539)*($F$12-$D$12)*($F$12-$E$12)))</x:f>
        <x:v>0.15064093189979919</x:v>
      </x:c>
      <x:c r="E539" s="258" t="n">
        <x:f>IF(Y539&lt;($E$13-$D$13)/($F$13-$D$13),$D$13+SQRT(Y539*($F$13-$D$13)*($E$13-$D$13)),$F$13-SQRT((1-Y539)*($F$13-$D$13)*($F$13-$E$13)))</x:f>
        <x:v>-0.031937180390392575</x:v>
      </x:c>
      <x:c r="F539" s="260" t="n">
        <x:f>IF(Z539&lt;($E$14-$D$14)/($F$14-$D$14),$D$14+SQRT(Z539*($F$14-$D$14)*($E$14-$D$14)),$F$14-SQRT((1-Z539)*($F$14-$D$14)*($F$14-$E$14)))</x:f>
        <x:v>1.0221566708846994</x:v>
      </x:c>
      <x:c r="G539" s="258" t="n">
        <x:f>IF(AA539&lt;($E$15-$D$15)/($F$15-$D$15),$D$15+SQRT(AA539*($F$15-$D$15)*($E$15-$D$15)),$F$15-SQRT((1-AA539)*($F$15-$D$15)*($F$15-$E$15)))</x:f>
        <x:v>0.1004281665696031</x:v>
      </x:c>
      <x:c r="H539" s="258" t="n">
        <x:f>IF(AB539&lt;($E$16-$D$16)/($F$16-$D$16),$D$16+SQRT(AB539*($F$16-$D$16)*($E$16-$D$16)),$F$16-SQRT((1-AB539)*($F$16-$D$16)*($F$16-$E$16)))</x:f>
        <x:v>0.02944703986361693</x:v>
      </x:c>
      <x:c r="I539" s="262" t="n">
        <x:f>'Historical Inputs'!$N$9*(1+D539)^5</x:f>
        <x:v>669308.7795869592</x:v>
      </x:c>
      <x:c r="J539" s="262" t="n">
        <x:f>I539*(1+H539)*('Terminal Value'!$E$10+E539)*(1-'Assumptions'!$E$15)*(1-H539/'Terminal Value'!$E$12)</x:f>
        <x:v>173010.20972600108</x:v>
      </x:c>
      <x:c r="K539" s="264" t="n">
        <x:f>((SUM((('Historical Inputs'!$N$9*(1+(D539))^1)*(('Assumptions'!E37+(E539))*(1-'Assumptions'!E42-(0))+'Assumptions'!E47-'Assumptions'!E52*(F539)+'Assumptions'!E57-'Assumptions'!E62*(1)-'Assumptions'!E67-(0))+('Working Capital'!$E$6))*'DCF'!E12/(1+(G539))^'DCF'!E13,(('Historical Inputs'!$N$9*(1+(D539))^2)*(('Assumptions'!F37+(E539))*(1-'Assumptions'!F42-(0))+'Assumptions'!F47-'Assumptions'!F52*(F539)+'Assumptions'!F57-'Assumptions'!F62*(1)-'Assumptions'!F67-(0))+(('Historical Inputs'!$N$9*(1+(D539))^1)*('Assumptions'!E67+(0))))*'DCF'!F12/(1+(G539))^'DCF'!F13,(('Historical Inputs'!$N$9*(1+(D539))^3)*(('Assumptions'!G37+(E539))*(1-'Assumptions'!G42-(0))+'Assumptions'!G47-'Assumptions'!G52*(F539)+'Assumptions'!G57-'Assumptions'!G62*(1)-'Assumptions'!G67-(0))+(('Historical Inputs'!$N$9*(1+(D539))^2)*('Assumptions'!F67+(0))))*'DCF'!G12/(1+(G539))^'DCF'!G13,(('Historical Inputs'!$N$9*(1+(D539))^4)*(('Assumptions'!H37+(E539))*(1-'Assumptions'!H42-(0))+'Assumptions'!H47-'Assumptions'!H52*(F539)+'Assumptions'!H57-'Assumptions'!H62*(1)-'Assumptions'!H67-(0))+(('Historical Inputs'!$N$9*(1+(D539))^3)*('Assumptions'!G67+(0))))*'DCF'!H12/(1+(G539))^'DCF'!H13,(('Historical Inputs'!$N$9*(1+(D539))^5)*(('Assumptions'!I37+(E539))*(1-'Assumptions'!I42-(0))+'Assumptions'!I47-'Assumptions'!I52*(F539)+'Assumptions'!I57-'Assumptions'!I62*(1)-'Assumptions'!I67-(0))+(('Historical Inputs'!$N$9*(1+(D539))^4)*('Assumptions'!H67+(0))))*'DCF'!I12/(1+(G539))^'DCF'!I13)+('Historical Inputs'!$N$9*(1+(D539))^5)*(1+(H539))*('Terminal Value'!$E$10+(E539))*(1-'Assumptions'!$E$15-(0))*(1-(H539)/('Terminal Value'!$E$12))/((G539)-(H539))/(1+(G539))^'DCF'!$E$19)+'Equity Bridge'!$E$17)/'Equity Bridge'!$E$20</x:f>
        <x:v>256.74445045238247</x:v>
      </x:c>
      <x:c r="X539" s="255" t="n">
        <x:v>0.6367737758794152</x:v>
      </x:c>
      <x:c r="Y539" s="255" t="n">
        <x:v>0.06525309044984373</x:v>
      </x:c>
      <x:c r="Z539" s="255" t="n">
        <x:v>0.5481678612740979</x:v>
      </x:c>
      <x:c r="AA539" s="255" t="n">
        <x:v>0.6408886710432004</x:v>
      </x:c>
      <x:c r="AB539" s="255" t="n">
        <x:v>0.4462328109238367</x:v>
      </x:c>
    </x:row>
    <x:row r="540" ht="24" customHeight="1">
      <x:c r="C540" s="256" t="n">
        <x:f>509</x:f>
        <x:v>509</x:v>
      </x:c>
      <x:c r="D540" s="258" t="n">
        <x:f>IF(X540&lt;($E$12-$D$12)/($F$12-$D$12),$D$12+SQRT(X540*($F$12-$D$12)*($E$12-$D$12)),$F$12-SQRT((1-X540)*($F$12-$D$12)*($F$12-$E$12)))</x:f>
        <x:v>0.11889935192058249</x:v>
      </x:c>
      <x:c r="E540" s="258" t="n">
        <x:f>IF(Y540&lt;($E$13-$D$13)/($F$13-$D$13),$D$13+SQRT(Y540*($F$13-$D$13)*($E$13-$D$13)),$F$13-SQRT((1-Y540)*($F$13-$D$13)*($F$13-$E$13)))</x:f>
        <x:v>0.003657168090596165</x:v>
      </x:c>
      <x:c r="F540" s="260" t="n">
        <x:f>IF(Z540&lt;($E$14-$D$14)/($F$14-$D$14),$D$14+SQRT(Z540*($F$14-$D$14)*($E$14-$D$14)),$F$14-SQRT((1-Z540)*($F$14-$D$14)*($F$14-$E$14)))</x:f>
        <x:v>0.9209812069234508</x:v>
      </x:c>
      <x:c r="G540" s="258" t="n">
        <x:f>IF(AA540&lt;($E$15-$D$15)/($F$15-$D$15),$D$15+SQRT(AA540*($F$15-$D$15)*($E$15-$D$15)),$F$15-SQRT((1-AA540)*($F$15-$D$15)*($F$15-$E$15)))</x:f>
        <x:v>0.1081236217381732</x:v>
      </x:c>
      <x:c r="H540" s="258" t="n">
        <x:f>IF(AB540&lt;($E$16-$D$16)/($F$16-$D$16),$D$16+SQRT(AB540*($F$16-$D$16)*($E$16-$D$16)),$F$16-SQRT((1-AB540)*($F$16-$D$16)*($F$16-$E$16)))</x:f>
        <x:v>0.026211385783410743</x:v>
      </x:c>
      <x:c r="I540" s="262" t="n">
        <x:f>'Historical Inputs'!$N$9*(1+D540)^5</x:f>
        <x:v>581945.7990630078</x:v>
      </x:c>
      <x:c r="J540" s="262" t="n">
        <x:f>I540*(1+H540)*('Terminal Value'!$E$10+E540)*(1-'Assumptions'!$E$15)*(1-H540/'Terminal Value'!$E$12)</x:f>
        <x:v>167576.5892586504</x:v>
      </x:c>
      <x:c r="K540" s="264" t="n">
        <x:f>((SUM((('Historical Inputs'!$N$9*(1+(D540))^1)*(('Assumptions'!E37+(E540))*(1-'Assumptions'!E42-(0))+'Assumptions'!E47-'Assumptions'!E52*(F540)+'Assumptions'!E57-'Assumptions'!E62*(1)-'Assumptions'!E67-(0))+('Working Capital'!$E$6))*'DCF'!E12/(1+(G540))^'DCF'!E13,(('Historical Inputs'!$N$9*(1+(D540))^2)*(('Assumptions'!F37+(E540))*(1-'Assumptions'!F42-(0))+'Assumptions'!F47-'Assumptions'!F52*(F540)+'Assumptions'!F57-'Assumptions'!F62*(1)-'Assumptions'!F67-(0))+(('Historical Inputs'!$N$9*(1+(D540))^1)*('Assumptions'!E67+(0))))*'DCF'!F12/(1+(G540))^'DCF'!F13,(('Historical Inputs'!$N$9*(1+(D540))^3)*(('Assumptions'!G37+(E540))*(1-'Assumptions'!G42-(0))+'Assumptions'!G47-'Assumptions'!G52*(F540)+'Assumptions'!G57-'Assumptions'!G62*(1)-'Assumptions'!G67-(0))+(('Historical Inputs'!$N$9*(1+(D540))^2)*('Assumptions'!F67+(0))))*'DCF'!G12/(1+(G540))^'DCF'!G13,(('Historical Inputs'!$N$9*(1+(D540))^4)*(('Assumptions'!H37+(E540))*(1-'Assumptions'!H42-(0))+'Assumptions'!H47-'Assumptions'!H52*(F540)+'Assumptions'!H57-'Assumptions'!H62*(1)-'Assumptions'!H67-(0))+(('Historical Inputs'!$N$9*(1+(D540))^3)*('Assumptions'!G67+(0))))*'DCF'!H12/(1+(G540))^'DCF'!H13,(('Historical Inputs'!$N$9*(1+(D540))^5)*(('Assumptions'!I37+(E540))*(1-'Assumptions'!I42-(0))+'Assumptions'!I47-'Assumptions'!I52*(F540)+'Assumptions'!I57-'Assumptions'!I62*(1)-'Assumptions'!I67-(0))+(('Historical Inputs'!$N$9*(1+(D540))^4)*('Assumptions'!H67+(0))))*'DCF'!I12/(1+(G540))^'DCF'!I13)+('Historical Inputs'!$N$9*(1+(D540))^5)*(1+(H540))*('Terminal Value'!$E$10+(E540))*(1-'Assumptions'!$E$15-(0))*(1-(H540)/('Terminal Value'!$E$12))/((G540)-(H540))/(1+(G540))^'DCF'!$E$19)+'Equity Bridge'!$E$17)/'Equity Bridge'!$E$20</x:f>
        <x:v>224.54469694610825</x:v>
      </x:c>
      <x:c r="X540" s="255" t="n">
        <x:v>0.13150581853531773</x:v>
      </x:c>
      <x:c r="Y540" s="255" t="n">
        <x:v>0.5704683861233483</x:v>
      </x:c>
      <x:c r="Z540" s="255" t="n">
        <x:v>0.095968223548757</x:v>
      </x:c>
      <x:c r="AA540" s="255" t="n">
        <x:v>0.9440716533132052</x:v>
      </x:c>
      <x:c r="AB540" s="255" t="n">
        <x:v>0.19290656675178552</x:v>
      </x:c>
    </x:row>
    <x:row r="541" ht="24" customHeight="1">
      <x:c r="C541" s="256" t="n">
        <x:f>510</x:f>
        <x:v>510</x:v>
      </x:c>
      <x:c r="D541" s="258" t="n">
        <x:f>IF(X541&lt;($E$12-$D$12)/($F$12-$D$12),$D$12+SQRT(X541*($F$12-$D$12)*($E$12-$D$12)),$F$12-SQRT((1-X541)*($F$12-$D$12)*($F$12-$E$12)))</x:f>
        <x:v>0.14131155906105491</x:v>
      </x:c>
      <x:c r="E541" s="258" t="n">
        <x:f>IF(Y541&lt;($E$13-$D$13)/($F$13-$D$13),$D$13+SQRT(Y541*($F$13-$D$13)*($E$13-$D$13)),$F$13-SQRT((1-Y541)*($F$13-$D$13)*($F$13-$E$13)))</x:f>
        <x:v>0.0016518393317296876</x:v>
      </x:c>
      <x:c r="F541" s="260" t="n">
        <x:f>IF(Z541&lt;($E$14-$D$14)/($F$14-$D$14),$D$14+SQRT(Z541*($F$14-$D$14)*($E$14-$D$14)),$F$14-SQRT((1-Z541)*($F$14-$D$14)*($F$14-$E$14)))</x:f>
        <x:v>0.9357709408210189</x:v>
      </x:c>
      <x:c r="G541" s="258" t="n">
        <x:f>IF(AA541&lt;($E$15-$D$15)/($F$15-$D$15),$D$15+SQRT(AA541*($F$15-$D$15)*($E$15-$D$15)),$F$15-SQRT((1-AA541)*($F$15-$D$15)*($F$15-$E$15)))</x:f>
        <x:v>0.09797240083680386</x:v>
      </x:c>
      <x:c r="H541" s="258" t="n">
        <x:f>IF(AB541&lt;($E$16-$D$16)/($F$16-$D$16),$D$16+SQRT(AB541*($F$16-$D$16)*($E$16-$D$16)),$F$16-SQRT((1-AB541)*($F$16-$D$16)*($F$16-$E$16)))</x:f>
        <x:v>0.03287174234990821</x:v>
      </x:c>
      <x:c r="I541" s="262" t="n">
        <x:f>'Historical Inputs'!$N$9*(1+D541)^5</x:f>
        <x:v>642611.5170207345</x:v>
      </x:c>
      <x:c r="J541" s="262" t="n">
        <x:f>I541*(1+H541)*('Terminal Value'!$E$10+E541)*(1-'Assumptions'!$E$15)*(1-H541/'Terminal Value'!$E$12)</x:f>
        <x:v>178219.21969659743</x:v>
      </x:c>
      <x:c r="K541" s="264" t="n">
        <x:f>((SUM((('Historical Inputs'!$N$9*(1+(D541))^1)*(('Assumptions'!E37+(E541))*(1-'Assumptions'!E42-(0))+'Assumptions'!E47-'Assumptions'!E52*(F541)+'Assumptions'!E57-'Assumptions'!E62*(1)-'Assumptions'!E67-(0))+('Working Capital'!$E$6))*'DCF'!E12/(1+(G541))^'DCF'!E13,(('Historical Inputs'!$N$9*(1+(D541))^2)*(('Assumptions'!F37+(E541))*(1-'Assumptions'!F42-(0))+'Assumptions'!F47-'Assumptions'!F52*(F541)+'Assumptions'!F57-'Assumptions'!F62*(1)-'Assumptions'!F67-(0))+(('Historical Inputs'!$N$9*(1+(D541))^1)*('Assumptions'!E67+(0))))*'DCF'!F12/(1+(G541))^'DCF'!F13,(('Historical Inputs'!$N$9*(1+(D541))^3)*(('Assumptions'!G37+(E541))*(1-'Assumptions'!G42-(0))+'Assumptions'!G47-'Assumptions'!G52*(F541)+'Assumptions'!G57-'Assumptions'!G62*(1)-'Assumptions'!G67-(0))+(('Historical Inputs'!$N$9*(1+(D541))^2)*('Assumptions'!F67+(0))))*'DCF'!G12/(1+(G541))^'DCF'!G13,(('Historical Inputs'!$N$9*(1+(D541))^4)*(('Assumptions'!H37+(E541))*(1-'Assumptions'!H42-(0))+'Assumptions'!H47-'Assumptions'!H52*(F541)+'Assumptions'!H57-'Assumptions'!H62*(1)-'Assumptions'!H67-(0))+(('Historical Inputs'!$N$9*(1+(D541))^3)*('Assumptions'!G67+(0))))*'DCF'!H12/(1+(G541))^'DCF'!H13,(('Historical Inputs'!$N$9*(1+(D541))^5)*(('Assumptions'!I37+(E541))*(1-'Assumptions'!I42-(0))+'Assumptions'!I47-'Assumptions'!I52*(F541)+'Assumptions'!I57-'Assumptions'!I62*(1)-'Assumptions'!I67-(0))+(('Historical Inputs'!$N$9*(1+(D541))^4)*('Assumptions'!H67+(0))))*'DCF'!I12/(1+(G541))^'DCF'!I13)+('Historical Inputs'!$N$9*(1+(D541))^5)*(1+(H541))*('Terminal Value'!$E$10+(E541))*(1-'Assumptions'!$E$15-(0))*(1-(H541)/('Terminal Value'!$E$12))/((G541)-(H541))/(1+(G541))^'DCF'!$E$19)+'Equity Bridge'!$E$17)/'Equity Bridge'!$E$20</x:f>
        <x:v>296.0426983260102</x:v>
      </x:c>
      <x:c r="X541" s="255" t="n">
        <x:v>0.46184770977395306</x:v>
      </x:c>
      <x:c r="Y541" s="255" t="n">
        <x:v>0.5324910719990239</x:v>
      </x:c>
      <x:c r="Z541" s="255" t="n">
        <x:v>0.14012674836805183</x:v>
      </x:c>
      <x:c r="AA541" s="255" t="n">
        <x:v>0.48886479949986716</x:v>
      </x:c>
      <x:c r="AB541" s="255" t="n">
        <x:v>0.7459397143695395</x:v>
      </x:c>
    </x:row>
    <x:row r="542" ht="24" customHeight="1">
      <x:c r="C542" s="256" t="n">
        <x:f>511</x:f>
        <x:v>511</x:v>
      </x:c>
      <x:c r="D542" s="258" t="n">
        <x:f>IF(X542&lt;($E$12-$D$12)/($F$12-$D$12),$D$12+SQRT(X542*($F$12-$D$12)*($E$12-$D$12)),$F$12-SQRT((1-X542)*($F$12-$D$12)*($F$12-$E$12)))</x:f>
        <x:v>0.13508548165925635</x:v>
      </x:c>
      <x:c r="E542" s="258" t="n">
        <x:f>IF(Y542&lt;($E$13-$D$13)/($F$13-$D$13),$D$13+SQRT(Y542*($F$13-$D$13)*($E$13-$D$13)),$F$13-SQRT((1-Y542)*($F$13-$D$13)*($F$13-$E$13)))</x:f>
        <x:v>0.03082812840395354</x:v>
      </x:c>
      <x:c r="F542" s="260" t="n">
        <x:f>IF(Z542&lt;($E$14-$D$14)/($F$14-$D$14),$D$14+SQRT(Z542*($F$14-$D$14)*($E$14-$D$14)),$F$14-SQRT((1-Z542)*($F$14-$D$14)*($F$14-$E$14)))</x:f>
        <x:v>1.0007720160937557</x:v>
      </x:c>
      <x:c r="G542" s="258" t="n">
        <x:f>IF(AA542&lt;($E$15-$D$15)/($F$15-$D$15),$D$15+SQRT(AA542*($F$15-$D$15)*($E$15-$D$15)),$F$15-SQRT((1-AA542)*($F$15-$D$15)*($F$15-$E$15)))</x:f>
        <x:v>0.10553793246824826</x:v>
      </x:c>
      <x:c r="H542" s="258" t="n">
        <x:f>IF(AB542&lt;($E$16-$D$16)/($F$16-$D$16),$D$16+SQRT(AB542*($F$16-$D$16)*($E$16-$D$16)),$F$16-SQRT((1-AB542)*($F$16-$D$16)*($F$16-$E$16)))</x:f>
        <x:v>0.029489834609387193</x:v>
      </x:c>
      <x:c r="I542" s="262" t="n">
        <x:f>'Historical Inputs'!$N$9*(1+D542)^5</x:f>
        <x:v>625273.8559006518</x:v>
      </x:c>
      <x:c r="J542" s="262" t="n">
        <x:f>I542*(1+H542)*('Terminal Value'!$E$10+E542)*(1-'Assumptions'!$E$15)*(1-H542/'Terminal Value'!$E$12)</x:f>
        <x:v>189150.13263039527</x:v>
      </x:c>
      <x:c r="K542" s="264" t="n">
        <x:f>((SUM((('Historical Inputs'!$N$9*(1+(D542))^1)*(('Assumptions'!E37+(E542))*(1-'Assumptions'!E42-(0))+'Assumptions'!E47-'Assumptions'!E52*(F542)+'Assumptions'!E57-'Assumptions'!E62*(1)-'Assumptions'!E67-(0))+('Working Capital'!$E$6))*'DCF'!E12/(1+(G542))^'DCF'!E13,(('Historical Inputs'!$N$9*(1+(D542))^2)*(('Assumptions'!F37+(E542))*(1-'Assumptions'!F42-(0))+'Assumptions'!F47-'Assumptions'!F52*(F542)+'Assumptions'!F57-'Assumptions'!F62*(1)-'Assumptions'!F67-(0))+(('Historical Inputs'!$N$9*(1+(D542))^1)*('Assumptions'!E67+(0))))*'DCF'!F12/(1+(G542))^'DCF'!F13,(('Historical Inputs'!$N$9*(1+(D542))^3)*(('Assumptions'!G37+(E542))*(1-'Assumptions'!G42-(0))+'Assumptions'!G47-'Assumptions'!G52*(F542)+'Assumptions'!G57-'Assumptions'!G62*(1)-'Assumptions'!G67-(0))+(('Historical Inputs'!$N$9*(1+(D542))^2)*('Assumptions'!F67+(0))))*'DCF'!G12/(1+(G542))^'DCF'!G13,(('Historical Inputs'!$N$9*(1+(D542))^4)*(('Assumptions'!H37+(E542))*(1-'Assumptions'!H42-(0))+'Assumptions'!H47-'Assumptions'!H52*(F542)+'Assumptions'!H57-'Assumptions'!H62*(1)-'Assumptions'!H67-(0))+(('Historical Inputs'!$N$9*(1+(D542))^3)*('Assumptions'!G67+(0))))*'DCF'!H12/(1+(G542))^'DCF'!H13,(('Historical Inputs'!$N$9*(1+(D542))^5)*(('Assumptions'!I37+(E542))*(1-'Assumptions'!I42-(0))+'Assumptions'!I47-'Assumptions'!I52*(F542)+'Assumptions'!I57-'Assumptions'!I62*(1)-'Assumptions'!I67-(0))+(('Historical Inputs'!$N$9*(1+(D542))^4)*('Assumptions'!H67+(0))))*'DCF'!I12/(1+(G542))^'DCF'!I13)+('Historical Inputs'!$N$9*(1+(D542))^5)*(1+(H542))*('Terminal Value'!$E$10+(E542))*(1-'Assumptions'!$E$15-(0))*(1-(H542)/('Terminal Value'!$E$12))/((G542)-(H542))/(1+(G542))^'DCF'!$E$19)+'Equity Bridge'!$E$17)/'Equity Bridge'!$E$20</x:f>
        <x:v>267.0643360781786</x:v>
      </x:c>
      <x:c r="X542" s="255" t="n">
        <x:v>0.34992401040350796</x:v>
      </x:c>
      <x:c r="Y542" s="255" t="n">
        <x:v>0.9264878679009414</x:v>
      </x:c>
      <x:c r="Z542" s="255" t="n">
        <x:v>0.4329744346950466</x:v>
      </x:c>
      <x:c r="AA542" s="255" t="n">
        <x:v>0.871562120790374</x:v>
      </x:c>
      <x:c r="AB542" s="255" t="n">
        <x:v>0.45028480456761477</x:v>
      </x:c>
    </x:row>
    <x:row r="543" ht="24" customHeight="1">
      <x:c r="C543" s="256" t="n">
        <x:f>512</x:f>
        <x:v>512</x:v>
      </x:c>
      <x:c r="D543" s="258" t="n">
        <x:f>IF(X543&lt;($E$12-$D$12)/($F$12-$D$12),$D$12+SQRT(X543*($F$12-$D$12)*($E$12-$D$12)),$F$12-SQRT((1-X543)*($F$12-$D$12)*($F$12-$E$12)))</x:f>
        <x:v>0.12698278075975228</x:v>
      </x:c>
      <x:c r="E543" s="258" t="n">
        <x:f>IF(Y543&lt;($E$13-$D$13)/($F$13-$D$13),$D$13+SQRT(Y543*($F$13-$D$13)*($E$13-$D$13)),$F$13-SQRT((1-Y543)*($F$13-$D$13)*($F$13-$E$13)))</x:f>
        <x:v>-0.020617791725896232</x:v>
      </x:c>
      <x:c r="F543" s="260" t="n">
        <x:f>IF(Z543&lt;($E$14-$D$14)/($F$14-$D$14),$D$14+SQRT(Z543*($F$14-$D$14)*($E$14-$D$14)),$F$14-SQRT((1-Z543)*($F$14-$D$14)*($F$14-$E$14)))</x:f>
        <x:v>1.1580665251392337</x:v>
      </x:c>
      <x:c r="G543" s="258" t="n">
        <x:f>IF(AA543&lt;($E$15-$D$15)/($F$15-$D$15),$D$15+SQRT(AA543*($F$15-$D$15)*($E$15-$D$15)),$F$15-SQRT((1-AA543)*($F$15-$D$15)*($F$15-$E$15)))</x:f>
        <x:v>0.10520362013952785</x:v>
      </x:c>
      <x:c r="H543" s="258" t="n">
        <x:f>IF(AB543&lt;($E$16-$D$16)/($F$16-$D$16),$D$16+SQRT(AB543*($F$16-$D$16)*($E$16-$D$16)),$F$16-SQRT((1-AB543)*($F$16-$D$16)*($F$16-$E$16)))</x:f>
        <x:v>0.036974402493888364</x:v>
      </x:c>
      <x:c r="I543" s="262" t="n">
        <x:f>'Historical Inputs'!$N$9*(1+D543)^5</x:f>
        <x:v>603272.9164493809</x:v>
      </x:c>
      <x:c r="J543" s="262" t="n">
        <x:f>I543*(1+H543)*('Terminal Value'!$E$10+E543)*(1-'Assumptions'!$E$15)*(1-H543/'Terminal Value'!$E$12)</x:f>
        <x:v>154765.66441084983</x:v>
      </x:c>
      <x:c r="K543" s="264" t="n">
        <x:f>((SUM((('Historical Inputs'!$N$9*(1+(D543))^1)*(('Assumptions'!E37+(E543))*(1-'Assumptions'!E42-(0))+'Assumptions'!E47-'Assumptions'!E52*(F543)+'Assumptions'!E57-'Assumptions'!E62*(1)-'Assumptions'!E67-(0))+('Working Capital'!$E$6))*'DCF'!E12/(1+(G543))^'DCF'!E13,(('Historical Inputs'!$N$9*(1+(D543))^2)*(('Assumptions'!F37+(E543))*(1-'Assumptions'!F42-(0))+'Assumptions'!F47-'Assumptions'!F52*(F543)+'Assumptions'!F57-'Assumptions'!F62*(1)-'Assumptions'!F67-(0))+(('Historical Inputs'!$N$9*(1+(D543))^1)*('Assumptions'!E67+(0))))*'DCF'!F12/(1+(G543))^'DCF'!F13,(('Historical Inputs'!$N$9*(1+(D543))^3)*(('Assumptions'!G37+(E543))*(1-'Assumptions'!G42-(0))+'Assumptions'!G47-'Assumptions'!G52*(F543)+'Assumptions'!G57-'Assumptions'!G62*(1)-'Assumptions'!G67-(0))+(('Historical Inputs'!$N$9*(1+(D543))^2)*('Assumptions'!F67+(0))))*'DCF'!G12/(1+(G543))^'DCF'!G13,(('Historical Inputs'!$N$9*(1+(D543))^4)*(('Assumptions'!H37+(E543))*(1-'Assumptions'!H42-(0))+'Assumptions'!H47-'Assumptions'!H52*(F543)+'Assumptions'!H57-'Assumptions'!H62*(1)-'Assumptions'!H67-(0))+(('Historical Inputs'!$N$9*(1+(D543))^3)*('Assumptions'!G67+(0))))*'DCF'!H12/(1+(G543))^'DCF'!H13,(('Historical Inputs'!$N$9*(1+(D543))^5)*(('Assumptions'!I37+(E543))*(1-'Assumptions'!I42-(0))+'Assumptions'!I47-'Assumptions'!I52*(F543)+'Assumptions'!I57-'Assumptions'!I62*(1)-'Assumptions'!I67-(0))+(('Historical Inputs'!$N$9*(1+(D543))^4)*('Assumptions'!H67+(0))))*'DCF'!I12/(1+(G543))^'DCF'!I13)+('Historical Inputs'!$N$9*(1+(D543))^5)*(1+(H543))*('Terminal Value'!$E$10+(E543))*(1-'Assumptions'!$E$15-(0))*(1-(H543)/('Terminal Value'!$E$12))/((G543)-(H543))/(1+(G543))^'DCF'!$E$19)+'Equity Bridge'!$E$17)/'Equity Bridge'!$E$20</x:f>
        <x:v>228.21066395470498</x:v>
      </x:c>
      <x:c r="X543" s="255" t="n">
        <x:v>0.2274853631307403</x:v>
      </x:c>
      <x:c r="Y543" s="255" t="n">
        <x:v>0.17266283261256243</x:v>
      </x:c>
      <x:c r="Z543" s="255" t="n">
        <x:v>0.9748797669443068</x:v>
      </x:c>
      <x:c r="AA543" s="255" t="n">
        <x:v>0.860017806458196</x:v>
      </x:c>
      <x:c r="AB543" s="255" t="n">
        <x:v>0.9542287986550553</x:v>
      </x:c>
    </x:row>
    <x:row r="544" ht="24" customHeight="1">
      <x:c r="C544" s="256" t="n">
        <x:f>513</x:f>
        <x:v>513</x:v>
      </x:c>
      <x:c r="D544" s="258" t="n">
        <x:f>IF(X544&lt;($E$12-$D$12)/($F$12-$D$12),$D$12+SQRT(X544*($F$12-$D$12)*($E$12-$D$12)),$F$12-SQRT((1-X544)*($F$12-$D$12)*($F$12-$E$12)))</x:f>
        <x:v>0.13306239408530277</x:v>
      </x:c>
      <x:c r="E544" s="258" t="n">
        <x:f>IF(Y544&lt;($E$13-$D$13)/($F$13-$D$13),$D$13+SQRT(Y544*($F$13-$D$13)*($E$13-$D$13)),$F$13-SQRT((1-Y544)*($F$13-$D$13)*($F$13-$E$13)))</x:f>
        <x:v>-0.013077550315403114</x:v>
      </x:c>
      <x:c r="F544" s="260" t="n">
        <x:f>IF(Z544&lt;($E$14-$D$14)/($F$14-$D$14),$D$14+SQRT(Z544*($F$14-$D$14)*($E$14-$D$14)),$F$14-SQRT((1-Z544)*($F$14-$D$14)*($F$14-$E$14)))</x:f>
        <x:v>1.0416426708681639</x:v>
      </x:c>
      <x:c r="G544" s="258" t="n">
        <x:f>IF(AA544&lt;($E$15-$D$15)/($F$15-$D$15),$D$15+SQRT(AA544*($F$15-$D$15)*($E$15-$D$15)),$F$15-SQRT((1-AA544)*($F$15-$D$15)*($F$15-$E$15)))</x:f>
        <x:v>0.08618219141966822</x:v>
      </x:c>
      <x:c r="H544" s="258" t="n">
        <x:f>IF(AB544&lt;($E$16-$D$16)/($F$16-$D$16),$D$16+SQRT(AB544*($F$16-$D$16)*($E$16-$D$16)),$F$16-SQRT((1-AB544)*($F$16-$D$16)*($F$16-$E$16)))</x:f>
        <x:v>0.023363134733770743</x:v>
      </x:c>
      <x:c r="I544" s="262" t="n">
        <x:f>'Historical Inputs'!$N$9*(1+D544)^5</x:f>
        <x:v>619721.4873696719</x:v>
      </x:c>
      <x:c r="J544" s="262" t="n">
        <x:f>I544*(1+H544)*('Terminal Value'!$E$10+E544)*(1-'Assumptions'!$E$15)*(1-H544/'Terminal Value'!$E$12)</x:f>
        <x:v>173377.04291109907</x:v>
      </x:c>
      <x:c r="K544" s="264" t="n">
        <x:f>((SUM((('Historical Inputs'!$N$9*(1+(D544))^1)*(('Assumptions'!E37+(E544))*(1-'Assumptions'!E42-(0))+'Assumptions'!E47-'Assumptions'!E52*(F544)+'Assumptions'!E57-'Assumptions'!E62*(1)-'Assumptions'!E67-(0))+('Working Capital'!$E$6))*'DCF'!E12/(1+(G544))^'DCF'!E13,(('Historical Inputs'!$N$9*(1+(D544))^2)*(('Assumptions'!F37+(E544))*(1-'Assumptions'!F42-(0))+'Assumptions'!F47-'Assumptions'!F52*(F544)+'Assumptions'!F57-'Assumptions'!F62*(1)-'Assumptions'!F67-(0))+(('Historical Inputs'!$N$9*(1+(D544))^1)*('Assumptions'!E67+(0))))*'DCF'!F12/(1+(G544))^'DCF'!F13,(('Historical Inputs'!$N$9*(1+(D544))^3)*(('Assumptions'!G37+(E544))*(1-'Assumptions'!G42-(0))+'Assumptions'!G47-'Assumptions'!G52*(F544)+'Assumptions'!G57-'Assumptions'!G62*(1)-'Assumptions'!G67-(0))+(('Historical Inputs'!$N$9*(1+(D544))^2)*('Assumptions'!F67+(0))))*'DCF'!G12/(1+(G544))^'DCF'!G13,(('Historical Inputs'!$N$9*(1+(D544))^4)*(('Assumptions'!H37+(E544))*(1-'Assumptions'!H42-(0))+'Assumptions'!H47-'Assumptions'!H52*(F544)+'Assumptions'!H57-'Assumptions'!H62*(1)-'Assumptions'!H67-(0))+(('Historical Inputs'!$N$9*(1+(D544))^3)*('Assumptions'!G67+(0))))*'DCF'!H12/(1+(G544))^'DCF'!H13,(('Historical Inputs'!$N$9*(1+(D544))^5)*(('Assumptions'!I37+(E544))*(1-'Assumptions'!I42-(0))+'Assumptions'!I47-'Assumptions'!I52*(F544)+'Assumptions'!I57-'Assumptions'!I62*(1)-'Assumptions'!I67-(0))+(('Historical Inputs'!$N$9*(1+(D544))^4)*('Assumptions'!H67+(0))))*'DCF'!I12/(1+(G544))^'DCF'!I13)+('Historical Inputs'!$N$9*(1+(D544))^5)*(1+(H544))*('Terminal Value'!$E$10+(E544))*(1-'Assumptions'!$E$15-(0))*(1-(H544)/('Terminal Value'!$E$12))/((G544)-(H544))/(1+(G544))^'DCF'!$E$19)+'Equity Bridge'!$E$17)/'Equity Bridge'!$E$20</x:f>
        <x:v>300.9768789209373</x:v>
      </x:c>
      <x:c r="X544" s="255" t="n">
        <x:v>0.3168935321394206</x:v>
      </x:c>
      <x:c r="Y544" s="255" t="n">
        <x:v>0.2726534581423178</x:v>
      </x:c>
      <x:c r="Z544" s="255" t="n">
        <x:v>0.6417565187175902</x:v>
      </x:c>
      <x:c r="AA544" s="255" t="n">
        <x:v>0.020561515249545637</x:v>
      </x:c>
      <x:c r="AB544" s="255" t="n">
        <x:v>0.056553376187476134</x:v>
      </x:c>
    </x:row>
    <x:row r="545" ht="24" customHeight="1">
      <x:c r="C545" s="256" t="n">
        <x:f>514</x:f>
        <x:v>514</x:v>
      </x:c>
      <x:c r="D545" s="258" t="n">
        <x:f>IF(X545&lt;($E$12-$D$12)/($F$12-$D$12),$D$12+SQRT(X545*($F$12-$D$12)*($E$12-$D$12)),$F$12-SQRT((1-X545)*($F$12-$D$12)*($F$12-$E$12)))</x:f>
        <x:v>0.10870972550903052</x:v>
      </x:c>
      <x:c r="E545" s="258" t="n">
        <x:f>IF(Y545&lt;($E$13-$D$13)/($F$13-$D$13),$D$13+SQRT(Y545*($F$13-$D$13)*($E$13-$D$13)),$F$13-SQRT((1-Y545)*($F$13-$D$13)*($F$13-$E$13)))</x:f>
        <x:v>-0.003697154780548967</x:v>
      </x:c>
      <x:c r="F545" s="260" t="n">
        <x:f>IF(Z545&lt;($E$14-$D$14)/($F$14-$D$14),$D$14+SQRT(Z545*($F$14-$D$14)*($E$14-$D$14)),$F$14-SQRT((1-Z545)*($F$14-$D$14)*($F$14-$E$14)))</x:f>
        <x:v>1.0158563752089547</x:v>
      </x:c>
      <x:c r="G545" s="258" t="n">
        <x:f>IF(AA545&lt;($E$15-$D$15)/($F$15-$D$15),$D$15+SQRT(AA545*($F$15-$D$15)*($E$15-$D$15)),$F$15-SQRT((1-AA545)*($F$15-$D$15)*($F$15-$E$15)))</x:f>
        <x:v>0.09701637022116395</x:v>
      </x:c>
      <x:c r="H545" s="258" t="n">
        <x:f>IF(AB545&lt;($E$16-$D$16)/($F$16-$D$16),$D$16+SQRT(AB545*($F$16-$D$16)*($E$16-$D$16)),$F$16-SQRT((1-AB545)*($F$16-$D$16)*($F$16-$E$16)))</x:f>
        <x:v>0.032998857453546936</x:v>
      </x:c>
      <x:c r="I545" s="262" t="n">
        <x:f>'Historical Inputs'!$N$9*(1+D545)^5</x:f>
        <x:v>555925.6488904291</x:v>
      </x:c>
      <x:c r="J545" s="262" t="n">
        <x:f>I545*(1+H545)*('Terminal Value'!$E$10+E545)*(1-'Assumptions'!$E$15)*(1-H545/'Terminal Value'!$E$12)</x:f>
        <x:v>152027.85811950674</x:v>
      </x:c>
      <x:c r="K545" s="264" t="n">
        <x:f>((SUM((('Historical Inputs'!$N$9*(1+(D545))^1)*(('Assumptions'!E37+(E545))*(1-'Assumptions'!E42-(0))+'Assumptions'!E47-'Assumptions'!E52*(F545)+'Assumptions'!E57-'Assumptions'!E62*(1)-'Assumptions'!E67-(0))+('Working Capital'!$E$6))*'DCF'!E12/(1+(G545))^'DCF'!E13,(('Historical Inputs'!$N$9*(1+(D545))^2)*(('Assumptions'!F37+(E545))*(1-'Assumptions'!F42-(0))+'Assumptions'!F47-'Assumptions'!F52*(F545)+'Assumptions'!F57-'Assumptions'!F62*(1)-'Assumptions'!F67-(0))+(('Historical Inputs'!$N$9*(1+(D545))^1)*('Assumptions'!E67+(0))))*'DCF'!F12/(1+(G545))^'DCF'!F13,(('Historical Inputs'!$N$9*(1+(D545))^3)*(('Assumptions'!G37+(E545))*(1-'Assumptions'!G42-(0))+'Assumptions'!G47-'Assumptions'!G52*(F545)+'Assumptions'!G57-'Assumptions'!G62*(1)-'Assumptions'!G67-(0))+(('Historical Inputs'!$N$9*(1+(D545))^2)*('Assumptions'!F67+(0))))*'DCF'!G12/(1+(G545))^'DCF'!G13,(('Historical Inputs'!$N$9*(1+(D545))^4)*(('Assumptions'!H37+(E545))*(1-'Assumptions'!H42-(0))+'Assumptions'!H47-'Assumptions'!H52*(F545)+'Assumptions'!H57-'Assumptions'!H62*(1)-'Assumptions'!H67-(0))+(('Historical Inputs'!$N$9*(1+(D545))^3)*('Assumptions'!G67+(0))))*'DCF'!H12/(1+(G545))^'DCF'!H13,(('Historical Inputs'!$N$9*(1+(D545))^5)*(('Assumptions'!I37+(E545))*(1-'Assumptions'!I42-(0))+'Assumptions'!I47-'Assumptions'!I52*(F545)+'Assumptions'!I57-'Assumptions'!I62*(1)-'Assumptions'!I67-(0))+(('Historical Inputs'!$N$9*(1+(D545))^4)*('Assumptions'!H67+(0))))*'DCF'!I12/(1+(G545))^'DCF'!I13)+('Historical Inputs'!$N$9*(1+(D545))^5)*(1+(H545))*('Terminal Value'!$E$10+(E545))*(1-'Assumptions'!$E$15-(0))*(1-(H545)/('Terminal Value'!$E$12))/((G545)-(H545))/(1+(G545))^'DCF'!$E$19)+'Equity Bridge'!$E$17)/'Equity Bridge'!$E$20</x:f>
        <x:v>254.15684112010607</x:v>
      </x:c>
      <x:c r="X545" s="255" t="n">
        <x:v>0.047757210222754365</x:v>
      </x:c>
      <x:c r="Y545" s="255" t="n">
        <x:v>0.4287906950832878</x:v>
      </x:c>
      <x:c r="Z545" s="255" t="n">
        <x:v>0.5155875064116392</x:v>
      </x:c>
      <x:c r="AA545" s="255" t="n">
        <x:v>0.4278742262515125</x:v>
      </x:c>
      <x:c r="AB545" s="255" t="n">
        <x:v>0.7549200152212235</x:v>
      </x:c>
    </x:row>
    <x:row r="546" ht="24" customHeight="1">
      <x:c r="C546" s="256" t="n">
        <x:f>515</x:f>
        <x:v>515</x:v>
      </x:c>
      <x:c r="D546" s="258" t="n">
        <x:f>IF(X546&lt;($E$12-$D$12)/($F$12-$D$12),$D$12+SQRT(X546*($F$12-$D$12)*($E$12-$D$12)),$F$12-SQRT((1-X546)*($F$12-$D$12)*($F$12-$E$12)))</x:f>
        <x:v>0.13198424831070762</x:v>
      </x:c>
      <x:c r="E546" s="258" t="n">
        <x:f>IF(Y546&lt;($E$13-$D$13)/($F$13-$D$13),$D$13+SQRT(Y546*($F$13-$D$13)*($E$13-$D$13)),$F$13-SQRT((1-Y546)*($F$13-$D$13)*($F$13-$E$13)))</x:f>
        <x:v>-0.027952631737916254</x:v>
      </x:c>
      <x:c r="F546" s="260" t="n">
        <x:f>IF(Z546&lt;($E$14-$D$14)/($F$14-$D$14),$D$14+SQRT(Z546*($F$14-$D$14)*($E$14-$D$14)),$F$14-SQRT((1-Z546)*($F$14-$D$14)*($F$14-$E$14)))</x:f>
        <x:v>0.9712839115881947</x:v>
      </x:c>
      <x:c r="G546" s="258" t="n">
        <x:f>IF(AA546&lt;($E$15-$D$15)/($F$15-$D$15),$D$15+SQRT(AA546*($F$15-$D$15)*($E$15-$D$15)),$F$15-SQRT((1-AA546)*($F$15-$D$15)*($F$15-$E$15)))</x:f>
        <x:v>0.09306285037889211</x:v>
      </x:c>
      <x:c r="H546" s="258" t="n">
        <x:f>IF(AB546&lt;($E$16-$D$16)/($F$16-$D$16),$D$16+SQRT(AB546*($F$16-$D$16)*($E$16-$D$16)),$F$16-SQRT((1-AB546)*($F$16-$D$16)*($F$16-$E$16)))</x:f>
        <x:v>0.03413276491384075</x:v>
      </x:c>
      <x:c r="I546" s="262" t="n">
        <x:f>'Historical Inputs'!$N$9*(1+D546)^5</x:f>
        <x:v>616778.6671742807</x:v>
      </x:c>
      <x:c r="J546" s="262" t="n">
        <x:f>I546*(1+H546)*('Terminal Value'!$E$10+E546)*(1-'Assumptions'!$E$15)*(1-H546/'Terminal Value'!$E$12)</x:f>
        <x:v>157443.40582797668</x:v>
      </x:c>
      <x:c r="K546" s="264" t="n">
        <x:f>((SUM((('Historical Inputs'!$N$9*(1+(D546))^1)*(('Assumptions'!E37+(E546))*(1-'Assumptions'!E42-(0))+'Assumptions'!E47-'Assumptions'!E52*(F546)+'Assumptions'!E57-'Assumptions'!E62*(1)-'Assumptions'!E67-(0))+('Working Capital'!$E$6))*'DCF'!E12/(1+(G546))^'DCF'!E13,(('Historical Inputs'!$N$9*(1+(D546))^2)*(('Assumptions'!F37+(E546))*(1-'Assumptions'!F42-(0))+'Assumptions'!F47-'Assumptions'!F52*(F546)+'Assumptions'!F57-'Assumptions'!F62*(1)-'Assumptions'!F67-(0))+(('Historical Inputs'!$N$9*(1+(D546))^1)*('Assumptions'!E67+(0))))*'DCF'!F12/(1+(G546))^'DCF'!F13,(('Historical Inputs'!$N$9*(1+(D546))^3)*(('Assumptions'!G37+(E546))*(1-'Assumptions'!G42-(0))+'Assumptions'!G47-'Assumptions'!G52*(F546)+'Assumptions'!G57-'Assumptions'!G62*(1)-'Assumptions'!G67-(0))+(('Historical Inputs'!$N$9*(1+(D546))^2)*('Assumptions'!F67+(0))))*'DCF'!G12/(1+(G546))^'DCF'!G13,(('Historical Inputs'!$N$9*(1+(D546))^4)*(('Assumptions'!H37+(E546))*(1-'Assumptions'!H42-(0))+'Assumptions'!H47-'Assumptions'!H52*(F546)+'Assumptions'!H57-'Assumptions'!H62*(1)-'Assumptions'!H67-(0))+(('Historical Inputs'!$N$9*(1+(D546))^3)*('Assumptions'!G67+(0))))*'DCF'!H12/(1+(G546))^'DCF'!H13,(('Historical Inputs'!$N$9*(1+(D546))^5)*(('Assumptions'!I37+(E546))*(1-'Assumptions'!I42-(0))+'Assumptions'!I47-'Assumptions'!I52*(F546)+'Assumptions'!I57-'Assumptions'!I62*(1)-'Assumptions'!I67-(0))+(('Historical Inputs'!$N$9*(1+(D546))^4)*('Assumptions'!H67+(0))))*'DCF'!I12/(1+(G546))^'DCF'!I13)+('Historical Inputs'!$N$9*(1+(D546))^5)*(1+(H546))*('Terminal Value'!$E$10+(E546))*(1-'Assumptions'!$E$15-(0))*(1-(H546)/('Terminal Value'!$E$12))/((G546)-(H546))/(1+(G546))^'DCF'!$E$19)+'Equity Bridge'!$E$17)/'Equity Bridge'!$E$20</x:f>
        <x:v>286.125176305722</x:v>
      </x:c>
      <x:c r="X546" s="255" t="n">
        <x:v>0.2999596142386791</x:v>
      </x:c>
      <x:c r="Y546" s="255" t="n">
        <x:v>0.09721728945678754</x:v>
      </x:c>
      <x:c r="Z546" s="255" t="n">
        <x:v>0.2801864230501532</x:v>
      </x:c>
      <x:c r="AA546" s="255" t="n">
        <x:v>0.2187902909756766</x:v>
      </x:c>
      <x:c r="AB546" s="255" t="n">
        <x:v>0.8278777622187091</x:v>
      </x:c>
    </x:row>
    <x:row r="547" ht="24" customHeight="1">
      <x:c r="C547" s="256" t="n">
        <x:f>516</x:f>
        <x:v>516</x:v>
      </x:c>
      <x:c r="D547" s="258" t="n">
        <x:f>IF(X547&lt;($E$12-$D$12)/($F$12-$D$12),$D$12+SQRT(X547*($F$12-$D$12)*($E$12-$D$12)),$F$12-SQRT((1-X547)*($F$12-$D$12)*($F$12-$E$12)))</x:f>
        <x:v>0.14048562741694662</x:v>
      </x:c>
      <x:c r="E547" s="258" t="n">
        <x:f>IF(Y547&lt;($E$13-$D$13)/($F$13-$D$13),$D$13+SQRT(Y547*($F$13-$D$13)*($E$13-$D$13)),$F$13-SQRT((1-Y547)*($F$13-$D$13)*($F$13-$E$13)))</x:f>
        <x:v>-0.016178422314265015</x:v>
      </x:c>
      <x:c r="F547" s="260" t="n">
        <x:f>IF(Z547&lt;($E$14-$D$14)/($F$14-$D$14),$D$14+SQRT(Z547*($F$14-$D$14)*($E$14-$D$14)),$F$14-SQRT((1-Z547)*($F$14-$D$14)*($F$14-$E$14)))</x:f>
        <x:v>0.9906719780934131</x:v>
      </x:c>
      <x:c r="G547" s="258" t="n">
        <x:f>IF(AA547&lt;($E$15-$D$15)/($F$15-$D$15),$D$15+SQRT(AA547*($F$15-$D$15)*($E$15-$D$15)),$F$15-SQRT((1-AA547)*($F$15-$D$15)*($F$15-$E$15)))</x:f>
        <x:v>0.09533501262856961</x:v>
      </x:c>
      <x:c r="H547" s="258" t="n">
        <x:f>IF(AB547&lt;($E$16-$D$16)/($F$16-$D$16),$D$16+SQRT(AB547*($F$16-$D$16)*($E$16-$D$16)),$F$16-SQRT((1-AB547)*($F$16-$D$16)*($F$16-$E$16)))</x:f>
        <x:v>0.036712722204920535</x:v>
      </x:c>
      <x:c r="I547" s="262" t="n">
        <x:f>'Historical Inputs'!$N$9*(1+D547)^5</x:f>
        <x:v>640289.6901753012</x:v>
      </x:c>
      <x:c r="J547" s="262" t="n">
        <x:f>I547*(1+H547)*('Terminal Value'!$E$10+E547)*(1-'Assumptions'!$E$15)*(1-H547/'Terminal Value'!$E$12)</x:f>
        <x:v>166408.94355264396</x:v>
      </x:c>
      <x:c r="K547" s="264" t="n">
        <x:f>((SUM((('Historical Inputs'!$N$9*(1+(D547))^1)*(('Assumptions'!E37+(E547))*(1-'Assumptions'!E42-(0))+'Assumptions'!E47-'Assumptions'!E52*(F547)+'Assumptions'!E57-'Assumptions'!E62*(1)-'Assumptions'!E67-(0))+('Working Capital'!$E$6))*'DCF'!E12/(1+(G547))^'DCF'!E13,(('Historical Inputs'!$N$9*(1+(D547))^2)*(('Assumptions'!F37+(E547))*(1-'Assumptions'!F42-(0))+'Assumptions'!F47-'Assumptions'!F52*(F547)+'Assumptions'!F57-'Assumptions'!F62*(1)-'Assumptions'!F67-(0))+(('Historical Inputs'!$N$9*(1+(D547))^1)*('Assumptions'!E67+(0))))*'DCF'!F12/(1+(G547))^'DCF'!F13,(('Historical Inputs'!$N$9*(1+(D547))^3)*(('Assumptions'!G37+(E547))*(1-'Assumptions'!G42-(0))+'Assumptions'!G47-'Assumptions'!G52*(F547)+'Assumptions'!G57-'Assumptions'!G62*(1)-'Assumptions'!G67-(0))+(('Historical Inputs'!$N$9*(1+(D547))^2)*('Assumptions'!F67+(0))))*'DCF'!G12/(1+(G547))^'DCF'!G13,(('Historical Inputs'!$N$9*(1+(D547))^4)*(('Assumptions'!H37+(E547))*(1-'Assumptions'!H42-(0))+'Assumptions'!H47-'Assumptions'!H52*(F547)+'Assumptions'!H57-'Assumptions'!H62*(1)-'Assumptions'!H67-(0))+(('Historical Inputs'!$N$9*(1+(D547))^3)*('Assumptions'!G67+(0))))*'DCF'!H12/(1+(G547))^'DCF'!H13,(('Historical Inputs'!$N$9*(1+(D547))^5)*(('Assumptions'!I37+(E547))*(1-'Assumptions'!I42-(0))+'Assumptions'!I47-'Assumptions'!I52*(F547)+'Assumptions'!I57-'Assumptions'!I62*(1)-'Assumptions'!I67-(0))+(('Historical Inputs'!$N$9*(1+(D547))^4)*('Assumptions'!H67+(0))))*'DCF'!I12/(1+(G547))^'DCF'!I13)+('Historical Inputs'!$N$9*(1+(D547))^5)*(1+(H547))*('Terminal Value'!$E$10+(E547))*(1-'Assumptions'!$E$15-(0))*(1-(H547)/('Terminal Value'!$E$12))/((G547)-(H547))/(1+(G547))^'DCF'!$E$19)+'Equity Bridge'!$E$17)/'Equity Bridge'!$E$20</x:f>
        <x:v>300.6795937130645</x:v>
      </x:c>
      <x:c r="X547" s="255" t="n">
        <x:v>0.4461082372119549</x:v>
      </x:c>
      <x:c r="Y547" s="255" t="n">
        <x:v>0.22877982343044134</x:v>
      </x:c>
      <x:c r="Z547" s="255" t="n">
        <x:v>0.37692581753740384</x:v>
      </x:c>
      <x:c r="AA547" s="255" t="n">
        <x:v>0.33046516917753144</x:v>
      </x:c>
      <x:c r="AB547" s="255" t="n">
        <x:v>0.9459690234898874</x:v>
      </x:c>
    </x:row>
    <x:row r="548" ht="24" customHeight="1">
      <x:c r="C548" s="256" t="n">
        <x:f>517</x:f>
        <x:v>517</x:v>
      </x:c>
      <x:c r="D548" s="258" t="n">
        <x:f>IF(X548&lt;($E$12-$D$12)/($F$12-$D$12),$D$12+SQRT(X548*($F$12-$D$12)*($E$12-$D$12)),$F$12-SQRT((1-X548)*($F$12-$D$12)*($F$12-$E$12)))</x:f>
        <x:v>0.11377731127734711</x:v>
      </x:c>
      <x:c r="E548" s="258" t="n">
        <x:f>IF(Y548&lt;($E$13-$D$13)/($F$13-$D$13),$D$13+SQRT(Y548*($F$13-$D$13)*($E$13-$D$13)),$F$13-SQRT((1-Y548)*($F$13-$D$13)*($F$13-$E$13)))</x:f>
        <x:v>0.0033408666119993866</x:v>
      </x:c>
      <x:c r="F548" s="260" t="n">
        <x:f>IF(Z548&lt;($E$14-$D$14)/($F$14-$D$14),$D$14+SQRT(Z548*($F$14-$D$14)*($E$14-$D$14)),$F$14-SQRT((1-Z548)*($F$14-$D$14)*($F$14-$E$14)))</x:f>
        <x:v>1.042196319844499</x:v>
      </x:c>
      <x:c r="G548" s="258" t="n">
        <x:f>IF(AA548&lt;($E$15-$D$15)/($F$15-$D$15),$D$15+SQRT(AA548*($F$15-$D$15)*($E$15-$D$15)),$F$15-SQRT((1-AA548)*($F$15-$D$15)*($F$15-$E$15)))</x:f>
        <x:v>0.10458342684205876</x:v>
      </x:c>
      <x:c r="H548" s="258" t="n">
        <x:f>IF(AB548&lt;($E$16-$D$16)/($F$16-$D$16),$D$16+SQRT(AB548*($F$16-$D$16)*($E$16-$D$16)),$F$16-SQRT((1-AB548)*($F$16-$D$16)*($F$16-$E$16)))</x:f>
        <x:v>0.033540361936467616</x:v>
      </x:c>
      <x:c r="I548" s="262" t="n">
        <x:f>'Historical Inputs'!$N$9*(1+D548)^5</x:f>
        <x:v>568747.1837460726</x:v>
      </x:c>
      <x:c r="J548" s="262" t="n">
        <x:f>I548*(1+H548)*('Terminal Value'!$E$10+E548)*(1-'Assumptions'!$E$15)*(1-H548/'Terminal Value'!$E$12)</x:f>
        <x:v>157865.73102015248</x:v>
      </x:c>
      <x:c r="K548" s="264" t="n">
        <x:f>((SUM((('Historical Inputs'!$N$9*(1+(D548))^1)*(('Assumptions'!E37+(E548))*(1-'Assumptions'!E42-(0))+'Assumptions'!E47-'Assumptions'!E52*(F548)+'Assumptions'!E57-'Assumptions'!E62*(1)-'Assumptions'!E67-(0))+('Working Capital'!$E$6))*'DCF'!E12/(1+(G548))^'DCF'!E13,(('Historical Inputs'!$N$9*(1+(D548))^2)*(('Assumptions'!F37+(E548))*(1-'Assumptions'!F42-(0))+'Assumptions'!F47-'Assumptions'!F52*(F548)+'Assumptions'!F57-'Assumptions'!F62*(1)-'Assumptions'!F67-(0))+(('Historical Inputs'!$N$9*(1+(D548))^1)*('Assumptions'!E67+(0))))*'DCF'!F12/(1+(G548))^'DCF'!F13,(('Historical Inputs'!$N$9*(1+(D548))^3)*(('Assumptions'!G37+(E548))*(1-'Assumptions'!G42-(0))+'Assumptions'!G47-'Assumptions'!G52*(F548)+'Assumptions'!G57-'Assumptions'!G62*(1)-'Assumptions'!G67-(0))+(('Historical Inputs'!$N$9*(1+(D548))^2)*('Assumptions'!F67+(0))))*'DCF'!G12/(1+(G548))^'DCF'!G13,(('Historical Inputs'!$N$9*(1+(D548))^4)*(('Assumptions'!H37+(E548))*(1-'Assumptions'!H42-(0))+'Assumptions'!H47-'Assumptions'!H52*(F548)+'Assumptions'!H57-'Assumptions'!H62*(1)-'Assumptions'!H67-(0))+(('Historical Inputs'!$N$9*(1+(D548))^3)*('Assumptions'!G67+(0))))*'DCF'!H12/(1+(G548))^'DCF'!H13,(('Historical Inputs'!$N$9*(1+(D548))^5)*(('Assumptions'!I37+(E548))*(1-'Assumptions'!I42-(0))+'Assumptions'!I47-'Assumptions'!I52*(F548)+'Assumptions'!I57-'Assumptions'!I62*(1)-'Assumptions'!I67-(0))+(('Historical Inputs'!$N$9*(1+(D548))^4)*('Assumptions'!H67+(0))))*'DCF'!I12/(1+(G548))^'DCF'!I13)+('Historical Inputs'!$N$9*(1+(D548))^5)*(1+(H548))*('Terminal Value'!$E$10+(E548))*(1-'Assumptions'!$E$15-(0))*(1-(H548)/('Terminal Value'!$E$12))/((G548)-(H548))/(1+(G548))^'DCF'!$E$19)+'Equity Bridge'!$E$17)/'Equity Bridge'!$E$20</x:f>
        <x:v>234.40032935049706</x:v>
      </x:c>
      <x:c r="X548" s="255" t="n">
        <x:v>0.08421645583294257</x:v>
      </x:c>
      <x:c r="Y548" s="255" t="n">
        <x:v>0.5645850542961532</x:v>
      </x:c>
      <x:c r="Z548" s="255" t="n">
        <x:v>0.6442571218482908</x:v>
      </x:c>
      <x:c r="AA548" s="255" t="n">
        <x:v>0.8372860798334604</x:v>
      </x:c>
      <x:c r="AB548" s="255" t="n">
        <x:v>0.791365380440818</x:v>
      </x:c>
    </x:row>
    <x:row r="549" ht="24" customHeight="1">
      <x:c r="C549" s="256" t="n">
        <x:f>518</x:f>
        <x:v>518</x:v>
      </x:c>
      <x:c r="D549" s="258" t="n">
        <x:f>IF(X549&lt;($E$12-$D$12)/($F$12-$D$12),$D$12+SQRT(X549*($F$12-$D$12)*($E$12-$D$12)),$F$12-SQRT((1-X549)*($F$12-$D$12)*($F$12-$E$12)))</x:f>
        <x:v>0.1558674538824903</x:v>
      </x:c>
      <x:c r="E549" s="258" t="n">
        <x:f>IF(Y549&lt;($E$13-$D$13)/($F$13-$D$13),$D$13+SQRT(Y549*($F$13-$D$13)*($E$13-$D$13)),$F$13-SQRT((1-Y549)*($F$13-$D$13)*($F$13-$E$13)))</x:f>
        <x:v>-0.0010222813380209722</x:v>
      </x:c>
      <x:c r="F549" s="260" t="n">
        <x:f>IF(Z549&lt;($E$14-$D$14)/($F$14-$D$14),$D$14+SQRT(Z549*($F$14-$D$14)*($E$14-$D$14)),$F$14-SQRT((1-Z549)*($F$14-$D$14)*($F$14-$E$14)))</x:f>
        <x:v>0.9900078931116043</x:v>
      </x:c>
      <x:c r="G549" s="258" t="n">
        <x:f>IF(AA549&lt;($E$15-$D$15)/($F$15-$D$15),$D$15+SQRT(AA549*($F$15-$D$15)*($E$15-$D$15)),$F$15-SQRT((1-AA549)*($F$15-$D$15)*($F$15-$E$15)))</x:f>
        <x:v>0.09776355004905429</x:v>
      </x:c>
      <x:c r="H549" s="258" t="n">
        <x:f>IF(AB549&lt;($E$16-$D$16)/($F$16-$D$16),$D$16+SQRT(AB549*($F$16-$D$16)*($E$16-$D$16)),$F$16-SQRT((1-AB549)*($F$16-$D$16)*($F$16-$E$16)))</x:f>
        <x:v>0.03004124243216451</x:v>
      </x:c>
      <x:c r="I549" s="262" t="n">
        <x:f>'Historical Inputs'!$N$9*(1+D549)^5</x:f>
        <x:v>684648.4080423268</x:v>
      </x:c>
      <x:c r="J549" s="262" t="n">
        <x:f>I549*(1+H549)*('Terminal Value'!$E$10+E549)*(1-'Assumptions'!$E$15)*(1-H549/'Terminal Value'!$E$12)</x:f>
        <x:v>191282.12965775278</x:v>
      </x:c>
      <x:c r="K549" s="264" t="n">
        <x:f>((SUM((('Historical Inputs'!$N$9*(1+(D549))^1)*(('Assumptions'!E37+(E549))*(1-'Assumptions'!E42-(0))+'Assumptions'!E47-'Assumptions'!E52*(F549)+'Assumptions'!E57-'Assumptions'!E62*(1)-'Assumptions'!E67-(0))+('Working Capital'!$E$6))*'DCF'!E12/(1+(G549))^'DCF'!E13,(('Historical Inputs'!$N$9*(1+(D549))^2)*(('Assumptions'!F37+(E549))*(1-'Assumptions'!F42-(0))+'Assumptions'!F47-'Assumptions'!F52*(F549)+'Assumptions'!F57-'Assumptions'!F62*(1)-'Assumptions'!F67-(0))+(('Historical Inputs'!$N$9*(1+(D549))^1)*('Assumptions'!E67+(0))))*'DCF'!F12/(1+(G549))^'DCF'!F13,(('Historical Inputs'!$N$9*(1+(D549))^3)*(('Assumptions'!G37+(E549))*(1-'Assumptions'!G42-(0))+'Assumptions'!G47-'Assumptions'!G52*(F549)+'Assumptions'!G57-'Assumptions'!G62*(1)-'Assumptions'!G67-(0))+(('Historical Inputs'!$N$9*(1+(D549))^2)*('Assumptions'!F67+(0))))*'DCF'!G12/(1+(G549))^'DCF'!G13,(('Historical Inputs'!$N$9*(1+(D549))^4)*(('Assumptions'!H37+(E549))*(1-'Assumptions'!H42-(0))+'Assumptions'!H47-'Assumptions'!H52*(F549)+'Assumptions'!H57-'Assumptions'!H62*(1)-'Assumptions'!H67-(0))+(('Historical Inputs'!$N$9*(1+(D549))^3)*('Assumptions'!G67+(0))))*'DCF'!H12/(1+(G549))^'DCF'!H13,(('Historical Inputs'!$N$9*(1+(D549))^5)*(('Assumptions'!I37+(E549))*(1-'Assumptions'!I42-(0))+'Assumptions'!I47-'Assumptions'!I52*(F549)+'Assumptions'!I57-'Assumptions'!I62*(1)-'Assumptions'!I67-(0))+(('Historical Inputs'!$N$9*(1+(D549))^4)*('Assumptions'!H67+(0))))*'DCF'!I12/(1+(G549))^'DCF'!I13)+('Historical Inputs'!$N$9*(1+(D549))^5)*(1+(H549))*('Terminal Value'!$E$10+(E549))*(1-'Assumptions'!$E$15-(0))*(1-(H549)/('Terminal Value'!$E$12))/((G549)-(H549))/(1+(G549))^'DCF'!$E$19)+'Equity Bridge'!$E$17)/'Equity Bridge'!$E$20</x:f>
        <x:v>302.4609204548386</x:v>
      </x:c>
      <x:c r="X549" s="255" t="n">
        <x:v>0.7204040417986762</x:v>
      </x:c>
      <x:c r="Y549" s="255" t="n">
        <x:v>0.4797633850663937</x:v>
      </x:c>
      <x:c r="Z549" s="255" t="n">
        <x:v>0.37337543111524596</x:v>
      </x:c>
      <x:c r="AA549" s="255" t="n">
        <x:v>0.47519425662657644</x:v>
      </x:c>
      <x:c r="AB549" s="255" t="n">
        <x:v>0.5041157385253966</x:v>
      </x:c>
    </x:row>
    <x:row r="550" ht="24" customHeight="1">
      <x:c r="C550" s="256" t="n">
        <x:f>519</x:f>
        <x:v>519</x:v>
      </x:c>
      <x:c r="D550" s="258" t="n">
        <x:f>IF(X550&lt;($E$12-$D$12)/($F$12-$D$12),$D$12+SQRT(X550*($F$12-$D$12)*($E$12-$D$12)),$F$12-SQRT((1-X550)*($F$12-$D$12)*($F$12-$E$12)))</x:f>
        <x:v>0.13610179146617998</x:v>
      </x:c>
      <x:c r="E550" s="258" t="n">
        <x:f>IF(Y550&lt;($E$13-$D$13)/($F$13-$D$13),$D$13+SQRT(Y550*($F$13-$D$13)*($E$13-$D$13)),$F$13-SQRT((1-Y550)*($F$13-$D$13)*($F$13-$E$13)))</x:f>
        <x:v>0.006957380970011612</x:v>
      </x:c>
      <x:c r="F550" s="260" t="n">
        <x:f>IF(Z550&lt;($E$14-$D$14)/($F$14-$D$14),$D$14+SQRT(Z550*($F$14-$D$14)*($E$14-$D$14)),$F$14-SQRT((1-Z550)*($F$14-$D$14)*($F$14-$E$14)))</x:f>
        <x:v>0.9539302762219072</x:v>
      </x:c>
      <x:c r="G550" s="258" t="n">
        <x:f>IF(AA550&lt;($E$15-$D$15)/($F$15-$D$15),$D$15+SQRT(AA550*($F$15-$D$15)*($E$15-$D$15)),$F$15-SQRT((1-AA550)*($F$15-$D$15)*($F$15-$E$15)))</x:f>
        <x:v>0.09678819953634338</x:v>
      </x:c>
      <x:c r="H550" s="258" t="n">
        <x:f>IF(AB550&lt;($E$16-$D$16)/($F$16-$D$16),$D$16+SQRT(AB550*($F$16-$D$16)*($E$16-$D$16)),$F$16-SQRT((1-AB550)*($F$16-$D$16)*($F$16-$E$16)))</x:f>
        <x:v>0.029978753324622305</x:v>
      </x:c>
      <x:c r="I550" s="262" t="n">
        <x:f>'Historical Inputs'!$N$9*(1+D550)^5</x:f>
        <x:v>628078.0981068456</x:v>
      </x:c>
      <x:c r="J550" s="262" t="n">
        <x:f>I550*(1+H550)*('Terminal Value'!$E$10+E550)*(1-'Assumptions'!$E$15)*(1-H550/'Terminal Value'!$E$12)</x:f>
        <x:v>179041.63395190923</x:v>
      </x:c>
      <x:c r="K550" s="264" t="n">
        <x:f>((SUM((('Historical Inputs'!$N$9*(1+(D550))^1)*(('Assumptions'!E37+(E550))*(1-'Assumptions'!E42-(0))+'Assumptions'!E47-'Assumptions'!E52*(F550)+'Assumptions'!E57-'Assumptions'!E62*(1)-'Assumptions'!E67-(0))+('Working Capital'!$E$6))*'DCF'!E12/(1+(G550))^'DCF'!E13,(('Historical Inputs'!$N$9*(1+(D550))^2)*(('Assumptions'!F37+(E550))*(1-'Assumptions'!F42-(0))+'Assumptions'!F47-'Assumptions'!F52*(F550)+'Assumptions'!F57-'Assumptions'!F62*(1)-'Assumptions'!F67-(0))+(('Historical Inputs'!$N$9*(1+(D550))^1)*('Assumptions'!E67+(0))))*'DCF'!F12/(1+(G550))^'DCF'!F13,(('Historical Inputs'!$N$9*(1+(D550))^3)*(('Assumptions'!G37+(E550))*(1-'Assumptions'!G42-(0))+'Assumptions'!G47-'Assumptions'!G52*(F550)+'Assumptions'!G57-'Assumptions'!G62*(1)-'Assumptions'!G67-(0))+(('Historical Inputs'!$N$9*(1+(D550))^2)*('Assumptions'!F67+(0))))*'DCF'!G12/(1+(G550))^'DCF'!G13,(('Historical Inputs'!$N$9*(1+(D550))^4)*(('Assumptions'!H37+(E550))*(1-'Assumptions'!H42-(0))+'Assumptions'!H47-'Assumptions'!H52*(F550)+'Assumptions'!H57-'Assumptions'!H62*(1)-'Assumptions'!H67-(0))+(('Historical Inputs'!$N$9*(1+(D550))^3)*('Assumptions'!G67+(0))))*'DCF'!H12/(1+(G550))^'DCF'!H13,(('Historical Inputs'!$N$9*(1+(D550))^5)*(('Assumptions'!I37+(E550))*(1-'Assumptions'!I42-(0))+'Assumptions'!I47-'Assumptions'!I52*(F550)+'Assumptions'!I57-'Assumptions'!I62*(1)-'Assumptions'!I67-(0))+(('Historical Inputs'!$N$9*(1+(D550))^4)*('Assumptions'!H67+(0))))*'DCF'!I12/(1+(G550))^'DCF'!I13)+('Historical Inputs'!$N$9*(1+(D550))^5)*(1+(H550))*('Terminal Value'!$E$10+(E550))*(1-'Assumptions'!$E$15-(0))*(1-(H550)/('Terminal Value'!$E$12))/((G550)-(H550))/(1+(G550))^'DCF'!$E$19)+'Equity Bridge'!$E$17)/'Equity Bridge'!$E$20</x:f>
        <x:v>291.3827250760492</x:v>
      </x:c>
      <x:c r="X550" s="255" t="n">
        <x:v>0.3671348571030346</x:v>
      </x:c>
      <x:c r="Y550" s="255" t="n">
        <x:v>0.6294665894078563</x:v>
      </x:c>
      <x:c r="Z550" s="255" t="n">
        <x:v>0.20574290124879868</x:v>
      </x:c>
      <x:c r="AA550" s="255" t="n">
        <x:v>0.4139183786777584</x:v>
      </x:c>
      <x:c r="AB550" s="255" t="n">
        <x:v>0.49787758956830364</x:v>
      </x:c>
    </x:row>
    <x:row r="551" ht="24" customHeight="1">
      <x:c r="C551" s="256" t="n">
        <x:f>520</x:f>
        <x:v>520</x:v>
      </x:c>
      <x:c r="D551" s="258" t="n">
        <x:f>IF(X551&lt;($E$12-$D$12)/($F$12-$D$12),$D$12+SQRT(X551*($F$12-$D$12)*($E$12-$D$12)),$F$12-SQRT((1-X551)*($F$12-$D$12)*($F$12-$E$12)))</x:f>
        <x:v>0.16336077677749072</x:v>
      </x:c>
      <x:c r="E551" s="258" t="n">
        <x:f>IF(Y551&lt;($E$13-$D$13)/($F$13-$D$13),$D$13+SQRT(Y551*($F$13-$D$13)*($E$13-$D$13)),$F$13-SQRT((1-Y551)*($F$13-$D$13)*($F$13-$E$13)))</x:f>
        <x:v>-0.0015366177589657484</x:v>
      </x:c>
      <x:c r="F551" s="260" t="n">
        <x:f>IF(Z551&lt;($E$14-$D$14)/($F$14-$D$14),$D$14+SQRT(Z551*($F$14-$D$14)*($E$14-$D$14)),$F$14-SQRT((1-Z551)*($F$14-$D$14)*($F$14-$E$14)))</x:f>
        <x:v>1.0474525452262136</x:v>
      </x:c>
      <x:c r="G551" s="258" t="n">
        <x:f>IF(AA551&lt;($E$15-$D$15)/($F$15-$D$15),$D$15+SQRT(AA551*($F$15-$D$15)*($E$15-$D$15)),$F$15-SQRT((1-AA551)*($F$15-$D$15)*($F$15-$E$15)))</x:f>
        <x:v>0.10252852680990018</x:v>
      </x:c>
      <x:c r="H551" s="258" t="n">
        <x:f>IF(AB551&lt;($E$16-$D$16)/($F$16-$D$16),$D$16+SQRT(AB551*($F$16-$D$16)*($E$16-$D$16)),$F$16-SQRT((1-AB551)*($F$16-$D$16)*($F$16-$E$16)))</x:f>
        <x:v>0.034888938855983154</x:v>
      </x:c>
      <x:c r="I551" s="262" t="n">
        <x:f>'Historical Inputs'!$N$9*(1+D551)^5</x:f>
        <x:v>707130.406683167</x:v>
      </x:c>
      <x:c r="J551" s="262" t="n">
        <x:f>I551*(1+H551)*('Terminal Value'!$E$10+E551)*(1-'Assumptions'!$E$15)*(1-H551/'Terminal Value'!$E$12)</x:f>
        <x:v>192582.949738336</x:v>
      </x:c>
      <x:c r="K551" s="264" t="n">
        <x:f>((SUM((('Historical Inputs'!$N$9*(1+(D551))^1)*(('Assumptions'!E37+(E551))*(1-'Assumptions'!E42-(0))+'Assumptions'!E47-'Assumptions'!E52*(F551)+'Assumptions'!E57-'Assumptions'!E62*(1)-'Assumptions'!E67-(0))+('Working Capital'!$E$6))*'DCF'!E12/(1+(G551))^'DCF'!E13,(('Historical Inputs'!$N$9*(1+(D551))^2)*(('Assumptions'!F37+(E551))*(1-'Assumptions'!F42-(0))+'Assumptions'!F47-'Assumptions'!F52*(F551)+'Assumptions'!F57-'Assumptions'!F62*(1)-'Assumptions'!F67-(0))+(('Historical Inputs'!$N$9*(1+(D551))^1)*('Assumptions'!E67+(0))))*'DCF'!F12/(1+(G551))^'DCF'!F13,(('Historical Inputs'!$N$9*(1+(D551))^3)*(('Assumptions'!G37+(E551))*(1-'Assumptions'!G42-(0))+'Assumptions'!G47-'Assumptions'!G52*(F551)+'Assumptions'!G57-'Assumptions'!G62*(1)-'Assumptions'!G67-(0))+(('Historical Inputs'!$N$9*(1+(D551))^2)*('Assumptions'!F67+(0))))*'DCF'!G12/(1+(G551))^'DCF'!G13,(('Historical Inputs'!$N$9*(1+(D551))^4)*(('Assumptions'!H37+(E551))*(1-'Assumptions'!H42-(0))+'Assumptions'!H47-'Assumptions'!H52*(F551)+'Assumptions'!H57-'Assumptions'!H62*(1)-'Assumptions'!H67-(0))+(('Historical Inputs'!$N$9*(1+(D551))^3)*('Assumptions'!G67+(0))))*'DCF'!H12/(1+(G551))^'DCF'!H13,(('Historical Inputs'!$N$9*(1+(D551))^5)*(('Assumptions'!I37+(E551))*(1-'Assumptions'!I42-(0))+'Assumptions'!I47-'Assumptions'!I52*(F551)+'Assumptions'!I57-'Assumptions'!I62*(1)-'Assumptions'!I67-(0))+(('Historical Inputs'!$N$9*(1+(D551))^4)*('Assumptions'!H67+(0))))*'DCF'!I12/(1+(G551))^'DCF'!I13)+('Historical Inputs'!$N$9*(1+(D551))^5)*(1+(H551))*('Terminal Value'!$E$10+(E551))*(1-'Assumptions'!$E$15-(0))*(1-(H551)/('Terminal Value'!$E$12))/((G551)-(H551))/(1+(G551))^'DCF'!$E$19)+'Equity Bridge'!$E$17)/'Equity Bridge'!$E$20</x:f>
        <x:v>296.1685393179047</x:v>
      </x:c>
      <x:c r="X551" s="255" t="n">
        <x:v>0.821242906399211</x:v>
      </x:c>
      <x:c r="Y551" s="255" t="n">
        <x:v>0.4697398836481188</x:v>
      </x:c>
      <x:c r="Z551" s="255" t="n">
        <x:v>0.6675610577434227</x:v>
      </x:c>
      <x:c r="AA551" s="255" t="n">
        <x:v>0.7497528870128146</x:v>
      </x:c>
      <x:c r="AB551" s="255" t="n">
        <x:v>0.8693852699106059</x:v>
      </x:c>
    </x:row>
    <x:row r="552" ht="24" customHeight="1">
      <x:c r="C552" s="256" t="n">
        <x:f>521</x:f>
        <x:v>521</x:v>
      </x:c>
      <x:c r="D552" s="258" t="n">
        <x:f>IF(X552&lt;($E$12-$D$12)/($F$12-$D$12),$D$12+SQRT(X552*($F$12-$D$12)*($E$12-$D$12)),$F$12-SQRT((1-X552)*($F$12-$D$12)*($F$12-$E$12)))</x:f>
        <x:v>0.1284067474955981</x:v>
      </x:c>
      <x:c r="E552" s="258" t="n">
        <x:f>IF(Y552&lt;($E$13-$D$13)/($F$13-$D$13),$D$13+SQRT(Y552*($F$13-$D$13)*($E$13-$D$13)),$F$13-SQRT((1-Y552)*($F$13-$D$13)*($F$13-$E$13)))</x:f>
        <x:v>-0.0033572027827733636</x:v>
      </x:c>
      <x:c r="F552" s="260" t="n">
        <x:f>IF(Z552&lt;($E$14-$D$14)/($F$14-$D$14),$D$14+SQRT(Z552*($F$14-$D$14)*($E$14-$D$14)),$F$14-SQRT((1-Z552)*($F$14-$D$14)*($F$14-$E$14)))</x:f>
        <x:v>0.9173550361942027</x:v>
      </x:c>
      <x:c r="G552" s="258" t="n">
        <x:f>IF(AA552&lt;($E$15-$D$15)/($F$15-$D$15),$D$15+SQRT(AA552*($F$15-$D$15)*($E$15-$D$15)),$F$15-SQRT((1-AA552)*($F$15-$D$15)*($F$15-$E$15)))</x:f>
        <x:v>0.09661906251651226</x:v>
      </x:c>
      <x:c r="H552" s="258" t="n">
        <x:f>IF(AB552&lt;($E$16-$D$16)/($F$16-$D$16),$D$16+SQRT(AB552*($F$16-$D$16)*($E$16-$D$16)),$F$16-SQRT((1-AB552)*($F$16-$D$16)*($F$16-$E$16)))</x:f>
        <x:v>0.03137445269797838</x:v>
      </x:c>
      <x:c r="I552" s="262" t="n">
        <x:f>'Historical Inputs'!$N$9*(1+D552)^5</x:f>
        <x:v>607093.8006593044</x:v>
      </x:c>
      <x:c r="J552" s="262" t="n">
        <x:f>I552*(1+H552)*('Terminal Value'!$E$10+E552)*(1-'Assumptions'!$E$15)*(1-H552/'Terminal Value'!$E$12)</x:f>
        <x:v>167515.54071880423</x:v>
      </x:c>
      <x:c r="K552" s="264" t="n">
        <x:f>((SUM((('Historical Inputs'!$N$9*(1+(D552))^1)*(('Assumptions'!E37+(E552))*(1-'Assumptions'!E42-(0))+'Assumptions'!E47-'Assumptions'!E52*(F552)+'Assumptions'!E57-'Assumptions'!E62*(1)-'Assumptions'!E67-(0))+('Working Capital'!$E$6))*'DCF'!E12/(1+(G552))^'DCF'!E13,(('Historical Inputs'!$N$9*(1+(D552))^2)*(('Assumptions'!F37+(E552))*(1-'Assumptions'!F42-(0))+'Assumptions'!F47-'Assumptions'!F52*(F552)+'Assumptions'!F57-'Assumptions'!F62*(1)-'Assumptions'!F67-(0))+(('Historical Inputs'!$N$9*(1+(D552))^1)*('Assumptions'!E67+(0))))*'DCF'!F12/(1+(G552))^'DCF'!F13,(('Historical Inputs'!$N$9*(1+(D552))^3)*(('Assumptions'!G37+(E552))*(1-'Assumptions'!G42-(0))+'Assumptions'!G47-'Assumptions'!G52*(F552)+'Assumptions'!G57-'Assumptions'!G62*(1)-'Assumptions'!G67-(0))+(('Historical Inputs'!$N$9*(1+(D552))^2)*('Assumptions'!F67+(0))))*'DCF'!G12/(1+(G552))^'DCF'!G13,(('Historical Inputs'!$N$9*(1+(D552))^4)*(('Assumptions'!H37+(E552))*(1-'Assumptions'!H42-(0))+'Assumptions'!H47-'Assumptions'!H52*(F552)+'Assumptions'!H57-'Assumptions'!H62*(1)-'Assumptions'!H67-(0))+(('Historical Inputs'!$N$9*(1+(D552))^3)*('Assumptions'!G67+(0))))*'DCF'!H12/(1+(G552))^'DCF'!H13,(('Historical Inputs'!$N$9*(1+(D552))^5)*(('Assumptions'!I37+(E552))*(1-'Assumptions'!I42-(0))+'Assumptions'!I47-'Assumptions'!I52*(F552)+'Assumptions'!I57-'Assumptions'!I62*(1)-'Assumptions'!I67-(0))+(('Historical Inputs'!$N$9*(1+(D552))^4)*('Assumptions'!H67+(0))))*'DCF'!I12/(1+(G552))^'DCF'!I13)+('Historical Inputs'!$N$9*(1+(D552))^5)*(1+(H552))*('Terminal Value'!$E$10+(E552))*(1-'Assumptions'!$E$15-(0))*(1-(H552)/('Terminal Value'!$E$12))/((G552)-(H552))/(1+(G552))^'DCF'!$E$19)+'Equity Bridge'!$E$17)/'Equity Bridge'!$E$20</x:f>
        <x:v>280.6054696836734</x:v>
      </x:c>
      <x:c r="X552" s="255" t="n">
        <x:v>0.2471006429287942</x:v>
      </x:c>
      <x:c r="Y552" s="255" t="n">
        <x:v>0.435110106449465</x:v>
      </x:c>
      <x:c r="Z552" s="255" t="n">
        <x:v>0.08641335048994958</x:v>
      </x:c>
      <x:c r="AA552" s="255" t="n">
        <x:v>0.40372260237057844</x:v>
      </x:c>
      <x:c r="AB552" s="255" t="n">
        <x:v>0.627999668702938</x:v>
      </x:c>
    </x:row>
    <x:row r="553" ht="24" customHeight="1">
      <x:c r="C553" s="256" t="n">
        <x:f>522</x:f>
        <x:v>522</x:v>
      </x:c>
      <x:c r="D553" s="258" t="n">
        <x:f>IF(X553&lt;($E$12-$D$12)/($F$12-$D$12),$D$12+SQRT(X553*($F$12-$D$12)*($E$12-$D$12)),$F$12-SQRT((1-X553)*($F$12-$D$12)*($F$12-$E$12)))</x:f>
        <x:v>0.11585663471676778</x:v>
      </x:c>
      <x:c r="E553" s="258" t="n">
        <x:f>IF(Y553&lt;($E$13-$D$13)/($F$13-$D$13),$D$13+SQRT(Y553*($F$13-$D$13)*($E$13-$D$13)),$F$13-SQRT((1-Y553)*($F$13-$D$13)*($F$13-$E$13)))</x:f>
        <x:v>0.005397403331396537</x:v>
      </x:c>
      <x:c r="F553" s="260" t="n">
        <x:f>IF(Z553&lt;($E$14-$D$14)/($F$14-$D$14),$D$14+SQRT(Z553*($F$14-$D$14)*($E$14-$D$14)),$F$14-SQRT((1-Z553)*($F$14-$D$14)*($F$14-$E$14)))</x:f>
        <x:v>1.0011724646628926</x:v>
      </x:c>
      <x:c r="G553" s="258" t="n">
        <x:f>IF(AA553&lt;($E$15-$D$15)/($F$15-$D$15),$D$15+SQRT(AA553*($F$15-$D$15)*($E$15-$D$15)),$F$15-SQRT((1-AA553)*($F$15-$D$15)*($F$15-$E$15)))</x:f>
        <x:v>0.09681649429302</x:v>
      </x:c>
      <x:c r="H553" s="258" t="n">
        <x:f>IF(AB553&lt;($E$16-$D$16)/($F$16-$D$16),$D$16+SQRT(AB553*($F$16-$D$16)*($E$16-$D$16)),$F$16-SQRT((1-AB553)*($F$16-$D$16)*($F$16-$E$16)))</x:f>
        <x:v>0.03248477255609358</x:v>
      </x:c>
      <x:c r="I553" s="262" t="n">
        <x:f>'Historical Inputs'!$N$9*(1+D553)^5</x:f>
        <x:v>574076.0463610699</x:v>
      </x:c>
      <x:c r="J553" s="262" t="n">
        <x:f>I553*(1+H553)*('Terminal Value'!$E$10+E553)*(1-'Assumptions'!$E$15)*(1-H553/'Terminal Value'!$E$12)</x:f>
        <x:v>161008.32300089914</x:v>
      </x:c>
      <x:c r="K553" s="264" t="n">
        <x:f>((SUM((('Historical Inputs'!$N$9*(1+(D553))^1)*(('Assumptions'!E37+(E553))*(1-'Assumptions'!E42-(0))+'Assumptions'!E47-'Assumptions'!E52*(F553)+'Assumptions'!E57-'Assumptions'!E62*(1)-'Assumptions'!E67-(0))+('Working Capital'!$E$6))*'DCF'!E12/(1+(G553))^'DCF'!E13,(('Historical Inputs'!$N$9*(1+(D553))^2)*(('Assumptions'!F37+(E553))*(1-'Assumptions'!F42-(0))+'Assumptions'!F47-'Assumptions'!F52*(F553)+'Assumptions'!F57-'Assumptions'!F62*(1)-'Assumptions'!F67-(0))+(('Historical Inputs'!$N$9*(1+(D553))^1)*('Assumptions'!E67+(0))))*'DCF'!F12/(1+(G553))^'DCF'!F13,(('Historical Inputs'!$N$9*(1+(D553))^3)*(('Assumptions'!G37+(E553))*(1-'Assumptions'!G42-(0))+'Assumptions'!G47-'Assumptions'!G52*(F553)+'Assumptions'!G57-'Assumptions'!G62*(1)-'Assumptions'!G67-(0))+(('Historical Inputs'!$N$9*(1+(D553))^2)*('Assumptions'!F67+(0))))*'DCF'!G12/(1+(G553))^'DCF'!G13,(('Historical Inputs'!$N$9*(1+(D553))^4)*(('Assumptions'!H37+(E553))*(1-'Assumptions'!H42-(0))+'Assumptions'!H47-'Assumptions'!H52*(F553)+'Assumptions'!H57-'Assumptions'!H62*(1)-'Assumptions'!H67-(0))+(('Historical Inputs'!$N$9*(1+(D553))^3)*('Assumptions'!G67+(0))))*'DCF'!H12/(1+(G553))^'DCF'!H13,(('Historical Inputs'!$N$9*(1+(D553))^5)*(('Assumptions'!I37+(E553))*(1-'Assumptions'!I42-(0))+'Assumptions'!I47-'Assumptions'!I52*(F553)+'Assumptions'!I57-'Assumptions'!I62*(1)-'Assumptions'!I67-(0))+(('Historical Inputs'!$N$9*(1+(D553))^4)*('Assumptions'!H67+(0))))*'DCF'!I12/(1+(G553))^'DCF'!I13)+('Historical Inputs'!$N$9*(1+(D553))^5)*(1+(H553))*('Terminal Value'!$E$10+(E553))*(1-'Assumptions'!$E$15-(0))*(1-(H553)/('Terminal Value'!$E$12))/((G553)-(H553))/(1+(G553))^'DCF'!$E$19)+'Equity Bridge'!$E$17)/'Equity Bridge'!$E$20</x:f>
        <x:v>269.2088454371575</x:v>
      </x:c>
      <x:c r="X553" s="255" t="n">
        <x:v>0.10214850056199287</x:v>
      </x:c>
      <x:c r="Y553" s="255" t="n">
        <x:v>0.6021216740835766</x:v>
      </x:c>
      <x:c r="Z553" s="255" t="n">
        <x:v>0.43525158845387546</x:v>
      </x:c>
      <x:c r="AA553" s="255" t="n">
        <x:v>0.41563643348923696</x:v>
      </x:c>
      <x:c r="AB553" s="255" t="n">
        <x:v>0.7176067823317791</x:v>
      </x:c>
    </x:row>
    <x:row r="554" ht="24" customHeight="1">
      <x:c r="C554" s="256" t="n">
        <x:f>523</x:f>
        <x:v>523</x:v>
      </x:c>
      <x:c r="D554" s="258" t="n">
        <x:f>IF(X554&lt;($E$12-$D$12)/($F$12-$D$12),$D$12+SQRT(X554*($F$12-$D$12)*($E$12-$D$12)),$F$12-SQRT((1-X554)*($F$12-$D$12)*($F$12-$E$12)))</x:f>
        <x:v>0.1485383653776083</x:v>
      </x:c>
      <x:c r="E554" s="258" t="n">
        <x:f>IF(Y554&lt;($E$13-$D$13)/($F$13-$D$13),$D$13+SQRT(Y554*($F$13-$D$13)*($E$13-$D$13)),$F$13-SQRT((1-Y554)*($F$13-$D$13)*($F$13-$E$13)))</x:f>
        <x:v>0.04084808767350666</x:v>
      </x:c>
      <x:c r="F554" s="260" t="n">
        <x:f>IF(Z554&lt;($E$14-$D$14)/($F$14-$D$14),$D$14+SQRT(Z554*($F$14-$D$14)*($E$14-$D$14)),$F$14-SQRT((1-Z554)*($F$14-$D$14)*($F$14-$E$14)))</x:f>
        <x:v>1.1456621215351124</x:v>
      </x:c>
      <x:c r="G554" s="258" t="n">
        <x:f>IF(AA554&lt;($E$15-$D$15)/($F$15-$D$15),$D$15+SQRT(AA554*($F$15-$D$15)*($E$15-$D$15)),$F$15-SQRT((1-AA554)*($F$15-$D$15)*($F$15-$E$15)))</x:f>
        <x:v>0.10461216404686577</x:v>
      </x:c>
      <x:c r="H554" s="258" t="n">
        <x:f>IF(AB554&lt;($E$16-$D$16)/($F$16-$D$16),$D$16+SQRT(AB554*($F$16-$D$16)*($E$16-$D$16)),$F$16-SQRT((1-AB554)*($F$16-$D$16)*($F$16-$E$16)))</x:f>
        <x:v>0.02941652001164647</x:v>
      </x:c>
      <x:c r="I554" s="262" t="n">
        <x:f>'Historical Inputs'!$N$9*(1+D554)^5</x:f>
        <x:v>663215.9465089482</x:v>
      </x:c>
      <x:c r="J554" s="262" t="n">
        <x:f>I554*(1+H554)*('Terminal Value'!$E$10+E554)*(1-'Assumptions'!$E$15)*(1-H554/'Terminal Value'!$E$12)</x:f>
        <x:v>205367.6416966093</x:v>
      </x:c>
      <x:c r="K554" s="264" t="n">
        <x:f>((SUM((('Historical Inputs'!$N$9*(1+(D554))^1)*(('Assumptions'!E37+(E554))*(1-'Assumptions'!E42-(0))+'Assumptions'!E47-'Assumptions'!E52*(F554)+'Assumptions'!E57-'Assumptions'!E62*(1)-'Assumptions'!E67-(0))+('Working Capital'!$E$6))*'DCF'!E12/(1+(G554))^'DCF'!E13,(('Historical Inputs'!$N$9*(1+(D554))^2)*(('Assumptions'!F37+(E554))*(1-'Assumptions'!F42-(0))+'Assumptions'!F47-'Assumptions'!F52*(F554)+'Assumptions'!F57-'Assumptions'!F62*(1)-'Assumptions'!F67-(0))+(('Historical Inputs'!$N$9*(1+(D554))^1)*('Assumptions'!E67+(0))))*'DCF'!F12/(1+(G554))^'DCF'!F13,(('Historical Inputs'!$N$9*(1+(D554))^3)*(('Assumptions'!G37+(E554))*(1-'Assumptions'!G42-(0))+'Assumptions'!G47-'Assumptions'!G52*(F554)+'Assumptions'!G57-'Assumptions'!G62*(1)-'Assumptions'!G67-(0))+(('Historical Inputs'!$N$9*(1+(D554))^2)*('Assumptions'!F67+(0))))*'DCF'!G12/(1+(G554))^'DCF'!G13,(('Historical Inputs'!$N$9*(1+(D554))^4)*(('Assumptions'!H37+(E554))*(1-'Assumptions'!H42-(0))+'Assumptions'!H47-'Assumptions'!H52*(F554)+'Assumptions'!H57-'Assumptions'!H62*(1)-'Assumptions'!H67-(0))+(('Historical Inputs'!$N$9*(1+(D554))^3)*('Assumptions'!G67+(0))))*'DCF'!H12/(1+(G554))^'DCF'!H13,(('Historical Inputs'!$N$9*(1+(D554))^5)*(('Assumptions'!I37+(E554))*(1-'Assumptions'!I42-(0))+'Assumptions'!I47-'Assumptions'!I52*(F554)+'Assumptions'!I57-'Assumptions'!I62*(1)-'Assumptions'!I67-(0))+(('Historical Inputs'!$N$9*(1+(D554))^4)*('Assumptions'!H67+(0))))*'DCF'!I12/(1+(G554))^'DCF'!I13)+('Historical Inputs'!$N$9*(1+(D554))^5)*(1+(H554))*('Terminal Value'!$E$10+(E554))*(1-'Assumptions'!$E$15-(0))*(1-(H554)/('Terminal Value'!$E$12))/((G554)-(H554))/(1+(G554))^'DCF'!$E$19)+'Equity Bridge'!$E$17)/'Equity Bridge'!$E$20</x:f>
        <x:v>283.8949631787769</x:v>
      </x:c>
      <x:c r="X554" s="255" t="n">
        <x:v>0.6000483530891172</x:v>
      </x:c>
      <x:c r="Y554" s="255" t="n">
        <x:v>0.9832485001536359</x:v>
      </x:c>
      <x:c r="Z554" s="255" t="n">
        <x:v>0.9578199280562159</x:v>
      </x:c>
      <x:c r="AA554" s="255" t="n">
        <x:v>0.8383771451410498</x:v>
      </x:c>
      <x:c r="AB554" s="255" t="n">
        <x:v>0.4433542456486924</x:v>
      </x:c>
    </x:row>
    <x:row r="555" ht="24" customHeight="1">
      <x:c r="C555" s="256" t="n">
        <x:f>524</x:f>
        <x:v>524</x:v>
      </x:c>
      <x:c r="D555" s="258" t="n">
        <x:f>IF(X555&lt;($E$12-$D$12)/($F$12-$D$12),$D$12+SQRT(X555*($F$12-$D$12)*($E$12-$D$12)),$F$12-SQRT((1-X555)*($F$12-$D$12)*($F$12-$E$12)))</x:f>
        <x:v>0.10185972664251315</x:v>
      </x:c>
      <x:c r="E555" s="258" t="n">
        <x:f>IF(Y555&lt;($E$13-$D$13)/($F$13-$D$13),$D$13+SQRT(Y555*($F$13-$D$13)*($E$13-$D$13)),$F$13-SQRT((1-Y555)*($F$13-$D$13)*($F$13-$E$13)))</x:f>
        <x:v>-0.02229491226356575</x:v>
      </x:c>
      <x:c r="F555" s="260" t="n">
        <x:f>IF(Z555&lt;($E$14-$D$14)/($F$14-$D$14),$D$14+SQRT(Z555*($F$14-$D$14)*($E$14-$D$14)),$F$14-SQRT((1-Z555)*($F$14-$D$14)*($F$14-$E$14)))</x:f>
        <x:v>1.0209661941074812</x:v>
      </x:c>
      <x:c r="G555" s="258" t="n">
        <x:f>IF(AA555&lt;($E$15-$D$15)/($F$15-$D$15),$D$15+SQRT(AA555*($F$15-$D$15)*($E$15-$D$15)),$F$15-SQRT((1-AA555)*($F$15-$D$15)*($F$15-$E$15)))</x:f>
        <x:v>0.09685245100647225</x:v>
      </x:c>
      <x:c r="H555" s="258" t="n">
        <x:f>IF(AB555&lt;($E$16-$D$16)/($F$16-$D$16),$D$16+SQRT(AB555*($F$16-$D$16)*($E$16-$D$16)),$F$16-SQRT((1-AB555)*($F$16-$D$16)*($F$16-$E$16)))</x:f>
        <x:v>0.030821446548754673</x:v>
      </x:c>
      <x:c r="I555" s="262" t="n">
        <x:f>'Historical Inputs'!$N$9*(1+D555)^5</x:f>
        <x:v>538963.0284445647</x:v>
      </x:c>
      <x:c r="J555" s="262" t="n">
        <x:f>I555*(1+H555)*('Terminal Value'!$E$10+E555)*(1-'Assumptions'!$E$15)*(1-H555/'Terminal Value'!$E$12)</x:f>
        <x:v>142003.9920992869</x:v>
      </x:c>
      <x:c r="K555" s="264" t="n">
        <x:f>((SUM((('Historical Inputs'!$N$9*(1+(D555))^1)*(('Assumptions'!E37+(E555))*(1-'Assumptions'!E42-(0))+'Assumptions'!E47-'Assumptions'!E52*(F555)+'Assumptions'!E57-'Assumptions'!E62*(1)-'Assumptions'!E67-(0))+('Working Capital'!$E$6))*'DCF'!E12/(1+(G555))^'DCF'!E13,(('Historical Inputs'!$N$9*(1+(D555))^2)*(('Assumptions'!F37+(E555))*(1-'Assumptions'!F42-(0))+'Assumptions'!F47-'Assumptions'!F52*(F555)+'Assumptions'!F57-'Assumptions'!F62*(1)-'Assumptions'!F67-(0))+(('Historical Inputs'!$N$9*(1+(D555))^1)*('Assumptions'!E67+(0))))*'DCF'!F12/(1+(G555))^'DCF'!F13,(('Historical Inputs'!$N$9*(1+(D555))^3)*(('Assumptions'!G37+(E555))*(1-'Assumptions'!G42-(0))+'Assumptions'!G47-'Assumptions'!G52*(F555)+'Assumptions'!G57-'Assumptions'!G62*(1)-'Assumptions'!G67-(0))+(('Historical Inputs'!$N$9*(1+(D555))^2)*('Assumptions'!F67+(0))))*'DCF'!G12/(1+(G555))^'DCF'!G13,(('Historical Inputs'!$N$9*(1+(D555))^4)*(('Assumptions'!H37+(E555))*(1-'Assumptions'!H42-(0))+'Assumptions'!H47-'Assumptions'!H52*(F555)+'Assumptions'!H57-'Assumptions'!H62*(1)-'Assumptions'!H67-(0))+(('Historical Inputs'!$N$9*(1+(D555))^3)*('Assumptions'!G67+(0))))*'DCF'!H12/(1+(G555))^'DCF'!H13,(('Historical Inputs'!$N$9*(1+(D555))^5)*(('Assumptions'!I37+(E555))*(1-'Assumptions'!I42-(0))+'Assumptions'!I47-'Assumptions'!I52*(F555)+'Assumptions'!I57-'Assumptions'!I62*(1)-'Assumptions'!I67-(0))+(('Historical Inputs'!$N$9*(1+(D555))^4)*('Assumptions'!H67+(0))))*'DCF'!I12/(1+(G555))^'DCF'!I13)+('Historical Inputs'!$N$9*(1+(D555))^5)*(1+(H555))*('Terminal Value'!$E$10+(E555))*(1-'Assumptions'!$E$15-(0))*(1-(H555)/('Terminal Value'!$E$12))/((G555)-(H555))/(1+(G555))^'DCF'!$E$19)+'Equity Bridge'!$E$17)/'Equity Bridge'!$E$20</x:f>
        <x:v>230.1048869953013</x:v>
      </x:c>
      <x:c r="X555" s="255" t="n">
        <x:v>0.014801306031814288</x:v>
      </x:c>
      <x:c r="Y555" s="255" t="n">
        <x:v>0.15351437729670392</x:v>
      </x:c>
      <x:c r="Z555" s="255" t="n">
        <x:v>0.542098519251999</x:v>
      </x:c>
      <x:c r="AA555" s="255" t="n">
        <x:v>0.4178248554912586</x:v>
      </x:c>
      <x:c r="AB555" s="255" t="n">
        <x:v>0.5787707827131625</x:v>
      </x:c>
    </x:row>
    <x:row r="556" ht="24" customHeight="1">
      <x:c r="C556" s="256" t="n">
        <x:f>525</x:f>
        <x:v>525</x:v>
      </x:c>
      <x:c r="D556" s="258" t="n">
        <x:f>IF(X556&lt;($E$12-$D$12)/($F$12-$D$12),$D$12+SQRT(X556*($F$12-$D$12)*($E$12-$D$12)),$F$12-SQRT((1-X556)*($F$12-$D$12)*($F$12-$E$12)))</x:f>
        <x:v>0.1850089905537706</x:v>
      </x:c>
      <x:c r="E556" s="258" t="n">
        <x:f>IF(Y556&lt;($E$13-$D$13)/($F$13-$D$13),$D$13+SQRT(Y556*($F$13-$D$13)*($E$13-$D$13)),$F$13-SQRT((1-Y556)*($F$13-$D$13)*($F$13-$E$13)))</x:f>
        <x:v>0.008818677975055575</x:v>
      </x:c>
      <x:c r="F556" s="260" t="n">
        <x:f>IF(Z556&lt;($E$14-$D$14)/($F$14-$D$14),$D$14+SQRT(Z556*($F$14-$D$14)*($E$14-$D$14)),$F$14-SQRT((1-Z556)*($F$14-$D$14)*($F$14-$E$14)))</x:f>
        <x:v>1.1240725222650099</x:v>
      </x:c>
      <x:c r="G556" s="258" t="n">
        <x:f>IF(AA556&lt;($E$15-$D$15)/($F$15-$D$15),$D$15+SQRT(AA556*($F$15-$D$15)*($E$15-$D$15)),$F$15-SQRT((1-AA556)*($F$15-$D$15)*($F$15-$E$15)))</x:f>
        <x:v>0.0956413119773519</x:v>
      </x:c>
      <x:c r="H556" s="258" t="n">
        <x:f>IF(AB556&lt;($E$16-$D$16)/($F$16-$D$16),$D$16+SQRT(AB556*($F$16-$D$16)*($E$16-$D$16)),$F$16-SQRT((1-AB556)*($F$16-$D$16)*($F$16-$E$16)))</x:f>
        <x:v>0.02565990218130622</x:v>
      </x:c>
      <x:c r="I556" s="262" t="n">
        <x:f>'Historical Inputs'!$N$9*(1+D556)^5</x:f>
        <x:v>775417.5970628487</x:v>
      </x:c>
      <x:c r="J556" s="262" t="n">
        <x:f>I556*(1+H556)*('Terminal Value'!$E$10+E556)*(1-'Assumptions'!$E$15)*(1-H556/'Terminal Value'!$E$12)</x:f>
        <x:v>226739.42236551314</x:v>
      </x:c>
      <x:c r="K556" s="264" t="n">
        <x:f>((SUM((('Historical Inputs'!$N$9*(1+(D556))^1)*(('Assumptions'!E37+(E556))*(1-'Assumptions'!E42-(0))+'Assumptions'!E47-'Assumptions'!E52*(F556)+'Assumptions'!E57-'Assumptions'!E62*(1)-'Assumptions'!E67-(0))+('Working Capital'!$E$6))*'DCF'!E12/(1+(G556))^'DCF'!E13,(('Historical Inputs'!$N$9*(1+(D556))^2)*(('Assumptions'!F37+(E556))*(1-'Assumptions'!F42-(0))+'Assumptions'!F47-'Assumptions'!F52*(F556)+'Assumptions'!F57-'Assumptions'!F62*(1)-'Assumptions'!F67-(0))+(('Historical Inputs'!$N$9*(1+(D556))^1)*('Assumptions'!E67+(0))))*'DCF'!F12/(1+(G556))^'DCF'!F13,(('Historical Inputs'!$N$9*(1+(D556))^3)*(('Assumptions'!G37+(E556))*(1-'Assumptions'!G42-(0))+'Assumptions'!G47-'Assumptions'!G52*(F556)+'Assumptions'!G57-'Assumptions'!G62*(1)-'Assumptions'!G67-(0))+(('Historical Inputs'!$N$9*(1+(D556))^2)*('Assumptions'!F67+(0))))*'DCF'!G12/(1+(G556))^'DCF'!G13,(('Historical Inputs'!$N$9*(1+(D556))^4)*(('Assumptions'!H37+(E556))*(1-'Assumptions'!H42-(0))+'Assumptions'!H47-'Assumptions'!H52*(F556)+'Assumptions'!H57-'Assumptions'!H62*(1)-'Assumptions'!H67-(0))+(('Historical Inputs'!$N$9*(1+(D556))^3)*('Assumptions'!G67+(0))))*'DCF'!H12/(1+(G556))^'DCF'!H13,(('Historical Inputs'!$N$9*(1+(D556))^5)*(('Assumptions'!I37+(E556))*(1-'Assumptions'!I42-(0))+'Assumptions'!I47-'Assumptions'!I52*(F556)+'Assumptions'!I57-'Assumptions'!I62*(1)-'Assumptions'!I67-(0))+(('Historical Inputs'!$N$9*(1+(D556))^4)*('Assumptions'!H67+(0))))*'DCF'!I12/(1+(G556))^'DCF'!I13)+('Historical Inputs'!$N$9*(1+(D556))^5)*(1+(H556))*('Terminal Value'!$E$10+(E556))*(1-'Assumptions'!$E$15-(0))*(1-(H556)/('Terminal Value'!$E$12))/((G556)-(H556))/(1+(G556))^'DCF'!$E$19)+'Equity Bridge'!$E$17)/'Equity Bridge'!$E$20</x:f>
        <x:v>339.63388985704796</x:v>
      </x:c>
      <x:c r="X556" s="255" t="n">
        <x:v>0.9863939960262759</x:v>
      </x:c>
      <x:c r="Y556" s="255" t="n">
        <x:v>0.6608197432555654</x:v>
      </x:c>
      <x:c r="Z556" s="255" t="n">
        <x:v>0.9176431160686085</x:v>
      </x:c>
      <x:c r="AA556" s="255" t="n">
        <x:v>0.34727459565954855</x:v>
      </x:c>
      <x:c r="AB556" s="255" t="n">
        <x:v>0.16017246350977454</x:v>
      </x:c>
    </x:row>
    <x:row r="557" ht="24" customHeight="1">
      <x:c r="C557" s="256" t="n">
        <x:f>526</x:f>
        <x:v>526</x:v>
      </x:c>
      <x:c r="D557" s="258" t="n">
        <x:f>IF(X557&lt;($E$12-$D$12)/($F$12-$D$12),$D$12+SQRT(X557*($F$12-$D$12)*($E$12-$D$12)),$F$12-SQRT((1-X557)*($F$12-$D$12)*($F$12-$E$12)))</x:f>
        <x:v>0.16138089204957168</x:v>
      </x:c>
      <x:c r="E557" s="258" t="n">
        <x:f>IF(Y557&lt;($E$13-$D$13)/($F$13-$D$13),$D$13+SQRT(Y557*($F$13-$D$13)*($E$13-$D$13)),$F$13-SQRT((1-Y557)*($F$13-$D$13)*($F$13-$E$13)))</x:f>
        <x:v>0.03141016505379563</x:v>
      </x:c>
      <x:c r="F557" s="260" t="n">
        <x:f>IF(Z557&lt;($E$14-$D$14)/($F$14-$D$14),$D$14+SQRT(Z557*($F$14-$D$14)*($E$14-$D$14)),$F$14-SQRT((1-Z557)*($F$14-$D$14)*($F$14-$E$14)))</x:f>
        <x:v>1.195761932823646</x:v>
      </x:c>
      <x:c r="G557" s="258" t="n">
        <x:f>IF(AA557&lt;($E$15-$D$15)/($F$15-$D$15),$D$15+SQRT(AA557*($F$15-$D$15)*($E$15-$D$15)),$F$15-SQRT((1-AA557)*($F$15-$D$15)*($F$15-$E$15)))</x:f>
        <x:v>0.09744910490384097</x:v>
      </x:c>
      <x:c r="H557" s="258" t="n">
        <x:f>IF(AB557&lt;($E$16-$D$16)/($F$16-$D$16),$D$16+SQRT(AB557*($F$16-$D$16)*($E$16-$D$16)),$F$16-SQRT((1-AB557)*($F$16-$D$16)*($F$16-$E$16)))</x:f>
        <x:v>0.029844972865526107</x:v>
      </x:c>
      <x:c r="I557" s="262" t="n">
        <x:f>'Historical Inputs'!$N$9*(1+D557)^5</x:f>
        <x:v>701133.6450907856</x:v>
      </x:c>
      <x:c r="J557" s="262" t="n">
        <x:f>I557*(1+H557)*('Terminal Value'!$E$10+E557)*(1-'Assumptions'!$E$15)*(1-H557/'Terminal Value'!$E$12)</x:f>
        <x:v>212015.59701576625</x:v>
      </x:c>
      <x:c r="K557" s="264" t="n">
        <x:f>((SUM((('Historical Inputs'!$N$9*(1+(D557))^1)*(('Assumptions'!E37+(E557))*(1-'Assumptions'!E42-(0))+'Assumptions'!E47-'Assumptions'!E52*(F557)+'Assumptions'!E57-'Assumptions'!E62*(1)-'Assumptions'!E67-(0))+('Working Capital'!$E$6))*'DCF'!E12/(1+(G557))^'DCF'!E13,(('Historical Inputs'!$N$9*(1+(D557))^2)*(('Assumptions'!F37+(E557))*(1-'Assumptions'!F42-(0))+'Assumptions'!F47-'Assumptions'!F52*(F557)+'Assumptions'!F57-'Assumptions'!F62*(1)-'Assumptions'!F67-(0))+(('Historical Inputs'!$N$9*(1+(D557))^1)*('Assumptions'!E67+(0))))*'DCF'!F12/(1+(G557))^'DCF'!F13,(('Historical Inputs'!$N$9*(1+(D557))^3)*(('Assumptions'!G37+(E557))*(1-'Assumptions'!G42-(0))+'Assumptions'!G47-'Assumptions'!G52*(F557)+'Assumptions'!G57-'Assumptions'!G62*(1)-'Assumptions'!G67-(0))+(('Historical Inputs'!$N$9*(1+(D557))^2)*('Assumptions'!F67+(0))))*'DCF'!G12/(1+(G557))^'DCF'!G13,(('Historical Inputs'!$N$9*(1+(D557))^4)*(('Assumptions'!H37+(E557))*(1-'Assumptions'!H42-(0))+'Assumptions'!H47-'Assumptions'!H52*(F557)+'Assumptions'!H57-'Assumptions'!H62*(1)-'Assumptions'!H67-(0))+(('Historical Inputs'!$N$9*(1+(D557))^3)*('Assumptions'!G67+(0))))*'DCF'!H12/(1+(G557))^'DCF'!H13,(('Historical Inputs'!$N$9*(1+(D557))^5)*(('Assumptions'!I37+(E557))*(1-'Assumptions'!I42-(0))+'Assumptions'!I47-'Assumptions'!I52*(F557)+'Assumptions'!I57-'Assumptions'!I62*(1)-'Assumptions'!I67-(0))+(('Historical Inputs'!$N$9*(1+(D557))^4)*('Assumptions'!H67+(0))))*'DCF'!I12/(1+(G557))^'DCF'!I13)+('Historical Inputs'!$N$9*(1+(D557))^5)*(1+(H557))*('Terminal Value'!$E$10+(E557))*(1-'Assumptions'!$E$15-(0))*(1-(H557)/('Terminal Value'!$E$12))/((G557)-(H557))/(1+(G557))^'DCF'!$E$19)+'Equity Bridge'!$E$17)/'Equity Bridge'!$E$20</x:f>
        <x:v>324.1068243013229</x:v>
      </x:c>
      <x:c r="X557" s="255" t="n">
        <x:v>0.7967824700945286</x:v>
      </x:c>
      <x:c r="Y557" s="255" t="n">
        <x:v>0.9308836073345758</x:v>
      </x:c>
      <x:c r="Z557" s="255" t="n">
        <x:v>0.9997434112372673</x:v>
      </x:c>
      <x:c r="AA557" s="255" t="n">
        <x:v>0.45497758852762304</x:v>
      </x:c>
      <x:c r="AB557" s="255" t="n">
        <x:v>0.48461745361472697</x:v>
      </x:c>
    </x:row>
    <x:row r="558" ht="24" customHeight="1">
      <x:c r="C558" s="256" t="n">
        <x:f>527</x:f>
        <x:v>527</x:v>
      </x:c>
      <x:c r="D558" s="258" t="n">
        <x:f>IF(X558&lt;($E$12-$D$12)/($F$12-$D$12),$D$12+SQRT(X558*($F$12-$D$12)*($E$12-$D$12)),$F$12-SQRT((1-X558)*($F$12-$D$12)*($F$12-$E$12)))</x:f>
        <x:v>0.15156167927584444</x:v>
      </x:c>
      <x:c r="E558" s="258" t="n">
        <x:f>IF(Y558&lt;($E$13-$D$13)/($F$13-$D$13),$D$13+SQRT(Y558*($F$13-$D$13)*($E$13-$D$13)),$F$13-SQRT((1-Y558)*($F$13-$D$13)*($F$13-$E$13)))</x:f>
        <x:v>0.017468833626454287</x:v>
      </x:c>
      <x:c r="F558" s="260" t="n">
        <x:f>IF(Z558&lt;($E$14-$D$14)/($F$14-$D$14),$D$14+SQRT(Z558*($F$14-$D$14)*($E$14-$D$14)),$F$14-SQRT((1-Z558)*($F$14-$D$14)*($F$14-$E$14)))</x:f>
        <x:v>1.1266128831856634</x:v>
      </x:c>
      <x:c r="G558" s="258" t="n">
        <x:f>IF(AA558&lt;($E$15-$D$15)/($F$15-$D$15),$D$15+SQRT(AA558*($F$15-$D$15)*($E$15-$D$15)),$F$15-SQRT((1-AA558)*($F$15-$D$15)*($F$15-$E$15)))</x:f>
        <x:v>0.09783011839742757</x:v>
      </x:c>
      <x:c r="H558" s="258" t="n">
        <x:f>IF(AB558&lt;($E$16-$D$16)/($F$16-$D$16),$D$16+SQRT(AB558*($F$16-$D$16)*($E$16-$D$16)),$F$16-SQRT((1-AB558)*($F$16-$D$16)*($F$16-$E$16)))</x:f>
        <x:v>0.038722962225789304</x:v>
      </x:c>
      <x:c r="I558" s="262" t="n">
        <x:f>'Historical Inputs'!$N$9*(1+D558)^5</x:f>
        <x:v>671990.9862997803</x:v>
      </x:c>
      <x:c r="J558" s="262" t="n">
        <x:f>I558*(1+H558)*('Terminal Value'!$E$10+E558)*(1-'Assumptions'!$E$15)*(1-H558/'Terminal Value'!$E$12)</x:f>
        <x:v>187983.5158421953</x:v>
      </x:c>
      <x:c r="K558" s="264" t="n">
        <x:f>((SUM((('Historical Inputs'!$N$9*(1+(D558))^1)*(('Assumptions'!E37+(E558))*(1-'Assumptions'!E42-(0))+'Assumptions'!E47-'Assumptions'!E52*(F558)+'Assumptions'!E57-'Assumptions'!E62*(1)-'Assumptions'!E67-(0))+('Working Capital'!$E$6))*'DCF'!E12/(1+(G558))^'DCF'!E13,(('Historical Inputs'!$N$9*(1+(D558))^2)*(('Assumptions'!F37+(E558))*(1-'Assumptions'!F42-(0))+'Assumptions'!F47-'Assumptions'!F52*(F558)+'Assumptions'!F57-'Assumptions'!F62*(1)-'Assumptions'!F67-(0))+(('Historical Inputs'!$N$9*(1+(D558))^1)*('Assumptions'!E67+(0))))*'DCF'!F12/(1+(G558))^'DCF'!F13,(('Historical Inputs'!$N$9*(1+(D558))^3)*(('Assumptions'!G37+(E558))*(1-'Assumptions'!G42-(0))+'Assumptions'!G47-'Assumptions'!G52*(F558)+'Assumptions'!G57-'Assumptions'!G62*(1)-'Assumptions'!G67-(0))+(('Historical Inputs'!$N$9*(1+(D558))^2)*('Assumptions'!F67+(0))))*'DCF'!G12/(1+(G558))^'DCF'!G13,(('Historical Inputs'!$N$9*(1+(D558))^4)*(('Assumptions'!H37+(E558))*(1-'Assumptions'!H42-(0))+'Assumptions'!H47-'Assumptions'!H52*(F558)+'Assumptions'!H57-'Assumptions'!H62*(1)-'Assumptions'!H67-(0))+(('Historical Inputs'!$N$9*(1+(D558))^3)*('Assumptions'!G67+(0))))*'DCF'!H12/(1+(G558))^'DCF'!H13,(('Historical Inputs'!$N$9*(1+(D558))^5)*(('Assumptions'!I37+(E558))*(1-'Assumptions'!I42-(0))+'Assumptions'!I47-'Assumptions'!I52*(F558)+'Assumptions'!I57-'Assumptions'!I62*(1)-'Assumptions'!I67-(0))+(('Historical Inputs'!$N$9*(1+(D558))^4)*('Assumptions'!H67+(0))))*'DCF'!I12/(1+(G558))^'DCF'!I13)+('Historical Inputs'!$N$9*(1+(D558))^5)*(1+(H558))*('Terminal Value'!$E$10+(E558))*(1-'Assumptions'!$E$15-(0))*(1-(H558)/('Terminal Value'!$E$12))/((G558)-(H558))/(1+(G558))^'DCF'!$E$19)+'Equity Bridge'!$E$17)/'Equity Bridge'!$E$20</x:f>
        <x:v>327.3274308060259</x:v>
      </x:c>
      <x:c r="X558" s="255" t="n">
        <x:v>0.6522996819240807</x:v>
      </x:c>
      <x:c r="Y558" s="255" t="n">
        <x:v>0.7883446428753378</x:v>
      </x:c>
      <x:c r="Z558" s="255" t="n">
        <x:v>0.9230618726525562</x:v>
      </x:c>
      <x:c r="AA558" s="255" t="n">
        <x:v>0.479530508464481</x:v>
      </x:c>
      <x:c r="AB558" s="255" t="n">
        <x:v>0.991845872616195</x:v>
      </x:c>
    </x:row>
    <x:row r="559" ht="24" customHeight="1">
      <x:c r="C559" s="256" t="n">
        <x:f>528</x:f>
        <x:v>528</x:v>
      </x:c>
      <x:c r="D559" s="258" t="n">
        <x:f>IF(X559&lt;($E$12-$D$12)/($F$12-$D$12),$D$12+SQRT(X559*($F$12-$D$12)*($E$12-$D$12)),$F$12-SQRT((1-X559)*($F$12-$D$12)*($F$12-$E$12)))</x:f>
        <x:v>0.14775542029803915</x:v>
      </x:c>
      <x:c r="E559" s="258" t="n">
        <x:f>IF(Y559&lt;($E$13-$D$13)/($F$13-$D$13),$D$13+SQRT(Y559*($F$13-$D$13)*($E$13-$D$13)),$F$13-SQRT((1-Y559)*($F$13-$D$13)*($F$13-$E$13)))</x:f>
        <x:v>-0.030827976599217075</x:v>
      </x:c>
      <x:c r="F559" s="260" t="n">
        <x:f>IF(Z559&lt;($E$14-$D$14)/($F$14-$D$14),$D$14+SQRT(Z559*($F$14-$D$14)*($E$14-$D$14)),$F$14-SQRT((1-Z559)*($F$14-$D$14)*($F$14-$E$14)))</x:f>
        <x:v>0.9393976802461719</x:v>
      </x:c>
      <x:c r="G559" s="258" t="n">
        <x:f>IF(AA559&lt;($E$15-$D$15)/($F$15-$D$15),$D$15+SQRT(AA559*($F$15-$D$15)*($E$15-$D$15)),$F$15-SQRT((1-AA559)*($F$15-$D$15)*($F$15-$E$15)))</x:f>
        <x:v>0.10115283962407125</x:v>
      </x:c>
      <x:c r="H559" s="258" t="n">
        <x:f>IF(AB559&lt;($E$16-$D$16)/($F$16-$D$16),$D$16+SQRT(AB559*($F$16-$D$16)*($E$16-$D$16)),$F$16-SQRT((1-AB559)*($F$16-$D$16)*($F$16-$E$16)))</x:f>
        <x:v>0.028132371825856393</x:v>
      </x:c>
      <x:c r="I559" s="262" t="n">
        <x:f>'Historical Inputs'!$N$9*(1+D559)^5</x:f>
        <x:v>660958.4938588783</x:v>
      </x:c>
      <x:c r="J559" s="262" t="n">
        <x:f>I559*(1+H559)*('Terminal Value'!$E$10+E559)*(1-'Assumptions'!$E$15)*(1-H559/'Terminal Value'!$E$12)</x:f>
        <x:v>172467.02754931577</x:v>
      </x:c>
      <x:c r="K559" s="264" t="n">
        <x:f>((SUM((('Historical Inputs'!$N$9*(1+(D559))^1)*(('Assumptions'!E37+(E559))*(1-'Assumptions'!E42-(0))+'Assumptions'!E47-'Assumptions'!E52*(F559)+'Assumptions'!E57-'Assumptions'!E62*(1)-'Assumptions'!E67-(0))+('Working Capital'!$E$6))*'DCF'!E12/(1+(G559))^'DCF'!E13,(('Historical Inputs'!$N$9*(1+(D559))^2)*(('Assumptions'!F37+(E559))*(1-'Assumptions'!F42-(0))+'Assumptions'!F47-'Assumptions'!F52*(F559)+'Assumptions'!F57-'Assumptions'!F62*(1)-'Assumptions'!F67-(0))+(('Historical Inputs'!$N$9*(1+(D559))^1)*('Assumptions'!E67+(0))))*'DCF'!F12/(1+(G559))^'DCF'!F13,(('Historical Inputs'!$N$9*(1+(D559))^3)*(('Assumptions'!G37+(E559))*(1-'Assumptions'!G42-(0))+'Assumptions'!G47-'Assumptions'!G52*(F559)+'Assumptions'!G57-'Assumptions'!G62*(1)-'Assumptions'!G67-(0))+(('Historical Inputs'!$N$9*(1+(D559))^2)*('Assumptions'!F67+(0))))*'DCF'!G12/(1+(G559))^'DCF'!G13,(('Historical Inputs'!$N$9*(1+(D559))^4)*(('Assumptions'!H37+(E559))*(1-'Assumptions'!H42-(0))+'Assumptions'!H47-'Assumptions'!H52*(F559)+'Assumptions'!H57-'Assumptions'!H62*(1)-'Assumptions'!H67-(0))+(('Historical Inputs'!$N$9*(1+(D559))^3)*('Assumptions'!G67+(0))))*'DCF'!H12/(1+(G559))^'DCF'!H13,(('Historical Inputs'!$N$9*(1+(D559))^5)*(('Assumptions'!I37+(E559))*(1-'Assumptions'!I42-(0))+'Assumptions'!I47-'Assumptions'!I52*(F559)+'Assumptions'!I57-'Assumptions'!I62*(1)-'Assumptions'!I67-(0))+(('Historical Inputs'!$N$9*(1+(D559))^4)*('Assumptions'!H67+(0))))*'DCF'!I12/(1+(G559))^'DCF'!I13)+('Historical Inputs'!$N$9*(1+(D559))^5)*(1+(H559))*('Terminal Value'!$E$10+(E559))*(1-'Assumptions'!$E$15-(0))*(1-(H559)/('Terminal Value'!$E$12))/((G559)-(H559))/(1+(G559))^'DCF'!$E$19)+'Equity Bridge'!$E$17)/'Equity Bridge'!$E$20</x:f>
        <x:v>254.64106635209396</x:v>
      </x:c>
      <x:c r="X559" s="255" t="n">
        <x:v>0.5859208516770901</x:v>
      </x:c>
      <x:c r="Y559" s="255" t="n">
        <x:v>0.07351329625603364</x:v>
      </x:c>
      <x:c r="Z559" s="255" t="n">
        <x:v>0.15222752825517705</x:v>
      </x:c>
      <x:c r="AA559" s="255" t="n">
        <x:v>0.6806647388530488</x:v>
      </x:c>
      <x:c r="AB559" s="255" t="n">
        <x:v>0.33067735756991445</x:v>
      </x:c>
    </x:row>
    <x:row r="560" ht="24" customHeight="1">
      <x:c r="C560" s="256" t="n">
        <x:f>529</x:f>
        <x:v>529</x:v>
      </x:c>
      <x:c r="D560" s="258" t="n">
        <x:f>IF(X560&lt;($E$12-$D$12)/($F$12-$D$12),$D$12+SQRT(X560*($F$12-$D$12)*($E$12-$D$12)),$F$12-SQRT((1-X560)*($F$12-$D$12)*($F$12-$E$12)))</x:f>
        <x:v>0.10959426254548033</x:v>
      </x:c>
      <x:c r="E560" s="258" t="n">
        <x:f>IF(Y560&lt;($E$13-$D$13)/($F$13-$D$13),$D$13+SQRT(Y560*($F$13-$D$13)*($E$13-$D$13)),$F$13-SQRT((1-Y560)*($F$13-$D$13)*($F$13-$E$13)))</x:f>
        <x:v>-0.003923250936537427</x:v>
      </x:c>
      <x:c r="F560" s="260" t="n">
        <x:f>IF(Z560&lt;($E$14-$D$14)/($F$14-$D$14),$D$14+SQRT(Z560*($F$14-$D$14)*($E$14-$D$14)),$F$14-SQRT((1-Z560)*($F$14-$D$14)*($F$14-$E$14)))</x:f>
        <x:v>0.9388462006057684</x:v>
      </x:c>
      <x:c r="G560" s="258" t="n">
        <x:f>IF(AA560&lt;($E$15-$D$15)/($F$15-$D$15),$D$15+SQRT(AA560*($F$15-$D$15)*($E$15-$D$15)),$F$15-SQRT((1-AA560)*($F$15-$D$15)*($F$15-$E$15)))</x:f>
        <x:v>0.10264794687056764</x:v>
      </x:c>
      <x:c r="H560" s="258" t="n">
        <x:f>IF(AB560&lt;($E$16-$D$16)/($F$16-$D$16),$D$16+SQRT(AB560*($F$16-$D$16)*($E$16-$D$16)),$F$16-SQRT((1-AB560)*($F$16-$D$16)*($F$16-$E$16)))</x:f>
        <x:v>0.025338844871125282</x:v>
      </x:c>
      <x:c r="I560" s="262" t="n">
        <x:f>'Historical Inputs'!$N$9*(1+D560)^5</x:f>
        <x:v>558146.798681028</x:v>
      </x:c>
      <x:c r="J560" s="262" t="n">
        <x:f>I560*(1+H560)*('Terminal Value'!$E$10+E560)*(1-'Assumptions'!$E$15)*(1-H560/'Terminal Value'!$E$12)</x:f>
        <x:v>158362.1966089224</x:v>
      </x:c>
      <x:c r="K560" s="264" t="n">
        <x:f>((SUM((('Historical Inputs'!$N$9*(1+(D560))^1)*(('Assumptions'!E37+(E560))*(1-'Assumptions'!E42-(0))+'Assumptions'!E47-'Assumptions'!E52*(F560)+'Assumptions'!E57-'Assumptions'!E62*(1)-'Assumptions'!E67-(0))+('Working Capital'!$E$6))*'DCF'!E12/(1+(G560))^'DCF'!E13,(('Historical Inputs'!$N$9*(1+(D560))^2)*(('Assumptions'!F37+(E560))*(1-'Assumptions'!F42-(0))+'Assumptions'!F47-'Assumptions'!F52*(F560)+'Assumptions'!F57-'Assumptions'!F62*(1)-'Assumptions'!F67-(0))+(('Historical Inputs'!$N$9*(1+(D560))^1)*('Assumptions'!E67+(0))))*'DCF'!F12/(1+(G560))^'DCF'!F13,(('Historical Inputs'!$N$9*(1+(D560))^3)*(('Assumptions'!G37+(E560))*(1-'Assumptions'!G42-(0))+'Assumptions'!G47-'Assumptions'!G52*(F560)+'Assumptions'!G57-'Assumptions'!G62*(1)-'Assumptions'!G67-(0))+(('Historical Inputs'!$N$9*(1+(D560))^2)*('Assumptions'!F67+(0))))*'DCF'!G12/(1+(G560))^'DCF'!G13,(('Historical Inputs'!$N$9*(1+(D560))^4)*(('Assumptions'!H37+(E560))*(1-'Assumptions'!H42-(0))+'Assumptions'!H47-'Assumptions'!H52*(F560)+'Assumptions'!H57-'Assumptions'!H62*(1)-'Assumptions'!H67-(0))+(('Historical Inputs'!$N$9*(1+(D560))^3)*('Assumptions'!G67+(0))))*'DCF'!H12/(1+(G560))^'DCF'!H13,(('Historical Inputs'!$N$9*(1+(D560))^5)*(('Assumptions'!I37+(E560))*(1-'Assumptions'!I42-(0))+'Assumptions'!I47-'Assumptions'!I52*(F560)+'Assumptions'!I57-'Assumptions'!I62*(1)-'Assumptions'!I67-(0))+(('Historical Inputs'!$N$9*(1+(D560))^4)*('Assumptions'!H67+(0))))*'DCF'!I12/(1+(G560))^'DCF'!I13)+('Historical Inputs'!$N$9*(1+(D560))^5)*(1+(H560))*('Terminal Value'!$E$10+(E560))*(1-'Assumptions'!$E$15-(0))*(1-(H560)/('Terminal Value'!$E$12))/((G560)-(H560))/(1+(G560))^'DCF'!$E$19)+'Equity Bridge'!$E$17)/'Equity Bridge'!$E$20</x:f>
        <x:v>225.4671296572193</x:v>
      </x:c>
      <x:c r="X560" s="255" t="n">
        <x:v>0.053381086864874305</x:v>
      </x:c>
      <x:c r="Y560" s="255" t="n">
        <x:v>0.42461336085145984</x:v>
      </x:c>
      <x:c r="Z560" s="255" t="n">
        <x:v>0.15035518784915147</x:v>
      </x:c>
      <x:c r="AA560" s="255" t="n">
        <x:v>0.7553534927792356</x:v>
      </x:c>
      <x:c r="AB560" s="255" t="n">
        <x:v>0.14251632278970383</x:v>
      </x:c>
    </x:row>
    <x:row r="561" ht="24" customHeight="1">
      <x:c r="C561" s="256" t="n">
        <x:f>530</x:f>
        <x:v>530</x:v>
      </x:c>
      <x:c r="D561" s="258" t="n">
        <x:f>IF(X561&lt;($E$12-$D$12)/($F$12-$D$12),$D$12+SQRT(X561*($F$12-$D$12)*($E$12-$D$12)),$F$12-SQRT((1-X561)*($F$12-$D$12)*($F$12-$E$12)))</x:f>
        <x:v>0.11326348585780552</x:v>
      </x:c>
      <x:c r="E561" s="258" t="n">
        <x:f>IF(Y561&lt;($E$13-$D$13)/($F$13-$D$13),$D$13+SQRT(Y561*($F$13-$D$13)*($E$13-$D$13)),$F$13-SQRT((1-Y561)*($F$13-$D$13)*($F$13-$E$13)))</x:f>
        <x:v>-0.02311182186917606</x:v>
      </x:c>
      <x:c r="F561" s="260" t="n">
        <x:f>IF(Z561&lt;($E$14-$D$14)/($F$14-$D$14),$D$14+SQRT(Z561*($F$14-$D$14)*($E$14-$D$14)),$F$14-SQRT((1-Z561)*($F$14-$D$14)*($F$14-$E$14)))</x:f>
        <x:v>1.1108348738852842</x:v>
      </x:c>
      <x:c r="G561" s="258" t="n">
        <x:f>IF(AA561&lt;($E$15-$D$15)/($F$15-$D$15),$D$15+SQRT(AA561*($F$15-$D$15)*($E$15-$D$15)),$F$15-SQRT((1-AA561)*($F$15-$D$15)*($F$15-$E$15)))</x:f>
        <x:v>0.10157559559090491</x:v>
      </x:c>
      <x:c r="H561" s="258" t="n">
        <x:f>IF(AB561&lt;($E$16-$D$16)/($F$16-$D$16),$D$16+SQRT(AB561*($F$16-$D$16)*($E$16-$D$16)),$F$16-SQRT((1-AB561)*($F$16-$D$16)*($F$16-$E$16)))</x:f>
        <x:v>0.02323066794708234</x:v>
      </x:c>
      <x:c r="I561" s="262" t="n">
        <x:f>'Historical Inputs'!$N$9*(1+D561)^5</x:f>
        <x:v>567436.4762863626</x:v>
      </x:c>
      <x:c r="J561" s="262" t="n">
        <x:f>I561*(1+H561)*('Terminal Value'!$E$10+E561)*(1-'Assumptions'!$E$15)*(1-H561/'Terminal Value'!$E$12)</x:f>
        <x:v>154728.4679852877</x:v>
      </x:c>
      <x:c r="K561" s="264" t="n">
        <x:f>((SUM((('Historical Inputs'!$N$9*(1+(D561))^1)*(('Assumptions'!E37+(E561))*(1-'Assumptions'!E42-(0))+'Assumptions'!E47-'Assumptions'!E52*(F561)+'Assumptions'!E57-'Assumptions'!E62*(1)-'Assumptions'!E67-(0))+('Working Capital'!$E$6))*'DCF'!E12/(1+(G561))^'DCF'!E13,(('Historical Inputs'!$N$9*(1+(D561))^2)*(('Assumptions'!F37+(E561))*(1-'Assumptions'!F42-(0))+'Assumptions'!F47-'Assumptions'!F52*(F561)+'Assumptions'!F57-'Assumptions'!F62*(1)-'Assumptions'!F67-(0))+(('Historical Inputs'!$N$9*(1+(D561))^1)*('Assumptions'!E67+(0))))*'DCF'!F12/(1+(G561))^'DCF'!F13,(('Historical Inputs'!$N$9*(1+(D561))^3)*(('Assumptions'!G37+(E561))*(1-'Assumptions'!G42-(0))+'Assumptions'!G47-'Assumptions'!G52*(F561)+'Assumptions'!G57-'Assumptions'!G62*(1)-'Assumptions'!G67-(0))+(('Historical Inputs'!$N$9*(1+(D561))^2)*('Assumptions'!F67+(0))))*'DCF'!G12/(1+(G561))^'DCF'!G13,(('Historical Inputs'!$N$9*(1+(D561))^4)*(('Assumptions'!H37+(E561))*(1-'Assumptions'!H42-(0))+'Assumptions'!H47-'Assumptions'!H52*(F561)+'Assumptions'!H57-'Assumptions'!H62*(1)-'Assumptions'!H67-(0))+(('Historical Inputs'!$N$9*(1+(D561))^3)*('Assumptions'!G67+(0))))*'DCF'!H12/(1+(G561))^'DCF'!H13,(('Historical Inputs'!$N$9*(1+(D561))^5)*(('Assumptions'!I37+(E561))*(1-'Assumptions'!I42-(0))+'Assumptions'!I47-'Assumptions'!I52*(F561)+'Assumptions'!I57-'Assumptions'!I62*(1)-'Assumptions'!I67-(0))+(('Historical Inputs'!$N$9*(1+(D561))^4)*('Assumptions'!H67+(0))))*'DCF'!I12/(1+(G561))^'DCF'!I13)+('Historical Inputs'!$N$9*(1+(D561))^5)*(1+(H561))*('Terminal Value'!$E$10+(E561))*(1-'Assumptions'!$E$15-(0))*(1-(H561)/('Terminal Value'!$E$12))/((G561)-(H561))/(1+(G561))^'DCF'!$E$19)+'Equity Bridge'!$E$17)/'Equity Bridge'!$E$20</x:f>
        <x:v>207.15190142352</x:v>
      </x:c>
      <x:c r="X561" s="255" t="n">
        <x:v>0.08005172061072652</x:v>
      </x:c>
      <x:c r="Y561" s="255" t="n">
        <x:v>0.14459482463898377</x:v>
      </x:c>
      <x:c r="Z561" s="255" t="n">
        <x:v>0.8864225754992408</x:v>
      </x:c>
      <x:c r="AA561" s="255" t="n">
        <x:v>0.702791131699956</x:v>
      </x:c>
      <x:c r="AB561" s="255" t="n">
        <x:v>0.052186076921526214</x:v>
      </x:c>
    </x:row>
    <x:row r="562" ht="24" customHeight="1">
      <x:c r="C562" s="256" t="n">
        <x:f>531</x:f>
        <x:v>531</x:v>
      </x:c>
      <x:c r="D562" s="258" t="n">
        <x:f>IF(X562&lt;($E$12-$D$12)/($F$12-$D$12),$D$12+SQRT(X562*($F$12-$D$12)*($E$12-$D$12)),$F$12-SQRT((1-X562)*($F$12-$D$12)*($F$12-$E$12)))</x:f>
        <x:v>0.1583419834415706</x:v>
      </x:c>
      <x:c r="E562" s="258" t="n">
        <x:f>IF(Y562&lt;($E$13-$D$13)/($F$13-$D$13),$D$13+SQRT(Y562*($F$13-$D$13)*($E$13-$D$13)),$F$13-SQRT((1-Y562)*($F$13-$D$13)*($F$13-$E$13)))</x:f>
        <x:v>-0.009800608848942433</x:v>
      </x:c>
      <x:c r="F562" s="260" t="n">
        <x:f>IF(Z562&lt;($E$14-$D$14)/($F$14-$D$14),$D$14+SQRT(Z562*($F$14-$D$14)*($E$14-$D$14)),$F$14-SQRT((1-Z562)*($F$14-$D$14)*($F$14-$E$14)))</x:f>
        <x:v>0.9392277788002052</x:v>
      </x:c>
      <x:c r="G562" s="258" t="n">
        <x:f>IF(AA562&lt;($E$15-$D$15)/($F$15-$D$15),$D$15+SQRT(AA562*($F$15-$D$15)*($E$15-$D$15)),$F$15-SQRT((1-AA562)*($F$15-$D$15)*($F$15-$E$15)))</x:f>
        <x:v>0.09714588596545409</x:v>
      </x:c>
      <x:c r="H562" s="258" t="n">
        <x:f>IF(AB562&lt;($E$16-$D$16)/($F$16-$D$16),$D$16+SQRT(AB562*($F$16-$D$16)*($E$16-$D$16)),$F$16-SQRT((1-AB562)*($F$16-$D$16)*($F$16-$E$16)))</x:f>
        <x:v>0.03051459833350178</x:v>
      </x:c>
      <x:c r="I562" s="262" t="n">
        <x:f>'Historical Inputs'!$N$9*(1+D562)^5</x:f>
        <x:v>692008.4743662304</x:v>
      </x:c>
      <x:c r="J562" s="262" t="n">
        <x:f>I562*(1+H562)*('Terminal Value'!$E$10+E562)*(1-'Assumptions'!$E$15)*(1-H562/'Terminal Value'!$E$12)</x:f>
        <x:v>188644.62564168792</x:v>
      </x:c>
      <x:c r="K562" s="264" t="n">
        <x:f>((SUM((('Historical Inputs'!$N$9*(1+(D562))^1)*(('Assumptions'!E37+(E562))*(1-'Assumptions'!E42-(0))+'Assumptions'!E47-'Assumptions'!E52*(F562)+'Assumptions'!E57-'Assumptions'!E62*(1)-'Assumptions'!E67-(0))+('Working Capital'!$E$6))*'DCF'!E12/(1+(G562))^'DCF'!E13,(('Historical Inputs'!$N$9*(1+(D562))^2)*(('Assumptions'!F37+(E562))*(1-'Assumptions'!F42-(0))+'Assumptions'!F47-'Assumptions'!F52*(F562)+'Assumptions'!F57-'Assumptions'!F62*(1)-'Assumptions'!F67-(0))+(('Historical Inputs'!$N$9*(1+(D562))^1)*('Assumptions'!E67+(0))))*'DCF'!F12/(1+(G562))^'DCF'!F13,(('Historical Inputs'!$N$9*(1+(D562))^3)*(('Assumptions'!G37+(E562))*(1-'Assumptions'!G42-(0))+'Assumptions'!G47-'Assumptions'!G52*(F562)+'Assumptions'!G57-'Assumptions'!G62*(1)-'Assumptions'!G67-(0))+(('Historical Inputs'!$N$9*(1+(D562))^2)*('Assumptions'!F67+(0))))*'DCF'!G12/(1+(G562))^'DCF'!G13,(('Historical Inputs'!$N$9*(1+(D562))^4)*(('Assumptions'!H37+(E562))*(1-'Assumptions'!H42-(0))+'Assumptions'!H47-'Assumptions'!H52*(F562)+'Assumptions'!H57-'Assumptions'!H62*(1)-'Assumptions'!H67-(0))+(('Historical Inputs'!$N$9*(1+(D562))^3)*('Assumptions'!G67+(0))))*'DCF'!H12/(1+(G562))^'DCF'!H13,(('Historical Inputs'!$N$9*(1+(D562))^5)*(('Assumptions'!I37+(E562))*(1-'Assumptions'!I42-(0))+'Assumptions'!I47-'Assumptions'!I52*(F562)+'Assumptions'!I57-'Assumptions'!I62*(1)-'Assumptions'!I67-(0))+(('Historical Inputs'!$N$9*(1+(D562))^4)*('Assumptions'!H67+(0))))*'DCF'!I12/(1+(G562))^'DCF'!I13)+('Historical Inputs'!$N$9*(1+(D562))^5)*(1+(H562))*('Terminal Value'!$E$10+(E562))*(1-'Assumptions'!$E$15-(0))*(1-(H562)/('Terminal Value'!$E$12))/((G562)-(H562))/(1+(G562))^'DCF'!$E$19)+'Equity Bridge'!$E$17)/'Equity Bridge'!$E$20</x:f>
        <x:v>305.7250736947639</x:v>
      </x:c>
      <x:c r="X562" s="255" t="n">
        <x:v>0.7561880189219631</x:v>
      </x:c>
      <x:c r="Y562" s="255" t="n">
        <x:v>0.32319820978314506</x:v>
      </x:c>
      <x:c r="Z562" s="255" t="n">
        <x:v>0.15164945732606394</x:v>
      </x:c>
      <x:c r="AA562" s="255" t="n">
        <x:v>0.43589888292816525</x:v>
      </x:c>
      <x:c r="AB562" s="255" t="n">
        <x:v>0.5501357761259641</x:v>
      </x:c>
    </x:row>
    <x:row r="563" ht="24" customHeight="1">
      <x:c r="C563" s="256" t="n">
        <x:f>532</x:f>
        <x:v>532</x:v>
      </x:c>
      <x:c r="D563" s="258" t="n">
        <x:f>IF(X563&lt;($E$12-$D$12)/($F$12-$D$12),$D$12+SQRT(X563*($F$12-$D$12)*($E$12-$D$12)),$F$12-SQRT((1-X563)*($F$12-$D$12)*($F$12-$E$12)))</x:f>
        <x:v>0.1076848354196875</x:v>
      </x:c>
      <x:c r="E563" s="258" t="n">
        <x:f>IF(Y563&lt;($E$13-$D$13)/($F$13-$D$13),$D$13+SQRT(Y563*($F$13-$D$13)*($E$13-$D$13)),$F$13-SQRT((1-Y563)*($F$13-$D$13)*($F$13-$E$13)))</x:f>
        <x:v>0.01095446344653285</x:v>
      </x:c>
      <x:c r="F563" s="260" t="n">
        <x:f>IF(Z563&lt;($E$14-$D$14)/($F$14-$D$14),$D$14+SQRT(Z563*($F$14-$D$14)*($E$14-$D$14)),$F$14-SQRT((1-Z563)*($F$14-$D$14)*($F$14-$E$14)))</x:f>
        <x:v>0.9587424260673976</x:v>
      </x:c>
      <x:c r="G563" s="258" t="n">
        <x:f>IF(AA563&lt;($E$15-$D$15)/($F$15-$D$15),$D$15+SQRT(AA563*($F$15-$D$15)*($E$15-$D$15)),$F$15-SQRT((1-AA563)*($F$15-$D$15)*($F$15-$E$15)))</x:f>
        <x:v>0.08590209817677762</x:v>
      </x:c>
      <x:c r="H563" s="258" t="n">
        <x:f>IF(AB563&lt;($E$16-$D$16)/($F$16-$D$16),$D$16+SQRT(AB563*($F$16-$D$16)*($E$16-$D$16)),$F$16-SQRT((1-AB563)*($F$16-$D$16)*($F$16-$E$16)))</x:f>
        <x:v>0.03306932496105791</x:v>
      </x:c>
      <x:c r="I563" s="262" t="n">
        <x:f>'Historical Inputs'!$N$9*(1+D563)^5</x:f>
        <x:v>553360.9095717393</x:v>
      </x:c>
      <x:c r="J563" s="262" t="n">
        <x:f>I563*(1+H563)*('Terminal Value'!$E$10+E563)*(1-'Assumptions'!$E$15)*(1-H563/'Terminal Value'!$E$12)</x:f>
        <x:v>156865.62543316567</x:v>
      </x:c>
      <x:c r="K563" s="264" t="n">
        <x:f>((SUM((('Historical Inputs'!$N$9*(1+(D563))^1)*(('Assumptions'!E37+(E563))*(1-'Assumptions'!E42-(0))+'Assumptions'!E47-'Assumptions'!E52*(F563)+'Assumptions'!E57-'Assumptions'!E62*(1)-'Assumptions'!E67-(0))+('Working Capital'!$E$6))*'DCF'!E12/(1+(G563))^'DCF'!E13,(('Historical Inputs'!$N$9*(1+(D563))^2)*(('Assumptions'!F37+(E563))*(1-'Assumptions'!F42-(0))+'Assumptions'!F47-'Assumptions'!F52*(F563)+'Assumptions'!F57-'Assumptions'!F62*(1)-'Assumptions'!F67-(0))+(('Historical Inputs'!$N$9*(1+(D563))^1)*('Assumptions'!E67+(0))))*'DCF'!F12/(1+(G563))^'DCF'!F13,(('Historical Inputs'!$N$9*(1+(D563))^3)*(('Assumptions'!G37+(E563))*(1-'Assumptions'!G42-(0))+'Assumptions'!G47-'Assumptions'!G52*(F563)+'Assumptions'!G57-'Assumptions'!G62*(1)-'Assumptions'!G67-(0))+(('Historical Inputs'!$N$9*(1+(D563))^2)*('Assumptions'!F67+(0))))*'DCF'!G12/(1+(G563))^'DCF'!G13,(('Historical Inputs'!$N$9*(1+(D563))^4)*(('Assumptions'!H37+(E563))*(1-'Assumptions'!H42-(0))+'Assumptions'!H47-'Assumptions'!H52*(F563)+'Assumptions'!H57-'Assumptions'!H62*(1)-'Assumptions'!H67-(0))+(('Historical Inputs'!$N$9*(1+(D563))^3)*('Assumptions'!G67+(0))))*'DCF'!H12/(1+(G563))^'DCF'!H13,(('Historical Inputs'!$N$9*(1+(D563))^5)*(('Assumptions'!I37+(E563))*(1-'Assumptions'!I42-(0))+'Assumptions'!I47-'Assumptions'!I52*(F563)+'Assumptions'!I57-'Assumptions'!I62*(1)-'Assumptions'!I67-(0))+(('Historical Inputs'!$N$9*(1+(D563))^4)*('Assumptions'!H67+(0))))*'DCF'!I12/(1+(G563))^'DCF'!I13)+('Historical Inputs'!$N$9*(1+(D563))^5)*(1+(H563))*('Terminal Value'!$E$10+(E563))*(1-'Assumptions'!$E$15-(0))*(1-(H563)/('Terminal Value'!$E$12))/((G563)-(H563))/(1+(G563))^'DCF'!$E$19)+'Equity Bridge'!$E$17)/'Equity Bridge'!$E$20</x:f>
        <x:v>325.7962841194163</x:v>
      </x:c>
      <x:c r="X563" s="255" t="n">
        <x:v>0.041632361018507646</x:v>
      </x:c>
      <x:c r="Y563" s="255" t="n">
        <x:v>0.6950892150503721</x:v>
      </x:c>
      <x:c r="Z563" s="255" t="n">
        <x:v>0.22523648051473177</x:v>
      </x:c>
      <x:c r="AA563" s="255" t="n">
        <x:v>0.01694921430754026</x:v>
      </x:c>
      <x:c r="AB563" s="255" t="n">
        <x:v>0.7598287175229251</x:v>
      </x:c>
    </x:row>
    <x:row r="564" ht="24" customHeight="1">
      <x:c r="C564" s="256" t="n">
        <x:f>533</x:f>
        <x:v>533</x:v>
      </x:c>
      <x:c r="D564" s="258" t="n">
        <x:f>IF(X564&lt;($E$12-$D$12)/($F$12-$D$12),$D$12+SQRT(X564*($F$12-$D$12)*($E$12-$D$12)),$F$12-SQRT((1-X564)*($F$12-$D$12)*($F$12-$E$12)))</x:f>
        <x:v>0.12248466757218132</x:v>
      </x:c>
      <x:c r="E564" s="258" t="n">
        <x:f>IF(Y564&lt;($E$13-$D$13)/($F$13-$D$13),$D$13+SQRT(Y564*($F$13-$D$13)*($E$13-$D$13)),$F$13-SQRT((1-Y564)*($F$13-$D$13)*($F$13-$E$13)))</x:f>
        <x:v>-0.01570631231766991</x:v>
      </x:c>
      <x:c r="F564" s="260" t="n">
        <x:f>IF(Z564&lt;($E$14-$D$14)/($F$14-$D$14),$D$14+SQRT(Z564*($F$14-$D$14)*($E$14-$D$14)),$F$14-SQRT((1-Z564)*($F$14-$D$14)*($F$14-$E$14)))</x:f>
        <x:v>1.0132015041140474</x:v>
      </x:c>
      <x:c r="G564" s="258" t="n">
        <x:f>IF(AA564&lt;($E$15-$D$15)/($F$15-$D$15),$D$15+SQRT(AA564*($F$15-$D$15)*($E$15-$D$15)),$F$15-SQRT((1-AA564)*($F$15-$D$15)*($F$15-$E$15)))</x:f>
        <x:v>0.10802557906538333</x:v>
      </x:c>
      <x:c r="H564" s="258" t="n">
        <x:f>IF(AB564&lt;($E$16-$D$16)/($F$16-$D$16),$D$16+SQRT(AB564*($F$16-$D$16)*($E$16-$D$16)),$F$16-SQRT((1-AB564)*($F$16-$D$16)*($F$16-$E$16)))</x:f>
        <x:v>0.024604967819051363</x:v>
      </x:c>
      <x:c r="I564" s="262" t="n">
        <x:f>'Historical Inputs'!$N$9*(1+D564)^5</x:f>
        <x:v>591329.456651847</x:v>
      </x:c>
      <x:c r="J564" s="262" t="n">
        <x:f>I564*(1+H564)*('Terminal Value'!$E$10+E564)*(1-'Assumptions'!$E$15)*(1-H564/'Terminal Value'!$E$12)</x:f>
        <x:v>163352.7693273548</x:v>
      </x:c>
      <x:c r="K564" s="264" t="n">
        <x:f>((SUM((('Historical Inputs'!$N$9*(1+(D564))^1)*(('Assumptions'!E37+(E564))*(1-'Assumptions'!E42-(0))+'Assumptions'!E47-'Assumptions'!E52*(F564)+'Assumptions'!E57-'Assumptions'!E62*(1)-'Assumptions'!E67-(0))+('Working Capital'!$E$6))*'DCF'!E12/(1+(G564))^'DCF'!E13,(('Historical Inputs'!$N$9*(1+(D564))^2)*(('Assumptions'!F37+(E564))*(1-'Assumptions'!F42-(0))+'Assumptions'!F47-'Assumptions'!F52*(F564)+'Assumptions'!F57-'Assumptions'!F62*(1)-'Assumptions'!F67-(0))+(('Historical Inputs'!$N$9*(1+(D564))^1)*('Assumptions'!E67+(0))))*'DCF'!F12/(1+(G564))^'DCF'!F13,(('Historical Inputs'!$N$9*(1+(D564))^3)*(('Assumptions'!G37+(E564))*(1-'Assumptions'!G42-(0))+'Assumptions'!G47-'Assumptions'!G52*(F564)+'Assumptions'!G57-'Assumptions'!G62*(1)-'Assumptions'!G67-(0))+(('Historical Inputs'!$N$9*(1+(D564))^2)*('Assumptions'!F67+(0))))*'DCF'!G12/(1+(G564))^'DCF'!G13,(('Historical Inputs'!$N$9*(1+(D564))^4)*(('Assumptions'!H37+(E564))*(1-'Assumptions'!H42-(0))+'Assumptions'!H47-'Assumptions'!H52*(F564)+'Assumptions'!H57-'Assumptions'!H62*(1)-'Assumptions'!H67-(0))+(('Historical Inputs'!$N$9*(1+(D564))^3)*('Assumptions'!G67+(0))))*'DCF'!H12/(1+(G564))^'DCF'!H13,(('Historical Inputs'!$N$9*(1+(D564))^5)*(('Assumptions'!I37+(E564))*(1-'Assumptions'!I42-(0))+'Assumptions'!I47-'Assumptions'!I52*(F564)+'Assumptions'!I57-'Assumptions'!I62*(1)-'Assumptions'!I67-(0))+(('Historical Inputs'!$N$9*(1+(D564))^4)*('Assumptions'!H67+(0))))*'DCF'!I12/(1+(G564))^'DCF'!I13)+('Historical Inputs'!$N$9*(1+(D564))^5)*(1+(H564))*('Terminal Value'!$E$10+(E564))*(1-'Assumptions'!$E$15-(0))*(1-(H564)/('Terminal Value'!$E$12))/((G564)-(H564))/(1+(G564))^'DCF'!$E$19)+'Equity Bridge'!$E$17)/'Equity Bridge'!$E$20</x:f>
        <x:v>208.90457181849192</x:v>
      </x:c>
      <x:c r="X564" s="255" t="n">
        <x:v>0.17085105517218357</x:v>
      </x:c>
      <x:c r="Y564" s="255" t="n">
        <x:v>0.2352114029706397</x:v>
      </x:c>
      <x:c r="Z564" s="255" t="n">
        <x:v>0.5015188847820828</x:v>
      </x:c>
      <x:c r="AA564" s="255" t="n">
        <x:v>0.9418642687725933</x:v>
      </x:c>
      <x:c r="AB564" s="255" t="n">
        <x:v>0.10602864307249349</x:v>
      </x:c>
    </x:row>
    <x:row r="565" ht="24" customHeight="1">
      <x:c r="C565" s="256" t="n">
        <x:f>534</x:f>
        <x:v>534</x:v>
      </x:c>
      <x:c r="D565" s="258" t="n">
        <x:f>IF(X565&lt;($E$12-$D$12)/($F$12-$D$12),$D$12+SQRT(X565*($F$12-$D$12)*($E$12-$D$12)),$F$12-SQRT((1-X565)*($F$12-$D$12)*($F$12-$E$12)))</x:f>
        <x:v>0.125814250889419</x:v>
      </x:c>
      <x:c r="E565" s="258" t="n">
        <x:f>IF(Y565&lt;($E$13-$D$13)/($F$13-$D$13),$D$13+SQRT(Y565*($F$13-$D$13)*($E$13-$D$13)),$F$13-SQRT((1-Y565)*($F$13-$D$13)*($F$13-$E$13)))</x:f>
        <x:v>0.026151515048474575</x:v>
      </x:c>
      <x:c r="F565" s="260" t="n">
        <x:f>IF(Z565&lt;($E$14-$D$14)/($F$14-$D$14),$D$14+SQRT(Z565*($F$14-$D$14)*($E$14-$D$14)),$F$14-SQRT((1-Z565)*($F$14-$D$14)*($F$14-$E$14)))</x:f>
        <x:v>1.0475517159535497</x:v>
      </x:c>
      <x:c r="G565" s="258" t="n">
        <x:f>IF(AA565&lt;($E$15-$D$15)/($F$15-$D$15),$D$15+SQRT(AA565*($F$15-$D$15)*($E$15-$D$15)),$F$15-SQRT((1-AA565)*($F$15-$D$15)*($F$15-$E$15)))</x:f>
        <x:v>0.10000213425902613</x:v>
      </x:c>
      <x:c r="H565" s="258" t="n">
        <x:f>IF(AB565&lt;($E$16-$D$16)/($F$16-$D$16),$D$16+SQRT(AB565*($F$16-$D$16)*($E$16-$D$16)),$F$16-SQRT((1-AB565)*($F$16-$D$16)*($F$16-$E$16)))</x:f>
        <x:v>0.033739197166171964</x:v>
      </x:c>
      <x:c r="I565" s="262" t="n">
        <x:f>'Historical Inputs'!$N$9*(1+D565)^5</x:f>
        <x:v>600151.8302692083</x:v>
      </x:c>
      <x:c r="J565" s="262" t="n">
        <x:f>I565*(1+H565)*('Terminal Value'!$E$10+E565)*(1-'Assumptions'!$E$15)*(1-H565/'Terminal Value'!$E$12)</x:f>
        <x:v>175827.18390293283</x:v>
      </x:c>
      <x:c r="K565" s="264" t="n">
        <x:f>((SUM((('Historical Inputs'!$N$9*(1+(D565))^1)*(('Assumptions'!E37+(E565))*(1-'Assumptions'!E42-(0))+'Assumptions'!E47-'Assumptions'!E52*(F565)+'Assumptions'!E57-'Assumptions'!E62*(1)-'Assumptions'!E67-(0))+('Working Capital'!$E$6))*'DCF'!E12/(1+(G565))^'DCF'!E13,(('Historical Inputs'!$N$9*(1+(D565))^2)*(('Assumptions'!F37+(E565))*(1-'Assumptions'!F42-(0))+'Assumptions'!F47-'Assumptions'!F52*(F565)+'Assumptions'!F57-'Assumptions'!F62*(1)-'Assumptions'!F67-(0))+(('Historical Inputs'!$N$9*(1+(D565))^1)*('Assumptions'!E67+(0))))*'DCF'!F12/(1+(G565))^'DCF'!F13,(('Historical Inputs'!$N$9*(1+(D565))^3)*(('Assumptions'!G37+(E565))*(1-'Assumptions'!G42-(0))+'Assumptions'!G47-'Assumptions'!G52*(F565)+'Assumptions'!G57-'Assumptions'!G62*(1)-'Assumptions'!G67-(0))+(('Historical Inputs'!$N$9*(1+(D565))^2)*('Assumptions'!F67+(0))))*'DCF'!G12/(1+(G565))^'DCF'!G13,(('Historical Inputs'!$N$9*(1+(D565))^4)*(('Assumptions'!H37+(E565))*(1-'Assumptions'!H42-(0))+'Assumptions'!H47-'Assumptions'!H52*(F565)+'Assumptions'!H57-'Assumptions'!H62*(1)-'Assumptions'!H67-(0))+(('Historical Inputs'!$N$9*(1+(D565))^3)*('Assumptions'!G67+(0))))*'DCF'!H12/(1+(G565))^'DCF'!H13,(('Historical Inputs'!$N$9*(1+(D565))^5)*(('Assumptions'!I37+(E565))*(1-'Assumptions'!I42-(0))+'Assumptions'!I47-'Assumptions'!I52*(F565)+'Assumptions'!I57-'Assumptions'!I62*(1)-'Assumptions'!I67-(0))+(('Historical Inputs'!$N$9*(1+(D565))^4)*('Assumptions'!H67+(0))))*'DCF'!I12/(1+(G565))^'DCF'!I13)+('Historical Inputs'!$N$9*(1+(D565))^5)*(1+(H565))*('Terminal Value'!$E$10+(E565))*(1-'Assumptions'!$E$15-(0))*(1-(H565)/('Terminal Value'!$E$12))/((G565)-(H565))/(1+(G565))^'DCF'!$E$19)+'Equity Bridge'!$E$17)/'Equity Bridge'!$E$20</x:f>
        <x:v>281.63751111367174</x:v>
      </x:c>
      <x:c r="X565" s="255" t="n">
        <x:v>0.21199463285683973</x:v>
      </x:c>
      <x:c r="Y565" s="255" t="n">
        <x:v>0.8862499531033731</x:v>
      </x:c>
      <x:c r="Z565" s="255" t="n">
        <x:v>0.6679931527327543</x:v>
      </x:c>
      <x:c r="AA565" s="255" t="n">
        <x:v>0.6164150672087179</x:v>
      </x:c>
      <x:c r="AB565" s="255" t="n">
        <x:v>0.8040117393796541</x:v>
      </x:c>
    </x:row>
    <x:row r="566" ht="24" customHeight="1">
      <x:c r="C566" s="256" t="n">
        <x:f>535</x:f>
        <x:v>535</x:v>
      </x:c>
      <x:c r="D566" s="258" t="n">
        <x:f>IF(X566&lt;($E$12-$D$12)/($F$12-$D$12),$D$12+SQRT(X566*($F$12-$D$12)*($E$12-$D$12)),$F$12-SQRT((1-X566)*($F$12-$D$12)*($F$12-$E$12)))</x:f>
        <x:v>0.11621328361592478</x:v>
      </x:c>
      <x:c r="E566" s="258" t="n">
        <x:f>IF(Y566&lt;($E$13-$D$13)/($F$13-$D$13),$D$13+SQRT(Y566*($F$13-$D$13)*($E$13-$D$13)),$F$13-SQRT((1-Y566)*($F$13-$D$13)*($F$13-$E$13)))</x:f>
        <x:v>0.009548758563018199</x:v>
      </x:c>
      <x:c r="F566" s="260" t="n">
        <x:f>IF(Z566&lt;($E$14-$D$14)/($F$14-$D$14),$D$14+SQRT(Z566*($F$14-$D$14)*($E$14-$D$14)),$F$14-SQRT((1-Z566)*($F$14-$D$14)*($F$14-$E$14)))</x:f>
        <x:v>0.9554261472674049</x:v>
      </x:c>
      <x:c r="G566" s="258" t="n">
        <x:f>IF(AA566&lt;($E$15-$D$15)/($F$15-$D$15),$D$15+SQRT(AA566*($F$15-$D$15)*($E$15-$D$15)),$F$15-SQRT((1-AA566)*($F$15-$D$15)*($F$15-$E$15)))</x:f>
        <x:v>0.0980121075061425</x:v>
      </x:c>
      <x:c r="H566" s="258" t="n">
        <x:f>IF(AB566&lt;($E$16-$D$16)/($F$16-$D$16),$D$16+SQRT(AB566*($F$16-$D$16)*($E$16-$D$16)),$F$16-SQRT((1-AB566)*($F$16-$D$16)*($F$16-$E$16)))</x:f>
        <x:v>0.024412742347541292</x:v>
      </x:c>
      <x:c r="I566" s="262" t="n">
        <x:f>'Historical Inputs'!$N$9*(1+D566)^5</x:f>
        <x:v>574994.0608500466</x:v>
      </x:c>
      <x:c r="J566" s="262" t="n">
        <x:f>I566*(1+H566)*('Terminal Value'!$E$10+E566)*(1-'Assumptions'!$E$15)*(1-H566/'Terminal Value'!$E$12)</x:f>
        <x:v>169432.58307499203</x:v>
      </x:c>
      <x:c r="K566" s="264" t="n">
        <x:f>((SUM((('Historical Inputs'!$N$9*(1+(D566))^1)*(('Assumptions'!E37+(E566))*(1-'Assumptions'!E42-(0))+'Assumptions'!E47-'Assumptions'!E52*(F566)+'Assumptions'!E57-'Assumptions'!E62*(1)-'Assumptions'!E67-(0))+('Working Capital'!$E$6))*'DCF'!E12/(1+(G566))^'DCF'!E13,(('Historical Inputs'!$N$9*(1+(D566))^2)*(('Assumptions'!F37+(E566))*(1-'Assumptions'!F42-(0))+'Assumptions'!F47-'Assumptions'!F52*(F566)+'Assumptions'!F57-'Assumptions'!F62*(1)-'Assumptions'!F67-(0))+(('Historical Inputs'!$N$9*(1+(D566))^1)*('Assumptions'!E67+(0))))*'DCF'!F12/(1+(G566))^'DCF'!F13,(('Historical Inputs'!$N$9*(1+(D566))^3)*(('Assumptions'!G37+(E566))*(1-'Assumptions'!G42-(0))+'Assumptions'!G47-'Assumptions'!G52*(F566)+'Assumptions'!G57-'Assumptions'!G62*(1)-'Assumptions'!G67-(0))+(('Historical Inputs'!$N$9*(1+(D566))^2)*('Assumptions'!F67+(0))))*'DCF'!G12/(1+(G566))^'DCF'!G13,(('Historical Inputs'!$N$9*(1+(D566))^4)*(('Assumptions'!H37+(E566))*(1-'Assumptions'!H42-(0))+'Assumptions'!H47-'Assumptions'!H52*(F566)+'Assumptions'!H57-'Assumptions'!H62*(1)-'Assumptions'!H67-(0))+(('Historical Inputs'!$N$9*(1+(D566))^3)*('Assumptions'!G67+(0))))*'DCF'!H12/(1+(G566))^'DCF'!H13,(('Historical Inputs'!$N$9*(1+(D566))^5)*(('Assumptions'!I37+(E566))*(1-'Assumptions'!I42-(0))+'Assumptions'!I47-'Assumptions'!I52*(F566)+'Assumptions'!I57-'Assumptions'!I62*(1)-'Assumptions'!I67-(0))+(('Historical Inputs'!$N$9*(1+(D566))^4)*('Assumptions'!H67+(0))))*'DCF'!I12/(1+(G566))^'DCF'!I13)+('Historical Inputs'!$N$9*(1+(D566))^5)*(1+(H566))*('Terminal Value'!$E$10+(E566))*(1-'Assumptions'!$E$15-(0))*(1-(H566)/('Terminal Value'!$E$12))/((G566)-(H566))/(1+(G566))^'DCF'!$E$19)+'Equity Bridge'!$E$17)/'Equity Bridge'!$E$20</x:f>
        <x:v>254.17556412647335</x:v>
      </x:c>
      <x:c r="X566" s="255" t="n">
        <x:v>0.10539799107298531</x:v>
      </x:c>
      <x:c r="Y566" s="255" t="n">
        <x:v>0.6727394132414013</x:v>
      </x:c>
      <x:c r="Z566" s="255" t="n">
        <x:v>0.21170804814568667</x:v>
      </x:c>
      <x:c r="AA566" s="255" t="n">
        <x:v>0.491485772308771</x:v>
      </x:c>
      <x:c r="AB566" s="255" t="n">
        <x:v>0.09736147512892124</x:v>
      </x:c>
    </x:row>
    <x:row r="567" ht="24" customHeight="1">
      <x:c r="C567" s="256" t="n">
        <x:f>536</x:f>
        <x:v>536</x:v>
      </x:c>
      <x:c r="D567" s="258" t="n">
        <x:f>IF(X567&lt;($E$12-$D$12)/($F$12-$D$12),$D$12+SQRT(X567*($F$12-$D$12)*($E$12-$D$12)),$F$12-SQRT((1-X567)*($F$12-$D$12)*($F$12-$E$12)))</x:f>
        <x:v>0.1161687539228869</x:v>
      </x:c>
      <x:c r="E567" s="258" t="n">
        <x:f>IF(Y567&lt;($E$13-$D$13)/($F$13-$D$13),$D$13+SQRT(Y567*($F$13-$D$13)*($E$13-$D$13)),$F$13-SQRT((1-Y567)*($F$13-$D$13)*($F$13-$E$13)))</x:f>
        <x:v>-0.019213216686779288</x:v>
      </x:c>
      <x:c r="F567" s="260" t="n">
        <x:f>IF(Z567&lt;($E$14-$D$14)/($F$14-$D$14),$D$14+SQRT(Z567*($F$14-$D$14)*($E$14-$D$14)),$F$14-SQRT((1-Z567)*($F$14-$D$14)*($F$14-$E$14)))</x:f>
        <x:v>1.1115850675766548</x:v>
      </x:c>
      <x:c r="G567" s="258" t="n">
        <x:f>IF(AA567&lt;($E$15-$D$15)/($F$15-$D$15),$D$15+SQRT(AA567*($F$15-$D$15)*($E$15-$D$15)),$F$15-SQRT((1-AA567)*($F$15-$D$15)*($F$15-$E$15)))</x:f>
        <x:v>0.10815085792747958</x:v>
      </x:c>
      <x:c r="H567" s="258" t="n">
        <x:f>IF(AB567&lt;($E$16-$D$16)/($F$16-$D$16),$D$16+SQRT(AB567*($F$16-$D$16)*($E$16-$D$16)),$F$16-SQRT((1-AB567)*($F$16-$D$16)*($F$16-$E$16)))</x:f>
        <x:v>0.03429027092522569</x:v>
      </x:c>
      <x:c r="I567" s="262" t="n">
        <x:f>'Historical Inputs'!$N$9*(1+D567)^5</x:f>
        <x:v>574879.3772739198</x:v>
      </x:c>
      <x:c r="J567" s="262" t="n">
        <x:f>I567*(1+H567)*('Terminal Value'!$E$10+E567)*(1-'Assumptions'!$E$15)*(1-H567/'Terminal Value'!$E$12)</x:f>
        <x:v>150075.2355295673</x:v>
      </x:c>
      <x:c r="K567" s="264" t="n">
        <x:f>((SUM((('Historical Inputs'!$N$9*(1+(D567))^1)*(('Assumptions'!E37+(E567))*(1-'Assumptions'!E42-(0))+'Assumptions'!E47-'Assumptions'!E52*(F567)+'Assumptions'!E57-'Assumptions'!E62*(1)-'Assumptions'!E67-(0))+('Working Capital'!$E$6))*'DCF'!E12/(1+(G567))^'DCF'!E13,(('Historical Inputs'!$N$9*(1+(D567))^2)*(('Assumptions'!F37+(E567))*(1-'Assumptions'!F42-(0))+'Assumptions'!F47-'Assumptions'!F52*(F567)+'Assumptions'!F57-'Assumptions'!F62*(1)-'Assumptions'!F67-(0))+(('Historical Inputs'!$N$9*(1+(D567))^1)*('Assumptions'!E67+(0))))*'DCF'!F12/(1+(G567))^'DCF'!F13,(('Historical Inputs'!$N$9*(1+(D567))^3)*(('Assumptions'!G37+(E567))*(1-'Assumptions'!G42-(0))+'Assumptions'!G47-'Assumptions'!G52*(F567)+'Assumptions'!G57-'Assumptions'!G62*(1)-'Assumptions'!G67-(0))+(('Historical Inputs'!$N$9*(1+(D567))^2)*('Assumptions'!F67+(0))))*'DCF'!G12/(1+(G567))^'DCF'!G13,(('Historical Inputs'!$N$9*(1+(D567))^4)*(('Assumptions'!H37+(E567))*(1-'Assumptions'!H42-(0))+'Assumptions'!H47-'Assumptions'!H52*(F567)+'Assumptions'!H57-'Assumptions'!H62*(1)-'Assumptions'!H67-(0))+(('Historical Inputs'!$N$9*(1+(D567))^3)*('Assumptions'!G67+(0))))*'DCF'!H12/(1+(G567))^'DCF'!H13,(('Historical Inputs'!$N$9*(1+(D567))^5)*(('Assumptions'!I37+(E567))*(1-'Assumptions'!I42-(0))+'Assumptions'!I47-'Assumptions'!I52*(F567)+'Assumptions'!I57-'Assumptions'!I62*(1)-'Assumptions'!I67-(0))+(('Historical Inputs'!$N$9*(1+(D567))^4)*('Assumptions'!H67+(0))))*'DCF'!I12/(1+(G567))^'DCF'!I13)+('Historical Inputs'!$N$9*(1+(D567))^5)*(1+(H567))*('Terminal Value'!$E$10+(E567))*(1-'Assumptions'!$E$15-(0))*(1-(H567)/('Terminal Value'!$E$12))/((G567)-(H567))/(1+(G567))^'DCF'!$E$19)+'Equity Bridge'!$E$17)/'Equity Bridge'!$E$20</x:f>
        <x:v>207.56659620021014</x:v>
      </x:c>
      <x:c r="X567" s="255" t="n">
        <x:v>0.10498949353537779</x:v>
      </x:c>
      <x:c r="Y567" s="255" t="n">
        <x:v>0.18956520535504107</x:v>
      </x:c>
      <x:c r="Z567" s="255" t="n">
        <x:v>0.8883257103510759</x:v>
      </x:c>
      <x:c r="AA567" s="255" t="n">
        <x:v>0.944677280784529</x:v>
      </x:c>
      <x:c r="AB567" s="255" t="n">
        <x:v>0.8369949694633848</x:v>
      </x:c>
    </x:row>
    <x:row r="568" ht="24" customHeight="1">
      <x:c r="C568" s="256" t="n">
        <x:f>537</x:f>
        <x:v>537</x:v>
      </x:c>
      <x:c r="D568" s="258" t="n">
        <x:f>IF(X568&lt;($E$12-$D$12)/($F$12-$D$12),$D$12+SQRT(X568*($F$12-$D$12)*($E$12-$D$12)),$F$12-SQRT((1-X568)*($F$12-$D$12)*($F$12-$E$12)))</x:f>
        <x:v>0.1650495271182405</x:v>
      </x:c>
      <x:c r="E568" s="258" t="n">
        <x:f>IF(Y568&lt;($E$13-$D$13)/($F$13-$D$13),$D$13+SQRT(Y568*($F$13-$D$13)*($E$13-$D$13)),$F$13-SQRT((1-Y568)*($F$13-$D$13)*($F$13-$E$13)))</x:f>
        <x:v>0.03880886406025556</x:v>
      </x:c>
      <x:c r="F568" s="260" t="n">
        <x:f>IF(Z568&lt;($E$14-$D$14)/($F$14-$D$14),$D$14+SQRT(Z568*($F$14-$D$14)*($E$14-$D$14)),$F$14-SQRT((1-Z568)*($F$14-$D$14)*($F$14-$E$14)))</x:f>
        <x:v>1.1194899747048843</x:v>
      </x:c>
      <x:c r="G568" s="258" t="n">
        <x:f>IF(AA568&lt;($E$15-$D$15)/($F$15-$D$15),$D$15+SQRT(AA568*($F$15-$D$15)*($E$15-$D$15)),$F$15-SQRT((1-AA568)*($F$15-$D$15)*($F$15-$E$15)))</x:f>
        <x:v>0.0947414311004094</x:v>
      </x:c>
      <x:c r="H568" s="258" t="n">
        <x:f>IF(AB568&lt;($E$16-$D$16)/($F$16-$D$16),$D$16+SQRT(AB568*($F$16-$D$16)*($E$16-$D$16)),$F$16-SQRT((1-AB568)*($F$16-$D$16)*($F$16-$E$16)))</x:f>
        <x:v>0.02916693219591253</x:v>
      </x:c>
      <x:c r="I568" s="262" t="n">
        <x:f>'Historical Inputs'!$N$9*(1+D568)^5</x:f>
        <x:v>712277.7294775029</x:v>
      </x:c>
      <x:c r="J568" s="262" t="n">
        <x:f>I568*(1+H568)*('Terminal Value'!$E$10+E568)*(1-'Assumptions'!$E$15)*(1-H568/'Terminal Value'!$E$12)</x:f>
        <x:v>219807.50283152284</x:v>
      </x:c>
      <x:c r="K568" s="264" t="n">
        <x:f>((SUM((('Historical Inputs'!$N$9*(1+(D568))^1)*(('Assumptions'!E37+(E568))*(1-'Assumptions'!E42-(0))+'Assumptions'!E47-'Assumptions'!E52*(F568)+'Assumptions'!E57-'Assumptions'!E62*(1)-'Assumptions'!E67-(0))+('Working Capital'!$E$6))*'DCF'!E12/(1+(G568))^'DCF'!E13,(('Historical Inputs'!$N$9*(1+(D568))^2)*(('Assumptions'!F37+(E568))*(1-'Assumptions'!F42-(0))+'Assumptions'!F47-'Assumptions'!F52*(F568)+'Assumptions'!F57-'Assumptions'!F62*(1)-'Assumptions'!F67-(0))+(('Historical Inputs'!$N$9*(1+(D568))^1)*('Assumptions'!E67+(0))))*'DCF'!F12/(1+(G568))^'DCF'!F13,(('Historical Inputs'!$N$9*(1+(D568))^3)*(('Assumptions'!G37+(E568))*(1-'Assumptions'!G42-(0))+'Assumptions'!G47-'Assumptions'!G52*(F568)+'Assumptions'!G57-'Assumptions'!G62*(1)-'Assumptions'!G67-(0))+(('Historical Inputs'!$N$9*(1+(D568))^2)*('Assumptions'!F67+(0))))*'DCF'!G12/(1+(G568))^'DCF'!G13,(('Historical Inputs'!$N$9*(1+(D568))^4)*(('Assumptions'!H37+(E568))*(1-'Assumptions'!H42-(0))+'Assumptions'!H47-'Assumptions'!H52*(F568)+'Assumptions'!H57-'Assumptions'!H62*(1)-'Assumptions'!H67-(0))+(('Historical Inputs'!$N$9*(1+(D568))^3)*('Assumptions'!G67+(0))))*'DCF'!H12/(1+(G568))^'DCF'!H13,(('Historical Inputs'!$N$9*(1+(D568))^5)*(('Assumptions'!I37+(E568))*(1-'Assumptions'!I42-(0))+'Assumptions'!I47-'Assumptions'!I52*(F568)+'Assumptions'!I57-'Assumptions'!I62*(1)-'Assumptions'!I67-(0))+(('Historical Inputs'!$N$9*(1+(D568))^4)*('Assumptions'!H67+(0))))*'DCF'!I12/(1+(G568))^'DCF'!I13)+('Historical Inputs'!$N$9*(1+(D568))^5)*(1+(H568))*('Terminal Value'!$E$10+(E568))*(1-'Assumptions'!$E$15-(0))*(1-(H568)/('Terminal Value'!$E$12))/((G568)-(H568))/(1+(G568))^'DCF'!$E$19)+'Equity Bridge'!$E$17)/'Equity Bridge'!$E$20</x:f>
        <x:v>354.01312679192563</x:v>
      </x:c>
      <x:c r="X568" s="255" t="n">
        <x:v>0.8408674484616966</x:v>
      </x:c>
      <x:c r="Y568" s="255" t="n">
        <x:v>0.9749516952756321</x:v>
      </x:c>
      <x:c r="Z568" s="255" t="n">
        <x:v>0.9074019403854263</x:v>
      </x:c>
      <x:c r="AA568" s="255" t="n">
        <x:v>0.29907696690028174</x:v>
      </x:c>
      <x:c r="AB568" s="255" t="n">
        <x:v>0.4201632294222887</x:v>
      </x:c>
    </x:row>
    <x:row r="569" ht="24" customHeight="1">
      <x:c r="C569" s="256" t="n">
        <x:f>538</x:f>
        <x:v>538</x:v>
      </x:c>
      <x:c r="D569" s="258" t="n">
        <x:f>IF(X569&lt;($E$12-$D$12)/($F$12-$D$12),$D$12+SQRT(X569*($F$12-$D$12)*($E$12-$D$12)),$F$12-SQRT((1-X569)*($F$12-$D$12)*($F$12-$E$12)))</x:f>
        <x:v>0.118285317100966</x:v>
      </x:c>
      <x:c r="E569" s="258" t="n">
        <x:f>IF(Y569&lt;($E$13-$D$13)/($F$13-$D$13),$D$13+SQRT(Y569*($F$13-$D$13)*($E$13-$D$13)),$F$13-SQRT((1-Y569)*($F$13-$D$13)*($F$13-$E$13)))</x:f>
        <x:v>0.014370010893486378</x:v>
      </x:c>
      <x:c r="F569" s="260" t="n">
        <x:f>IF(Z569&lt;($E$14-$D$14)/($F$14-$D$14),$D$14+SQRT(Z569*($F$14-$D$14)*($E$14-$D$14)),$F$14-SQRT((1-Z569)*($F$14-$D$14)*($F$14-$E$14)))</x:f>
        <x:v>1.0762592166795086</x:v>
      </x:c>
      <x:c r="G569" s="258" t="n">
        <x:f>IF(AA569&lt;($E$15-$D$15)/($F$15-$D$15),$D$15+SQRT(AA569*($F$15-$D$15)*($E$15-$D$15)),$F$15-SQRT((1-AA569)*($F$15-$D$15)*($F$15-$E$15)))</x:f>
        <x:v>0.09371393045292775</x:v>
      </x:c>
      <x:c r="H569" s="258" t="n">
        <x:f>IF(AB569&lt;($E$16-$D$16)/($F$16-$D$16),$D$16+SQRT(AB569*($F$16-$D$16)*($E$16-$D$16)),$F$16-SQRT((1-AB569)*($F$16-$D$16)*($F$16-$E$16)))</x:f>
        <x:v>0.035271163682616354</x:v>
      </x:c>
      <x:c r="I569" s="262" t="n">
        <x:f>'Historical Inputs'!$N$9*(1+D569)^5</x:f>
        <x:v>580350.7360290161</x:v>
      </x:c>
      <x:c r="J569" s="262" t="n">
        <x:f>I569*(1+H569)*('Terminal Value'!$E$10+E569)*(1-'Assumptions'!$E$15)*(1-H569/'Terminal Value'!$E$12)</x:f>
        <x:v>164044.84803417974</x:v>
      </x:c>
      <x:c r="K569" s="264" t="n">
        <x:f>((SUM((('Historical Inputs'!$N$9*(1+(D569))^1)*(('Assumptions'!E37+(E569))*(1-'Assumptions'!E42-(0))+'Assumptions'!E47-'Assumptions'!E52*(F569)+'Assumptions'!E57-'Assumptions'!E62*(1)-'Assumptions'!E67-(0))+('Working Capital'!$E$6))*'DCF'!E12/(1+(G569))^'DCF'!E13,(('Historical Inputs'!$N$9*(1+(D569))^2)*(('Assumptions'!F37+(E569))*(1-'Assumptions'!F42-(0))+'Assumptions'!F47-'Assumptions'!F52*(F569)+'Assumptions'!F57-'Assumptions'!F62*(1)-'Assumptions'!F67-(0))+(('Historical Inputs'!$N$9*(1+(D569))^1)*('Assumptions'!E67+(0))))*'DCF'!F12/(1+(G569))^'DCF'!F13,(('Historical Inputs'!$N$9*(1+(D569))^3)*(('Assumptions'!G37+(E569))*(1-'Assumptions'!G42-(0))+'Assumptions'!G47-'Assumptions'!G52*(F569)+'Assumptions'!G57-'Assumptions'!G62*(1)-'Assumptions'!G67-(0))+(('Historical Inputs'!$N$9*(1+(D569))^2)*('Assumptions'!F67+(0))))*'DCF'!G12/(1+(G569))^'DCF'!G13,(('Historical Inputs'!$N$9*(1+(D569))^4)*(('Assumptions'!H37+(E569))*(1-'Assumptions'!H42-(0))+'Assumptions'!H47-'Assumptions'!H52*(F569)+'Assumptions'!H57-'Assumptions'!H62*(1)-'Assumptions'!H67-(0))+(('Historical Inputs'!$N$9*(1+(D569))^3)*('Assumptions'!G67+(0))))*'DCF'!H12/(1+(G569))^'DCF'!H13,(('Historical Inputs'!$N$9*(1+(D569))^5)*(('Assumptions'!I37+(E569))*(1-'Assumptions'!I42-(0))+'Assumptions'!I47-'Assumptions'!I52*(F569)+'Assumptions'!I57-'Assumptions'!I62*(1)-'Assumptions'!I67-(0))+(('Historical Inputs'!$N$9*(1+(D569))^4)*('Assumptions'!H67+(0))))*'DCF'!I12/(1+(G569))^'DCF'!I13)+('Historical Inputs'!$N$9*(1+(D569))^5)*(1+(H569))*('Terminal Value'!$E$10+(E569))*(1-'Assumptions'!$E$15-(0))*(1-(H569)/('Terminal Value'!$E$12))/((G569)-(H569))/(1+(G569))^'DCF'!$E$19)+'Equity Bridge'!$E$17)/'Equity Bridge'!$E$20</x:f>
        <x:v>296.9289869467622</x:v>
      </x:c>
      <x:c r="X569" s="255" t="n">
        <x:v>0.12528311287360272</x:v>
      </x:c>
      <x:c r="Y569" s="255" t="n">
        <x:v>0.7461007752539441</x:v>
      </x:c>
      <x:c r="Z569" s="255" t="n">
        <x:v>0.7812602649033031</x:v>
      </x:c>
      <x:c r="AA569" s="255" t="n">
        <x:v>0.24844487920993397</x:v>
      </x:c>
      <x:c r="AB569" s="255" t="n">
        <x:v>0.8881905354169672</x:v>
      </x:c>
    </x:row>
    <x:row r="570" ht="24" customHeight="1">
      <x:c r="C570" s="256" t="n">
        <x:f>539</x:f>
        <x:v>539</x:v>
      </x:c>
      <x:c r="D570" s="258" t="n">
        <x:f>IF(X570&lt;($E$12-$D$12)/($F$12-$D$12),$D$12+SQRT(X570*($F$12-$D$12)*($E$12-$D$12)),$F$12-SQRT((1-X570)*($F$12-$D$12)*($F$12-$E$12)))</x:f>
        <x:v>0.14412257953271218</x:v>
      </x:c>
      <x:c r="E570" s="258" t="n">
        <x:f>IF(Y570&lt;($E$13-$D$13)/($F$13-$D$13),$D$13+SQRT(Y570*($F$13-$D$13)*($E$13-$D$13)),$F$13-SQRT((1-Y570)*($F$13-$D$13)*($F$13-$E$13)))</x:f>
        <x:v>0.033444885245776726</x:v>
      </x:c>
      <x:c r="F570" s="260" t="n">
        <x:f>IF(Z570&lt;($E$14-$D$14)/($F$14-$D$14),$D$14+SQRT(Z570*($F$14-$D$14)*($E$14-$D$14)),$F$14-SQRT((1-Z570)*($F$14-$D$14)*($F$14-$E$14)))</x:f>
        <x:v>0.932147236478358</x:v>
      </x:c>
      <x:c r="G570" s="258" t="n">
        <x:f>IF(AA570&lt;($E$15-$D$15)/($F$15-$D$15),$D$15+SQRT(AA570*($F$15-$D$15)*($E$15-$D$15)),$F$15-SQRT((1-AA570)*($F$15-$D$15)*($F$15-$E$15)))</x:f>
        <x:v>0.11141716302421412</x:v>
      </x:c>
      <x:c r="H570" s="258" t="n">
        <x:f>IF(AB570&lt;($E$16-$D$16)/($F$16-$D$16),$D$16+SQRT(AB570*($F$16-$D$16)*($E$16-$D$16)),$F$16-SQRT((1-AB570)*($F$16-$D$16)*($F$16-$E$16)))</x:f>
        <x:v>0.03139307093995097</x:v>
      </x:c>
      <x:c r="I570" s="262" t="n">
        <x:f>'Historical Inputs'!$N$9*(1+D570)^5</x:f>
        <x:v>650564.2721695785</x:v>
      </x:c>
      <x:c r="J570" s="262" t="n">
        <x:f>I570*(1+H570)*('Terminal Value'!$E$10+E570)*(1-'Assumptions'!$E$15)*(1-H570/'Terminal Value'!$E$12)</x:f>
        <x:v>196147.9215711475</x:v>
      </x:c>
      <x:c r="K570" s="264" t="n">
        <x:f>((SUM((('Historical Inputs'!$N$9*(1+(D570))^1)*(('Assumptions'!E37+(E570))*(1-'Assumptions'!E42-(0))+'Assumptions'!E47-'Assumptions'!E52*(F570)+'Assumptions'!E57-'Assumptions'!E62*(1)-'Assumptions'!E67-(0))+('Working Capital'!$E$6))*'DCF'!E12/(1+(G570))^'DCF'!E13,(('Historical Inputs'!$N$9*(1+(D570))^2)*(('Assumptions'!F37+(E570))*(1-'Assumptions'!F42-(0))+'Assumptions'!F47-'Assumptions'!F52*(F570)+'Assumptions'!F57-'Assumptions'!F62*(1)-'Assumptions'!F67-(0))+(('Historical Inputs'!$N$9*(1+(D570))^1)*('Assumptions'!E67+(0))))*'DCF'!F12/(1+(G570))^'DCF'!F13,(('Historical Inputs'!$N$9*(1+(D570))^3)*(('Assumptions'!G37+(E570))*(1-'Assumptions'!G42-(0))+'Assumptions'!G47-'Assumptions'!G52*(F570)+'Assumptions'!G57-'Assumptions'!G62*(1)-'Assumptions'!G67-(0))+(('Historical Inputs'!$N$9*(1+(D570))^2)*('Assumptions'!F67+(0))))*'DCF'!G12/(1+(G570))^'DCF'!G13,(('Historical Inputs'!$N$9*(1+(D570))^4)*(('Assumptions'!H37+(E570))*(1-'Assumptions'!H42-(0))+'Assumptions'!H47-'Assumptions'!H52*(F570)+'Assumptions'!H57-'Assumptions'!H62*(1)-'Assumptions'!H67-(0))+(('Historical Inputs'!$N$9*(1+(D570))^3)*('Assumptions'!G67+(0))))*'DCF'!H12/(1+(G570))^'DCF'!H13,(('Historical Inputs'!$N$9*(1+(D570))^5)*(('Assumptions'!I37+(E570))*(1-'Assumptions'!I42-(0))+'Assumptions'!I47-'Assumptions'!I52*(F570)+'Assumptions'!I57-'Assumptions'!I62*(1)-'Assumptions'!I67-(0))+(('Historical Inputs'!$N$9*(1+(D570))^4)*('Assumptions'!H67+(0))))*'DCF'!I12/(1+(G570))^'DCF'!I13)+('Historical Inputs'!$N$9*(1+(D570))^5)*(1+(H570))*('Terminal Value'!$E$10+(E570))*(1-'Assumptions'!$E$15-(0))*(1-(H570)/('Terminal Value'!$E$12))/((G570)-(H570))/(1+(G570))^'DCF'!$E$19)+'Equity Bridge'!$E$17)/'Equity Bridge'!$E$20</x:f>
        <x:v>264.56106141822085</x:v>
      </x:c>
      <x:c r="X570" s="255" t="n">
        <x:v>0.5171613161043861</x:v>
      </x:c>
      <x:c r="Y570" s="255" t="n">
        <x:v>0.9451856350948997</x:v>
      </x:c>
      <x:c r="Z570" s="255" t="n">
        <x:v>0.1285365421148812</x:v>
      </x:c>
      <x:c r="AA570" s="255" t="n">
        <x:v>0.993401244804487</x:v>
      </x:c>
      <x:c r="AB570" s="255" t="n">
        <x:v>0.629603860776418</x:v>
      </x:c>
    </x:row>
    <x:row r="571" ht="24" customHeight="1">
      <x:c r="C571" s="256" t="n">
        <x:f>540</x:f>
        <x:v>540</x:v>
      </x:c>
      <x:c r="D571" s="258" t="n">
        <x:f>IF(X571&lt;($E$12-$D$12)/($F$12-$D$12),$D$12+SQRT(X571*($F$12-$D$12)*($E$12-$D$12)),$F$12-SQRT((1-X571)*($F$12-$D$12)*($F$12-$E$12)))</x:f>
        <x:v>0.16806835438134285</x:v>
      </x:c>
      <x:c r="E571" s="258" t="n">
        <x:f>IF(Y571&lt;($E$13-$D$13)/($F$13-$D$13),$D$13+SQRT(Y571*($F$13-$D$13)*($E$13-$D$13)),$F$13-SQRT((1-Y571)*($F$13-$D$13)*($F$13-$E$13)))</x:f>
        <x:v>-0.01500855286927278</x:v>
      </x:c>
      <x:c r="F571" s="260" t="n">
        <x:f>IF(Z571&lt;($E$14-$D$14)/($F$14-$D$14),$D$14+SQRT(Z571*($F$14-$D$14)*($E$14-$D$14)),$F$14-SQRT((1-Z571)*($F$14-$D$14)*($F$14-$E$14)))</x:f>
        <x:v>1.1662812992941014</x:v>
      </x:c>
      <x:c r="G571" s="258" t="n">
        <x:f>IF(AA571&lt;($E$15-$D$15)/($F$15-$D$15),$D$15+SQRT(AA571*($F$15-$D$15)*($E$15-$D$15)),$F$15-SQRT((1-AA571)*($F$15-$D$15)*($F$15-$E$15)))</x:f>
        <x:v>0.09140905799996392</x:v>
      </x:c>
      <x:c r="H571" s="258" t="n">
        <x:f>IF(AB571&lt;($E$16-$D$16)/($F$16-$D$16),$D$16+SQRT(AB571*($F$16-$D$16)*($E$16-$D$16)),$F$16-SQRT((1-AB571)*($F$16-$D$16)*($F$16-$E$16)))</x:f>
        <x:v>0.030798023560334092</x:v>
      </x:c>
      <x:c r="I571" s="262" t="n">
        <x:f>'Historical Inputs'!$N$9*(1+D571)^5</x:f>
        <x:v>721553.7968466128</x:v>
      </x:c>
      <x:c r="J571" s="262" t="n">
        <x:f>I571*(1+H571)*('Terminal Value'!$E$10+E571)*(1-'Assumptions'!$E$15)*(1-H571/'Terminal Value'!$E$12)</x:f>
        <x:v>193802.24247912178</x:v>
      </x:c>
      <x:c r="K571" s="264" t="n">
        <x:f>((SUM((('Historical Inputs'!$N$9*(1+(D571))^1)*(('Assumptions'!E37+(E571))*(1-'Assumptions'!E42-(0))+'Assumptions'!E47-'Assumptions'!E52*(F571)+'Assumptions'!E57-'Assumptions'!E62*(1)-'Assumptions'!E67-(0))+('Working Capital'!$E$6))*'DCF'!E12/(1+(G571))^'DCF'!E13,(('Historical Inputs'!$N$9*(1+(D571))^2)*(('Assumptions'!F37+(E571))*(1-'Assumptions'!F42-(0))+'Assumptions'!F47-'Assumptions'!F52*(F571)+'Assumptions'!F57-'Assumptions'!F62*(1)-'Assumptions'!F67-(0))+(('Historical Inputs'!$N$9*(1+(D571))^1)*('Assumptions'!E67+(0))))*'DCF'!F12/(1+(G571))^'DCF'!F13,(('Historical Inputs'!$N$9*(1+(D571))^3)*(('Assumptions'!G37+(E571))*(1-'Assumptions'!G42-(0))+'Assumptions'!G47-'Assumptions'!G52*(F571)+'Assumptions'!G57-'Assumptions'!G62*(1)-'Assumptions'!G67-(0))+(('Historical Inputs'!$N$9*(1+(D571))^2)*('Assumptions'!F67+(0))))*'DCF'!G12/(1+(G571))^'DCF'!G13,(('Historical Inputs'!$N$9*(1+(D571))^4)*(('Assumptions'!H37+(E571))*(1-'Assumptions'!H42-(0))+'Assumptions'!H47-'Assumptions'!H52*(F571)+'Assumptions'!H57-'Assumptions'!H62*(1)-'Assumptions'!H67-(0))+(('Historical Inputs'!$N$9*(1+(D571))^3)*('Assumptions'!G67+(0))))*'DCF'!H12/(1+(G571))^'DCF'!H13,(('Historical Inputs'!$N$9*(1+(D571))^5)*(('Assumptions'!I37+(E571))*(1-'Assumptions'!I42-(0))+'Assumptions'!I47-'Assumptions'!I52*(F571)+'Assumptions'!I57-'Assumptions'!I62*(1)-'Assumptions'!I67-(0))+(('Historical Inputs'!$N$9*(1+(D571))^4)*('Assumptions'!H67+(0))))*'DCF'!I12/(1+(G571))^'DCF'!I13)+('Historical Inputs'!$N$9*(1+(D571))^5)*(1+(H571))*('Terminal Value'!$E$10+(E571))*(1-'Assumptions'!$E$15-(0))*(1-(H571)/('Terminal Value'!$E$12))/((G571)-(H571))/(1+(G571))^'DCF'!$E$19)+'Equity Bridge'!$E$17)/'Equity Bridge'!$E$20</x:f>
        <x:v>330.4533517013237</x:v>
      </x:c>
      <x:c r="X571" s="255" t="n">
        <x:v>0.8731062064719157</x:v>
      </x:c>
      <x:c r="Y571" s="255" t="n">
        <x:v>0.24488027446049565</x:v>
      </x:c>
      <x:c r="Z571" s="255" t="n">
        <x:v>0.9837578460386577</x:v>
      </x:c>
      <x:c r="AA571" s="255" t="n">
        <x:v>0.151936028811805</x:v>
      </x:c>
      <x:c r="AB571" s="255" t="n">
        <x:v>0.5766181480191677</x:v>
      </x:c>
    </x:row>
    <x:row r="572" ht="24" customHeight="1">
      <x:c r="C572" s="256" t="n">
        <x:f>541</x:f>
        <x:v>541</x:v>
      </x:c>
      <x:c r="D572" s="258" t="n">
        <x:f>IF(X572&lt;($E$12-$D$12)/($F$12-$D$12),$D$12+SQRT(X572*($F$12-$D$12)*($E$12-$D$12)),$F$12-SQRT((1-X572)*($F$12-$D$12)*($F$12-$E$12)))</x:f>
        <x:v>0.132620978071672</x:v>
      </x:c>
      <x:c r="E572" s="258" t="n">
        <x:f>IF(Y572&lt;($E$13-$D$13)/($F$13-$D$13),$D$13+SQRT(Y572*($F$13-$D$13)*($E$13-$D$13)),$F$13-SQRT((1-Y572)*($F$13-$D$13)*($F$13-$E$13)))</x:f>
        <x:v>-0.0123774534567168</x:v>
      </x:c>
      <x:c r="F572" s="260" t="n">
        <x:f>IF(Z572&lt;($E$14-$D$14)/($F$14-$D$14),$D$14+SQRT(Z572*($F$14-$D$14)*($E$14-$D$14)),$F$14-SQRT((1-Z572)*($F$14-$D$14)*($F$14-$E$14)))</x:f>
        <x:v>0.9620948205611669</x:v>
      </x:c>
      <x:c r="G572" s="258" t="n">
        <x:f>IF(AA572&lt;($E$15-$D$15)/($F$15-$D$15),$D$15+SQRT(AA572*($F$15-$D$15)*($E$15-$D$15)),$F$15-SQRT((1-AA572)*($F$15-$D$15)*($F$15-$E$15)))</x:f>
        <x:v>0.08981441163657071</x:v>
      </x:c>
      <x:c r="H572" s="258" t="n">
        <x:f>IF(AB572&lt;($E$16-$D$16)/($F$16-$D$16),$D$16+SQRT(AB572*($F$16-$D$16)*($E$16-$D$16)),$F$16-SQRT((1-AB572)*($F$16-$D$16)*($F$16-$E$16)))</x:f>
        <x:v>0.029215299969459464</x:v>
      </x:c>
      <x:c r="I572" s="262" t="n">
        <x:f>'Historical Inputs'!$N$9*(1+D572)^5</x:f>
        <x:v>618515.278730887</x:v>
      </x:c>
      <x:c r="J572" s="262" t="n">
        <x:f>I572*(1+H572)*('Terminal Value'!$E$10+E572)*(1-'Assumptions'!$E$15)*(1-H572/'Terminal Value'!$E$12)</x:f>
        <x:v>168567.81163483422</x:v>
      </x:c>
      <x:c r="K572" s="264" t="n">
        <x:f>((SUM((('Historical Inputs'!$N$9*(1+(D572))^1)*(('Assumptions'!E37+(E572))*(1-'Assumptions'!E42-(0))+'Assumptions'!E47-'Assumptions'!E52*(F572)+'Assumptions'!E57-'Assumptions'!E62*(1)-'Assumptions'!E67-(0))+('Working Capital'!$E$6))*'DCF'!E12/(1+(G572))^'DCF'!E13,(('Historical Inputs'!$N$9*(1+(D572))^2)*(('Assumptions'!F37+(E572))*(1-'Assumptions'!F42-(0))+'Assumptions'!F47-'Assumptions'!F52*(F572)+'Assumptions'!F57-'Assumptions'!F62*(1)-'Assumptions'!F67-(0))+(('Historical Inputs'!$N$9*(1+(D572))^1)*('Assumptions'!E67+(0))))*'DCF'!F12/(1+(G572))^'DCF'!F13,(('Historical Inputs'!$N$9*(1+(D572))^3)*(('Assumptions'!G37+(E572))*(1-'Assumptions'!G42-(0))+'Assumptions'!G47-'Assumptions'!G52*(F572)+'Assumptions'!G57-'Assumptions'!G62*(1)-'Assumptions'!G67-(0))+(('Historical Inputs'!$N$9*(1+(D572))^2)*('Assumptions'!F67+(0))))*'DCF'!G12/(1+(G572))^'DCF'!G13,(('Historical Inputs'!$N$9*(1+(D572))^4)*(('Assumptions'!H37+(E572))*(1-'Assumptions'!H42-(0))+'Assumptions'!H47-'Assumptions'!H52*(F572)+'Assumptions'!H57-'Assumptions'!H62*(1)-'Assumptions'!H67-(0))+(('Historical Inputs'!$N$9*(1+(D572))^3)*('Assumptions'!G67+(0))))*'DCF'!H12/(1+(G572))^'DCF'!H13,(('Historical Inputs'!$N$9*(1+(D572))^5)*(('Assumptions'!I37+(E572))*(1-'Assumptions'!I42-(0))+'Assumptions'!I47-'Assumptions'!I52*(F572)+'Assumptions'!I57-'Assumptions'!I62*(1)-'Assumptions'!I67-(0))+(('Historical Inputs'!$N$9*(1+(D572))^4)*('Assumptions'!H67+(0))))*'DCF'!I12/(1+(G572))^'DCF'!I13)+('Historical Inputs'!$N$9*(1+(D572))^5)*(1+(H572))*('Terminal Value'!$E$10+(E572))*(1-'Assumptions'!$E$15-(0))*(1-(H572)/('Terminal Value'!$E$12))/((G572)-(H572))/(1+(G572))^'DCF'!$E$19)+'Equity Bridge'!$E$17)/'Equity Bridge'!$E$20</x:f>
        <x:v>303.57779992031845</x:v>
      </x:c>
      <x:c r="X572" s="255" t="n">
        <x:v>0.3099042102613324</x:v>
      </x:c>
      <x:c r="Y572" s="255" t="n">
        <x:v>0.2830912016803022</x:v>
      </x:c>
      <x:c r="Z572" s="255" t="n">
        <x:v>0.23933807231695636</x:v>
      </x:c>
      <x:c r="AA572" s="255" t="n">
        <x:v>0.09898409162248811</x:v>
      </x:c>
      <x:c r="AB572" s="255" t="n">
        <x:v>0.42460876763559807</x:v>
      </x:c>
    </x:row>
    <x:row r="573" ht="24" customHeight="1">
      <x:c r="C573" s="256" t="n">
        <x:f>542</x:f>
        <x:v>542</x:v>
      </x:c>
      <x:c r="D573" s="258" t="n">
        <x:f>IF(X573&lt;($E$12-$D$12)/($F$12-$D$12),$D$12+SQRT(X573*($F$12-$D$12)*($E$12-$D$12)),$F$12-SQRT((1-X573)*($F$12-$D$12)*($F$12-$E$12)))</x:f>
        <x:v>0.11226472817306024</x:v>
      </x:c>
      <x:c r="E573" s="258" t="n">
        <x:f>IF(Y573&lt;($E$13-$D$13)/($F$13-$D$13),$D$13+SQRT(Y573*($F$13-$D$13)*($E$13-$D$13)),$F$13-SQRT((1-Y573)*($F$13-$D$13)*($F$13-$E$13)))</x:f>
        <x:v>0.02969782125598688</x:v>
      </x:c>
      <x:c r="F573" s="260" t="n">
        <x:f>IF(Z573&lt;($E$14-$D$14)/($F$14-$D$14),$D$14+SQRT(Z573*($F$14-$D$14)*($E$14-$D$14)),$F$14-SQRT((1-Z573)*($F$14-$D$14)*($F$14-$E$14)))</x:f>
        <x:v>0.9247797143453912</x:v>
      </x:c>
      <x:c r="G573" s="258" t="n">
        <x:f>IF(AA573&lt;($E$15-$D$15)/($F$15-$D$15),$D$15+SQRT(AA573*($F$15-$D$15)*($E$15-$D$15)),$F$15-SQRT((1-AA573)*($F$15-$D$15)*($F$15-$E$15)))</x:f>
        <x:v>0.0928502414123538</x:v>
      </x:c>
      <x:c r="H573" s="258" t="n">
        <x:f>IF(AB573&lt;($E$16-$D$16)/($F$16-$D$16),$D$16+SQRT(AB573*($F$16-$D$16)*($E$16-$D$16)),$F$16-SQRT((1-AB573)*($F$16-$D$16)*($F$16-$E$16)))</x:f>
        <x:v>0.02617745340706728</x:v>
      </x:c>
      <x:c r="I573" s="262" t="n">
        <x:f>'Historical Inputs'!$N$9*(1+D573)^5</x:f>
        <x:v>564895.67808033</x:v>
      </x:c>
      <x:c r="J573" s="262" t="n">
        <x:f>I573*(1+H573)*('Terminal Value'!$E$10+E573)*(1-'Assumptions'!$E$15)*(1-H573/'Terminal Value'!$E$12)</x:f>
        <x:v>173188.8672218035</x:v>
      </x:c>
      <x:c r="K573" s="264" t="n">
        <x:f>((SUM((('Historical Inputs'!$N$9*(1+(D573))^1)*(('Assumptions'!E37+(E573))*(1-'Assumptions'!E42-(0))+'Assumptions'!E47-'Assumptions'!E52*(F573)+'Assumptions'!E57-'Assumptions'!E62*(1)-'Assumptions'!E67-(0))+('Working Capital'!$E$6))*'DCF'!E12/(1+(G573))^'DCF'!E13,(('Historical Inputs'!$N$9*(1+(D573))^2)*(('Assumptions'!F37+(E573))*(1-'Assumptions'!F42-(0))+'Assumptions'!F47-'Assumptions'!F52*(F573)+'Assumptions'!F57-'Assumptions'!F62*(1)-'Assumptions'!F67-(0))+(('Historical Inputs'!$N$9*(1+(D573))^1)*('Assumptions'!E67+(0))))*'DCF'!F12/(1+(G573))^'DCF'!F13,(('Historical Inputs'!$N$9*(1+(D573))^3)*(('Assumptions'!G37+(E573))*(1-'Assumptions'!G42-(0))+'Assumptions'!G47-'Assumptions'!G52*(F573)+'Assumptions'!G57-'Assumptions'!G62*(1)-'Assumptions'!G67-(0))+(('Historical Inputs'!$N$9*(1+(D573))^2)*('Assumptions'!F67+(0))))*'DCF'!G12/(1+(G573))^'DCF'!G13,(('Historical Inputs'!$N$9*(1+(D573))^4)*(('Assumptions'!H37+(E573))*(1-'Assumptions'!H42-(0))+'Assumptions'!H47-'Assumptions'!H52*(F573)+'Assumptions'!H57-'Assumptions'!H62*(1)-'Assumptions'!H67-(0))+(('Historical Inputs'!$N$9*(1+(D573))^3)*('Assumptions'!G67+(0))))*'DCF'!H12/(1+(G573))^'DCF'!H13,(('Historical Inputs'!$N$9*(1+(D573))^5)*(('Assumptions'!I37+(E573))*(1-'Assumptions'!I42-(0))+'Assumptions'!I47-'Assumptions'!I52*(F573)+'Assumptions'!I57-'Assumptions'!I62*(1)-'Assumptions'!I67-(0))+(('Historical Inputs'!$N$9*(1+(D573))^4)*('Assumptions'!H67+(0))))*'DCF'!I12/(1+(G573))^'DCF'!I13)+('Historical Inputs'!$N$9*(1+(D573))^5)*(1+(H573))*('Terminal Value'!$E$10+(E573))*(1-'Assumptions'!$E$15-(0))*(1-(H573)/('Terminal Value'!$E$12))/((G573)-(H573))/(1+(G573))^'DCF'!$E$19)+'Equity Bridge'!$E$17)/'Equity Bridge'!$E$20</x:f>
        <x:v>290.40305678550067</x:v>
      </x:c>
      <x:c r="X573" s="255" t="n">
        <x:v>0.0722585801147787</x:v>
      </x:c>
      <x:c r="Y573" s="255" t="n">
        <x:v>0.9175643076492284</x:v>
      </x:c>
      <x:c r="Z573" s="255" t="n">
        <x:v>0.10651439385863437</x:v>
      </x:c>
      <x:c r="AA573" s="255" t="n">
        <x:v>0.20951470358340585</x:v>
      </x:c>
      <x:c r="AB573" s="255" t="n">
        <x:v>0.19080465298243587</x:v>
      </x:c>
    </x:row>
    <x:row r="574" ht="24" customHeight="1">
      <x:c r="C574" s="256" t="n">
        <x:f>543</x:f>
        <x:v>543</x:v>
      </x:c>
      <x:c r="D574" s="258" t="n">
        <x:f>IF(X574&lt;($E$12-$D$12)/($F$12-$D$12),$D$12+SQRT(X574*($F$12-$D$12)*($E$12-$D$12)),$F$12-SQRT((1-X574)*($F$12-$D$12)*($F$12-$E$12)))</x:f>
        <x:v>0.13516150837248966</x:v>
      </x:c>
      <x:c r="E574" s="258" t="n">
        <x:f>IF(Y574&lt;($E$13-$D$13)/($F$13-$D$13),$D$13+SQRT(Y574*($F$13-$D$13)*($E$13-$D$13)),$F$13-SQRT((1-Y574)*($F$13-$D$13)*($F$13-$E$13)))</x:f>
        <x:v>0.013675096733328174</x:v>
      </x:c>
      <x:c r="F574" s="260" t="n">
        <x:f>IF(Z574&lt;($E$14-$D$14)/($F$14-$D$14),$D$14+SQRT(Z574*($F$14-$D$14)*($E$14-$D$14)),$F$14-SQRT((1-Z574)*($F$14-$D$14)*($F$14-$E$14)))</x:f>
        <x:v>0.9738234279615864</x:v>
      </x:c>
      <x:c r="G574" s="258" t="n">
        <x:f>IF(AA574&lt;($E$15-$D$15)/($F$15-$D$15),$D$15+SQRT(AA574*($F$15-$D$15)*($E$15-$D$15)),$F$15-SQRT((1-AA574)*($F$15-$D$15)*($F$15-$E$15)))</x:f>
        <x:v>0.08691133873293498</x:v>
      </x:c>
      <x:c r="H574" s="258" t="n">
        <x:f>IF(AB574&lt;($E$16-$D$16)/($F$16-$D$16),$D$16+SQRT(AB574*($F$16-$D$16)*($E$16-$D$16)),$F$16-SQRT((1-AB574)*($F$16-$D$16)*($F$16-$E$16)))</x:f>
        <x:v>0.034181647471689024</x:v>
      </x:c>
      <x:c r="I574" s="262" t="n">
        <x:f>'Historical Inputs'!$N$9*(1+D574)^5</x:f>
        <x:v>625483.2845531425</x:v>
      </x:c>
      <x:c r="J574" s="262" t="n">
        <x:f>I574*(1+H574)*('Terminal Value'!$E$10+E574)*(1-'Assumptions'!$E$15)*(1-H574/'Terminal Value'!$E$12)</x:f>
        <x:v>177486.16232035725</x:v>
      </x:c>
      <x:c r="K574" s="264" t="n">
        <x:f>((SUM((('Historical Inputs'!$N$9*(1+(D574))^1)*(('Assumptions'!E37+(E574))*(1-'Assumptions'!E42-(0))+'Assumptions'!E47-'Assumptions'!E52*(F574)+'Assumptions'!E57-'Assumptions'!E62*(1)-'Assumptions'!E67-(0))+('Working Capital'!$E$6))*'DCF'!E12/(1+(G574))^'DCF'!E13,(('Historical Inputs'!$N$9*(1+(D574))^2)*(('Assumptions'!F37+(E574))*(1-'Assumptions'!F42-(0))+'Assumptions'!F47-'Assumptions'!F52*(F574)+'Assumptions'!F57-'Assumptions'!F62*(1)-'Assumptions'!F67-(0))+(('Historical Inputs'!$N$9*(1+(D574))^1)*('Assumptions'!E67+(0))))*'DCF'!F12/(1+(G574))^'DCF'!F13,(('Historical Inputs'!$N$9*(1+(D574))^3)*(('Assumptions'!G37+(E574))*(1-'Assumptions'!G42-(0))+'Assumptions'!G47-'Assumptions'!G52*(F574)+'Assumptions'!G57-'Assumptions'!G62*(1)-'Assumptions'!G67-(0))+(('Historical Inputs'!$N$9*(1+(D574))^2)*('Assumptions'!F67+(0))))*'DCF'!G12/(1+(G574))^'DCF'!G13,(('Historical Inputs'!$N$9*(1+(D574))^4)*(('Assumptions'!H37+(E574))*(1-'Assumptions'!H42-(0))+'Assumptions'!H47-'Assumptions'!H52*(F574)+'Assumptions'!H57-'Assumptions'!H62*(1)-'Assumptions'!H67-(0))+(('Historical Inputs'!$N$9*(1+(D574))^3)*('Assumptions'!G67+(0))))*'DCF'!H12/(1+(G574))^'DCF'!H13,(('Historical Inputs'!$N$9*(1+(D574))^5)*(('Assumptions'!I37+(E574))*(1-'Assumptions'!I42-(0))+'Assumptions'!I47-'Assumptions'!I52*(F574)+'Assumptions'!I57-'Assumptions'!I62*(1)-'Assumptions'!I67-(0))+(('Historical Inputs'!$N$9*(1+(D574))^4)*('Assumptions'!H67+(0))))*'DCF'!I12/(1+(G574))^'DCF'!I13)+('Historical Inputs'!$N$9*(1+(D574))^5)*(1+(H574))*('Terminal Value'!$E$10+(E574))*(1-'Assumptions'!$E$15-(0))*(1-(H574)/('Terminal Value'!$E$12))/((G574)-(H574))/(1+(G574))^'DCF'!$E$19)+'Equity Bridge'!$E$17)/'Equity Bridge'!$E$20</x:f>
        <x:v>365.11831347820396</x:v>
      </x:c>
      <x:c r="X574" s="255" t="n">
        <x:v>0.351197198544025</x:v>
      </x:c>
      <x:c r="Y574" s="255" t="n">
        <x:v>0.7361002805333869</x:v>
      </x:c>
      <x:c r="Z574" s="255" t="n">
        <x:v>0.29204269166015584</x:v>
      </x:c>
      <x:c r="AA574" s="255" t="n">
        <x:v>0.031600467848464375</x:v>
      </x:c>
      <x:c r="AB574" s="255" t="n">
        <x:v>0.8307338692814865</x:v>
      </x:c>
    </x:row>
    <x:row r="575" ht="24" customHeight="1">
      <x:c r="C575" s="256" t="n">
        <x:f>544</x:f>
        <x:v>544</x:v>
      </x:c>
      <x:c r="D575" s="258" t="n">
        <x:f>IF(X575&lt;($E$12-$D$12)/($F$12-$D$12),$D$12+SQRT(X575*($F$12-$D$12)*($E$12-$D$12)),$F$12-SQRT((1-X575)*($F$12-$D$12)*($F$12-$E$12)))</x:f>
        <x:v>0.13350044930023475</x:v>
      </x:c>
      <x:c r="E575" s="258" t="n">
        <x:f>IF(Y575&lt;($E$13-$D$13)/($F$13-$D$13),$D$13+SQRT(Y575*($F$13-$D$13)*($E$13-$D$13)),$F$13-SQRT((1-Y575)*($F$13-$D$13)*($F$13-$E$13)))</x:f>
        <x:v>-0.0035575539372750334</x:v>
      </x:c>
      <x:c r="F575" s="260" t="n">
        <x:f>IF(Z575&lt;($E$14-$D$14)/($F$14-$D$14),$D$14+SQRT(Z575*($F$14-$D$14)*($E$14-$D$14)),$F$14-SQRT((1-Z575)*($F$14-$D$14)*($F$14-$E$14)))</x:f>
        <x:v>0.8940614814103119</x:v>
      </x:c>
      <x:c r="G575" s="258" t="n">
        <x:f>IF(AA575&lt;($E$15-$D$15)/($F$15-$D$15),$D$15+SQRT(AA575*($F$15-$D$15)*($E$15-$D$15)),$F$15-SQRT((1-AA575)*($F$15-$D$15)*($F$15-$E$15)))</x:f>
        <x:v>0.08627193192608514</x:v>
      </x:c>
      <x:c r="H575" s="258" t="n">
        <x:f>IF(AB575&lt;($E$16-$D$16)/($F$16-$D$16),$D$16+SQRT(AB575*($F$16-$D$16)*($E$16-$D$16)),$F$16-SQRT((1-AB575)*($F$16-$D$16)*($F$16-$E$16)))</x:f>
        <x:v>0.02673450656711514</x:v>
      </x:c>
      <x:c r="I575" s="262" t="n">
        <x:f>'Historical Inputs'!$N$9*(1+D575)^5</x:f>
        <x:v>620920.3720058245</x:v>
      </x:c>
      <x:c r="J575" s="262" t="n">
        <x:f>I575*(1+H575)*('Terminal Value'!$E$10+E575)*(1-'Assumptions'!$E$15)*(1-H575/'Terminal Value'!$E$12)</x:f>
        <x:v>175164.57721932878</x:v>
      </x:c>
      <x:c r="K575" s="264" t="n">
        <x:f>((SUM((('Historical Inputs'!$N$9*(1+(D575))^1)*(('Assumptions'!E37+(E575))*(1-'Assumptions'!E42-(0))+'Assumptions'!E47-'Assumptions'!E52*(F575)+'Assumptions'!E57-'Assumptions'!E62*(1)-'Assumptions'!E67-(0))+('Working Capital'!$E$6))*'DCF'!E12/(1+(G575))^'DCF'!E13,(('Historical Inputs'!$N$9*(1+(D575))^2)*(('Assumptions'!F37+(E575))*(1-'Assumptions'!F42-(0))+'Assumptions'!F47-'Assumptions'!F52*(F575)+'Assumptions'!F57-'Assumptions'!F62*(1)-'Assumptions'!F67-(0))+(('Historical Inputs'!$N$9*(1+(D575))^1)*('Assumptions'!E67+(0))))*'DCF'!F12/(1+(G575))^'DCF'!F13,(('Historical Inputs'!$N$9*(1+(D575))^3)*(('Assumptions'!G37+(E575))*(1-'Assumptions'!G42-(0))+'Assumptions'!G47-'Assumptions'!G52*(F575)+'Assumptions'!G57-'Assumptions'!G62*(1)-'Assumptions'!G67-(0))+(('Historical Inputs'!$N$9*(1+(D575))^2)*('Assumptions'!F67+(0))))*'DCF'!G12/(1+(G575))^'DCF'!G13,(('Historical Inputs'!$N$9*(1+(D575))^4)*(('Assumptions'!H37+(E575))*(1-'Assumptions'!H42-(0))+'Assumptions'!H47-'Assumptions'!H52*(F575)+'Assumptions'!H57-'Assumptions'!H62*(1)-'Assumptions'!H67-(0))+(('Historical Inputs'!$N$9*(1+(D575))^3)*('Assumptions'!G67+(0))))*'DCF'!H12/(1+(G575))^'DCF'!H13,(('Historical Inputs'!$N$9*(1+(D575))^5)*(('Assumptions'!I37+(E575))*(1-'Assumptions'!I42-(0))+'Assumptions'!I47-'Assumptions'!I52*(F575)+'Assumptions'!I57-'Assumptions'!I62*(1)-'Assumptions'!I67-(0))+(('Historical Inputs'!$N$9*(1+(D575))^4)*('Assumptions'!H67+(0))))*'DCF'!I12/(1+(G575))^'DCF'!I13)+('Historical Inputs'!$N$9*(1+(D575))^5)*(1+(H575))*('Terminal Value'!$E$10+(E575))*(1-'Assumptions'!$E$15-(0))*(1-(H575)/('Terminal Value'!$E$12))/((G575)-(H575))/(1+(G575))^'DCF'!$E$19)+'Equity Bridge'!$E$17)/'Equity Bridge'!$E$20</x:f>
        <x:v>328.79765286881167</x:v>
      </x:c>
      <x:c r="X575" s="255" t="n">
        <x:v>0.32390669097387503</x:v>
      </x:c>
      <x:c r="Y575" s="255" t="n">
        <x:v>0.4313801592578236</x:v>
      </x:c>
      <x:c r="Z575" s="255" t="n">
        <x:v>0.03697931702992885</x:v>
      </x:c>
      <x:c r="AA575" s="255" t="n">
        <x:v>0.02179263230510342</x:v>
      </x:c>
      <x:c r="AB575" s="255" t="n">
        <x:v>0.22676789351258486</x:v>
      </x:c>
    </x:row>
    <x:row r="576" ht="24" customHeight="1">
      <x:c r="C576" s="256" t="n">
        <x:f>545</x:f>
        <x:v>545</x:v>
      </x:c>
      <x:c r="D576" s="258" t="n">
        <x:f>IF(X576&lt;($E$12-$D$12)/($F$12-$D$12),$D$12+SQRT(X576*($F$12-$D$12)*($E$12-$D$12)),$F$12-SQRT((1-X576)*($F$12-$D$12)*($F$12-$E$12)))</x:f>
        <x:v>0.14518711867319462</x:v>
      </x:c>
      <x:c r="E576" s="258" t="n">
        <x:f>IF(Y576&lt;($E$13-$D$13)/($F$13-$D$13),$D$13+SQRT(Y576*($F$13-$D$13)*($E$13-$D$13)),$F$13-SQRT((1-Y576)*($F$13-$D$13)*($F$13-$E$13)))</x:f>
        <x:v>0.0007841412378567225</x:v>
      </x:c>
      <x:c r="F576" s="260" t="n">
        <x:f>IF(Z576&lt;($E$14-$D$14)/($F$14-$D$14),$D$14+SQRT(Z576*($F$14-$D$14)*($E$14-$D$14)),$F$14-SQRT((1-Z576)*($F$14-$D$14)*($F$14-$E$14)))</x:f>
        <x:v>0.969140520674169</x:v>
      </x:c>
      <x:c r="G576" s="258" t="n">
        <x:f>IF(AA576&lt;($E$15-$D$15)/($F$15-$D$15),$D$15+SQRT(AA576*($F$15-$D$15)*($E$15-$D$15)),$F$15-SQRT((1-AA576)*($F$15-$D$15)*($F$15-$E$15)))</x:f>
        <x:v>0.09524033002821095</x:v>
      </x:c>
      <x:c r="H576" s="258" t="n">
        <x:f>IF(AB576&lt;($E$16-$D$16)/($F$16-$D$16),$D$16+SQRT(AB576*($F$16-$D$16)*($E$16-$D$16)),$F$16-SQRT((1-AB576)*($F$16-$D$16)*($F$16-$E$16)))</x:f>
        <x:v>0.020971301636218156</x:v>
      </x:c>
      <x:c r="I576" s="262" t="n">
        <x:f>'Historical Inputs'!$N$9*(1+D576)^5</x:f>
        <x:v>653596.4695051049</x:v>
      </x:c>
      <x:c r="J576" s="262" t="n">
        <x:f>I576*(1+H576)*('Terminal Value'!$E$10+E576)*(1-'Assumptions'!$E$15)*(1-H576/'Terminal Value'!$E$12)</x:f>
        <x:v>191521.00246032758</x:v>
      </x:c>
      <x:c r="K576" s="264" t="n">
        <x:f>((SUM((('Historical Inputs'!$N$9*(1+(D576))^1)*(('Assumptions'!E37+(E576))*(1-'Assumptions'!E42-(0))+'Assumptions'!E47-'Assumptions'!E52*(F576)+'Assumptions'!E57-'Assumptions'!E62*(1)-'Assumptions'!E67-(0))+('Working Capital'!$E$6))*'DCF'!E12/(1+(G576))^'DCF'!E13,(('Historical Inputs'!$N$9*(1+(D576))^2)*(('Assumptions'!F37+(E576))*(1-'Assumptions'!F42-(0))+'Assumptions'!F47-'Assumptions'!F52*(F576)+'Assumptions'!F57-'Assumptions'!F62*(1)-'Assumptions'!F67-(0))+(('Historical Inputs'!$N$9*(1+(D576))^1)*('Assumptions'!E67+(0))))*'DCF'!F12/(1+(G576))^'DCF'!F13,(('Historical Inputs'!$N$9*(1+(D576))^3)*(('Assumptions'!G37+(E576))*(1-'Assumptions'!G42-(0))+'Assumptions'!G47-'Assumptions'!G52*(F576)+'Assumptions'!G57-'Assumptions'!G62*(1)-'Assumptions'!G67-(0))+(('Historical Inputs'!$N$9*(1+(D576))^2)*('Assumptions'!F67+(0))))*'DCF'!G12/(1+(G576))^'DCF'!G13,(('Historical Inputs'!$N$9*(1+(D576))^4)*(('Assumptions'!H37+(E576))*(1-'Assumptions'!H42-(0))+'Assumptions'!H47-'Assumptions'!H52*(F576)+'Assumptions'!H57-'Assumptions'!H62*(1)-'Assumptions'!H67-(0))+(('Historical Inputs'!$N$9*(1+(D576))^3)*('Assumptions'!G67+(0))))*'DCF'!H12/(1+(G576))^'DCF'!H13,(('Historical Inputs'!$N$9*(1+(D576))^5)*(('Assumptions'!I37+(E576))*(1-'Assumptions'!I42-(0))+'Assumptions'!I47-'Assumptions'!I52*(F576)+'Assumptions'!I57-'Assumptions'!I62*(1)-'Assumptions'!I67-(0))+(('Historical Inputs'!$N$9*(1+(D576))^4)*('Assumptions'!H67+(0))))*'DCF'!I12/(1+(G576))^'DCF'!I13)+('Historical Inputs'!$N$9*(1+(D576))^5)*(1+(H576))*('Terminal Value'!$E$10+(E576))*(1-'Assumptions'!$E$15-(0))*(1-(H576)/('Terminal Value'!$E$12))/((G576)-(H576))/(1+(G576))^'DCF'!$E$19)+'Equity Bridge'!$E$17)/'Equity Bridge'!$E$20</x:f>
        <x:v>283.80892084448516</x:v>
      </x:c>
      <x:c r="X576" s="255" t="n">
        <x:v>0.537856882174879</x:v>
      </x:c>
      <x:c r="Y576" s="255" t="n">
        <x:v>0.5155598492609529</x:v>
      </x:c>
      <x:c r="Z576" s="255" t="n">
        <x:v>0.2703707365049923</x:v>
      </x:c>
      <x:c r="AA576" s="255" t="n">
        <x:v>0.3253534440920215</x:v>
      </x:c>
      <x:c r="AB576" s="255" t="n">
        <x:v>0.004717134342600349</x:v>
      </x:c>
    </x:row>
    <x:row r="577" ht="24" customHeight="1">
      <x:c r="C577" s="256" t="n">
        <x:f>546</x:f>
        <x:v>546</x:v>
      </x:c>
      <x:c r="D577" s="258" t="n">
        <x:f>IF(X577&lt;($E$12-$D$12)/($F$12-$D$12),$D$12+SQRT(X577*($F$12-$D$12)*($E$12-$D$12)),$F$12-SQRT((1-X577)*($F$12-$D$12)*($F$12-$E$12)))</x:f>
        <x:v>0.12613159649023054</x:v>
      </x:c>
      <x:c r="E577" s="258" t="n">
        <x:f>IF(Y577&lt;($E$13-$D$13)/($F$13-$D$13),$D$13+SQRT(Y577*($F$13-$D$13)*($E$13-$D$13)),$F$13-SQRT((1-Y577)*($F$13-$D$13)*($F$13-$E$13)))</x:f>
        <x:v>-0.027133568435239015</x:v>
      </x:c>
      <x:c r="F577" s="260" t="n">
        <x:f>IF(Z577&lt;($E$14-$D$14)/($F$14-$D$14),$D$14+SQRT(Z577*($F$14-$D$14)*($E$14-$D$14)),$F$14-SQRT((1-Z577)*($F$14-$D$14)*($F$14-$E$14)))</x:f>
        <x:v>1.122881385525065</x:v>
      </x:c>
      <x:c r="G577" s="258" t="n">
        <x:f>IF(AA577&lt;($E$15-$D$15)/($F$15-$D$15),$D$15+SQRT(AA577*($F$15-$D$15)*($E$15-$D$15)),$F$15-SQRT((1-AA577)*($F$15-$D$15)*($F$15-$E$15)))</x:f>
        <x:v>0.09841867160991033</x:v>
      </x:c>
      <x:c r="H577" s="258" t="n">
        <x:f>IF(AB577&lt;($E$16-$D$16)/($F$16-$D$16),$D$16+SQRT(AB577*($F$16-$D$16)*($E$16-$D$16)),$F$16-SQRT((1-AB577)*($F$16-$D$16)*($F$16-$E$16)))</x:f>
        <x:v>0.025449593524248183</x:v>
      </x:c>
      <x:c r="I577" s="262" t="n">
        <x:f>'Historical Inputs'!$N$9*(1+D577)^5</x:f>
        <x:v>600998.1641331513</x:v>
      </x:c>
      <x:c r="J577" s="262" t="n">
        <x:f>I577*(1+H577)*('Terminal Value'!$E$10+E577)*(1-'Assumptions'!$E$15)*(1-H577/'Terminal Value'!$E$12)</x:f>
        <x:v>160443.30699063235</x:v>
      </x:c>
      <x:c r="K577" s="264" t="n">
        <x:f>((SUM((('Historical Inputs'!$N$9*(1+(D577))^1)*(('Assumptions'!E37+(E577))*(1-'Assumptions'!E42-(0))+'Assumptions'!E47-'Assumptions'!E52*(F577)+'Assumptions'!E57-'Assumptions'!E62*(1)-'Assumptions'!E67-(0))+('Working Capital'!$E$6))*'DCF'!E12/(1+(G577))^'DCF'!E13,(('Historical Inputs'!$N$9*(1+(D577))^2)*(('Assumptions'!F37+(E577))*(1-'Assumptions'!F42-(0))+'Assumptions'!F47-'Assumptions'!F52*(F577)+'Assumptions'!F57-'Assumptions'!F62*(1)-'Assumptions'!F67-(0))+(('Historical Inputs'!$N$9*(1+(D577))^1)*('Assumptions'!E67+(0))))*'DCF'!F12/(1+(G577))^'DCF'!F13,(('Historical Inputs'!$N$9*(1+(D577))^3)*(('Assumptions'!G37+(E577))*(1-'Assumptions'!G42-(0))+'Assumptions'!G47-'Assumptions'!G52*(F577)+'Assumptions'!G57-'Assumptions'!G62*(1)-'Assumptions'!G67-(0))+(('Historical Inputs'!$N$9*(1+(D577))^2)*('Assumptions'!F67+(0))))*'DCF'!G12/(1+(G577))^'DCF'!G13,(('Historical Inputs'!$N$9*(1+(D577))^4)*(('Assumptions'!H37+(E577))*(1-'Assumptions'!H42-(0))+'Assumptions'!H47-'Assumptions'!H52*(F577)+'Assumptions'!H57-'Assumptions'!H62*(1)-'Assumptions'!H67-(0))+(('Historical Inputs'!$N$9*(1+(D577))^3)*('Assumptions'!G67+(0))))*'DCF'!H12/(1+(G577))^'DCF'!H13,(('Historical Inputs'!$N$9*(1+(D577))^5)*(('Assumptions'!I37+(E577))*(1-'Assumptions'!I42-(0))+'Assumptions'!I47-'Assumptions'!I52*(F577)+'Assumptions'!I57-'Assumptions'!I62*(1)-'Assumptions'!I67-(0))+(('Historical Inputs'!$N$9*(1+(D577))^4)*('Assumptions'!H67+(0))))*'DCF'!I12/(1+(G577))^'DCF'!I13)+('Historical Inputs'!$N$9*(1+(D577))^5)*(1+(H577))*('Terminal Value'!$E$10+(E577))*(1-'Assumptions'!$E$15-(0))*(1-(H577)/('Terminal Value'!$E$12))/((G577)-(H577))/(1+(G577))^'DCF'!$E$19)+'Equity Bridge'!$E$17)/'Equity Bridge'!$E$20</x:f>
        <x:v>229.30949713789173</x:v>
      </x:c>
      <x:c r="X577" s="255" t="n">
        <x:v>0.2161475318700592</x:v>
      </x:c>
      <x:c r="Y577" s="255" t="n">
        <x:v>0.10457473850117949</x:v>
      </x:c>
      <x:c r="Z577" s="255" t="n">
        <x:v>0.9150388471638049</x:v>
      </x:c>
      <x:c r="AA577" s="255" t="n">
        <x:v>0.5183813719684984</x:v>
      </x:c>
      <x:c r="AB577" s="255" t="n">
        <x:v>0.1484903478976387</x:v>
      </x:c>
    </x:row>
    <x:row r="578" ht="24" customHeight="1">
      <x:c r="C578" s="256" t="n">
        <x:f>547</x:f>
        <x:v>547</x:v>
      </x:c>
      <x:c r="D578" s="258" t="n">
        <x:f>IF(X578&lt;($E$12-$D$12)/($F$12-$D$12),$D$12+SQRT(X578*($F$12-$D$12)*($E$12-$D$12)),$F$12-SQRT((1-X578)*($F$12-$D$12)*($F$12-$E$12)))</x:f>
        <x:v>0.16056592484767299</x:v>
      </x:c>
      <x:c r="E578" s="258" t="n">
        <x:f>IF(Y578&lt;($E$13-$D$13)/($F$13-$D$13),$D$13+SQRT(Y578*($F$13-$D$13)*($E$13-$D$13)),$F$13-SQRT((1-Y578)*($F$13-$D$13)*($F$13-$E$13)))</x:f>
        <x:v>0.009400537201661306</x:v>
      </x:c>
      <x:c r="F578" s="260" t="n">
        <x:f>IF(Z578&lt;($E$14-$D$14)/($F$14-$D$14),$D$14+SQRT(Z578*($F$14-$D$14)*($E$14-$D$14)),$F$14-SQRT((1-Z578)*($F$14-$D$14)*($F$14-$E$14)))</x:f>
        <x:v>0.9863330450819752</x:v>
      </x:c>
      <x:c r="G578" s="258" t="n">
        <x:f>IF(AA578&lt;($E$15-$D$15)/($F$15-$D$15),$D$15+SQRT(AA578*($F$15-$D$15)*($E$15-$D$15)),$F$15-SQRT((1-AA578)*($F$15-$D$15)*($F$15-$E$15)))</x:f>
        <x:v>0.08872492745147784</x:v>
      </x:c>
      <x:c r="H578" s="258" t="n">
        <x:f>IF(AB578&lt;($E$16-$D$16)/($F$16-$D$16),$D$16+SQRT(AB578*($F$16-$D$16)*($E$16-$D$16)),$F$16-SQRT((1-AB578)*($F$16-$D$16)*($F$16-$E$16)))</x:f>
        <x:v>0.03300184510185929</x:v>
      </x:c>
      <x:c r="I578" s="262" t="n">
        <x:f>'Historical Inputs'!$N$9*(1+D578)^5</x:f>
        <x:v>698677.0885834876</x:v>
      </x:c>
      <x:c r="J578" s="262" t="n">
        <x:f>I578*(1+H578)*('Terminal Value'!$E$10+E578)*(1-'Assumptions'!$E$15)*(1-H578/'Terminal Value'!$E$12)</x:f>
        <x:v>197377.5125282346</x:v>
      </x:c>
      <x:c r="K578" s="264" t="n">
        <x:f>((SUM((('Historical Inputs'!$N$9*(1+(D578))^1)*(('Assumptions'!E37+(E578))*(1-'Assumptions'!E42-(0))+'Assumptions'!E47-'Assumptions'!E52*(F578)+'Assumptions'!E57-'Assumptions'!E62*(1)-'Assumptions'!E67-(0))+('Working Capital'!$E$6))*'DCF'!E12/(1+(G578))^'DCF'!E13,(('Historical Inputs'!$N$9*(1+(D578))^2)*(('Assumptions'!F37+(E578))*(1-'Assumptions'!F42-(0))+'Assumptions'!F47-'Assumptions'!F52*(F578)+'Assumptions'!F57-'Assumptions'!F62*(1)-'Assumptions'!F67-(0))+(('Historical Inputs'!$N$9*(1+(D578))^1)*('Assumptions'!E67+(0))))*'DCF'!F12/(1+(G578))^'DCF'!F13,(('Historical Inputs'!$N$9*(1+(D578))^3)*(('Assumptions'!G37+(E578))*(1-'Assumptions'!G42-(0))+'Assumptions'!G47-'Assumptions'!G52*(F578)+'Assumptions'!G57-'Assumptions'!G62*(1)-'Assumptions'!G67-(0))+(('Historical Inputs'!$N$9*(1+(D578))^2)*('Assumptions'!F67+(0))))*'DCF'!G12/(1+(G578))^'DCF'!G13,(('Historical Inputs'!$N$9*(1+(D578))^4)*(('Assumptions'!H37+(E578))*(1-'Assumptions'!H42-(0))+'Assumptions'!H47-'Assumptions'!H52*(F578)+'Assumptions'!H57-'Assumptions'!H62*(1)-'Assumptions'!H67-(0))+(('Historical Inputs'!$N$9*(1+(D578))^3)*('Assumptions'!G67+(0))))*'DCF'!H12/(1+(G578))^'DCF'!H13,(('Historical Inputs'!$N$9*(1+(D578))^5)*(('Assumptions'!I37+(E578))*(1-'Assumptions'!I42-(0))+'Assumptions'!I47-'Assumptions'!I52*(F578)+'Assumptions'!I57-'Assumptions'!I62*(1)-'Assumptions'!I67-(0))+(('Historical Inputs'!$N$9*(1+(D578))^4)*('Assumptions'!H67+(0))))*'DCF'!I12/(1+(G578))^'DCF'!I13)+('Historical Inputs'!$N$9*(1+(D578))^5)*(1+(H578))*('Terminal Value'!$E$10+(E578))*(1-'Assumptions'!$E$15-(0))*(1-(H578)/('Terminal Value'!$E$12))/((G578)-(H578))/(1+(G578))^'DCF'!$E$19)+'Equity Bridge'!$E$17)/'Equity Bridge'!$E$20</x:f>
        <x:v>381.50201630741935</x:v>
      </x:c>
      <x:c r="X578" s="255" t="n">
        <x:v>0.7862584356699734</x:v>
      </x:c>
      <x:c r="Y578" s="255" t="n">
        <x:v>0.6703367240972624</x:v>
      </x:c>
      <x:c r="Z578" s="255" t="n">
        <x:v>0.35403236535854987</x:v>
      </x:c>
      <x:c r="AA578" s="255" t="n">
        <x:v>0.06930508854992379</x:v>
      </x:c>
      <x:c r="AB578" s="255" t="n">
        <x:v>0.7551291401081456</x:v>
      </x:c>
    </x:row>
    <x:row r="579" ht="24" customHeight="1">
      <x:c r="C579" s="256" t="n">
        <x:f>548</x:f>
        <x:v>548</x:v>
      </x:c>
      <x:c r="D579" s="258" t="n">
        <x:f>IF(X579&lt;($E$12-$D$12)/($F$12-$D$12),$D$12+SQRT(X579*($F$12-$D$12)*($E$12-$D$12)),$F$12-SQRT((1-X579)*($F$12-$D$12)*($F$12-$E$12)))</x:f>
        <x:v>0.10944064285150362</x:v>
      </x:c>
      <x:c r="E579" s="258" t="n">
        <x:f>IF(Y579&lt;($E$13-$D$13)/($F$13-$D$13),$D$13+SQRT(Y579*($F$13-$D$13)*($E$13-$D$13)),$F$13-SQRT((1-Y579)*($F$13-$D$13)*($F$13-$E$13)))</x:f>
        <x:v>0.0017660886032690032</x:v>
      </x:c>
      <x:c r="F579" s="260" t="n">
        <x:f>IF(Z579&lt;($E$14-$D$14)/($F$14-$D$14),$D$14+SQRT(Z579*($F$14-$D$14)*($E$14-$D$14)),$F$14-SQRT((1-Z579)*($F$14-$D$14)*($F$14-$E$14)))</x:f>
        <x:v>1.0589081058247174</x:v>
      </x:c>
      <x:c r="G579" s="258" t="n">
        <x:f>IF(AA579&lt;($E$15-$D$15)/($F$15-$D$15),$D$15+SQRT(AA579*($F$15-$D$15)*($E$15-$D$15)),$F$15-SQRT((1-AA579)*($F$15-$D$15)*($F$15-$E$15)))</x:f>
        <x:v>0.09012249754477902</x:v>
      </x:c>
      <x:c r="H579" s="258" t="n">
        <x:f>IF(AB579&lt;($E$16-$D$16)/($F$16-$D$16),$D$16+SQRT(AB579*($F$16-$D$16)*($E$16-$D$16)),$F$16-SQRT((1-AB579)*($F$16-$D$16)*($F$16-$E$16)))</x:f>
        <x:v>0.02801165460455362</x:v>
      </x:c>
      <x:c r="I579" s="262" t="n">
        <x:f>'Historical Inputs'!$N$9*(1+D579)^5</x:f>
        <x:v>557760.5376615954</x:v>
      </x:c>
      <x:c r="J579" s="262" t="n">
        <x:f>I579*(1+H579)*('Terminal Value'!$E$10+E579)*(1-'Assumptions'!$E$15)*(1-H579/'Terminal Value'!$E$12)</x:f>
        <x:v>158481.33068374655</x:v>
      </x:c>
      <x:c r="K579" s="264" t="n">
        <x:f>((SUM((('Historical Inputs'!$N$9*(1+(D579))^1)*(('Assumptions'!E37+(E579))*(1-'Assumptions'!E42-(0))+'Assumptions'!E47-'Assumptions'!E52*(F579)+'Assumptions'!E57-'Assumptions'!E62*(1)-'Assumptions'!E67-(0))+('Working Capital'!$E$6))*'DCF'!E12/(1+(G579))^'DCF'!E13,(('Historical Inputs'!$N$9*(1+(D579))^2)*(('Assumptions'!F37+(E579))*(1-'Assumptions'!F42-(0))+'Assumptions'!F47-'Assumptions'!F52*(F579)+'Assumptions'!F57-'Assumptions'!F62*(1)-'Assumptions'!F67-(0))+(('Historical Inputs'!$N$9*(1+(D579))^1)*('Assumptions'!E67+(0))))*'DCF'!F12/(1+(G579))^'DCF'!F13,(('Historical Inputs'!$N$9*(1+(D579))^3)*(('Assumptions'!G37+(E579))*(1-'Assumptions'!G42-(0))+'Assumptions'!G47-'Assumptions'!G52*(F579)+'Assumptions'!G57-'Assumptions'!G62*(1)-'Assumptions'!G67-(0))+(('Historical Inputs'!$N$9*(1+(D579))^2)*('Assumptions'!F67+(0))))*'DCF'!G12/(1+(G579))^'DCF'!G13,(('Historical Inputs'!$N$9*(1+(D579))^4)*(('Assumptions'!H37+(E579))*(1-'Assumptions'!H42-(0))+'Assumptions'!H47-'Assumptions'!H52*(F579)+'Assumptions'!H57-'Assumptions'!H62*(1)-'Assumptions'!H67-(0))+(('Historical Inputs'!$N$9*(1+(D579))^3)*('Assumptions'!G67+(0))))*'DCF'!H12/(1+(G579))^'DCF'!H13,(('Historical Inputs'!$N$9*(1+(D579))^5)*(('Assumptions'!I37+(E579))*(1-'Assumptions'!I42-(0))+'Assumptions'!I47-'Assumptions'!I52*(F579)+'Assumptions'!I57-'Assumptions'!I62*(1)-'Assumptions'!I67-(0))+(('Historical Inputs'!$N$9*(1+(D579))^4)*('Assumptions'!H67+(0))))*'DCF'!I12/(1+(G579))^'DCF'!I13)+('Historical Inputs'!$N$9*(1+(D579))^5)*(1+(H579))*('Terminal Value'!$E$10+(E579))*(1-'Assumptions'!$E$15-(0))*(1-(H579)/('Terminal Value'!$E$12))/((G579)-(H579))/(1+(G579))^'DCF'!$E$19)+'Equity Bridge'!$E$17)/'Equity Bridge'!$E$20</x:f>
        <x:v>275.65773445473</x:v>
      </x:c>
      <x:c r="X579" s="255" t="n">
        <x:v>0.05238191789905322</x:v>
      </x:c>
      <x:c r="Y579" s="255" t="n">
        <x:v>0.5346979582744608</x:v>
      </x:c>
      <x:c r="Z579" s="255" t="n">
        <x:v>0.7156153914004407</x:v>
      </x:c>
      <x:c r="AA579" s="255" t="n">
        <x:v>0.1083335887818927</x:v>
      </x:c>
      <x:c r="AB579" s="255" t="n">
        <x:v>0.3209330475133263</x:v>
      </x:c>
    </x:row>
    <x:row r="580" ht="24" customHeight="1">
      <x:c r="C580" s="256" t="n">
        <x:f>549</x:f>
        <x:v>549</x:v>
      </x:c>
      <x:c r="D580" s="258" t="n">
        <x:f>IF(X580&lt;($E$12-$D$12)/($F$12-$D$12),$D$12+SQRT(X580*($F$12-$D$12)*($E$12-$D$12)),$F$12-SQRT((1-X580)*($F$12-$D$12)*($F$12-$E$12)))</x:f>
        <x:v>0.13412000647635028</x:v>
      </x:c>
      <x:c r="E580" s="258" t="n">
        <x:f>IF(Y580&lt;($E$13-$D$13)/($F$13-$D$13),$D$13+SQRT(Y580*($F$13-$D$13)*($E$13-$D$13)),$F$13-SQRT((1-Y580)*($F$13-$D$13)*($F$13-$E$13)))</x:f>
        <x:v>-0.0017240573264760417</x:v>
      </x:c>
      <x:c r="F580" s="260" t="n">
        <x:f>IF(Z580&lt;($E$14-$D$14)/($F$14-$D$14),$D$14+SQRT(Z580*($F$14-$D$14)*($E$14-$D$14)),$F$14-SQRT((1-Z580)*($F$14-$D$14)*($F$14-$E$14)))</x:f>
        <x:v>1.1106988167584442</x:v>
      </x:c>
      <x:c r="G580" s="258" t="n">
        <x:f>IF(AA580&lt;($E$15-$D$15)/($F$15-$D$15),$D$15+SQRT(AA580*($F$15-$D$15)*($E$15-$D$15)),$F$15-SQRT((1-AA580)*($F$15-$D$15)*($F$15-$E$15)))</x:f>
        <x:v>0.09785856847596407</x:v>
      </x:c>
      <x:c r="H580" s="258" t="n">
        <x:f>IF(AB580&lt;($E$16-$D$16)/($F$16-$D$16),$D$16+SQRT(AB580*($F$16-$D$16)*($E$16-$D$16)),$F$16-SQRT((1-AB580)*($F$16-$D$16)*($F$16-$E$16)))</x:f>
        <x:v>0.03260299336817437</x:v>
      </x:c>
      <x:c r="I580" s="262" t="n">
        <x:f>'Historical Inputs'!$N$9*(1+D580)^5</x:f>
        <x:v>622619.1646358845</x:v>
      </x:c>
      <x:c r="J580" s="262" t="n">
        <x:f>I580*(1+H580)*('Terminal Value'!$E$10+E580)*(1-'Assumptions'!$E$15)*(1-H580/'Terminal Value'!$E$12)</x:f>
        <x:v>171453.9983353791</x:v>
      </x:c>
      <x:c r="K580" s="264" t="n">
        <x:f>((SUM((('Historical Inputs'!$N$9*(1+(D580))^1)*(('Assumptions'!E37+(E580))*(1-'Assumptions'!E42-(0))+'Assumptions'!E47-'Assumptions'!E52*(F580)+'Assumptions'!E57-'Assumptions'!E62*(1)-'Assumptions'!E67-(0))+('Working Capital'!$E$6))*'DCF'!E12/(1+(G580))^'DCF'!E13,(('Historical Inputs'!$N$9*(1+(D580))^2)*(('Assumptions'!F37+(E580))*(1-'Assumptions'!F42-(0))+'Assumptions'!F47-'Assumptions'!F52*(F580)+'Assumptions'!F57-'Assumptions'!F62*(1)-'Assumptions'!F67-(0))+(('Historical Inputs'!$N$9*(1+(D580))^1)*('Assumptions'!E67+(0))))*'DCF'!F12/(1+(G580))^'DCF'!F13,(('Historical Inputs'!$N$9*(1+(D580))^3)*(('Assumptions'!G37+(E580))*(1-'Assumptions'!G42-(0))+'Assumptions'!G47-'Assumptions'!G52*(F580)+'Assumptions'!G57-'Assumptions'!G62*(1)-'Assumptions'!G67-(0))+(('Historical Inputs'!$N$9*(1+(D580))^2)*('Assumptions'!F67+(0))))*'DCF'!G12/(1+(G580))^'DCF'!G13,(('Historical Inputs'!$N$9*(1+(D580))^4)*(('Assumptions'!H37+(E580))*(1-'Assumptions'!H42-(0))+'Assumptions'!H47-'Assumptions'!H52*(F580)+'Assumptions'!H57-'Assumptions'!H62*(1)-'Assumptions'!H67-(0))+(('Historical Inputs'!$N$9*(1+(D580))^3)*('Assumptions'!G67+(0))))*'DCF'!H12/(1+(G580))^'DCF'!H13,(('Historical Inputs'!$N$9*(1+(D580))^5)*(('Assumptions'!I37+(E580))*(1-'Assumptions'!I42-(0))+'Assumptions'!I47-'Assumptions'!I52*(F580)+'Assumptions'!I57-'Assumptions'!I62*(1)-'Assumptions'!I67-(0))+(('Historical Inputs'!$N$9*(1+(D580))^4)*('Assumptions'!H67+(0))))*'DCF'!I12/(1+(G580))^'DCF'!I13)+('Historical Inputs'!$N$9*(1+(D580))^5)*(1+(H580))*('Terminal Value'!$E$10+(E580))*(1-'Assumptions'!$E$15-(0))*(1-(H580)/('Terminal Value'!$E$12))/((G580)-(H580))/(1+(G580))^'DCF'!$E$19)+'Equity Bridge'!$E$17)/'Equity Bridge'!$E$20</x:f>
        <x:v>273.77817216941355</x:v>
      </x:c>
      <x:c r="X580" s="255" t="n">
        <x:v>0.33395670290601487</x:v>
      </x:c>
      <x:c r="Y580" s="255" t="n">
        <x:v>0.4661133282034743</x:v>
      </x:c>
      <x:c r="Z580" s="255" t="n">
        <x:v>0.8860756953094009</x:v>
      </x:c>
      <x:c r="AA580" s="255" t="n">
        <x:v>0.4813897494388937</x:v>
      </x:c>
      <x:c r="AB580" s="255" t="n">
        <x:v>0.7264214644436381</x:v>
      </x:c>
    </x:row>
    <x:row r="581" ht="24" customHeight="1">
      <x:c r="C581" s="256" t="n">
        <x:f>550</x:f>
        <x:v>550</x:v>
      </x:c>
      <x:c r="D581" s="258" t="n">
        <x:f>IF(X581&lt;($E$12-$D$12)/($F$12-$D$12),$D$12+SQRT(X581*($F$12-$D$12)*($E$12-$D$12)),$F$12-SQRT((1-X581)*($F$12-$D$12)*($F$12-$E$12)))</x:f>
        <x:v>0.12453341263801466</x:v>
      </x:c>
      <x:c r="E581" s="258" t="n">
        <x:f>IF(Y581&lt;($E$13-$D$13)/($F$13-$D$13),$D$13+SQRT(Y581*($F$13-$D$13)*($E$13-$D$13)),$F$13-SQRT((1-Y581)*($F$13-$D$13)*($F$13-$E$13)))</x:f>
        <x:v>0.009587528206089775</x:v>
      </x:c>
      <x:c r="F581" s="260" t="n">
        <x:f>IF(Z581&lt;($E$14-$D$14)/($F$14-$D$14),$D$14+SQRT(Z581*($F$14-$D$14)*($E$14-$D$14)),$F$14-SQRT((1-Z581)*($F$14-$D$14)*($F$14-$E$14)))</x:f>
        <x:v>1.0873131773408553</x:v>
      </x:c>
      <x:c r="G581" s="258" t="n">
        <x:f>IF(AA581&lt;($E$15-$D$15)/($F$15-$D$15),$D$15+SQRT(AA581*($F$15-$D$15)*($E$15-$D$15)),$F$15-SQRT((1-AA581)*($F$15-$D$15)*($F$15-$E$15)))</x:f>
        <x:v>0.09555125232043919</x:v>
      </x:c>
      <x:c r="H581" s="258" t="n">
        <x:f>IF(AB581&lt;($E$16-$D$16)/($F$16-$D$16),$D$16+SQRT(AB581*($F$16-$D$16)*($E$16-$D$16)),$F$16-SQRT((1-AB581)*($F$16-$D$16)*($F$16-$E$16)))</x:f>
        <x:v>0.025224839550100693</x:v>
      </x:c>
      <x:c r="I581" s="262" t="n">
        <x:f>'Historical Inputs'!$N$9*(1+D581)^5</x:f>
        <x:v>596745.6275328255</x:v>
      </x:c>
      <x:c r="J581" s="262" t="n">
        <x:f>I581*(1+H581)*('Terminal Value'!$E$10+E581)*(1-'Assumptions'!$E$15)*(1-H581/'Terminal Value'!$E$12)</x:f>
        <x:v>175184.14194419608</x:v>
      </x:c>
      <x:c r="K581" s="264" t="n">
        <x:f>((SUM((('Historical Inputs'!$N$9*(1+(D581))^1)*(('Assumptions'!E37+(E581))*(1-'Assumptions'!E42-(0))+'Assumptions'!E47-'Assumptions'!E52*(F581)+'Assumptions'!E57-'Assumptions'!E62*(1)-'Assumptions'!E67-(0))+('Working Capital'!$E$6))*'DCF'!E12/(1+(G581))^'DCF'!E13,(('Historical Inputs'!$N$9*(1+(D581))^2)*(('Assumptions'!F37+(E581))*(1-'Assumptions'!F42-(0))+'Assumptions'!F47-'Assumptions'!F52*(F581)+'Assumptions'!F57-'Assumptions'!F62*(1)-'Assumptions'!F67-(0))+(('Historical Inputs'!$N$9*(1+(D581))^1)*('Assumptions'!E67+(0))))*'DCF'!F12/(1+(G581))^'DCF'!F13,(('Historical Inputs'!$N$9*(1+(D581))^3)*(('Assumptions'!G37+(E581))*(1-'Assumptions'!G42-(0))+'Assumptions'!G47-'Assumptions'!G52*(F581)+'Assumptions'!G57-'Assumptions'!G62*(1)-'Assumptions'!G67-(0))+(('Historical Inputs'!$N$9*(1+(D581))^2)*('Assumptions'!F67+(0))))*'DCF'!G12/(1+(G581))^'DCF'!G13,(('Historical Inputs'!$N$9*(1+(D581))^4)*(('Assumptions'!H37+(E581))*(1-'Assumptions'!H42-(0))+'Assumptions'!H47-'Assumptions'!H52*(F581)+'Assumptions'!H57-'Assumptions'!H62*(1)-'Assumptions'!H67-(0))+(('Historical Inputs'!$N$9*(1+(D581))^3)*('Assumptions'!G67+(0))))*'DCF'!H12/(1+(G581))^'DCF'!H13,(('Historical Inputs'!$N$9*(1+(D581))^5)*(('Assumptions'!I37+(E581))*(1-'Assumptions'!I42-(0))+'Assumptions'!I47-'Assumptions'!I52*(F581)+'Assumptions'!I57-'Assumptions'!I62*(1)-'Assumptions'!I67-(0))+(('Historical Inputs'!$N$9*(1+(D581))^4)*('Assumptions'!H67+(0))))*'DCF'!I12/(1+(G581))^'DCF'!I13)+('Historical Inputs'!$N$9*(1+(D581))^5)*(1+(H581))*('Terminal Value'!$E$10+(E581))*(1-'Assumptions'!$E$15-(0))*(1-(H581)/('Terminal Value'!$E$12))/((G581)-(H581))/(1+(G581))^'DCF'!$E$19)+'Equity Bridge'!$E$17)/'Equity Bridge'!$E$20</x:f>
        <x:v>266.60628071673204</x:v>
      </x:c>
      <x:c r="X581" s="255" t="n">
        <x:v>0.1956425244444573</x:v>
      </x:c>
      <x:c r="Y581" s="255" t="n">
        <x:v>0.673366424701282</x:v>
      </x:c>
      <x:c r="Z581" s="255" t="n">
        <x:v>0.8185954285569498</x:v>
      </x:c>
      <x:c r="AA581" s="255" t="n">
        <x:v>0.34228892793281895</x:v>
      </x:c>
      <x:c r="AB581" s="255" t="n">
        <x:v>0.13649474162148212</x:v>
      </x:c>
    </x:row>
    <x:row r="582" ht="24" customHeight="1">
      <x:c r="C582" s="256" t="n">
        <x:f>551</x:f>
        <x:v>551</x:v>
      </x:c>
      <x:c r="D582" s="258" t="n">
        <x:f>IF(X582&lt;($E$12-$D$12)/($F$12-$D$12),$D$12+SQRT(X582*($F$12-$D$12)*($E$12-$D$12)),$F$12-SQRT((1-X582)*($F$12-$D$12)*($F$12-$E$12)))</x:f>
        <x:v>0.16988747687630432</x:v>
      </x:c>
      <x:c r="E582" s="258" t="n">
        <x:f>IF(Y582&lt;($E$13-$D$13)/($F$13-$D$13),$D$13+SQRT(Y582*($F$13-$D$13)*($E$13-$D$13)),$F$13-SQRT((1-Y582)*($F$13-$D$13)*($F$13-$E$13)))</x:f>
        <x:v>0.027644521286879265</x:v>
      </x:c>
      <x:c r="F582" s="260" t="n">
        <x:f>IF(Z582&lt;($E$14-$D$14)/($F$14-$D$14),$D$14+SQRT(Z582*($F$14-$D$14)*($E$14-$D$14)),$F$14-SQRT((1-Z582)*($F$14-$D$14)*($F$14-$E$14)))</x:f>
        <x:v>1.1039891709375071</x:v>
      </x:c>
      <x:c r="G582" s="258" t="n">
        <x:f>IF(AA582&lt;($E$15-$D$15)/($F$15-$D$15),$D$15+SQRT(AA582*($F$15-$D$15)*($E$15-$D$15)),$F$15-SQRT((1-AA582)*($F$15-$D$15)*($F$15-$E$15)))</x:f>
        <x:v>0.09382386689069339</x:v>
      </x:c>
      <x:c r="H582" s="258" t="n">
        <x:f>IF(AB582&lt;($E$16-$D$16)/($F$16-$D$16),$D$16+SQRT(AB582*($F$16-$D$16)*($E$16-$D$16)),$F$16-SQRT((1-AB582)*($F$16-$D$16)*($F$16-$E$16)))</x:f>
        <x:v>0.02824439072577417</x:v>
      </x:c>
      <x:c r="I582" s="262" t="n">
        <x:f>'Historical Inputs'!$N$9*(1+D582)^5</x:f>
        <x:v>727189.980377513</x:v>
      </x:c>
      <x:c r="J582" s="262" t="n">
        <x:f>I582*(1+H582)*('Terminal Value'!$E$10+E582)*(1-'Assumptions'!$E$15)*(1-H582/'Terminal Value'!$E$12)</x:f>
        <x:v>219683.81836349465</x:v>
      </x:c>
      <x:c r="K582" s="264" t="n">
        <x:f>((SUM((('Historical Inputs'!$N$9*(1+(D582))^1)*(('Assumptions'!E37+(E582))*(1-'Assumptions'!E42-(0))+'Assumptions'!E47-'Assumptions'!E52*(F582)+'Assumptions'!E57-'Assumptions'!E62*(1)-'Assumptions'!E67-(0))+('Working Capital'!$E$6))*'DCF'!E12/(1+(G582))^'DCF'!E13,(('Historical Inputs'!$N$9*(1+(D582))^2)*(('Assumptions'!F37+(E582))*(1-'Assumptions'!F42-(0))+'Assumptions'!F47-'Assumptions'!F52*(F582)+'Assumptions'!F57-'Assumptions'!F62*(1)-'Assumptions'!F67-(0))+(('Historical Inputs'!$N$9*(1+(D582))^1)*('Assumptions'!E67+(0))))*'DCF'!F12/(1+(G582))^'DCF'!F13,(('Historical Inputs'!$N$9*(1+(D582))^3)*(('Assumptions'!G37+(E582))*(1-'Assumptions'!G42-(0))+'Assumptions'!G47-'Assumptions'!G52*(F582)+'Assumptions'!G57-'Assumptions'!G62*(1)-'Assumptions'!G67-(0))+(('Historical Inputs'!$N$9*(1+(D582))^2)*('Assumptions'!F67+(0))))*'DCF'!G12/(1+(G582))^'DCF'!G13,(('Historical Inputs'!$N$9*(1+(D582))^4)*(('Assumptions'!H37+(E582))*(1-'Assumptions'!H42-(0))+'Assumptions'!H47-'Assumptions'!H52*(F582)+'Assumptions'!H57-'Assumptions'!H62*(1)-'Assumptions'!H67-(0))+(('Historical Inputs'!$N$9*(1+(D582))^3)*('Assumptions'!G67+(0))))*'DCF'!H12/(1+(G582))^'DCF'!H13,(('Historical Inputs'!$N$9*(1+(D582))^5)*(('Assumptions'!I37+(E582))*(1-'Assumptions'!I42-(0))+'Assumptions'!I47-'Assumptions'!I52*(F582)+'Assumptions'!I57-'Assumptions'!I62*(1)-'Assumptions'!I67-(0))+(('Historical Inputs'!$N$9*(1+(D582))^4)*('Assumptions'!H67+(0))))*'DCF'!I12/(1+(G582))^'DCF'!I13)+('Historical Inputs'!$N$9*(1+(D582))^5)*(1+(H582))*('Terminal Value'!$E$10+(E582))*(1-'Assumptions'!$E$15-(0))*(1-(H582)/('Terminal Value'!$E$12))/((G582)-(H582))/(1+(G582))^'DCF'!$E$19)+'Equity Bridge'!$E$17)/'Equity Bridge'!$E$20</x:f>
        <x:v>354.6561610378707</x:v>
      </x:c>
      <x:c r="X582" s="255" t="n">
        <x:v>0.8907728737682944</x:v>
      </x:c>
      <x:c r="Y582" s="255" t="n">
        <x:v>0.9000465143014411</x:v>
      </x:c>
      <x:c r="Z582" s="255" t="n">
        <x:v>0.8683131528961826</x:v>
      </x:c>
      <x:c r="AA582" s="255" t="n">
        <x:v>0.2536380465824267</x:v>
      </x:c>
      <x:c r="AB582" s="255" t="n">
        <x:v>0.3398498921961558</x:v>
      </x:c>
    </x:row>
    <x:row r="583" ht="24" customHeight="1">
      <x:c r="C583" s="256" t="n">
        <x:f>552</x:f>
        <x:v>552</x:v>
      </x:c>
      <x:c r="D583" s="258" t="n">
        <x:f>IF(X583&lt;($E$12-$D$12)/($F$12-$D$12),$D$12+SQRT(X583*($F$12-$D$12)*($E$12-$D$12)),$F$12-SQRT((1-X583)*($F$12-$D$12)*($F$12-$E$12)))</x:f>
        <x:v>0.16997399331774465</x:v>
      </x:c>
      <x:c r="E583" s="258" t="n">
        <x:f>IF(Y583&lt;($E$13-$D$13)/($F$13-$D$13),$D$13+SQRT(Y583*($F$13-$D$13)*($E$13-$D$13)),$F$13-SQRT((1-Y583)*($F$13-$D$13)*($F$13-$E$13)))</x:f>
        <x:v>-0.015094049541427394</x:v>
      </x:c>
      <x:c r="F583" s="260" t="n">
        <x:f>IF(Z583&lt;($E$14-$D$14)/($F$14-$D$14),$D$14+SQRT(Z583*($F$14-$D$14)*($E$14-$D$14)),$F$14-SQRT((1-Z583)*($F$14-$D$14)*($F$14-$E$14)))</x:f>
        <x:v>1.1176989996761548</x:v>
      </x:c>
      <x:c r="G583" s="258" t="n">
        <x:f>IF(AA583&lt;($E$15-$D$15)/($F$15-$D$15),$D$15+SQRT(AA583*($F$15-$D$15)*($E$15-$D$15)),$F$15-SQRT((1-AA583)*($F$15-$D$15)*($F$15-$E$15)))</x:f>
        <x:v>0.09295292197538385</x:v>
      </x:c>
      <x:c r="H583" s="258" t="n">
        <x:f>IF(AB583&lt;($E$16-$D$16)/($F$16-$D$16),$D$16+SQRT(AB583*($F$16-$D$16)*($E$16-$D$16)),$F$16-SQRT((1-AB583)*($F$16-$D$16)*($F$16-$E$16)))</x:f>
        <x:v>0.03237497097258351</x:v>
      </x:c>
      <x:c r="I583" s="262" t="n">
        <x:f>'Historical Inputs'!$N$9*(1+D583)^5</x:f>
        <x:v>727458.9087855881</x:v>
      </x:c>
      <x:c r="J583" s="262" t="n">
        <x:f>I583*(1+H583)*('Terminal Value'!$E$10+E583)*(1-'Assumptions'!$E$15)*(1-H583/'Terminal Value'!$E$12)</x:f>
        <x:v>193820.36908309325</x:v>
      </x:c>
      <x:c r="K583" s="264" t="n">
        <x:f>((SUM((('Historical Inputs'!$N$9*(1+(D583))^1)*(('Assumptions'!E37+(E583))*(1-'Assumptions'!E42-(0))+'Assumptions'!E47-'Assumptions'!E52*(F583)+'Assumptions'!E57-'Assumptions'!E62*(1)-'Assumptions'!E67-(0))+('Working Capital'!$E$6))*'DCF'!E12/(1+(G583))^'DCF'!E13,(('Historical Inputs'!$N$9*(1+(D583))^2)*(('Assumptions'!F37+(E583))*(1-'Assumptions'!F42-(0))+'Assumptions'!F47-'Assumptions'!F52*(F583)+'Assumptions'!F57-'Assumptions'!F62*(1)-'Assumptions'!F67-(0))+(('Historical Inputs'!$N$9*(1+(D583))^1)*('Assumptions'!E67+(0))))*'DCF'!F12/(1+(G583))^'DCF'!F13,(('Historical Inputs'!$N$9*(1+(D583))^3)*(('Assumptions'!G37+(E583))*(1-'Assumptions'!G42-(0))+'Assumptions'!G47-'Assumptions'!G52*(F583)+'Assumptions'!G57-'Assumptions'!G62*(1)-'Assumptions'!G67-(0))+(('Historical Inputs'!$N$9*(1+(D583))^2)*('Assumptions'!F67+(0))))*'DCF'!G12/(1+(G583))^'DCF'!G13,(('Historical Inputs'!$N$9*(1+(D583))^4)*(('Assumptions'!H37+(E583))*(1-'Assumptions'!H42-(0))+'Assumptions'!H47-'Assumptions'!H52*(F583)+'Assumptions'!H57-'Assumptions'!H62*(1)-'Assumptions'!H67-(0))+(('Historical Inputs'!$N$9*(1+(D583))^3)*('Assumptions'!G67+(0))))*'DCF'!H12/(1+(G583))^'DCF'!H13,(('Historical Inputs'!$N$9*(1+(D583))^5)*(('Assumptions'!I37+(E583))*(1-'Assumptions'!I42-(0))+'Assumptions'!I47-'Assumptions'!I52*(F583)+'Assumptions'!I57-'Assumptions'!I62*(1)-'Assumptions'!I67-(0))+(('Historical Inputs'!$N$9*(1+(D583))^4)*('Assumptions'!H67+(0))))*'DCF'!I12/(1+(G583))^'DCF'!I13)+('Historical Inputs'!$N$9*(1+(D583))^5)*(1+(H583))*('Terminal Value'!$E$10+(E583))*(1-'Assumptions'!$E$15-(0))*(1-(H583)/('Terminal Value'!$E$12))/((G583)-(H583))/(1+(G583))^'DCF'!$E$19)+'Equity Bridge'!$E$17)/'Equity Bridge'!$E$20</x:f>
        <x:v>332.16037085550226</x:v>
      </x:c>
      <x:c r="X583" s="255" t="n">
        <x:v>0.8915801166962194</x:v>
      </x:c>
      <x:c r="Y583" s="255" t="n">
        <x:v>0.243685075483265</x:v>
      </x:c>
      <x:c r="Z583" s="255" t="n">
        <x:v>0.9032363620813493</x:v>
      </x:c>
      <x:c r="AA583" s="255" t="n">
        <x:v>0.2139693115184268</x:v>
      </x:c>
      <x:c r="AB583" s="255" t="n">
        <x:v>0.7092946616552797</x:v>
      </x:c>
    </x:row>
    <x:row r="584" ht="24" customHeight="1">
      <x:c r="C584" s="256" t="n">
        <x:f>553</x:f>
        <x:v>553</x:v>
      </x:c>
      <x:c r="D584" s="258" t="n">
        <x:f>IF(X584&lt;($E$12-$D$12)/($F$12-$D$12),$D$12+SQRT(X584*($F$12-$D$12)*($E$12-$D$12)),$F$12-SQRT((1-X584)*($F$12-$D$12)*($F$12-$E$12)))</x:f>
        <x:v>0.1439034880349099</x:v>
      </x:c>
      <x:c r="E584" s="258" t="n">
        <x:f>IF(Y584&lt;($E$13-$D$13)/($F$13-$D$13),$D$13+SQRT(Y584*($F$13-$D$13)*($E$13-$D$13)),$F$13-SQRT((1-Y584)*($F$13-$D$13)*($F$13-$E$13)))</x:f>
        <x:v>0.010736800244077103</x:v>
      </x:c>
      <x:c r="F584" s="260" t="n">
        <x:f>IF(Z584&lt;($E$14-$D$14)/($F$14-$D$14),$D$14+SQRT(Z584*($F$14-$D$14)*($E$14-$D$14)),$F$14-SQRT((1-Z584)*($F$14-$D$14)*($F$14-$E$14)))</x:f>
        <x:v>0.9969135199813972</x:v>
      </x:c>
      <x:c r="G584" s="258" t="n">
        <x:f>IF(AA584&lt;($E$15-$D$15)/($F$15-$D$15),$D$15+SQRT(AA584*($F$15-$D$15)*($E$15-$D$15)),$F$15-SQRT((1-AA584)*($F$15-$D$15)*($F$15-$E$15)))</x:f>
        <x:v>0.09814310212460203</x:v>
      </x:c>
      <x:c r="H584" s="258" t="n">
        <x:f>IF(AB584&lt;($E$16-$D$16)/($F$16-$D$16),$D$16+SQRT(AB584*($F$16-$D$16)*($E$16-$D$16)),$F$16-SQRT((1-AB584)*($F$16-$D$16)*($F$16-$E$16)))</x:f>
        <x:v>0.034088606477856206</x:v>
      </x:c>
      <x:c r="I584" s="262" t="n">
        <x:f>'Historical Inputs'!$N$9*(1+D584)^5</x:f>
        <x:v>649941.6180693229</x:v>
      </x:c>
      <x:c r="J584" s="262" t="n">
        <x:f>I584*(1+H584)*('Terminal Value'!$E$10+E584)*(1-'Assumptions'!$E$15)*(1-H584/'Terminal Value'!$E$12)</x:f>
        <x:v>183202.72041098488</x:v>
      </x:c>
      <x:c r="K584" s="264" t="n">
        <x:f>((SUM((('Historical Inputs'!$N$9*(1+(D584))^1)*(('Assumptions'!E37+(E584))*(1-'Assumptions'!E42-(0))+'Assumptions'!E47-'Assumptions'!E52*(F584)+'Assumptions'!E57-'Assumptions'!E62*(1)-'Assumptions'!E67-(0))+('Working Capital'!$E$6))*'DCF'!E12/(1+(G584))^'DCF'!E13,(('Historical Inputs'!$N$9*(1+(D584))^2)*(('Assumptions'!F37+(E584))*(1-'Assumptions'!F42-(0))+'Assumptions'!F47-'Assumptions'!F52*(F584)+'Assumptions'!F57-'Assumptions'!F62*(1)-'Assumptions'!F67-(0))+(('Historical Inputs'!$N$9*(1+(D584))^1)*('Assumptions'!E67+(0))))*'DCF'!F12/(1+(G584))^'DCF'!F13,(('Historical Inputs'!$N$9*(1+(D584))^3)*(('Assumptions'!G37+(E584))*(1-'Assumptions'!G42-(0))+'Assumptions'!G47-'Assumptions'!G52*(F584)+'Assumptions'!G57-'Assumptions'!G62*(1)-'Assumptions'!G67-(0))+(('Historical Inputs'!$N$9*(1+(D584))^2)*('Assumptions'!F67+(0))))*'DCF'!G12/(1+(G584))^'DCF'!G13,(('Historical Inputs'!$N$9*(1+(D584))^4)*(('Assumptions'!H37+(E584))*(1-'Assumptions'!H42-(0))+'Assumptions'!H47-'Assumptions'!H52*(F584)+'Assumptions'!H57-'Assumptions'!H62*(1)-'Assumptions'!H67-(0))+(('Historical Inputs'!$N$9*(1+(D584))^3)*('Assumptions'!G67+(0))))*'DCF'!H12/(1+(G584))^'DCF'!H13,(('Historical Inputs'!$N$9*(1+(D584))^5)*(('Assumptions'!I37+(E584))*(1-'Assumptions'!I42-(0))+'Assumptions'!I47-'Assumptions'!I52*(F584)+'Assumptions'!I57-'Assumptions'!I62*(1)-'Assumptions'!I67-(0))+(('Historical Inputs'!$N$9*(1+(D584))^4)*('Assumptions'!H67+(0))))*'DCF'!I12/(1+(G584))^'DCF'!I13)+('Historical Inputs'!$N$9*(1+(D584))^5)*(1+(H584))*('Terminal Value'!$E$10+(E584))*(1-'Assumptions'!$E$15-(0))*(1-(H584)/('Terminal Value'!$E$12))/((G584)-(H584))/(1+(G584))^'DCF'!$E$19)+'Equity Bridge'!$E$17)/'Equity Bridge'!$E$20</x:f>
        <x:v>304.8729560116419</x:v>
      </x:c>
      <x:c r="X584" s="255" t="n">
        <x:v>0.5128457404652131</x:v>
      </x:c>
      <x:c r="Y584" s="255" t="n">
        <x:v>0.6916802289852992</x:v>
      </x:c>
      <x:c r="Z584" s="255" t="n">
        <x:v>0.4111158543490365</x:v>
      </x:c>
      <x:c r="AA584" s="255" t="n">
        <x:v>0.5001821723086489</x:v>
      </x:c>
      <x:c r="AB584" s="255" t="n">
        <x:v>0.825277133131782</x:v>
      </x:c>
    </x:row>
    <x:row r="585" ht="24" customHeight="1">
      <x:c r="C585" s="256" t="n">
        <x:f>554</x:f>
        <x:v>554</x:v>
      </x:c>
      <x:c r="D585" s="258" t="n">
        <x:f>IF(X585&lt;($E$12-$D$12)/($F$12-$D$12),$D$12+SQRT(X585*($F$12-$D$12)*($E$12-$D$12)),$F$12-SQRT((1-X585)*($F$12-$D$12)*($F$12-$E$12)))</x:f>
        <x:v>0.12260041386993198</x:v>
      </x:c>
      <x:c r="E585" s="258" t="n">
        <x:f>IF(Y585&lt;($E$13-$D$13)/($F$13-$D$13),$D$13+SQRT(Y585*($F$13-$D$13)*($E$13-$D$13)),$F$13-SQRT((1-Y585)*($F$13-$D$13)*($F$13-$E$13)))</x:f>
        <x:v>-0.013816967365166362</x:v>
      </x:c>
      <x:c r="F585" s="260" t="n">
        <x:f>IF(Z585&lt;($E$14-$D$14)/($F$14-$D$14),$D$14+SQRT(Z585*($F$14-$D$14)*($E$14-$D$14)),$F$14-SQRT((1-Z585)*($F$14-$D$14)*($F$14-$E$14)))</x:f>
        <x:v>0.9332732391071447</x:v>
      </x:c>
      <x:c r="G585" s="258" t="n">
        <x:f>IF(AA585&lt;($E$15-$D$15)/($F$15-$D$15),$D$15+SQRT(AA585*($F$15-$D$15)*($E$15-$D$15)),$F$15-SQRT((1-AA585)*($F$15-$D$15)*($F$15-$E$15)))</x:f>
        <x:v>0.10383508950231915</x:v>
      </x:c>
      <x:c r="H585" s="258" t="n">
        <x:f>IF(AB585&lt;($E$16-$D$16)/($F$16-$D$16),$D$16+SQRT(AB585*($F$16-$D$16)*($E$16-$D$16)),$F$16-SQRT((1-AB585)*($F$16-$D$16)*($F$16-$E$16)))</x:f>
        <x:v>0.024548299403324987</x:v>
      </x:c>
      <x:c r="I585" s="262" t="n">
        <x:f>'Historical Inputs'!$N$9*(1+D585)^5</x:f>
        <x:v>591634.397619842</x:v>
      </x:c>
      <x:c r="J585" s="262" t="n">
        <x:f>I585*(1+H585)*('Terminal Value'!$E$10+E585)*(1-'Assumptions'!$E$15)*(1-H585/'Terminal Value'!$E$12)</x:f>
        <x:v>164284.50924905305</x:v>
      </x:c>
      <x:c r="K585" s="264" t="n">
        <x:f>((SUM((('Historical Inputs'!$N$9*(1+(D585))^1)*(('Assumptions'!E37+(E585))*(1-'Assumptions'!E42-(0))+'Assumptions'!E47-'Assumptions'!E52*(F585)+'Assumptions'!E57-'Assumptions'!E62*(1)-'Assumptions'!E67-(0))+('Working Capital'!$E$6))*'DCF'!E12/(1+(G585))^'DCF'!E13,(('Historical Inputs'!$N$9*(1+(D585))^2)*(('Assumptions'!F37+(E585))*(1-'Assumptions'!F42-(0))+'Assumptions'!F47-'Assumptions'!F52*(F585)+'Assumptions'!F57-'Assumptions'!F62*(1)-'Assumptions'!F67-(0))+(('Historical Inputs'!$N$9*(1+(D585))^1)*('Assumptions'!E67+(0))))*'DCF'!F12/(1+(G585))^'DCF'!F13,(('Historical Inputs'!$N$9*(1+(D585))^3)*(('Assumptions'!G37+(E585))*(1-'Assumptions'!G42-(0))+'Assumptions'!G47-'Assumptions'!G52*(F585)+'Assumptions'!G57-'Assumptions'!G62*(1)-'Assumptions'!G67-(0))+(('Historical Inputs'!$N$9*(1+(D585))^2)*('Assumptions'!F67+(0))))*'DCF'!G12/(1+(G585))^'DCF'!G13,(('Historical Inputs'!$N$9*(1+(D585))^4)*(('Assumptions'!H37+(E585))*(1-'Assumptions'!H42-(0))+'Assumptions'!H47-'Assumptions'!H52*(F585)+'Assumptions'!H57-'Assumptions'!H62*(1)-'Assumptions'!H67-(0))+(('Historical Inputs'!$N$9*(1+(D585))^3)*('Assumptions'!G67+(0))))*'DCF'!H12/(1+(G585))^'DCF'!H13,(('Historical Inputs'!$N$9*(1+(D585))^5)*(('Assumptions'!I37+(E585))*(1-'Assumptions'!I42-(0))+'Assumptions'!I47-'Assumptions'!I52*(F585)+'Assumptions'!I57-'Assumptions'!I62*(1)-'Assumptions'!I67-(0))+(('Historical Inputs'!$N$9*(1+(D585))^4)*('Assumptions'!H67+(0))))*'DCF'!I12/(1+(G585))^'DCF'!I13)+('Historical Inputs'!$N$9*(1+(D585))^5)*(1+(H585))*('Terminal Value'!$E$10+(E585))*(1-'Assumptions'!$E$15-(0))*(1-(H585)/('Terminal Value'!$E$12))/((G585)-(H585))/(1+(G585))^'DCF'!$E$19)+'Equity Bridge'!$E$17)/'Equity Bridge'!$E$20</x:f>
        <x:v>227.06801310100104</x:v>
      </x:c>
      <x:c r="X585" s="255" t="n">
        <x:v>0.17220693132810472</x:v>
      </x:c>
      <x:c r="Y585" s="255" t="n">
        <x:v>0.26184237013068723</x:v>
      </x:c>
      <x:c r="Z585" s="255" t="n">
        <x:v>0.13208442574087043</x:v>
      </x:c>
      <x:c r="AA585" s="255" t="n">
        <x:v>0.8075817067863955</x:v>
      </x:c>
      <x:c r="AB585" s="255" t="n">
        <x:v>0.10343513731143228</x:v>
      </x:c>
    </x:row>
    <x:row r="586" ht="24" customHeight="1">
      <x:c r="C586" s="256" t="n">
        <x:f>555</x:f>
        <x:v>555</x:v>
      </x:c>
      <x:c r="D586" s="258" t="n">
        <x:f>IF(X586&lt;($E$12-$D$12)/($F$12-$D$12),$D$12+SQRT(X586*($F$12-$D$12)*($E$12-$D$12)),$F$12-SQRT((1-X586)*($F$12-$D$12)*($F$12-$E$12)))</x:f>
        <x:v>0.12707411353035342</x:v>
      </x:c>
      <x:c r="E586" s="258" t="n">
        <x:f>IF(Y586&lt;($E$13-$D$13)/($F$13-$D$13),$D$13+SQRT(Y586*($F$13-$D$13)*($E$13-$D$13)),$F$13-SQRT((1-Y586)*($F$13-$D$13)*($F$13-$E$13)))</x:f>
        <x:v>0.012776062397922526</x:v>
      </x:c>
      <x:c r="F586" s="260" t="n">
        <x:f>IF(Z586&lt;($E$14-$D$14)/($F$14-$D$14),$D$14+SQRT(Z586*($F$14-$D$14)*($E$14-$D$14)),$F$14-SQRT((1-Z586)*($F$14-$D$14)*($F$14-$E$14)))</x:f>
        <x:v>1.0078979865174333</x:v>
      </x:c>
      <x:c r="G586" s="258" t="n">
        <x:f>IF(AA586&lt;($E$15-$D$15)/($F$15-$D$15),$D$15+SQRT(AA586*($F$15-$D$15)*($E$15-$D$15)),$F$15-SQRT((1-AA586)*($F$15-$D$15)*($F$15-$E$15)))</x:f>
        <x:v>0.11066716601023431</x:v>
      </x:c>
      <x:c r="H586" s="258" t="n">
        <x:f>IF(AB586&lt;($E$16-$D$16)/($F$16-$D$16),$D$16+SQRT(AB586*($F$16-$D$16)*($E$16-$D$16)),$F$16-SQRT((1-AB586)*($F$16-$D$16)*($F$16-$E$16)))</x:f>
        <x:v>0.034557277731318295</x:v>
      </x:c>
      <x:c r="I586" s="262" t="n">
        <x:f>'Historical Inputs'!$N$9*(1+D586)^5</x:f>
        <x:v>603517.4078432847</x:v>
      </x:c>
      <x:c r="J586" s="262" t="n">
        <x:f>I586*(1+H586)*('Terminal Value'!$E$10+E586)*(1-'Assumptions'!$E$15)*(1-H586/'Terminal Value'!$E$12)</x:f>
        <x:v>170555.80450489573</x:v>
      </x:c>
      <x:c r="K586" s="264" t="n">
        <x:f>((SUM((('Historical Inputs'!$N$9*(1+(D586))^1)*(('Assumptions'!E37+(E586))*(1-'Assumptions'!E42-(0))+'Assumptions'!E47-'Assumptions'!E52*(F586)+'Assumptions'!E57-'Assumptions'!E62*(1)-'Assumptions'!E67-(0))+('Working Capital'!$E$6))*'DCF'!E12/(1+(G586))^'DCF'!E13,(('Historical Inputs'!$N$9*(1+(D586))^2)*(('Assumptions'!F37+(E586))*(1-'Assumptions'!F42-(0))+'Assumptions'!F47-'Assumptions'!F52*(F586)+'Assumptions'!F57-'Assumptions'!F62*(1)-'Assumptions'!F67-(0))+(('Historical Inputs'!$N$9*(1+(D586))^1)*('Assumptions'!E67+(0))))*'DCF'!F12/(1+(G586))^'DCF'!F13,(('Historical Inputs'!$N$9*(1+(D586))^3)*(('Assumptions'!G37+(E586))*(1-'Assumptions'!G42-(0))+'Assumptions'!G47-'Assumptions'!G52*(F586)+'Assumptions'!G57-'Assumptions'!G62*(1)-'Assumptions'!G67-(0))+(('Historical Inputs'!$N$9*(1+(D586))^2)*('Assumptions'!F67+(0))))*'DCF'!G12/(1+(G586))^'DCF'!G13,(('Historical Inputs'!$N$9*(1+(D586))^4)*(('Assumptions'!H37+(E586))*(1-'Assumptions'!H42-(0))+'Assumptions'!H47-'Assumptions'!H52*(F586)+'Assumptions'!H57-'Assumptions'!H62*(1)-'Assumptions'!H67-(0))+(('Historical Inputs'!$N$9*(1+(D586))^3)*('Assumptions'!G67+(0))))*'DCF'!H12/(1+(G586))^'DCF'!H13,(('Historical Inputs'!$N$9*(1+(D586))^5)*(('Assumptions'!I37+(E586))*(1-'Assumptions'!I42-(0))+'Assumptions'!I47-'Assumptions'!I52*(F586)+'Assumptions'!I57-'Assumptions'!I62*(1)-'Assumptions'!I67-(0))+(('Historical Inputs'!$N$9*(1+(D586))^4)*('Assumptions'!H67+(0))))*'DCF'!I12/(1+(G586))^'DCF'!I13)+('Historical Inputs'!$N$9*(1+(D586))^5)*(1+(H586))*('Terminal Value'!$E$10+(E586))*(1-'Assumptions'!$E$15-(0))*(1-(H586)/('Terminal Value'!$E$12))/((G586)-(H586))/(1+(G586))^'DCF'!$E$19)+'Equity Bridge'!$E$17)/'Equity Bridge'!$E$20</x:f>
        <x:v>236.33454944265628</x:v>
      </x:c>
      <x:c r="X586" s="255" t="n">
        <x:v>0.22871913826735357</x:v>
      </x:c>
      <x:c r="Y586" s="255" t="n">
        <x:v>0.7228756938793286</x:v>
      </x:c>
      <x:c r="Z586" s="255" t="n">
        <x:v>0.4728116630849113</x:v>
      </x:c>
      <x:c r="AA586" s="255" t="n">
        <x:v>0.9864072567375103</x:v>
      </x:c>
      <x:c r="AB586" s="255" t="n">
        <x:v>0.8518838715299814</x:v>
      </x:c>
    </x:row>
    <x:row r="587" ht="24" customHeight="1">
      <x:c r="C587" s="256" t="n">
        <x:f>556</x:f>
        <x:v>556</x:v>
      </x:c>
      <x:c r="D587" s="258" t="n">
        <x:f>IF(X587&lt;($E$12-$D$12)/($F$12-$D$12),$D$12+SQRT(X587*($F$12-$D$12)*($E$12-$D$12)),$F$12-SQRT((1-X587)*($F$12-$D$12)*($F$12-$E$12)))</x:f>
        <x:v>0.11044430344165375</x:v>
      </x:c>
      <x:c r="E587" s="258" t="n">
        <x:f>IF(Y587&lt;($E$13-$D$13)/($F$13-$D$13),$D$13+SQRT(Y587*($F$13-$D$13)*($E$13-$D$13)),$F$13-SQRT((1-Y587)*($F$13-$D$13)*($F$13-$E$13)))</x:f>
        <x:v>0.040586382949900295</x:v>
      </x:c>
      <x:c r="F587" s="260" t="n">
        <x:f>IF(Z587&lt;($E$14-$D$14)/($F$14-$D$14),$D$14+SQRT(Z587*($F$14-$D$14)*($E$14-$D$14)),$F$14-SQRT((1-Z587)*($F$14-$D$14)*($F$14-$E$14)))</x:f>
        <x:v>0.9103764254132304</x:v>
      </x:c>
      <x:c r="G587" s="258" t="n">
        <x:f>IF(AA587&lt;($E$15-$D$15)/($F$15-$D$15),$D$15+SQRT(AA587*($F$15-$D$15)*($E$15-$D$15)),$F$15-SQRT((1-AA587)*($F$15-$D$15)*($F$15-$E$15)))</x:f>
        <x:v>0.10652482501730033</x:v>
      </x:c>
      <x:c r="H587" s="258" t="n">
        <x:f>IF(AB587&lt;($E$16-$D$16)/($F$16-$D$16),$D$16+SQRT(AB587*($F$16-$D$16)*($E$16-$D$16)),$F$16-SQRT((1-AB587)*($F$16-$D$16)*($F$16-$E$16)))</x:f>
        <x:v>0.02728597419282501</x:v>
      </x:c>
      <x:c r="I587" s="262" t="n">
        <x:f>'Historical Inputs'!$N$9*(1+D587)^5</x:f>
        <x:v>560288.0097084849</x:v>
      </x:c>
      <x:c r="J587" s="262" t="n">
        <x:f>I587*(1+H587)*('Terminal Value'!$E$10+E587)*(1-'Assumptions'!$E$15)*(1-H587/'Terminal Value'!$E$12)</x:f>
        <x:v>175194.85834213378</x:v>
      </x:c>
      <x:c r="K587" s="264" t="n">
        <x:f>((SUM((('Historical Inputs'!$N$9*(1+(D587))^1)*(('Assumptions'!E37+(E587))*(1-'Assumptions'!E42-(0))+'Assumptions'!E47-'Assumptions'!E52*(F587)+'Assumptions'!E57-'Assumptions'!E62*(1)-'Assumptions'!E67-(0))+('Working Capital'!$E$6))*'DCF'!E12/(1+(G587))^'DCF'!E13,(('Historical Inputs'!$N$9*(1+(D587))^2)*(('Assumptions'!F37+(E587))*(1-'Assumptions'!F42-(0))+'Assumptions'!F47-'Assumptions'!F52*(F587)+'Assumptions'!F57-'Assumptions'!F62*(1)-'Assumptions'!F67-(0))+(('Historical Inputs'!$N$9*(1+(D587))^1)*('Assumptions'!E67+(0))))*'DCF'!F12/(1+(G587))^'DCF'!F13,(('Historical Inputs'!$N$9*(1+(D587))^3)*(('Assumptions'!G37+(E587))*(1-'Assumptions'!G42-(0))+'Assumptions'!G47-'Assumptions'!G52*(F587)+'Assumptions'!G57-'Assumptions'!G62*(1)-'Assumptions'!G67-(0))+(('Historical Inputs'!$N$9*(1+(D587))^2)*('Assumptions'!F67+(0))))*'DCF'!G12/(1+(G587))^'DCF'!G13,(('Historical Inputs'!$N$9*(1+(D587))^4)*(('Assumptions'!H37+(E587))*(1-'Assumptions'!H42-(0))+'Assumptions'!H47-'Assumptions'!H52*(F587)+'Assumptions'!H57-'Assumptions'!H62*(1)-'Assumptions'!H67-(0))+(('Historical Inputs'!$N$9*(1+(D587))^3)*('Assumptions'!G67+(0))))*'DCF'!H12/(1+(G587))^'DCF'!H13,(('Historical Inputs'!$N$9*(1+(D587))^5)*(('Assumptions'!I37+(E587))*(1-'Assumptions'!I42-(0))+'Assumptions'!I47-'Assumptions'!I52*(F587)+'Assumptions'!I57-'Assumptions'!I62*(1)-'Assumptions'!I67-(0))+(('Historical Inputs'!$N$9*(1+(D587))^4)*('Assumptions'!H67+(0))))*'DCF'!I12/(1+(G587))^'DCF'!I13)+('Historical Inputs'!$N$9*(1+(D587))^5)*(1+(H587))*('Terminal Value'!$E$10+(E587))*(1-'Assumptions'!$E$15-(0))*(1-(H587)/('Terminal Value'!$E$12))/((G587)-(H587))/(1+(G587))^'DCF'!$E$19)+'Equity Bridge'!$E$17)/'Equity Bridge'!$E$20</x:f>
        <x:v>245.58487997430245</x:v>
      </x:c>
      <x:c r="X587" s="255" t="n">
        <x:v>0.05908052986676349</x:v>
      </x:c>
      <x:c r="Y587" s="255" t="n">
        <x:v>0.9822767628068144</x:v>
      </x:c>
      <x:c r="Z587" s="255" t="n">
        <x:v>0.06943452848913101</x:v>
      </x:c>
      <x:c r="AA587" s="255" t="n">
        <x:v>0.9027434976941586</x:v>
      </x:c>
      <x:c r="AB587" s="255" t="n">
        <x:v>0.2654270996925605</x:v>
      </x:c>
    </x:row>
    <x:row r="588" ht="24" customHeight="1">
      <x:c r="C588" s="256" t="n">
        <x:f>557</x:f>
        <x:v>557</x:v>
      </x:c>
      <x:c r="D588" s="258" t="n">
        <x:f>IF(X588&lt;($E$12-$D$12)/($F$12-$D$12),$D$12+SQRT(X588*($F$12-$D$12)*($E$12-$D$12)),$F$12-SQRT((1-X588)*($F$12-$D$12)*($F$12-$E$12)))</x:f>
        <x:v>0.13821420337996976</x:v>
      </x:c>
      <x:c r="E588" s="258" t="n">
        <x:f>IF(Y588&lt;($E$13-$D$13)/($F$13-$D$13),$D$13+SQRT(Y588*($F$13-$D$13)*($E$13-$D$13)),$F$13-SQRT((1-Y588)*($F$13-$D$13)*($F$13-$E$13)))</x:f>
        <x:v>0.0037244685867239904</x:v>
      </x:c>
      <x:c r="F588" s="260" t="n">
        <x:f>IF(Z588&lt;($E$14-$D$14)/($F$14-$D$14),$D$14+SQRT(Z588*($F$14-$D$14)*($E$14-$D$14)),$F$14-SQRT((1-Z588)*($F$14-$D$14)*($F$14-$E$14)))</x:f>
        <x:v>1.0136708564839232</x:v>
      </x:c>
      <x:c r="G588" s="258" t="n">
        <x:f>IF(AA588&lt;($E$15-$D$15)/($F$15-$D$15),$D$15+SQRT(AA588*($F$15-$D$15)*($E$15-$D$15)),$F$15-SQRT((1-AA588)*($F$15-$D$15)*($F$15-$E$15)))</x:f>
        <x:v>0.09548387068236674</x:v>
      </x:c>
      <x:c r="H588" s="258" t="n">
        <x:f>IF(AB588&lt;($E$16-$D$16)/($F$16-$D$16),$D$16+SQRT(AB588*($F$16-$D$16)*($E$16-$D$16)),$F$16-SQRT((1-AB588)*($F$16-$D$16)*($F$16-$E$16)))</x:f>
        <x:v>0.022698331944513983</x:v>
      </x:c>
      <x:c r="I588" s="262" t="n">
        <x:f>'Historical Inputs'!$N$9*(1+D588)^5</x:f>
        <x:v>633938.9403001257</x:v>
      </x:c>
      <x:c r="J588" s="262" t="n">
        <x:f>I588*(1+H588)*('Terminal Value'!$E$10+E588)*(1-'Assumptions'!$E$15)*(1-H588/'Terminal Value'!$E$12)</x:f>
        <x:v>185632.00756727235</x:v>
      </x:c>
      <x:c r="K588" s="264" t="n">
        <x:f>((SUM((('Historical Inputs'!$N$9*(1+(D588))^1)*(('Assumptions'!E37+(E588))*(1-'Assumptions'!E42-(0))+'Assumptions'!E47-'Assumptions'!E52*(F588)+'Assumptions'!E57-'Assumptions'!E62*(1)-'Assumptions'!E67-(0))+('Working Capital'!$E$6))*'DCF'!E12/(1+(G588))^'DCF'!E13,(('Historical Inputs'!$N$9*(1+(D588))^2)*(('Assumptions'!F37+(E588))*(1-'Assumptions'!F42-(0))+'Assumptions'!F47-'Assumptions'!F52*(F588)+'Assumptions'!F57-'Assumptions'!F62*(1)-'Assumptions'!F67-(0))+(('Historical Inputs'!$N$9*(1+(D588))^1)*('Assumptions'!E67+(0))))*'DCF'!F12/(1+(G588))^'DCF'!F13,(('Historical Inputs'!$N$9*(1+(D588))^3)*(('Assumptions'!G37+(E588))*(1-'Assumptions'!G42-(0))+'Assumptions'!G47-'Assumptions'!G52*(F588)+'Assumptions'!G57-'Assumptions'!G62*(1)-'Assumptions'!G67-(0))+(('Historical Inputs'!$N$9*(1+(D588))^2)*('Assumptions'!F67+(0))))*'DCF'!G12/(1+(G588))^'DCF'!G13,(('Historical Inputs'!$N$9*(1+(D588))^4)*(('Assumptions'!H37+(E588))*(1-'Assumptions'!H42-(0))+'Assumptions'!H47-'Assumptions'!H52*(F588)+'Assumptions'!H57-'Assumptions'!H62*(1)-'Assumptions'!H67-(0))+(('Historical Inputs'!$N$9*(1+(D588))^3)*('Assumptions'!G67+(0))))*'DCF'!H12/(1+(G588))^'DCF'!H13,(('Historical Inputs'!$N$9*(1+(D588))^5)*(('Assumptions'!I37+(E588))*(1-'Assumptions'!I42-(0))+'Assumptions'!I47-'Assumptions'!I52*(F588)+'Assumptions'!I57-'Assumptions'!I62*(1)-'Assumptions'!I67-(0))+(('Historical Inputs'!$N$9*(1+(D588))^4)*('Assumptions'!H67+(0))))*'DCF'!I12/(1+(G588))^'DCF'!I13)+('Historical Inputs'!$N$9*(1+(D588))^5)*(1+(H588))*('Terminal Value'!$E$10+(E588))*(1-'Assumptions'!$E$15-(0))*(1-(H588)/('Terminal Value'!$E$12))/((G588)-(H588))/(1+(G588))^'DCF'!$E$19)+'Equity Bridge'!$E$17)/'Equity Bridge'!$E$20</x:f>
        <x:v>277.5673443851311</x:v>
      </x:c>
      <x:c r="X588" s="255" t="n">
        <x:v>0.4042296346542881</x:v>
      </x:c>
      <x:c r="Y588" s="255" t="n">
        <x:v>0.5717150384837811</x:v>
      </x:c>
      <x:c r="Z588" s="255" t="n">
        <x:v>0.5040207182366465</x:v>
      </x:c>
      <x:c r="AA588" s="255" t="n">
        <x:v>0.33858228132893975</x:v>
      </x:c>
      <x:c r="AB588" s="255" t="n">
        <x:v>0.03640497641392315</x:v>
      </x:c>
    </x:row>
    <x:row r="589" ht="24" customHeight="1">
      <x:c r="C589" s="256" t="n">
        <x:f>558</x:f>
        <x:v>558</x:v>
      </x:c>
      <x:c r="D589" s="258" t="n">
        <x:f>IF(X589&lt;($E$12-$D$12)/($F$12-$D$12),$D$12+SQRT(X589*($F$12-$D$12)*($E$12-$D$12)),$F$12-SQRT((1-X589)*($F$12-$D$12)*($F$12-$E$12)))</x:f>
        <x:v>0.1466408994583222</x:v>
      </x:c>
      <x:c r="E589" s="258" t="n">
        <x:f>IF(Y589&lt;($E$13-$D$13)/($F$13-$D$13),$D$13+SQRT(Y589*($F$13-$D$13)*($E$13-$D$13)),$F$13-SQRT((1-Y589)*($F$13-$D$13)*($F$13-$E$13)))</x:f>
        <x:v>-0.021375317999968474</x:v>
      </x:c>
      <x:c r="F589" s="260" t="n">
        <x:f>IF(Z589&lt;($E$14-$D$14)/($F$14-$D$14),$D$14+SQRT(Z589*($F$14-$D$14)*($E$14-$D$14)),$F$14-SQRT((1-Z589)*($F$14-$D$14)*($F$14-$E$14)))</x:f>
        <x:v>1.00874306079254</x:v>
      </x:c>
      <x:c r="G589" s="258" t="n">
        <x:f>IF(AA589&lt;($E$15-$D$15)/($F$15-$D$15),$D$15+SQRT(AA589*($F$15-$D$15)*($E$15-$D$15)),$F$15-SQRT((1-AA589)*($F$15-$D$15)*($F$15-$E$15)))</x:f>
        <x:v>0.09691015293778975</x:v>
      </x:c>
      <x:c r="H589" s="258" t="n">
        <x:f>IF(AB589&lt;($E$16-$D$16)/($F$16-$D$16),$D$16+SQRT(AB589*($F$16-$D$16)*($E$16-$D$16)),$F$16-SQRT((1-AB589)*($F$16-$D$16)*($F$16-$E$16)))</x:f>
        <x:v>0.02694614720070347</x:v>
      </x:c>
      <x:c r="I589" s="262" t="n">
        <x:f>'Historical Inputs'!$N$9*(1+D589)^5</x:f>
        <x:v>657755.6217647095</x:v>
      </x:c>
      <x:c r="J589" s="262" t="n">
        <x:f>I589*(1+H589)*('Terminal Value'!$E$10+E589)*(1-'Assumptions'!$E$15)*(1-H589/'Terminal Value'!$E$12)</x:f>
        <x:v>177036.34065848234</x:v>
      </x:c>
      <x:c r="K589" s="264" t="n">
        <x:f>((SUM((('Historical Inputs'!$N$9*(1+(D589))^1)*(('Assumptions'!E37+(E589))*(1-'Assumptions'!E42-(0))+'Assumptions'!E47-'Assumptions'!E52*(F589)+'Assumptions'!E57-'Assumptions'!E62*(1)-'Assumptions'!E67-(0))+('Working Capital'!$E$6))*'DCF'!E12/(1+(G589))^'DCF'!E13,(('Historical Inputs'!$N$9*(1+(D589))^2)*(('Assumptions'!F37+(E589))*(1-'Assumptions'!F42-(0))+'Assumptions'!F47-'Assumptions'!F52*(F589)+'Assumptions'!F57-'Assumptions'!F62*(1)-'Assumptions'!F67-(0))+(('Historical Inputs'!$N$9*(1+(D589))^1)*('Assumptions'!E67+(0))))*'DCF'!F12/(1+(G589))^'DCF'!F13,(('Historical Inputs'!$N$9*(1+(D589))^3)*(('Assumptions'!G37+(E589))*(1-'Assumptions'!G42-(0))+'Assumptions'!G47-'Assumptions'!G52*(F589)+'Assumptions'!G57-'Assumptions'!G62*(1)-'Assumptions'!G67-(0))+(('Historical Inputs'!$N$9*(1+(D589))^2)*('Assumptions'!F67+(0))))*'DCF'!G12/(1+(G589))^'DCF'!G13,(('Historical Inputs'!$N$9*(1+(D589))^4)*(('Assumptions'!H37+(E589))*(1-'Assumptions'!H42-(0))+'Assumptions'!H47-'Assumptions'!H52*(F589)+'Assumptions'!H57-'Assumptions'!H62*(1)-'Assumptions'!H67-(0))+(('Historical Inputs'!$N$9*(1+(D589))^3)*('Assumptions'!G67+(0))))*'DCF'!H12/(1+(G589))^'DCF'!H13,(('Historical Inputs'!$N$9*(1+(D589))^5)*(('Assumptions'!I37+(E589))*(1-'Assumptions'!I42-(0))+'Assumptions'!I47-'Assumptions'!I52*(F589)+'Assumptions'!I57-'Assumptions'!I62*(1)-'Assumptions'!I67-(0))+(('Historical Inputs'!$N$9*(1+(D589))^4)*('Assumptions'!H67+(0))))*'DCF'!I12/(1+(G589))^'DCF'!I13)+('Historical Inputs'!$N$9*(1+(D589))^5)*(1+(H589))*('Terminal Value'!$E$10+(E589))*(1-'Assumptions'!$E$15-(0))*(1-(H589)/('Terminal Value'!$E$12))/((G589)-(H589))/(1+(G589))^'DCF'!$E$19)+'Equity Bridge'!$E$17)/'Equity Bridge'!$E$20</x:f>
        <x:v>270.86571188806096</x:v>
      </x:c>
      <x:c r="X589" s="255" t="n">
        <x:v>0.565387427079268</x:v>
      </x:c>
      <x:c r="Y589" s="255" t="n">
        <x:v>0.1638744839205858</x:v>
      </x:c>
      <x:c r="Z589" s="255" t="n">
        <x:v>0.4774397600713427</x:v>
      </x:c>
      <x:c r="AA589" s="255" t="n">
        <x:v>0.4213487592859413</x:v>
      </x:c>
      <x:c r="AB589" s="255" t="n">
        <x:v>0.2412448046692035</x:v>
      </x:c>
    </x:row>
    <x:row r="590" ht="24" customHeight="1">
      <x:c r="C590" s="256" t="n">
        <x:f>559</x:f>
        <x:v>559</x:v>
      </x:c>
      <x:c r="D590" s="258" t="n">
        <x:f>IF(X590&lt;($E$12-$D$12)/($F$12-$D$12),$D$12+SQRT(X590*($F$12-$D$12)*($E$12-$D$12)),$F$12-SQRT((1-X590)*($F$12-$D$12)*($F$12-$E$12)))</x:f>
        <x:v>0.12729054276461074</x:v>
      </x:c>
      <x:c r="E590" s="258" t="n">
        <x:f>IF(Y590&lt;($E$13-$D$13)/($F$13-$D$13),$D$13+SQRT(Y590*($F$13-$D$13)*($E$13-$D$13)),$F$13-SQRT((1-Y590)*($F$13-$D$13)*($F$13-$E$13)))</x:f>
        <x:v>-0.003506459788244619</x:v>
      </x:c>
      <x:c r="F590" s="260" t="n">
        <x:f>IF(Z590&lt;($E$14-$D$14)/($F$14-$D$14),$D$14+SQRT(Z590*($F$14-$D$14)*($E$14-$D$14)),$F$14-SQRT((1-Z590)*($F$14-$D$14)*($F$14-$E$14)))</x:f>
        <x:v>1.022531319432214</x:v>
      </x:c>
      <x:c r="G590" s="258" t="n">
        <x:f>IF(AA590&lt;($E$15-$D$15)/($F$15-$D$15),$D$15+SQRT(AA590*($F$15-$D$15)*($E$15-$D$15)),$F$15-SQRT((1-AA590)*($F$15-$D$15)*($F$15-$E$15)))</x:f>
        <x:v>0.09585572328983998</x:v>
      </x:c>
      <x:c r="H590" s="258" t="n">
        <x:f>IF(AB590&lt;($E$16-$D$16)/($F$16-$D$16),$D$16+SQRT(AB590*($F$16-$D$16)*($E$16-$D$16)),$F$16-SQRT((1-AB590)*($F$16-$D$16)*($F$16-$E$16)))</x:f>
        <x:v>0.029172463804539132</x:v>
      </x:c>
      <x:c r="I590" s="262" t="n">
        <x:f>'Historical Inputs'!$N$9*(1+D590)^5</x:f>
        <x:v>604097.0901521731</x:v>
      </x:c>
      <x:c r="J590" s="262" t="n">
        <x:f>I590*(1+H590)*('Terminal Value'!$E$10+E590)*(1-'Assumptions'!$E$15)*(1-H590/'Terminal Value'!$E$12)</x:f>
        <x:v>168441.417007406</x:v>
      </x:c>
      <x:c r="K590" s="264" t="n">
        <x:f>((SUM((('Historical Inputs'!$N$9*(1+(D590))^1)*(('Assumptions'!E37+(E590))*(1-'Assumptions'!E42-(0))+'Assumptions'!E47-'Assumptions'!E52*(F590)+'Assumptions'!E57-'Assumptions'!E62*(1)-'Assumptions'!E67-(0))+('Working Capital'!$E$6))*'DCF'!E12/(1+(G590))^'DCF'!E13,(('Historical Inputs'!$N$9*(1+(D590))^2)*(('Assumptions'!F37+(E590))*(1-'Assumptions'!F42-(0))+'Assumptions'!F47-'Assumptions'!F52*(F590)+'Assumptions'!F57-'Assumptions'!F62*(1)-'Assumptions'!F67-(0))+(('Historical Inputs'!$N$9*(1+(D590))^1)*('Assumptions'!E67+(0))))*'DCF'!F12/(1+(G590))^'DCF'!F13,(('Historical Inputs'!$N$9*(1+(D590))^3)*(('Assumptions'!G37+(E590))*(1-'Assumptions'!G42-(0))+'Assumptions'!G47-'Assumptions'!G52*(F590)+'Assumptions'!G57-'Assumptions'!G62*(1)-'Assumptions'!G67-(0))+(('Historical Inputs'!$N$9*(1+(D590))^2)*('Assumptions'!F67+(0))))*'DCF'!G12/(1+(G590))^'DCF'!G13,(('Historical Inputs'!$N$9*(1+(D590))^4)*(('Assumptions'!H37+(E590))*(1-'Assumptions'!H42-(0))+'Assumptions'!H47-'Assumptions'!H52*(F590)+'Assumptions'!H57-'Assumptions'!H62*(1)-'Assumptions'!H67-(0))+(('Historical Inputs'!$N$9*(1+(D590))^3)*('Assumptions'!G67+(0))))*'DCF'!H12/(1+(G590))^'DCF'!H13,(('Historical Inputs'!$N$9*(1+(D590))^5)*(('Assumptions'!I37+(E590))*(1-'Assumptions'!I42-(0))+'Assumptions'!I47-'Assumptions'!I52*(F590)+'Assumptions'!I57-'Assumptions'!I62*(1)-'Assumptions'!I67-(0))+(('Historical Inputs'!$N$9*(1+(D590))^4)*('Assumptions'!H67+(0))))*'DCF'!I12/(1+(G590))^'DCF'!I13)+('Historical Inputs'!$N$9*(1+(D590))^5)*(1+(H590))*('Terminal Value'!$E$10+(E590))*(1-'Assumptions'!$E$15-(0))*(1-(H590)/('Terminal Value'!$E$12))/((G590)-(H590))/(1+(G590))^'DCF'!$E$19)+'Equity Bridge'!$E$17)/'Equity Bridge'!$E$20</x:f>
        <x:v>271.161196410444</x:v>
      </x:c>
      <x:c r="X590" s="255" t="n">
        <x:v>0.23165610949499005</x:v>
      </x:c>
      <x:c r="Y590" s="255" t="n">
        <x:v>0.4323298562844229</x:v>
      </x:c>
      <x:c r="Z590" s="255" t="n">
        <x:v>0.5500695345361314</x:v>
      </x:c>
      <x:c r="AA590" s="255" t="n">
        <x:v>0.359289394033659</x:v>
      </x:c>
      <x:c r="AB590" s="255" t="n">
        <x:v>0.42067046122790286</x:v>
      </x:c>
    </x:row>
    <x:row r="591" ht="24" customHeight="1">
      <x:c r="C591" s="256" t="n">
        <x:f>560</x:f>
        <x:v>560</x:v>
      </x:c>
      <x:c r="D591" s="258" t="n">
        <x:f>IF(X591&lt;($E$12-$D$12)/($F$12-$D$12),$D$12+SQRT(X591*($F$12-$D$12)*($E$12-$D$12)),$F$12-SQRT((1-X591)*($F$12-$D$12)*($F$12-$E$12)))</x:f>
        <x:v>0.1144497696198325</x:v>
      </x:c>
      <x:c r="E591" s="258" t="n">
        <x:f>IF(Y591&lt;($E$13-$D$13)/($F$13-$D$13),$D$13+SQRT(Y591*($F$13-$D$13)*($E$13-$D$13)),$F$13-SQRT((1-Y591)*($F$13-$D$13)*($F$13-$E$13)))</x:f>
        <x:v>0.0014197914201126705</x:v>
      </x:c>
      <x:c r="F591" s="260" t="n">
        <x:f>IF(Z591&lt;($E$14-$D$14)/($F$14-$D$14),$D$14+SQRT(Z591*($F$14-$D$14)*($E$14-$D$14)),$F$14-SQRT((1-Z591)*($F$14-$D$14)*($F$14-$E$14)))</x:f>
        <x:v>0.9804046789821925</x:v>
      </x:c>
      <x:c r="G591" s="258" t="n">
        <x:f>IF(AA591&lt;($E$15-$D$15)/($F$15-$D$15),$D$15+SQRT(AA591*($F$15-$D$15)*($E$15-$D$15)),$F$15-SQRT((1-AA591)*($F$15-$D$15)*($F$15-$E$15)))</x:f>
        <x:v>0.10316989113333659</x:v>
      </x:c>
      <x:c r="H591" s="258" t="n">
        <x:f>IF(AB591&lt;($E$16-$D$16)/($F$16-$D$16),$D$16+SQRT(AB591*($F$16-$D$16)*($E$16-$D$16)),$F$16-SQRT((1-AB591)*($F$16-$D$16)*($F$16-$E$16)))</x:f>
        <x:v>0.03151204236162598</x:v>
      </x:c>
      <x:c r="I591" s="262" t="n">
        <x:f>'Historical Inputs'!$N$9*(1+D591)^5</x:f>
        <x:v>570466.2028579118</x:v>
      </x:c>
      <x:c r="J591" s="262" t="n">
        <x:f>I591*(1+H591)*('Terminal Value'!$E$10+E591)*(1-'Assumptions'!$E$15)*(1-H591/'Terminal Value'!$E$12)</x:f>
        <x:v>159195.89340018647</x:v>
      </x:c>
      <x:c r="K591" s="264" t="n">
        <x:f>((SUM((('Historical Inputs'!$N$9*(1+(D591))^1)*(('Assumptions'!E37+(E591))*(1-'Assumptions'!E42-(0))+'Assumptions'!E47-'Assumptions'!E52*(F591)+'Assumptions'!E57-'Assumptions'!E62*(1)-'Assumptions'!E67-(0))+('Working Capital'!$E$6))*'DCF'!E12/(1+(G591))^'DCF'!E13,(('Historical Inputs'!$N$9*(1+(D591))^2)*(('Assumptions'!F37+(E591))*(1-'Assumptions'!F42-(0))+'Assumptions'!F47-'Assumptions'!F52*(F591)+'Assumptions'!F57-'Assumptions'!F62*(1)-'Assumptions'!F67-(0))+(('Historical Inputs'!$N$9*(1+(D591))^1)*('Assumptions'!E67+(0))))*'DCF'!F12/(1+(G591))^'DCF'!F13,(('Historical Inputs'!$N$9*(1+(D591))^3)*(('Assumptions'!G37+(E591))*(1-'Assumptions'!G42-(0))+'Assumptions'!G47-'Assumptions'!G52*(F591)+'Assumptions'!G57-'Assumptions'!G62*(1)-'Assumptions'!G67-(0))+(('Historical Inputs'!$N$9*(1+(D591))^2)*('Assumptions'!F67+(0))))*'DCF'!G12/(1+(G591))^'DCF'!G13,(('Historical Inputs'!$N$9*(1+(D591))^4)*(('Assumptions'!H37+(E591))*(1-'Assumptions'!H42-(0))+'Assumptions'!H47-'Assumptions'!H52*(F591)+'Assumptions'!H57-'Assumptions'!H62*(1)-'Assumptions'!H67-(0))+(('Historical Inputs'!$N$9*(1+(D591))^3)*('Assumptions'!G67+(0))))*'DCF'!H12/(1+(G591))^'DCF'!H13,(('Historical Inputs'!$N$9*(1+(D591))^5)*(('Assumptions'!I37+(E591))*(1-'Assumptions'!I42-(0))+'Assumptions'!I47-'Assumptions'!I52*(F591)+'Assumptions'!I57-'Assumptions'!I62*(1)-'Assumptions'!I67-(0))+(('Historical Inputs'!$N$9*(1+(D591))^4)*('Assumptions'!H67+(0))))*'DCF'!I12/(1+(G591))^'DCF'!I13)+('Historical Inputs'!$N$9*(1+(D591))^5)*(1+(H591))*('Terminal Value'!$E$10+(E591))*(1-'Assumptions'!$E$15-(0))*(1-(H591)/('Terminal Value'!$E$12))/((G591)-(H591))/(1+(G591))^'DCF'!$E$19)+'Equity Bridge'!$E$17)/'Equity Bridge'!$E$20</x:f>
        <x:v>239.01969593924116</x:v>
      </x:c>
      <x:c r="X591" s="255" t="n">
        <x:v>0.08982651181011214</x:v>
      </x:c>
      <x:c r="Y591" s="255" t="n">
        <x:v>0.5279926668669284</x:v>
      </x:c>
      <x:c r="Z591" s="255" t="n">
        <x:v>0.3239120057228325</x:v>
      </x:c>
      <x:c r="AA591" s="255" t="n">
        <x:v>0.7790879229045156</x:v>
      </x:c>
      <x:c r="AB591" s="255" t="n">
        <x:v>0.6397728756458411</x:v>
      </x:c>
    </x:row>
    <x:row r="592" ht="24" customHeight="1">
      <x:c r="C592" s="256" t="n">
        <x:f>561</x:f>
        <x:v>561</x:v>
      </x:c>
      <x:c r="D592" s="258" t="n">
        <x:f>IF(X592&lt;($E$12-$D$12)/($F$12-$D$12),$D$12+SQRT(X592*($F$12-$D$12)*($E$12-$D$12)),$F$12-SQRT((1-X592)*($F$12-$D$12)*($F$12-$E$12)))</x:f>
        <x:v>0.10843259398811574</x:v>
      </x:c>
      <x:c r="E592" s="258" t="n">
        <x:f>IF(Y592&lt;($E$13-$D$13)/($F$13-$D$13),$D$13+SQRT(Y592*($F$13-$D$13)*($E$13-$D$13)),$F$13-SQRT((1-Y592)*($F$13-$D$13)*($F$13-$E$13)))</x:f>
        <x:v>0.029485970058032582</x:v>
      </x:c>
      <x:c r="F592" s="260" t="n">
        <x:f>IF(Z592&lt;($E$14-$D$14)/($F$14-$D$14),$D$14+SQRT(Z592*($F$14-$D$14)*($E$14-$D$14)),$F$14-SQRT((1-Z592)*($F$14-$D$14)*($F$14-$E$14)))</x:f>
        <x:v>0.9961239040538441</x:v>
      </x:c>
      <x:c r="G592" s="258" t="n">
        <x:f>IF(AA592&lt;($E$15-$D$15)/($F$15-$D$15),$D$15+SQRT(AA592*($F$15-$D$15)*($E$15-$D$15)),$F$15-SQRT((1-AA592)*($F$15-$D$15)*($F$15-$E$15)))</x:f>
        <x:v>0.09591859328565994</x:v>
      </x:c>
      <x:c r="H592" s="258" t="n">
        <x:f>IF(AB592&lt;($E$16-$D$16)/($F$16-$D$16),$D$16+SQRT(AB592*($F$16-$D$16)*($E$16-$D$16)),$F$16-SQRT((1-AB592)*($F$16-$D$16)*($F$16-$E$16)))</x:f>
        <x:v>0.027603403907183112</x:v>
      </x:c>
      <x:c r="I592" s="262" t="n">
        <x:f>'Historical Inputs'!$N$9*(1+D592)^5</x:f>
        <x:v>555231.204182324</x:v>
      </x:c>
      <x:c r="J592" s="262" t="n">
        <x:f>I592*(1+H592)*('Terminal Value'!$E$10+E592)*(1-'Assumptions'!$E$15)*(1-H592/'Terminal Value'!$E$12)</x:f>
        <x:v>168980.68220779375</x:v>
      </x:c>
      <x:c r="K592" s="264" t="n">
        <x:f>((SUM((('Historical Inputs'!$N$9*(1+(D592))^1)*(('Assumptions'!E37+(E592))*(1-'Assumptions'!E42-(0))+'Assumptions'!E47-'Assumptions'!E52*(F592)+'Assumptions'!E57-'Assumptions'!E62*(1)-'Assumptions'!E67-(0))+('Working Capital'!$E$6))*'DCF'!E12/(1+(G592))^'DCF'!E13,(('Historical Inputs'!$N$9*(1+(D592))^2)*(('Assumptions'!F37+(E592))*(1-'Assumptions'!F42-(0))+'Assumptions'!F47-'Assumptions'!F52*(F592)+'Assumptions'!F57-'Assumptions'!F62*(1)-'Assumptions'!F67-(0))+(('Historical Inputs'!$N$9*(1+(D592))^1)*('Assumptions'!E67+(0))))*'DCF'!F12/(1+(G592))^'DCF'!F13,(('Historical Inputs'!$N$9*(1+(D592))^3)*(('Assumptions'!G37+(E592))*(1-'Assumptions'!G42-(0))+'Assumptions'!G47-'Assumptions'!G52*(F592)+'Assumptions'!G57-'Assumptions'!G62*(1)-'Assumptions'!G67-(0))+(('Historical Inputs'!$N$9*(1+(D592))^2)*('Assumptions'!F67+(0))))*'DCF'!G12/(1+(G592))^'DCF'!G13,(('Historical Inputs'!$N$9*(1+(D592))^4)*(('Assumptions'!H37+(E592))*(1-'Assumptions'!H42-(0))+'Assumptions'!H47-'Assumptions'!H52*(F592)+'Assumptions'!H57-'Assumptions'!H62*(1)-'Assumptions'!H67-(0))+(('Historical Inputs'!$N$9*(1+(D592))^3)*('Assumptions'!G67+(0))))*'DCF'!H12/(1+(G592))^'DCF'!H13,(('Historical Inputs'!$N$9*(1+(D592))^5)*(('Assumptions'!I37+(E592))*(1-'Assumptions'!I42-(0))+'Assumptions'!I47-'Assumptions'!I52*(F592)+'Assumptions'!I57-'Assumptions'!I62*(1)-'Assumptions'!I67-(0))+(('Historical Inputs'!$N$9*(1+(D592))^4)*('Assumptions'!H67+(0))))*'DCF'!I12/(1+(G592))^'DCF'!I13)+('Historical Inputs'!$N$9*(1+(D592))^5)*(1+(H592))*('Terminal Value'!$E$10+(E592))*(1-'Assumptions'!$E$15-(0))*(1-(H592)/('Terminal Value'!$E$12))/((G592)-(H592))/(1+(G592))^'DCF'!$E$19)+'Equity Bridge'!$E$17)/'Equity Bridge'!$E$20</x:f>
        <x:v>271.181414174142</x:v>
      </x:c>
      <x:c r="X592" s="255" t="n">
        <x:v>0.04605959808916815</x:v>
      </x:c>
      <x:c r="Y592" s="255" t="n">
        <x:v>0.9158349151080128</x:v>
      </x:c>
      <x:c r="Z592" s="255" t="n">
        <x:v>0.40670848258927694</x:v>
      </x:c>
      <x:c r="AA592" s="255" t="n">
        <x:v>0.3628511299045115</x:v>
      </x:c>
      <x:c r="AB592" s="255" t="n">
        <x:v>0.28905875487883714</x:v>
      </x:c>
    </x:row>
    <x:row r="593" ht="24" customHeight="1">
      <x:c r="C593" s="256" t="n">
        <x:f>562</x:f>
        <x:v>562</x:v>
      </x:c>
      <x:c r="D593" s="258" t="n">
        <x:f>IF(X593&lt;($E$12-$D$12)/($F$12-$D$12),$D$12+SQRT(X593*($F$12-$D$12)*($E$12-$D$12)),$F$12-SQRT((1-X593)*($F$12-$D$12)*($F$12-$E$12)))</x:f>
        <x:v>0.13988761355686924</x:v>
      </x:c>
      <x:c r="E593" s="258" t="n">
        <x:f>IF(Y593&lt;($E$13-$D$13)/($F$13-$D$13),$D$13+SQRT(Y593*($F$13-$D$13)*($E$13-$D$13)),$F$13-SQRT((1-Y593)*($F$13-$D$13)*($F$13-$E$13)))</x:f>
        <x:v>-0.008863849905513164</x:v>
      </x:c>
      <x:c r="F593" s="260" t="n">
        <x:f>IF(Z593&lt;($E$14-$D$14)/($F$14-$D$14),$D$14+SQRT(Z593*($F$14-$D$14)*($E$14-$D$14)),$F$14-SQRT((1-Z593)*($F$14-$D$14)*($F$14-$E$14)))</x:f>
        <x:v>1.0265811983089665</x:v>
      </x:c>
      <x:c r="G593" s="258" t="n">
        <x:f>IF(AA593&lt;($E$15-$D$15)/($F$15-$D$15),$D$15+SQRT(AA593*($F$15-$D$15)*($E$15-$D$15)),$F$15-SQRT((1-AA593)*($F$15-$D$15)*($F$15-$E$15)))</x:f>
        <x:v>0.0996979284248256</x:v>
      </x:c>
      <x:c r="H593" s="258" t="n">
        <x:f>IF(AB593&lt;($E$16-$D$16)/($F$16-$D$16),$D$16+SQRT(AB593*($F$16-$D$16)*($E$16-$D$16)),$F$16-SQRT((1-AB593)*($F$16-$D$16)*($F$16-$E$16)))</x:f>
        <x:v>0.02150351142970462</x:v>
      </x:c>
      <x:c r="I593" s="262" t="n">
        <x:f>'Historical Inputs'!$N$9*(1+D593)^5</x:f>
        <x:v>638612.7695684072</x:v>
      </x:c>
      <x:c r="J593" s="262" t="n">
        <x:f>I593*(1+H593)*('Terminal Value'!$E$10+E593)*(1-'Assumptions'!$E$15)*(1-H593/'Terminal Value'!$E$12)</x:f>
        <x:v>182177.64650290296</x:v>
      </x:c>
      <x:c r="K593" s="264" t="n">
        <x:f>((SUM((('Historical Inputs'!$N$9*(1+(D593))^1)*(('Assumptions'!E37+(E593))*(1-'Assumptions'!E42-(0))+'Assumptions'!E47-'Assumptions'!E52*(F593)+'Assumptions'!E57-'Assumptions'!E62*(1)-'Assumptions'!E67-(0))+('Working Capital'!$E$6))*'DCF'!E12/(1+(G593))^'DCF'!E13,(('Historical Inputs'!$N$9*(1+(D593))^2)*(('Assumptions'!F37+(E593))*(1-'Assumptions'!F42-(0))+'Assumptions'!F47-'Assumptions'!F52*(F593)+'Assumptions'!F57-'Assumptions'!F62*(1)-'Assumptions'!F67-(0))+(('Historical Inputs'!$N$9*(1+(D593))^1)*('Assumptions'!E67+(0))))*'DCF'!F12/(1+(G593))^'DCF'!F13,(('Historical Inputs'!$N$9*(1+(D593))^3)*(('Assumptions'!G37+(E593))*(1-'Assumptions'!G42-(0))+'Assumptions'!G47-'Assumptions'!G52*(F593)+'Assumptions'!G57-'Assumptions'!G62*(1)-'Assumptions'!G67-(0))+(('Historical Inputs'!$N$9*(1+(D593))^2)*('Assumptions'!F67+(0))))*'DCF'!G12/(1+(G593))^'DCF'!G13,(('Historical Inputs'!$N$9*(1+(D593))^4)*(('Assumptions'!H37+(E593))*(1-'Assumptions'!H42-(0))+'Assumptions'!H47-'Assumptions'!H52*(F593)+'Assumptions'!H57-'Assumptions'!H62*(1)-'Assumptions'!H67-(0))+(('Historical Inputs'!$N$9*(1+(D593))^3)*('Assumptions'!G67+(0))))*'DCF'!H12/(1+(G593))^'DCF'!H13,(('Historical Inputs'!$N$9*(1+(D593))^5)*(('Assumptions'!I37+(E593))*(1-'Assumptions'!I42-(0))+'Assumptions'!I47-'Assumptions'!I52*(F593)+'Assumptions'!I57-'Assumptions'!I62*(1)-'Assumptions'!I67-(0))+(('Historical Inputs'!$N$9*(1+(D593))^4)*('Assumptions'!H67+(0))))*'DCF'!I12/(1+(G593))^'DCF'!I13)+('Historical Inputs'!$N$9*(1+(D593))^5)*(1+(H593))*('Terminal Value'!$E$10+(E593))*(1-'Assumptions'!$E$15-(0))*(1-(H593)/('Terminal Value'!$E$12))/((G593)-(H593))/(1+(G593))^'DCF'!$E$19)+'Equity Bridge'!$E$17)/'Equity Bridge'!$E$20</x:f>
        <x:v>250.99459408148917</x:v>
      </x:c>
      <x:c r="X593" s="255" t="n">
        <x:v>0.43488241703313235</x:v>
      </x:c>
      <x:c r="Y593" s="255" t="n">
        <x:v>0.3384365689192299</x:v>
      </x:c>
      <x:c r="Z593" s="255" t="n">
        <x:v>0.5703702745720859</x:v>
      </x:c>
      <x:c r="AA593" s="255" t="n">
        <x:v>0.5984461856859927</x:v>
      </x:c>
      <x:c r="AB593" s="255" t="n">
        <x:v>0.011302733096262174</x:v>
      </x:c>
    </x:row>
    <x:row r="594" ht="24" customHeight="1">
      <x:c r="C594" s="256" t="n">
        <x:f>563</x:f>
        <x:v>563</x:v>
      </x:c>
      <x:c r="D594" s="258" t="n">
        <x:f>IF(X594&lt;($E$12-$D$12)/($F$12-$D$12),$D$12+SQRT(X594*($F$12-$D$12)*($E$12-$D$12)),$F$12-SQRT((1-X594)*($F$12-$D$12)*($F$12-$E$12)))</x:f>
        <x:v>0.14412828947848763</x:v>
      </x:c>
      <x:c r="E594" s="258" t="n">
        <x:f>IF(Y594&lt;($E$13-$D$13)/($F$13-$D$13),$D$13+SQRT(Y594*($F$13-$D$13)*($E$13-$D$13)),$F$13-SQRT((1-Y594)*($F$13-$D$13)*($F$13-$E$13)))</x:f>
        <x:v>0.006017525195613736</x:v>
      </x:c>
      <x:c r="F594" s="260" t="n">
        <x:f>IF(Z594&lt;($E$14-$D$14)/($F$14-$D$14),$D$14+SQRT(Z594*($F$14-$D$14)*($E$14-$D$14)),$F$14-SQRT((1-Z594)*($F$14-$D$14)*($F$14-$E$14)))</x:f>
        <x:v>1.0502176540327928</x:v>
      </x:c>
      <x:c r="G594" s="258" t="n">
        <x:f>IF(AA594&lt;($E$15-$D$15)/($F$15-$D$15),$D$15+SQRT(AA594*($F$15-$D$15)*($E$15-$D$15)),$F$15-SQRT((1-AA594)*($F$15-$D$15)*($F$15-$E$15)))</x:f>
        <x:v>0.09966899993301638</x:v>
      </x:c>
      <x:c r="H594" s="258" t="n">
        <x:f>IF(AB594&lt;($E$16-$D$16)/($F$16-$D$16),$D$16+SQRT(AB594*($F$16-$D$16)*($E$16-$D$16)),$F$16-SQRT((1-AB594)*($F$16-$D$16)*($F$16-$E$16)))</x:f>
        <x:v>0.02998966922355928</x:v>
      </x:c>
      <x:c r="I594" s="262" t="n">
        <x:f>'Historical Inputs'!$N$9*(1+D594)^5</x:f>
        <x:v>650580.5061110364</x:v>
      </x:c>
      <x:c r="J594" s="262" t="n">
        <x:f>I594*(1+H594)*('Terminal Value'!$E$10+E594)*(1-'Assumptions'!$E$15)*(1-H594/'Terminal Value'!$E$12)</x:f>
        <x:v>185018.0068693397</x:v>
      </x:c>
      <x:c r="K594" s="264" t="n">
        <x:f>((SUM((('Historical Inputs'!$N$9*(1+(D594))^1)*(('Assumptions'!E37+(E594))*(1-'Assumptions'!E42-(0))+'Assumptions'!E47-'Assumptions'!E52*(F594)+'Assumptions'!E57-'Assumptions'!E62*(1)-'Assumptions'!E67-(0))+('Working Capital'!$E$6))*'DCF'!E12/(1+(G594))^'DCF'!E13,(('Historical Inputs'!$N$9*(1+(D594))^2)*(('Assumptions'!F37+(E594))*(1-'Assumptions'!F42-(0))+'Assumptions'!F47-'Assumptions'!F52*(F594)+'Assumptions'!F57-'Assumptions'!F62*(1)-'Assumptions'!F67-(0))+(('Historical Inputs'!$N$9*(1+(D594))^1)*('Assumptions'!E67+(0))))*'DCF'!F12/(1+(G594))^'DCF'!F13,(('Historical Inputs'!$N$9*(1+(D594))^3)*(('Assumptions'!G37+(E594))*(1-'Assumptions'!G42-(0))+'Assumptions'!G47-'Assumptions'!G52*(F594)+'Assumptions'!G57-'Assumptions'!G62*(1)-'Assumptions'!G67-(0))+(('Historical Inputs'!$N$9*(1+(D594))^2)*('Assumptions'!F67+(0))))*'DCF'!G12/(1+(G594))^'DCF'!G13,(('Historical Inputs'!$N$9*(1+(D594))^4)*(('Assumptions'!H37+(E594))*(1-'Assumptions'!H42-(0))+'Assumptions'!H47-'Assumptions'!H52*(F594)+'Assumptions'!H57-'Assumptions'!H62*(1)-'Assumptions'!H67-(0))+(('Historical Inputs'!$N$9*(1+(D594))^3)*('Assumptions'!G67+(0))))*'DCF'!H12/(1+(G594))^'DCF'!H13,(('Historical Inputs'!$N$9*(1+(D594))^5)*(('Assumptions'!I37+(E594))*(1-'Assumptions'!I42-(0))+'Assumptions'!I47-'Assumptions'!I52*(F594)+'Assumptions'!I57-'Assumptions'!I62*(1)-'Assumptions'!I67-(0))+(('Historical Inputs'!$N$9*(1+(D594))^4)*('Assumptions'!H67+(0))))*'DCF'!I12/(1+(G594))^'DCF'!I13)+('Historical Inputs'!$N$9*(1+(D594))^5)*(1+(H594))*('Terminal Value'!$E$10+(E594))*(1-'Assumptions'!$E$15-(0))*(1-(H594)/('Terminal Value'!$E$12))/((G594)-(H594))/(1+(G594))^'DCF'!$E$19)+'Equity Bridge'!$E$17)/'Equity Bridge'!$E$20</x:f>
        <x:v>281.16728753405425</x:v>
      </x:c>
      <x:c r="X594" s="255" t="n">
        <x:v>0.5172735315841709</x:v>
      </x:c>
      <x:c r="Y594" s="255" t="n">
        <x:v>0.6131083820163055</x:v>
      </x:c>
      <x:c r="Z594" s="255" t="n">
        <x:v>0.6795035548079982</x:v>
      </x:c>
      <x:c r="AA594" s="255" t="n">
        <x:v>0.596716016933491</x:v>
      </x:c>
      <x:c r="AB594" s="255" t="n">
        <x:v>0.4989674559806375</x:v>
      </x:c>
    </x:row>
    <x:row r="595" ht="24" customHeight="1">
      <x:c r="C595" s="256" t="n">
        <x:f>564</x:f>
        <x:v>564</x:v>
      </x:c>
      <x:c r="D595" s="258" t="n">
        <x:f>IF(X595&lt;($E$12-$D$12)/($F$12-$D$12),$D$12+SQRT(X595*($F$12-$D$12)*($E$12-$D$12)),$F$12-SQRT((1-X595)*($F$12-$D$12)*($F$12-$E$12)))</x:f>
        <x:v>0.1448623907322618</x:v>
      </x:c>
      <x:c r="E595" s="258" t="n">
        <x:f>IF(Y595&lt;($E$13-$D$13)/($F$13-$D$13),$D$13+SQRT(Y595*($F$13-$D$13)*($E$13-$D$13)),$F$13-SQRT((1-Y595)*($F$13-$D$13)*($F$13-$E$13)))</x:f>
        <x:v>-0.021157881502210766</x:v>
      </x:c>
      <x:c r="F595" s="260" t="n">
        <x:f>IF(Z595&lt;($E$14-$D$14)/($F$14-$D$14),$D$14+SQRT(Z595*($F$14-$D$14)*($E$14-$D$14)),$F$14-SQRT((1-Z595)*($F$14-$D$14)*($F$14-$E$14)))</x:f>
        <x:v>0.9695123420180499</x:v>
      </x:c>
      <x:c r="G595" s="258" t="n">
        <x:f>IF(AA595&lt;($E$15-$D$15)/($F$15-$D$15),$D$15+SQRT(AA595*($F$15-$D$15)*($E$15-$D$15)),$F$15-SQRT((1-AA595)*($F$15-$D$15)*($F$15-$E$15)))</x:f>
        <x:v>0.09116307116823762</x:v>
      </x:c>
      <x:c r="H595" s="258" t="n">
        <x:f>IF(AB595&lt;($E$16-$D$16)/($F$16-$D$16),$D$16+SQRT(AB595*($F$16-$D$16)*($E$16-$D$16)),$F$16-SQRT((1-AB595)*($F$16-$D$16)*($F$16-$E$16)))</x:f>
        <x:v>0.02750266168368896</x:v>
      </x:c>
      <x:c r="I595" s="262" t="n">
        <x:f>'Historical Inputs'!$N$9*(1+D595)^5</x:f>
        <x:v>652670.3295723245</x:v>
      </x:c>
      <x:c r="J595" s="262" t="n">
        <x:f>I595*(1+H595)*('Terminal Value'!$E$10+E595)*(1-'Assumptions'!$E$15)*(1-H595/'Terminal Value'!$E$12)</x:f>
        <x:v>175298.20605739832</x:v>
      </x:c>
      <x:c r="K595" s="264" t="n">
        <x:f>((SUM((('Historical Inputs'!$N$9*(1+(D595))^1)*(('Assumptions'!E37+(E595))*(1-'Assumptions'!E42-(0))+'Assumptions'!E47-'Assumptions'!E52*(F595)+'Assumptions'!E57-'Assumptions'!E62*(1)-'Assumptions'!E67-(0))+('Working Capital'!$E$6))*'DCF'!E12/(1+(G595))^'DCF'!E13,(('Historical Inputs'!$N$9*(1+(D595))^2)*(('Assumptions'!F37+(E595))*(1-'Assumptions'!F42-(0))+'Assumptions'!F47-'Assumptions'!F52*(F595)+'Assumptions'!F57-'Assumptions'!F62*(1)-'Assumptions'!F67-(0))+(('Historical Inputs'!$N$9*(1+(D595))^1)*('Assumptions'!E67+(0))))*'DCF'!F12/(1+(G595))^'DCF'!F13,(('Historical Inputs'!$N$9*(1+(D595))^3)*(('Assumptions'!G37+(E595))*(1-'Assumptions'!G42-(0))+'Assumptions'!G47-'Assumptions'!G52*(F595)+'Assumptions'!G57-'Assumptions'!G62*(1)-'Assumptions'!G67-(0))+(('Historical Inputs'!$N$9*(1+(D595))^2)*('Assumptions'!F67+(0))))*'DCF'!G12/(1+(G595))^'DCF'!G13,(('Historical Inputs'!$N$9*(1+(D595))^4)*(('Assumptions'!H37+(E595))*(1-'Assumptions'!H42-(0))+'Assumptions'!H47-'Assumptions'!H52*(F595)+'Assumptions'!H57-'Assumptions'!H62*(1)-'Assumptions'!H67-(0))+(('Historical Inputs'!$N$9*(1+(D595))^3)*('Assumptions'!G67+(0))))*'DCF'!H12/(1+(G595))^'DCF'!H13,(('Historical Inputs'!$N$9*(1+(D595))^5)*(('Assumptions'!I37+(E595))*(1-'Assumptions'!I42-(0))+'Assumptions'!I47-'Assumptions'!I52*(F595)+'Assumptions'!I57-'Assumptions'!I62*(1)-'Assumptions'!I67-(0))+(('Historical Inputs'!$N$9*(1+(D595))^4)*('Assumptions'!H67+(0))))*'DCF'!I12/(1+(G595))^'DCF'!I13)+('Historical Inputs'!$N$9*(1+(D595))^5)*(1+(H595))*('Terminal Value'!$E$10+(E595))*(1-'Assumptions'!$E$15-(0))*(1-(H595)/('Terminal Value'!$E$12))/((G595)-(H595))/(1+(G595))^'DCF'!$E$19)+'Equity Bridge'!$E$17)/'Equity Bridge'!$E$20</x:f>
        <x:v>299.30948920316666</x:v>
      </x:c>
      <x:c r="X595" s="255" t="n">
        <x:v>0.5315919362590867</x:v>
      </x:c>
      <x:c r="Y595" s="255" t="n">
        <x:v>0.1663735598881032</x:v>
      </x:c>
      <x:c r="Z595" s="255" t="n">
        <x:v>0.27206095037408284</x:v>
      </x:c>
      <x:c r="AA595" s="255" t="n">
        <x:v>0.1430305453569105</x:v>
      </x:c>
      <x:c r="AB595" s="255" t="n">
        <x:v>0.2814496616994724</x:v>
      </x:c>
    </x:row>
    <x:row r="596" ht="24" customHeight="1">
      <x:c r="C596" s="256" t="n">
        <x:f>565</x:f>
        <x:v>565</x:v>
      </x:c>
      <x:c r="D596" s="258" t="n">
        <x:f>IF(X596&lt;($E$12-$D$12)/($F$12-$D$12),$D$12+SQRT(X596*($F$12-$D$12)*($E$12-$D$12)),$F$12-SQRT((1-X596)*($F$12-$D$12)*($F$12-$E$12)))</x:f>
        <x:v>0.11961360085833361</x:v>
      </x:c>
      <x:c r="E596" s="258" t="n">
        <x:f>IF(Y596&lt;($E$13-$D$13)/($F$13-$D$13),$D$13+SQRT(Y596*($F$13-$D$13)*($E$13-$D$13)),$F$13-SQRT((1-Y596)*($F$13-$D$13)*($F$13-$E$13)))</x:f>
        <x:v>-0.030834832500144776</x:v>
      </x:c>
      <x:c r="F596" s="260" t="n">
        <x:f>IF(Z596&lt;($E$14-$D$14)/($F$14-$D$14),$D$14+SQRT(Z596*($F$14-$D$14)*($E$14-$D$14)),$F$14-SQRT((1-Z596)*($F$14-$D$14)*($F$14-$E$14)))</x:f>
        <x:v>1.006110343940412</x:v>
      </x:c>
      <x:c r="G596" s="258" t="n">
        <x:f>IF(AA596&lt;($E$15-$D$15)/($F$15-$D$15),$D$15+SQRT(AA596*($F$15-$D$15)*($E$15-$D$15)),$F$15-SQRT((1-AA596)*($F$15-$D$15)*($F$15-$E$15)))</x:f>
        <x:v>0.10540223728317344</x:v>
      </x:c>
      <x:c r="H596" s="258" t="n">
        <x:f>IF(AB596&lt;($E$16-$D$16)/($F$16-$D$16),$D$16+SQRT(AB596*($F$16-$D$16)*($E$16-$D$16)),$F$16-SQRT((1-AB596)*($F$16-$D$16)*($F$16-$E$16)))</x:f>
        <x:v>0.023730729152681214</x:v>
      </x:c>
      <x:c r="I596" s="262" t="n">
        <x:f>'Historical Inputs'!$N$9*(1+D596)^5</x:f>
        <x:v>583805.5962480096</x:v>
      </x:c>
      <x:c r="J596" s="262" t="n">
        <x:f>I596*(1+H596)*('Terminal Value'!$E$10+E596)*(1-'Assumptions'!$E$15)*(1-H596/'Terminal Value'!$E$12)</x:f>
        <x:v>155564.7907800474</x:v>
      </x:c>
      <x:c r="K596" s="264" t="n">
        <x:f>((SUM((('Historical Inputs'!$N$9*(1+(D596))^1)*(('Assumptions'!E37+(E596))*(1-'Assumptions'!E42-(0))+'Assumptions'!E47-'Assumptions'!E52*(F596)+'Assumptions'!E57-'Assumptions'!E62*(1)-'Assumptions'!E67-(0))+('Working Capital'!$E$6))*'DCF'!E12/(1+(G596))^'DCF'!E13,(('Historical Inputs'!$N$9*(1+(D596))^2)*(('Assumptions'!F37+(E596))*(1-'Assumptions'!F42-(0))+'Assumptions'!F47-'Assumptions'!F52*(F596)+'Assumptions'!F57-'Assumptions'!F62*(1)-'Assumptions'!F67-(0))+(('Historical Inputs'!$N$9*(1+(D596))^1)*('Assumptions'!E67+(0))))*'DCF'!F12/(1+(G596))^'DCF'!F13,(('Historical Inputs'!$N$9*(1+(D596))^3)*(('Assumptions'!G37+(E596))*(1-'Assumptions'!G42-(0))+'Assumptions'!G47-'Assumptions'!G52*(F596)+'Assumptions'!G57-'Assumptions'!G62*(1)-'Assumptions'!G67-(0))+(('Historical Inputs'!$N$9*(1+(D596))^2)*('Assumptions'!F67+(0))))*'DCF'!G12/(1+(G596))^'DCF'!G13,(('Historical Inputs'!$N$9*(1+(D596))^4)*(('Assumptions'!H37+(E596))*(1-'Assumptions'!H42-(0))+'Assumptions'!H47-'Assumptions'!H52*(F596)+'Assumptions'!H57-'Assumptions'!H62*(1)-'Assumptions'!H67-(0))+(('Historical Inputs'!$N$9*(1+(D596))^3)*('Assumptions'!G67+(0))))*'DCF'!H12/(1+(G596))^'DCF'!H13,(('Historical Inputs'!$N$9*(1+(D596))^5)*(('Assumptions'!I37+(E596))*(1-'Assumptions'!I42-(0))+'Assumptions'!I47-'Assumptions'!I52*(F596)+'Assumptions'!I57-'Assumptions'!I62*(1)-'Assumptions'!I67-(0))+(('Historical Inputs'!$N$9*(1+(D596))^4)*('Assumptions'!H67+(0))))*'DCF'!I12/(1+(G596))^'DCF'!I13)+('Historical Inputs'!$N$9*(1+(D596))^5)*(1+(H596))*('Terminal Value'!$E$10+(E596))*(1-'Assumptions'!$E$15-(0))*(1-(H596)/('Terminal Value'!$E$12))/((G596)-(H596))/(1+(G596))^'DCF'!$E$19)+'Equity Bridge'!$E$17)/'Equity Bridge'!$E$20</x:f>
        <x:v>203.70210075975962</x:v>
      </x:c>
      <x:c r="X596" s="255" t="n">
        <x:v>0.13893385165692473</x:v>
      </x:c>
      <x:c r="Y596" s="255" t="n">
        <x:v>0.0734607290595014</x:v>
      </x:c>
      <x:c r="Z596" s="255" t="n">
        <x:v>0.4629543039013526</x:v>
      </x:c>
      <x:c r="AA596" s="255" t="n">
        <x:v>0.8669362511756507</x:v>
      </x:c>
      <x:c r="AB596" s="255" t="n">
        <x:v>0.06959170005332749</x:v>
      </x:c>
    </x:row>
    <x:row r="597" ht="24" customHeight="1">
      <x:c r="C597" s="256" t="n">
        <x:f>566</x:f>
        <x:v>566</x:v>
      </x:c>
      <x:c r="D597" s="258" t="n">
        <x:f>IF(X597&lt;($E$12-$D$12)/($F$12-$D$12),$D$12+SQRT(X597*($F$12-$D$12)*($E$12-$D$12)),$F$12-SQRT((1-X597)*($F$12-$D$12)*($F$12-$E$12)))</x:f>
        <x:v>0.16604097353805686</x:v>
      </x:c>
      <x:c r="E597" s="258" t="n">
        <x:f>IF(Y597&lt;($E$13-$D$13)/($F$13-$D$13),$D$13+SQRT(Y597*($F$13-$D$13)*($E$13-$D$13)),$F$13-SQRT((1-Y597)*($F$13-$D$13)*($F$13-$E$13)))</x:f>
        <x:v>0.03664727105901818</x:v>
      </x:c>
      <x:c r="F597" s="260" t="n">
        <x:f>IF(Z597&lt;($E$14-$D$14)/($F$14-$D$14),$D$14+SQRT(Z597*($F$14-$D$14)*($E$14-$D$14)),$F$14-SQRT((1-Z597)*($F$14-$D$14)*($F$14-$E$14)))</x:f>
        <x:v>0.9780173690393337</x:v>
      </x:c>
      <x:c r="G597" s="258" t="n">
        <x:f>IF(AA597&lt;($E$15-$D$15)/($F$15-$D$15),$D$15+SQRT(AA597*($F$15-$D$15)*($E$15-$D$15)),$F$15-SQRT((1-AA597)*($F$15-$D$15)*($F$15-$E$15)))</x:f>
        <x:v>0.0905551393603154</x:v>
      </x:c>
      <x:c r="H597" s="258" t="n">
        <x:f>IF(AB597&lt;($E$16-$D$16)/($F$16-$D$16),$D$16+SQRT(AB597*($F$16-$D$16)*($E$16-$D$16)),$F$16-SQRT((1-AB597)*($F$16-$D$16)*($F$16-$E$16)))</x:f>
        <x:v>0.028963598878125434</x:v>
      </x:c>
      <x:c r="I597" s="262" t="n">
        <x:f>'Historical Inputs'!$N$9*(1+D597)^5</x:f>
        <x:v>715313.6010254784</x:v>
      </x:c>
      <x:c r="J597" s="262" t="n">
        <x:f>I597*(1+H597)*('Terminal Value'!$E$10+E597)*(1-'Assumptions'!$E$15)*(1-H597/'Terminal Value'!$E$12)</x:f>
        <x:v>219874.96602443</x:v>
      </x:c>
      <x:c r="K597" s="264" t="n">
        <x:f>((SUM((('Historical Inputs'!$N$9*(1+(D597))^1)*(('Assumptions'!E37+(E597))*(1-'Assumptions'!E42-(0))+'Assumptions'!E47-'Assumptions'!E52*(F597)+'Assumptions'!E57-'Assumptions'!E62*(1)-'Assumptions'!E67-(0))+('Working Capital'!$E$6))*'DCF'!E12/(1+(G597))^'DCF'!E13,(('Historical Inputs'!$N$9*(1+(D597))^2)*(('Assumptions'!F37+(E597))*(1-'Assumptions'!F42-(0))+'Assumptions'!F47-'Assumptions'!F52*(F597)+'Assumptions'!F57-'Assumptions'!F62*(1)-'Assumptions'!F67-(0))+(('Historical Inputs'!$N$9*(1+(D597))^1)*('Assumptions'!E67+(0))))*'DCF'!F12/(1+(G597))^'DCF'!F13,(('Historical Inputs'!$N$9*(1+(D597))^3)*(('Assumptions'!G37+(E597))*(1-'Assumptions'!G42-(0))+'Assumptions'!G47-'Assumptions'!G52*(F597)+'Assumptions'!G57-'Assumptions'!G62*(1)-'Assumptions'!G67-(0))+(('Historical Inputs'!$N$9*(1+(D597))^2)*('Assumptions'!F67+(0))))*'DCF'!G12/(1+(G597))^'DCF'!G13,(('Historical Inputs'!$N$9*(1+(D597))^4)*(('Assumptions'!H37+(E597))*(1-'Assumptions'!H42-(0))+'Assumptions'!H47-'Assumptions'!H52*(F597)+'Assumptions'!H57-'Assumptions'!H62*(1)-'Assumptions'!H67-(0))+(('Historical Inputs'!$N$9*(1+(D597))^3)*('Assumptions'!G67+(0))))*'DCF'!H12/(1+(G597))^'DCF'!H13,(('Historical Inputs'!$N$9*(1+(D597))^5)*(('Assumptions'!I37+(E597))*(1-'Assumptions'!I42-(0))+'Assumptions'!I47-'Assumptions'!I52*(F597)+'Assumptions'!I57-'Assumptions'!I62*(1)-'Assumptions'!I67-(0))+(('Historical Inputs'!$N$9*(1+(D597))^4)*('Assumptions'!H67+(0))))*'DCF'!I12/(1+(G597))^'DCF'!I13)+('Historical Inputs'!$N$9*(1+(D597))^5)*(1+(H597))*('Terminal Value'!$E$10+(E597))*(1-'Assumptions'!$E$15-(0))*(1-(H597)/('Terminal Value'!$E$12))/((G597)-(H597))/(1+(G597))^'DCF'!$E$19)+'Equity Bridge'!$E$17)/'Equity Bridge'!$E$20</x:f>
        <x:v>388.88085425579897</x:v>
      </x:c>
      <x:c r="X597" s="255" t="n">
        <x:v>0.8518573431170449</x:v>
      </x:c>
      <x:c r="Y597" s="255" t="n">
        <x:v>0.9643409259657333</x:v>
      </x:c>
      <x:c r="Z597" s="255" t="n">
        <x:v>0.31216089096672317</x:v>
      </x:c>
      <x:c r="AA597" s="255" t="n">
        <x:v>0.12217514484538938</x:v>
      </x:c>
      <x:c r="AB597" s="255" t="n">
        <x:v>0.4017305242396578</x:v>
      </x:c>
    </x:row>
    <x:row r="598" ht="24" customHeight="1">
      <x:c r="C598" s="256" t="n">
        <x:f>567</x:f>
        <x:v>567</x:v>
      </x:c>
      <x:c r="D598" s="258" t="n">
        <x:f>IF(X598&lt;($E$12-$D$12)/($F$12-$D$12),$D$12+SQRT(X598*($F$12-$D$12)*($E$12-$D$12)),$F$12-SQRT((1-X598)*($F$12-$D$12)*($F$12-$E$12)))</x:f>
        <x:v>0.12603209377689692</x:v>
      </x:c>
      <x:c r="E598" s="258" t="n">
        <x:f>IF(Y598&lt;($E$13-$D$13)/($F$13-$D$13),$D$13+SQRT(Y598*($F$13-$D$13)*($E$13-$D$13)),$F$13-SQRT((1-Y598)*($F$13-$D$13)*($F$13-$E$13)))</x:f>
        <x:v>0.011546804092972415</x:v>
      </x:c>
      <x:c r="F598" s="260" t="n">
        <x:f>IF(Z598&lt;($E$14-$D$14)/($F$14-$D$14),$D$14+SQRT(Z598*($F$14-$D$14)*($E$14-$D$14)),$F$14-SQRT((1-Z598)*($F$14-$D$14)*($F$14-$E$14)))</x:f>
        <x:v>1.01032706311557</x:v>
      </x:c>
      <x:c r="G598" s="258" t="n">
        <x:f>IF(AA598&lt;($E$15-$D$15)/($F$15-$D$15),$D$15+SQRT(AA598*($F$15-$D$15)*($E$15-$D$15)),$F$15-SQRT((1-AA598)*($F$15-$D$15)*($F$15-$E$15)))</x:f>
        <x:v>0.09099976804373228</x:v>
      </x:c>
      <x:c r="H598" s="258" t="n">
        <x:f>IF(AB598&lt;($E$16-$D$16)/($F$16-$D$16),$D$16+SQRT(AB598*($F$16-$D$16)*($E$16-$D$16)),$F$16-SQRT((1-AB598)*($F$16-$D$16)*($F$16-$E$16)))</x:f>
        <x:v>0.024745588211876474</x:v>
      </x:c>
      <x:c r="I598" s="262" t="n">
        <x:f>'Historical Inputs'!$N$9*(1+D598)^5</x:f>
        <x:v>600732.6961302202</x:v>
      </x:c>
      <x:c r="J598" s="262" t="n">
        <x:f>I598*(1+H598)*('Terminal Value'!$E$10+E598)*(1-'Assumptions'!$E$15)*(1-H598/'Terminal Value'!$E$12)</x:f>
        <x:v>177601.04284962264</x:v>
      </x:c>
      <x:c r="K598" s="264" t="n">
        <x:f>((SUM((('Historical Inputs'!$N$9*(1+(D598))^1)*(('Assumptions'!E37+(E598))*(1-'Assumptions'!E42-(0))+'Assumptions'!E47-'Assumptions'!E52*(F598)+'Assumptions'!E57-'Assumptions'!E62*(1)-'Assumptions'!E67-(0))+('Working Capital'!$E$6))*'DCF'!E12/(1+(G598))^'DCF'!E13,(('Historical Inputs'!$N$9*(1+(D598))^2)*(('Assumptions'!F37+(E598))*(1-'Assumptions'!F42-(0))+'Assumptions'!F47-'Assumptions'!F52*(F598)+'Assumptions'!F57-'Assumptions'!F62*(1)-'Assumptions'!F67-(0))+(('Historical Inputs'!$N$9*(1+(D598))^1)*('Assumptions'!E67+(0))))*'DCF'!F12/(1+(G598))^'DCF'!F13,(('Historical Inputs'!$N$9*(1+(D598))^3)*(('Assumptions'!G37+(E598))*(1-'Assumptions'!G42-(0))+'Assumptions'!G47-'Assumptions'!G52*(F598)+'Assumptions'!G57-'Assumptions'!G62*(1)-'Assumptions'!G67-(0))+(('Historical Inputs'!$N$9*(1+(D598))^2)*('Assumptions'!F67+(0))))*'DCF'!G12/(1+(G598))^'DCF'!G13,(('Historical Inputs'!$N$9*(1+(D598))^4)*(('Assumptions'!H37+(E598))*(1-'Assumptions'!H42-(0))+'Assumptions'!H47-'Assumptions'!H52*(F598)+'Assumptions'!H57-'Assumptions'!H62*(1)-'Assumptions'!H67-(0))+(('Historical Inputs'!$N$9*(1+(D598))^3)*('Assumptions'!G67+(0))))*'DCF'!H12/(1+(G598))^'DCF'!H13,(('Historical Inputs'!$N$9*(1+(D598))^5)*(('Assumptions'!I37+(E598))*(1-'Assumptions'!I42-(0))+'Assumptions'!I47-'Assumptions'!I52*(F598)+'Assumptions'!I57-'Assumptions'!I62*(1)-'Assumptions'!I67-(0))+(('Historical Inputs'!$N$9*(1+(D598))^4)*('Assumptions'!H67+(0))))*'DCF'!I12/(1+(G598))^'DCF'!I13)+('Historical Inputs'!$N$9*(1+(D598))^5)*(1+(H598))*('Terminal Value'!$E$10+(E598))*(1-'Assumptions'!$E$15-(0))*(1-(H598)/('Terminal Value'!$E$12))/((G598)-(H598))/(1+(G598))^'DCF'!$E$19)+'Equity Bridge'!$E$17)/'Equity Bridge'!$E$20</x:f>
        <x:v>293.7717777237079</x:v>
      </x:c>
      <x:c r="X598" s="255" t="n">
        <x:v>0.21484106827654204</x:v>
      </x:c>
      <x:c r="Y598" s="255" t="n">
        <x:v>0.7042703449071513</x:v>
      </x:c>
      <x:c r="Z598" s="255" t="n">
        <x:v>0.4860596716233583</x:v>
      </x:c>
      <x:c r="AA598" s="255" t="n">
        <x:v>0.13726699723119118</x:v>
      </x:c>
      <x:c r="AB598" s="255" t="n">
        <x:v>0.11260303738350486</x:v>
      </x:c>
    </x:row>
    <x:row r="599" ht="24" customHeight="1">
      <x:c r="C599" s="256" t="n">
        <x:f>568</x:f>
        <x:v>568</x:v>
      </x:c>
      <x:c r="D599" s="258" t="n">
        <x:f>IF(X599&lt;($E$12-$D$12)/($F$12-$D$12),$D$12+SQRT(X599*($F$12-$D$12)*($E$12-$D$12)),$F$12-SQRT((1-X599)*($F$12-$D$12)*($F$12-$E$12)))</x:f>
        <x:v>0.15004379922012664</x:v>
      </x:c>
      <x:c r="E599" s="258" t="n">
        <x:f>IF(Y599&lt;($E$13-$D$13)/($F$13-$D$13),$D$13+SQRT(Y599*($F$13-$D$13)*($E$13-$D$13)),$F$13-SQRT((1-Y599)*($F$13-$D$13)*($F$13-$E$13)))</x:f>
        <x:v>-0.0050330112429398735</x:v>
      </x:c>
      <x:c r="F599" s="260" t="n">
        <x:f>IF(Z599&lt;($E$14-$D$14)/($F$14-$D$14),$D$14+SQRT(Z599*($F$14-$D$14)*($E$14-$D$14)),$F$14-SQRT((1-Z599)*($F$14-$D$14)*($F$14-$E$14)))</x:f>
        <x:v>1.051374039082822</x:v>
      </x:c>
      <x:c r="G599" s="258" t="n">
        <x:f>IF(AA599&lt;($E$15-$D$15)/($F$15-$D$15),$D$15+SQRT(AA599*($F$15-$D$15)*($E$15-$D$15)),$F$15-SQRT((1-AA599)*($F$15-$D$15)*($F$15-$E$15)))</x:f>
        <x:v>0.10538039905680496</x:v>
      </x:c>
      <x:c r="H599" s="258" t="n">
        <x:f>IF(AB599&lt;($E$16-$D$16)/($F$16-$D$16),$D$16+SQRT(AB599*($F$16-$D$16)*($E$16-$D$16)),$F$16-SQRT((1-AB599)*($F$16-$D$16)*($F$16-$E$16)))</x:f>
        <x:v>0.026248384311960332</x:v>
      </x:c>
      <x:c r="I599" s="262" t="n">
        <x:f>'Historical Inputs'!$N$9*(1+D599)^5</x:f>
        <x:v>667573.8702399938</x:v>
      </x:c>
      <x:c r="J599" s="262" t="n">
        <x:f>I599*(1+H599)*('Terminal Value'!$E$10+E599)*(1-'Assumptions'!$E$15)*(1-H599/'Terminal Value'!$E$12)</x:f>
        <x:v>188062.17640723626</x:v>
      </x:c>
      <x:c r="K599" s="264" t="n">
        <x:f>((SUM((('Historical Inputs'!$N$9*(1+(D599))^1)*(('Assumptions'!E37+(E599))*(1-'Assumptions'!E42-(0))+'Assumptions'!E47-'Assumptions'!E52*(F599)+'Assumptions'!E57-'Assumptions'!E62*(1)-'Assumptions'!E67-(0))+('Working Capital'!$E$6))*'DCF'!E12/(1+(G599))^'DCF'!E13,(('Historical Inputs'!$N$9*(1+(D599))^2)*(('Assumptions'!F37+(E599))*(1-'Assumptions'!F42-(0))+'Assumptions'!F47-'Assumptions'!F52*(F599)+'Assumptions'!F57-'Assumptions'!F62*(1)-'Assumptions'!F67-(0))+(('Historical Inputs'!$N$9*(1+(D599))^1)*('Assumptions'!E67+(0))))*'DCF'!F12/(1+(G599))^'DCF'!F13,(('Historical Inputs'!$N$9*(1+(D599))^3)*(('Assumptions'!G37+(E599))*(1-'Assumptions'!G42-(0))+'Assumptions'!G47-'Assumptions'!G52*(F599)+'Assumptions'!G57-'Assumptions'!G62*(1)-'Assumptions'!G67-(0))+(('Historical Inputs'!$N$9*(1+(D599))^2)*('Assumptions'!F67+(0))))*'DCF'!G12/(1+(G599))^'DCF'!G13,(('Historical Inputs'!$N$9*(1+(D599))^4)*(('Assumptions'!H37+(E599))*(1-'Assumptions'!H42-(0))+'Assumptions'!H47-'Assumptions'!H52*(F599)+'Assumptions'!H57-'Assumptions'!H62*(1)-'Assumptions'!H67-(0))+(('Historical Inputs'!$N$9*(1+(D599))^3)*('Assumptions'!G67+(0))))*'DCF'!H12/(1+(G599))^'DCF'!H13,(('Historical Inputs'!$N$9*(1+(D599))^5)*(('Assumptions'!I37+(E599))*(1-'Assumptions'!I42-(0))+'Assumptions'!I47-'Assumptions'!I52*(F599)+'Assumptions'!I57-'Assumptions'!I62*(1)-'Assumptions'!I67-(0))+(('Historical Inputs'!$N$9*(1+(D599))^4)*('Assumptions'!H67+(0))))*'DCF'!I12/(1+(G599))^'DCF'!I13)+('Historical Inputs'!$N$9*(1+(D599))^5)*(1+(H599))*('Terminal Value'!$E$10+(E599))*(1-'Assumptions'!$E$15-(0))*(1-(H599)/('Terminal Value'!$E$12))/((G599)-(H599))/(1+(G599))^'DCF'!$E$19)+'Equity Bridge'!$E$17)/'Equity Bridge'!$E$20</x:f>
        <x:v>250.2248272443501</x:v>
      </x:c>
      <x:c r="X599" s="255" t="n">
        <x:v>0.6265234784020556</x:v>
      </x:c>
      <x:c r="Y599" s="255" t="n">
        <x:v>0.40440601557551437</x:v>
      </x:c>
      <x:c r="Z599" s="255" t="n">
        <x:v>0.684433196306364</x:v>
      </x:c>
      <x:c r="AA599" s="255" t="n">
        <x:v>0.8661841376977747</x:v>
      </x:c>
      <x:c r="AB599" s="255" t="n">
        <x:v>0.1952115325497601</x:v>
      </x:c>
    </x:row>
    <x:row r="600" ht="24" customHeight="1">
      <x:c r="C600" s="256" t="n">
        <x:f>569</x:f>
        <x:v>569</x:v>
      </x:c>
      <x:c r="D600" s="258" t="n">
        <x:f>IF(X600&lt;($E$12-$D$12)/($F$12-$D$12),$D$12+SQRT(X600*($F$12-$D$12)*($E$12-$D$12)),$F$12-SQRT((1-X600)*($F$12-$D$12)*($F$12-$E$12)))</x:f>
        <x:v>0.13225919752922366</x:v>
      </x:c>
      <x:c r="E600" s="258" t="n">
        <x:f>IF(Y600&lt;($E$13-$D$13)/($F$13-$D$13),$D$13+SQRT(Y600*($F$13-$D$13)*($E$13-$D$13)),$F$13-SQRT((1-Y600)*($F$13-$D$13)*($F$13-$E$13)))</x:f>
        <x:v>-0.0033153660822426503</x:v>
      </x:c>
      <x:c r="F600" s="260" t="n">
        <x:f>IF(Z600&lt;($E$14-$D$14)/($F$14-$D$14),$D$14+SQRT(Z600*($F$14-$D$14)*($E$14-$D$14)),$F$14-SQRT((1-Z600)*($F$14-$D$14)*($F$14-$E$14)))</x:f>
        <x:v>0.9297466929109732</x:v>
      </x:c>
      <x:c r="G600" s="258" t="n">
        <x:f>IF(AA600&lt;($E$15-$D$15)/($F$15-$D$15),$D$15+SQRT(AA600*($F$15-$D$15)*($E$15-$D$15)),$F$15-SQRT((1-AA600)*($F$15-$D$15)*($F$15-$E$15)))</x:f>
        <x:v>0.0980369482849801</x:v>
      </x:c>
      <x:c r="H600" s="258" t="n">
        <x:f>IF(AB600&lt;($E$16-$D$16)/($F$16-$D$16),$D$16+SQRT(AB600*($F$16-$D$16)*($E$16-$D$16)),$F$16-SQRT((1-AB600)*($F$16-$D$16)*($F$16-$E$16)))</x:f>
        <x:v>0.035597842710486084</x:v>
      </x:c>
      <x:c r="I600" s="262" t="n">
        <x:f>'Historical Inputs'!$N$9*(1+D600)^5</x:f>
        <x:v>617528.082253198</x:v>
      </x:c>
      <x:c r="J600" s="262" t="n">
        <x:f>I600*(1+H600)*('Terminal Value'!$E$10+E600)*(1-'Assumptions'!$E$15)*(1-H600/'Terminal Value'!$E$12)</x:f>
        <x:v>166824.84513104148</x:v>
      </x:c>
      <x:c r="K600" s="264" t="n">
        <x:f>((SUM((('Historical Inputs'!$N$9*(1+(D600))^1)*(('Assumptions'!E37+(E600))*(1-'Assumptions'!E42-(0))+'Assumptions'!E47-'Assumptions'!E52*(F600)+'Assumptions'!E57-'Assumptions'!E62*(1)-'Assumptions'!E67-(0))+('Working Capital'!$E$6))*'DCF'!E12/(1+(G600))^'DCF'!E13,(('Historical Inputs'!$N$9*(1+(D600))^2)*(('Assumptions'!F37+(E600))*(1-'Assumptions'!F42-(0))+'Assumptions'!F47-'Assumptions'!F52*(F600)+'Assumptions'!F57-'Assumptions'!F62*(1)-'Assumptions'!F67-(0))+(('Historical Inputs'!$N$9*(1+(D600))^1)*('Assumptions'!E67+(0))))*'DCF'!F12/(1+(G600))^'DCF'!F13,(('Historical Inputs'!$N$9*(1+(D600))^3)*(('Assumptions'!G37+(E600))*(1-'Assumptions'!G42-(0))+'Assumptions'!G47-'Assumptions'!G52*(F600)+'Assumptions'!G57-'Assumptions'!G62*(1)-'Assumptions'!G67-(0))+(('Historical Inputs'!$N$9*(1+(D600))^2)*('Assumptions'!F67+(0))))*'DCF'!G12/(1+(G600))^'DCF'!G13,(('Historical Inputs'!$N$9*(1+(D600))^4)*(('Assumptions'!H37+(E600))*(1-'Assumptions'!H42-(0))+'Assumptions'!H47-'Assumptions'!H52*(F600)+'Assumptions'!H57-'Assumptions'!H62*(1)-'Assumptions'!H67-(0))+(('Historical Inputs'!$N$9*(1+(D600))^3)*('Assumptions'!G67+(0))))*'DCF'!H12/(1+(G600))^'DCF'!H13,(('Historical Inputs'!$N$9*(1+(D600))^5)*(('Assumptions'!I37+(E600))*(1-'Assumptions'!I42-(0))+'Assumptions'!I47-'Assumptions'!I52*(F600)+'Assumptions'!I57-'Assumptions'!I62*(1)-'Assumptions'!I67-(0))+(('Historical Inputs'!$N$9*(1+(D600))^4)*('Assumptions'!H67+(0))))*'DCF'!I12/(1+(G600))^'DCF'!I13)+('Historical Inputs'!$N$9*(1+(D600))^5)*(1+(H600))*('Terminal Value'!$E$10+(E600))*(1-'Assumptions'!$E$15-(0))*(1-(H600)/('Terminal Value'!$E$12))/((G600)-(H600))/(1+(G600))^'DCF'!$E$19)+'Equity Bridge'!$E$17)/'Equity Bridge'!$E$20</x:f>
        <x:v>287.9871929107396</x:v>
      </x:c>
      <x:c r="X600" s="255" t="n">
        <x:v>0.30423394191613085</x:v>
      </x:c>
      <x:c r="Y600" s="255" t="n">
        <x:v>0.43589100880700404</x:v>
      </x:c>
      <x:c r="Z600" s="255" t="n">
        <x:v>0.12113400057594403</x:v>
      </x:c>
      <x:c r="AA600" s="255" t="n">
        <x:v>0.4931290349402331</x:v>
      </x:c>
      <x:c r="AB600" s="255" t="n">
        <x:v>0.9031050559918975</x:v>
      </x:c>
    </x:row>
    <x:row r="601" ht="24" customHeight="1">
      <x:c r="C601" s="256" t="n">
        <x:f>570</x:f>
        <x:v>570</x:v>
      </x:c>
      <x:c r="D601" s="258" t="n">
        <x:f>IF(X601&lt;($E$12-$D$12)/($F$12-$D$12),$D$12+SQRT(X601*($F$12-$D$12)*($E$12-$D$12)),$F$12-SQRT((1-X601)*($F$12-$D$12)*($F$12-$E$12)))</x:f>
        <x:v>0.16158639306795136</x:v>
      </x:c>
      <x:c r="E601" s="258" t="n">
        <x:f>IF(Y601&lt;($E$13-$D$13)/($F$13-$D$13),$D$13+SQRT(Y601*($F$13-$D$13)*($E$13-$D$13)),$F$13-SQRT((1-Y601)*($F$13-$D$13)*($F$13-$E$13)))</x:f>
        <x:v>-0.020656468496439838</x:v>
      </x:c>
      <x:c r="F601" s="260" t="n">
        <x:f>IF(Z601&lt;($E$14-$D$14)/($F$14-$D$14),$D$14+SQRT(Z601*($F$14-$D$14)*($E$14-$D$14)),$F$14-SQRT((1-Z601)*($F$14-$D$14)*($F$14-$E$14)))</x:f>
        <x:v>0.9440652289383671</x:v>
      </x:c>
      <x:c r="G601" s="258" t="n">
        <x:f>IF(AA601&lt;($E$15-$D$15)/($F$15-$D$15),$D$15+SQRT(AA601*($F$15-$D$15)*($E$15-$D$15)),$F$15-SQRT((1-AA601)*($F$15-$D$15)*($F$15-$E$15)))</x:f>
        <x:v>0.10648523011113621</x:v>
      </x:c>
      <x:c r="H601" s="258" t="n">
        <x:f>IF(AB601&lt;($E$16-$D$16)/($F$16-$D$16),$D$16+SQRT(AB601*($F$16-$D$16)*($E$16-$D$16)),$F$16-SQRT((1-AB601)*($F$16-$D$16)*($F$16-$E$16)))</x:f>
        <x:v>0.027061023316732852</x:v>
      </x:c>
      <x:c r="I601" s="262" t="n">
        <x:f>'Historical Inputs'!$N$9*(1+D601)^5</x:f>
        <x:v>701754.1765546119</x:v>
      </x:c>
      <x:c r="J601" s="262" t="n">
        <x:f>I601*(1+H601)*('Terminal Value'!$E$10+E601)*(1-'Assumptions'!$E$15)*(1-H601/'Terminal Value'!$E$12)</x:f>
        <x:v>189132.78313299504</x:v>
      </x:c>
      <x:c r="K601" s="264" t="n">
        <x:f>((SUM((('Historical Inputs'!$N$9*(1+(D601))^1)*(('Assumptions'!E37+(E601))*(1-'Assumptions'!E42-(0))+'Assumptions'!E47-'Assumptions'!E52*(F601)+'Assumptions'!E57-'Assumptions'!E62*(1)-'Assumptions'!E67-(0))+('Working Capital'!$E$6))*'DCF'!E12/(1+(G601))^'DCF'!E13,(('Historical Inputs'!$N$9*(1+(D601))^2)*(('Assumptions'!F37+(E601))*(1-'Assumptions'!F42-(0))+'Assumptions'!F47-'Assumptions'!F52*(F601)+'Assumptions'!F57-'Assumptions'!F62*(1)-'Assumptions'!F67-(0))+(('Historical Inputs'!$N$9*(1+(D601))^1)*('Assumptions'!E67+(0))))*'DCF'!F12/(1+(G601))^'DCF'!F13,(('Historical Inputs'!$N$9*(1+(D601))^3)*(('Assumptions'!G37+(E601))*(1-'Assumptions'!G42-(0))+'Assumptions'!G47-'Assumptions'!G52*(F601)+'Assumptions'!G57-'Assumptions'!G62*(1)-'Assumptions'!G67-(0))+(('Historical Inputs'!$N$9*(1+(D601))^2)*('Assumptions'!F67+(0))))*'DCF'!G12/(1+(G601))^'DCF'!G13,(('Historical Inputs'!$N$9*(1+(D601))^4)*(('Assumptions'!H37+(E601))*(1-'Assumptions'!H42-(0))+'Assumptions'!H47-'Assumptions'!H52*(F601)+'Assumptions'!H57-'Assumptions'!H62*(1)-'Assumptions'!H67-(0))+(('Historical Inputs'!$N$9*(1+(D601))^3)*('Assumptions'!G67+(0))))*'DCF'!H12/(1+(G601))^'DCF'!H13,(('Historical Inputs'!$N$9*(1+(D601))^5)*(('Assumptions'!I37+(E601))*(1-'Assumptions'!I42-(0))+'Assumptions'!I47-'Assumptions'!I52*(F601)+'Assumptions'!I57-'Assumptions'!I62*(1)-'Assumptions'!I67-(0))+(('Historical Inputs'!$N$9*(1+(D601))^4)*('Assumptions'!H67+(0))))*'DCF'!I12/(1+(G601))^'DCF'!I13)+('Historical Inputs'!$N$9*(1+(D601))^5)*(1+(H601))*('Terminal Value'!$E$10+(E601))*(1-'Assumptions'!$E$15-(0))*(1-(H601)/('Terminal Value'!$E$12))/((G601)-(H601))/(1+(G601))^'DCF'!$E$19)+'Equity Bridge'!$E$17)/'Equity Bridge'!$E$20</x:f>
        <x:v>255.19270493790026</x:v>
      </x:c>
      <x:c r="X601" s="255" t="n">
        <x:v>0.7993942548132458</x:v>
      </x:c>
      <x:c r="Y601" s="255" t="n">
        <x:v>0.17220856822008557</x:v>
      </x:c>
      <x:c r="Z601" s="255" t="n">
        <x:v>0.16853842467099855</x:v>
      </x:c>
      <x:c r="AA601" s="255" t="n">
        <x:v>0.901575827769537</x:v>
      </x:c>
      <x:c r="AB601" s="255" t="n">
        <x:v>0.24929025139722516</x:v>
      </x:c>
    </x:row>
    <x:row r="602" ht="24" customHeight="1">
      <x:c r="C602" s="256" t="n">
        <x:f>571</x:f>
        <x:v>571</x:v>
      </x:c>
      <x:c r="D602" s="258" t="n">
        <x:f>IF(X602&lt;($E$12-$D$12)/($F$12-$D$12),$D$12+SQRT(X602*($F$12-$D$12)*($E$12-$D$12)),$F$12-SQRT((1-X602)*($F$12-$D$12)*($F$12-$E$12)))</x:f>
        <x:v>0.15416534858752484</x:v>
      </x:c>
      <x:c r="E602" s="258" t="n">
        <x:f>IF(Y602&lt;($E$13-$D$13)/($F$13-$D$13),$D$13+SQRT(Y602*($F$13-$D$13)*($E$13-$D$13)),$F$13-SQRT((1-Y602)*($F$13-$D$13)*($F$13-$E$13)))</x:f>
        <x:v>0.005553594328390379</x:v>
      </x:c>
      <x:c r="F602" s="260" t="n">
        <x:f>IF(Z602&lt;($E$14-$D$14)/($F$14-$D$14),$D$14+SQRT(Z602*($F$14-$D$14)*($E$14-$D$14)),$F$14-SQRT((1-Z602)*($F$14-$D$14)*($F$14-$E$14)))</x:f>
        <x:v>0.9810089351995358</x:v>
      </x:c>
      <x:c r="G602" s="258" t="n">
        <x:f>IF(AA602&lt;($E$15-$D$15)/($F$15-$D$15),$D$15+SQRT(AA602*($F$15-$D$15)*($E$15-$D$15)),$F$15-SQRT((1-AA602)*($F$15-$D$15)*($F$15-$E$15)))</x:f>
        <x:v>0.08844599790965452</x:v>
      </x:c>
      <x:c r="H602" s="258" t="n">
        <x:f>IF(AB602&lt;($E$16-$D$16)/($F$16-$D$16),$D$16+SQRT(AB602*($F$16-$D$16)*($E$16-$D$16)),$F$16-SQRT((1-AB602)*($F$16-$D$16)*($F$16-$E$16)))</x:f>
        <x:v>0.023777643536279373</x:v>
      </x:c>
      <x:c r="I602" s="262" t="n">
        <x:f>'Historical Inputs'!$N$9*(1+D602)^5</x:f>
        <x:v>679622.2408663268</x:v>
      </x:c>
      <x:c r="J602" s="262" t="n">
        <x:f>I602*(1+H602)*('Terminal Value'!$E$10+E602)*(1-'Assumptions'!$E$15)*(1-H602/'Terminal Value'!$E$12)</x:f>
        <x:v>198903.52274457033</x:v>
      </x:c>
      <x:c r="K602" s="264" t="n">
        <x:f>((SUM((('Historical Inputs'!$N$9*(1+(D602))^1)*(('Assumptions'!E37+(E602))*(1-'Assumptions'!E42-(0))+'Assumptions'!E47-'Assumptions'!E52*(F602)+'Assumptions'!E57-'Assumptions'!E62*(1)-'Assumptions'!E67-(0))+('Working Capital'!$E$6))*'DCF'!E12/(1+(G602))^'DCF'!E13,(('Historical Inputs'!$N$9*(1+(D602))^2)*(('Assumptions'!F37+(E602))*(1-'Assumptions'!F42-(0))+'Assumptions'!F47-'Assumptions'!F52*(F602)+'Assumptions'!F57-'Assumptions'!F62*(1)-'Assumptions'!F67-(0))+(('Historical Inputs'!$N$9*(1+(D602))^1)*('Assumptions'!E67+(0))))*'DCF'!F12/(1+(G602))^'DCF'!F13,(('Historical Inputs'!$N$9*(1+(D602))^3)*(('Assumptions'!G37+(E602))*(1-'Assumptions'!G42-(0))+'Assumptions'!G47-'Assumptions'!G52*(F602)+'Assumptions'!G57-'Assumptions'!G62*(1)-'Assumptions'!G67-(0))+(('Historical Inputs'!$N$9*(1+(D602))^2)*('Assumptions'!F67+(0))))*'DCF'!G12/(1+(G602))^'DCF'!G13,(('Historical Inputs'!$N$9*(1+(D602))^4)*(('Assumptions'!H37+(E602))*(1-'Assumptions'!H42-(0))+'Assumptions'!H47-'Assumptions'!H52*(F602)+'Assumptions'!H57-'Assumptions'!H62*(1)-'Assumptions'!H67-(0))+(('Historical Inputs'!$N$9*(1+(D602))^3)*('Assumptions'!G67+(0))))*'DCF'!H12/(1+(G602))^'DCF'!H13,(('Historical Inputs'!$N$9*(1+(D602))^5)*(('Assumptions'!I37+(E602))*(1-'Assumptions'!I42-(0))+'Assumptions'!I47-'Assumptions'!I52*(F602)+'Assumptions'!I57-'Assumptions'!I62*(1)-'Assumptions'!I67-(0))+(('Historical Inputs'!$N$9*(1+(D602))^4)*('Assumptions'!H67+(0))))*'DCF'!I12/(1+(G602))^'DCF'!I13)+('Historical Inputs'!$N$9*(1+(D602))^5)*(1+(H602))*('Terminal Value'!$E$10+(E602))*(1-'Assumptions'!$E$15-(0))*(1-(H602)/('Terminal Value'!$E$12))/((G602)-(H602))/(1+(G602))^'DCF'!$E$19)+'Equity Bridge'!$E$17)/'Equity Bridge'!$E$20</x:f>
        <x:v>338.2471712058431</x:v>
      </x:c>
      <x:c r="X602" s="255" t="n">
        <x:v>0.6943682166823597</x:v>
      </x:c>
      <x:c r="Y602" s="255" t="n">
        <x:v>0.6049034045749416</x:v>
      </x:c>
      <x:c r="Z602" s="255" t="n">
        <x:v>0.3269207828974511</x:v>
      </x:c>
      <x:c r="AA602" s="255" t="n">
        <x:v>0.06255487786401459</x:v>
      </x:c>
      <x:c r="AB602" s="255" t="n">
        <x:v>0.0713529534359667</x:v>
      </x:c>
    </x:row>
    <x:row r="603" ht="24" customHeight="1">
      <x:c r="C603" s="256" t="n">
        <x:f>572</x:f>
        <x:v>572</x:v>
      </x:c>
      <x:c r="D603" s="258" t="n">
        <x:f>IF(X603&lt;($E$12-$D$12)/($F$12-$D$12),$D$12+SQRT(X603*($F$12-$D$12)*($E$12-$D$12)),$F$12-SQRT((1-X603)*($F$12-$D$12)*($F$12-$E$12)))</x:f>
        <x:v>0.12801337098021526</x:v>
      </x:c>
      <x:c r="E603" s="258" t="n">
        <x:f>IF(Y603&lt;($E$13-$D$13)/($F$13-$D$13),$D$13+SQRT(Y603*($F$13-$D$13)*($E$13-$D$13)),$F$13-SQRT((1-Y603)*($F$13-$D$13)*($F$13-$E$13)))</x:f>
        <x:v>0.035720701724456794</x:v>
      </x:c>
      <x:c r="F603" s="260" t="n">
        <x:f>IF(Z603&lt;($E$14-$D$14)/($F$14-$D$14),$D$14+SQRT(Z603*($F$14-$D$14)*($E$14-$D$14)),$F$14-SQRT((1-Z603)*($F$14-$D$14)*($F$14-$E$14)))</x:f>
        <x:v>1.1067826734742</x:v>
      </x:c>
      <x:c r="G603" s="258" t="n">
        <x:f>IF(AA603&lt;($E$15-$D$15)/($F$15-$D$15),$D$15+SQRT(AA603*($F$15-$D$15)*($E$15-$D$15)),$F$15-SQRT((1-AA603)*($F$15-$D$15)*($F$15-$E$15)))</x:f>
        <x:v>0.09593744311348618</x:v>
      </x:c>
      <x:c r="H603" s="258" t="n">
        <x:f>IF(AB603&lt;($E$16-$D$16)/($F$16-$D$16),$D$16+SQRT(AB603*($F$16-$D$16)*($E$16-$D$16)),$F$16-SQRT((1-AB603)*($F$16-$D$16)*($F$16-$E$16)))</x:f>
        <x:v>0.035324562224223456</x:v>
      </x:c>
      <x:c r="I603" s="262" t="n">
        <x:f>'Historical Inputs'!$N$9*(1+D603)^5</x:f>
        <x:v>606036.336258004</x:v>
      </x:c>
      <x:c r="J603" s="262" t="n">
        <x:f>I603*(1+H603)*('Terminal Value'!$E$10+E603)*(1-'Assumptions'!$E$15)*(1-H603/'Terminal Value'!$E$12)</x:f>
        <x:v>180082.78307741828</x:v>
      </x:c>
      <x:c r="K603" s="264" t="n">
        <x:f>((SUM((('Historical Inputs'!$N$9*(1+(D603))^1)*(('Assumptions'!E37+(E603))*(1-'Assumptions'!E42-(0))+'Assumptions'!E47-'Assumptions'!E52*(F603)+'Assumptions'!E57-'Assumptions'!E62*(1)-'Assumptions'!E67-(0))+('Working Capital'!$E$6))*'DCF'!E12/(1+(G603))^'DCF'!E13,(('Historical Inputs'!$N$9*(1+(D603))^2)*(('Assumptions'!F37+(E603))*(1-'Assumptions'!F42-(0))+'Assumptions'!F47-'Assumptions'!F52*(F603)+'Assumptions'!F57-'Assumptions'!F62*(1)-'Assumptions'!F67-(0))+(('Historical Inputs'!$N$9*(1+(D603))^1)*('Assumptions'!E67+(0))))*'DCF'!F12/(1+(G603))^'DCF'!F13,(('Historical Inputs'!$N$9*(1+(D603))^3)*(('Assumptions'!G37+(E603))*(1-'Assumptions'!G42-(0))+'Assumptions'!G47-'Assumptions'!G52*(F603)+'Assumptions'!G57-'Assumptions'!G62*(1)-'Assumptions'!G67-(0))+(('Historical Inputs'!$N$9*(1+(D603))^2)*('Assumptions'!F67+(0))))*'DCF'!G12/(1+(G603))^'DCF'!G13,(('Historical Inputs'!$N$9*(1+(D603))^4)*(('Assumptions'!H37+(E603))*(1-'Assumptions'!H42-(0))+'Assumptions'!H47-'Assumptions'!H52*(F603)+'Assumptions'!H57-'Assumptions'!H62*(1)-'Assumptions'!H67-(0))+(('Historical Inputs'!$N$9*(1+(D603))^3)*('Assumptions'!G67+(0))))*'DCF'!H12/(1+(G603))^'DCF'!H13,(('Historical Inputs'!$N$9*(1+(D603))^5)*(('Assumptions'!I37+(E603))*(1-'Assumptions'!I42-(0))+'Assumptions'!I47-'Assumptions'!I52*(F603)+'Assumptions'!I57-'Assumptions'!I62*(1)-'Assumptions'!I67-(0))+(('Historical Inputs'!$N$9*(1+(D603))^4)*('Assumptions'!H67+(0))))*'DCF'!I12/(1+(G603))^'DCF'!I13)+('Historical Inputs'!$N$9*(1+(D603))^5)*(1+(H603))*('Terminal Value'!$E$10+(E603))*(1-'Assumptions'!$E$15-(0))*(1-(H603)/('Terminal Value'!$E$12))/((G603)-(H603))/(1+(G603))^'DCF'!$E$19)+'Equity Bridge'!$E$17)/'Equity Bridge'!$E$20</x:f>
        <x:v>312.52077934013346</x:v>
      </x:c>
      <x:c r="X603" s="255" t="n">
        <x:v>0.24160076130514652</x:v>
      </x:c>
      <x:c r="Y603" s="255" t="n">
        <x:v>0.9592203281516137</x:v>
      </x:c>
      <x:c r="Z603" s="255" t="n">
        <x:v>0.8758647147911767</x:v>
      </x:c>
      <x:c r="AA603" s="255" t="n">
        <x:v>0.36392244092774995</x:v>
      </x:c>
      <x:c r="AB603" s="255" t="n">
        <x:v>0.8907014080242084</x:v>
      </x:c>
    </x:row>
    <x:row r="604" ht="24" customHeight="1">
      <x:c r="C604" s="256" t="n">
        <x:f>573</x:f>
        <x:v>573</x:v>
      </x:c>
      <x:c r="D604" s="258" t="n">
        <x:f>IF(X604&lt;($E$12-$D$12)/($F$12-$D$12),$D$12+SQRT(X604*($F$12-$D$12)*($E$12-$D$12)),$F$12-SQRT((1-X604)*($F$12-$D$12)*($F$12-$E$12)))</x:f>
        <x:v>0.12238218341675644</x:v>
      </x:c>
      <x:c r="E604" s="258" t="n">
        <x:f>IF(Y604&lt;($E$13-$D$13)/($F$13-$D$13),$D$13+SQRT(Y604*($F$13-$D$13)*($E$13-$D$13)),$F$13-SQRT((1-Y604)*($F$13-$D$13)*($F$13-$E$13)))</x:f>
        <x:v>0.009570908660600064</x:v>
      </x:c>
      <x:c r="F604" s="260" t="n">
        <x:f>IF(Z604&lt;($E$14-$D$14)/($F$14-$D$14),$D$14+SQRT(Z604*($F$14-$D$14)*($E$14-$D$14)),$F$14-SQRT((1-Z604)*($F$14-$D$14)*($F$14-$E$14)))</x:f>
        <x:v>1.0253643067897857</x:v>
      </x:c>
      <x:c r="G604" s="258" t="n">
        <x:f>IF(AA604&lt;($E$15-$D$15)/($F$15-$D$15),$D$15+SQRT(AA604*($F$15-$D$15)*($E$15-$D$15)),$F$15-SQRT((1-AA604)*($F$15-$D$15)*($F$15-$E$15)))</x:f>
        <x:v>0.09697968921743144</x:v>
      </x:c>
      <x:c r="H604" s="258" t="n">
        <x:f>IF(AB604&lt;($E$16-$D$16)/($F$16-$D$16),$D$16+SQRT(AB604*($F$16-$D$16)*($E$16-$D$16)),$F$16-SQRT((1-AB604)*($F$16-$D$16)*($F$16-$E$16)))</x:f>
        <x:v>0.024998492936111005</x:v>
      </x:c>
      <x:c r="I604" s="262" t="n">
        <x:f>'Historical Inputs'!$N$9*(1+D604)^5</x:f>
        <x:v>591059.560604909</x:v>
      </x:c>
      <x:c r="J604" s="262" t="n">
        <x:f>I604*(1+H604)*('Terminal Value'!$E$10+E604)*(1-'Assumptions'!$E$15)*(1-H604/'Terminal Value'!$E$12)</x:f>
        <x:v>173694.21536355323</x:v>
      </x:c>
      <x:c r="K604" s="264" t="n">
        <x:f>((SUM((('Historical Inputs'!$N$9*(1+(D604))^1)*(('Assumptions'!E37+(E604))*(1-'Assumptions'!E42-(0))+'Assumptions'!E47-'Assumptions'!E52*(F604)+'Assumptions'!E57-'Assumptions'!E62*(1)-'Assumptions'!E67-(0))+('Working Capital'!$E$6))*'DCF'!E12/(1+(G604))^'DCF'!E13,(('Historical Inputs'!$N$9*(1+(D604))^2)*(('Assumptions'!F37+(E604))*(1-'Assumptions'!F42-(0))+'Assumptions'!F47-'Assumptions'!F52*(F604)+'Assumptions'!F57-'Assumptions'!F62*(1)-'Assumptions'!F67-(0))+(('Historical Inputs'!$N$9*(1+(D604))^1)*('Assumptions'!E67+(0))))*'DCF'!F12/(1+(G604))^'DCF'!F13,(('Historical Inputs'!$N$9*(1+(D604))^3)*(('Assumptions'!G37+(E604))*(1-'Assumptions'!G42-(0))+'Assumptions'!G47-'Assumptions'!G52*(F604)+'Assumptions'!G57-'Assumptions'!G62*(1)-'Assumptions'!G67-(0))+(('Historical Inputs'!$N$9*(1+(D604))^2)*('Assumptions'!F67+(0))))*'DCF'!G12/(1+(G604))^'DCF'!G13,(('Historical Inputs'!$N$9*(1+(D604))^4)*(('Assumptions'!H37+(E604))*(1-'Assumptions'!H42-(0))+'Assumptions'!H47-'Assumptions'!H52*(F604)+'Assumptions'!H57-'Assumptions'!H62*(1)-'Assumptions'!H67-(0))+(('Historical Inputs'!$N$9*(1+(D604))^3)*('Assumptions'!G67+(0))))*'DCF'!H12/(1+(G604))^'DCF'!H13,(('Historical Inputs'!$N$9*(1+(D604))^5)*(('Assumptions'!I37+(E604))*(1-'Assumptions'!I42-(0))+'Assumptions'!I47-'Assumptions'!I52*(F604)+'Assumptions'!I57-'Assumptions'!I62*(1)-'Assumptions'!I67-(0))+(('Historical Inputs'!$N$9*(1+(D604))^4)*('Assumptions'!H67+(0))))*'DCF'!I12/(1+(G604))^'DCF'!I13)+('Historical Inputs'!$N$9*(1+(D604))^5)*(1+(H604))*('Terminal Value'!$E$10+(E604))*(1-'Assumptions'!$E$15-(0))*(1-(H604)/('Terminal Value'!$E$12))/((G604)-(H604))/(1+(G604))^'DCF'!$E$19)+'Equity Bridge'!$E$17)/'Equity Bridge'!$E$20</x:f>
        <x:v>261.7167551509717</x:v>
      </x:c>
      <x:c r="X604" s="255" t="n">
        <x:v>0.16965500753686646</x:v>
      </x:c>
      <x:c r="Y604" s="255" t="n">
        <x:v>0.6730977146940914</x:v>
      </x:c>
      <x:c r="Z604" s="255" t="n">
        <x:v>0.5643196379569709</x:v>
      </x:c>
      <x:c r="AA604" s="255" t="n">
        <x:v>0.4256150578342086</x:v>
      </x:c>
      <x:c r="AB604" s="255" t="n">
        <x:v>0.12492465816175824</x:v>
      </x:c>
    </x:row>
    <x:row r="605" ht="24" customHeight="1">
      <x:c r="C605" s="256" t="n">
        <x:f>574</x:f>
        <x:v>574</x:v>
      </x:c>
      <x:c r="D605" s="258" t="n">
        <x:f>IF(X605&lt;($E$12-$D$12)/($F$12-$D$12),$D$12+SQRT(X605*($F$12-$D$12)*($E$12-$D$12)),$F$12-SQRT((1-X605)*($F$12-$D$12)*($F$12-$E$12)))</x:f>
        <x:v>0.15537921225569024</x:v>
      </x:c>
      <x:c r="E605" s="258" t="n">
        <x:f>IF(Y605&lt;($E$13-$D$13)/($F$13-$D$13),$D$13+SQRT(Y605*($F$13-$D$13)*($E$13-$D$13)),$F$13-SQRT((1-Y605)*($F$13-$D$13)*($F$13-$E$13)))</x:f>
        <x:v>0.0015497831545706608</x:v>
      </x:c>
      <x:c r="F605" s="260" t="n">
        <x:f>IF(Z605&lt;($E$14-$D$14)/($F$14-$D$14),$D$14+SQRT(Z605*($F$14-$D$14)*($E$14-$D$14)),$F$14-SQRT((1-Z605)*($F$14-$D$14)*($F$14-$E$14)))</x:f>
        <x:v>0.9422737420744167</x:v>
      </x:c>
      <x:c r="G605" s="258" t="n">
        <x:f>IF(AA605&lt;($E$15-$D$15)/($F$15-$D$15),$D$15+SQRT(AA605*($F$15-$D$15)*($E$15-$D$15)),$F$15-SQRT((1-AA605)*($F$15-$D$15)*($F$15-$E$15)))</x:f>
        <x:v>0.10101572800427117</x:v>
      </x:c>
      <x:c r="H605" s="258" t="n">
        <x:f>IF(AB605&lt;($E$16-$D$16)/($F$16-$D$16),$D$16+SQRT(AB605*($F$16-$D$16)*($E$16-$D$16)),$F$16-SQRT((1-AB605)*($F$16-$D$16)*($F$16-$E$16)))</x:f>
        <x:v>0.02625533662999452</x:v>
      </x:c>
      <x:c r="I605" s="262" t="n">
        <x:f>'Historical Inputs'!$N$9*(1+D605)^5</x:f>
        <x:v>683203.6421469951</x:v>
      </x:c>
      <x:c r="J605" s="262" t="n">
        <x:f>I605*(1+H605)*('Terminal Value'!$E$10+E605)*(1-'Assumptions'!$E$15)*(1-H605/'Terminal Value'!$E$12)</x:f>
        <x:v>195666.49360625705</x:v>
      </x:c>
      <x:c r="K605" s="264" t="n">
        <x:f>((SUM((('Historical Inputs'!$N$9*(1+(D605))^1)*(('Assumptions'!E37+(E605))*(1-'Assumptions'!E42-(0))+'Assumptions'!E47-'Assumptions'!E52*(F605)+'Assumptions'!E57-'Assumptions'!E62*(1)-'Assumptions'!E67-(0))+('Working Capital'!$E$6))*'DCF'!E12/(1+(G605))^'DCF'!E13,(('Historical Inputs'!$N$9*(1+(D605))^2)*(('Assumptions'!F37+(E605))*(1-'Assumptions'!F42-(0))+'Assumptions'!F47-'Assumptions'!F52*(F605)+'Assumptions'!F57-'Assumptions'!F62*(1)-'Assumptions'!F67-(0))+(('Historical Inputs'!$N$9*(1+(D605))^1)*('Assumptions'!E67+(0))))*'DCF'!F12/(1+(G605))^'DCF'!F13,(('Historical Inputs'!$N$9*(1+(D605))^3)*(('Assumptions'!G37+(E605))*(1-'Assumptions'!G42-(0))+'Assumptions'!G47-'Assumptions'!G52*(F605)+'Assumptions'!G57-'Assumptions'!G62*(1)-'Assumptions'!G67-(0))+(('Historical Inputs'!$N$9*(1+(D605))^2)*('Assumptions'!F67+(0))))*'DCF'!G12/(1+(G605))^'DCF'!G13,(('Historical Inputs'!$N$9*(1+(D605))^4)*(('Assumptions'!H37+(E605))*(1-'Assumptions'!H42-(0))+'Assumptions'!H47-'Assumptions'!H52*(F605)+'Assumptions'!H57-'Assumptions'!H62*(1)-'Assumptions'!H67-(0))+(('Historical Inputs'!$N$9*(1+(D605))^3)*('Assumptions'!G67+(0))))*'DCF'!H12/(1+(G605))^'DCF'!H13,(('Historical Inputs'!$N$9*(1+(D605))^5)*(('Assumptions'!I37+(E605))*(1-'Assumptions'!I42-(0))+'Assumptions'!I47-'Assumptions'!I52*(F605)+'Assumptions'!I57-'Assumptions'!I62*(1)-'Assumptions'!I67-(0))+(('Historical Inputs'!$N$9*(1+(D605))^4)*('Assumptions'!H67+(0))))*'DCF'!I12/(1+(G605))^'DCF'!I13)+('Historical Inputs'!$N$9*(1+(D605))^5)*(1+(H605))*('Terminal Value'!$E$10+(E605))*(1-'Assumptions'!$E$15-(0))*(1-(H605)/('Terminal Value'!$E$12))/((G605)-(H605))/(1+(G605))^'DCF'!$E$19)+'Equity Bridge'!$E$17)/'Equity Bridge'!$E$20</x:f>
        <x:v>284.4869827926249</x:v>
      </x:c>
      <x:c r="X605" s="255" t="n">
        <x:v>0.7130543084302008</x:v>
      </x:c>
      <x:c r="Y605" s="255" t="n">
        <x:v>0.530515297526175</x:v>
      </x:c>
      <x:c r="Z605" s="255" t="n">
        <x:v>0.1621798757412567</x:v>
      </x:c>
      <x:c r="AA605" s="255" t="n">
        <x:v>0.6733179414833605</x:v>
      </x:c>
      <x:c r="AB605" s="255" t="n">
        <x:v>0.19564618177275594</x:v>
      </x:c>
    </x:row>
    <x:row r="606" ht="24" customHeight="1">
      <x:c r="C606" s="256" t="n">
        <x:f>575</x:f>
        <x:v>575</x:v>
      </x:c>
      <x:c r="D606" s="258" t="n">
        <x:f>IF(X606&lt;($E$12-$D$12)/($F$12-$D$12),$D$12+SQRT(X606*($F$12-$D$12)*($E$12-$D$12)),$F$12-SQRT((1-X606)*($F$12-$D$12)*($F$12-$E$12)))</x:f>
        <x:v>0.09750431030629819</x:v>
      </x:c>
      <x:c r="E606" s="258" t="n">
        <x:f>IF(Y606&lt;($E$13-$D$13)/($F$13-$D$13),$D$13+SQRT(Y606*($F$13-$D$13)*($E$13-$D$13)),$F$13-SQRT((1-Y606)*($F$13-$D$13)*($F$13-$E$13)))</x:f>
        <x:v>0.01215876818622346</x:v>
      </x:c>
      <x:c r="F606" s="260" t="n">
        <x:f>IF(Z606&lt;($E$14-$D$14)/($F$14-$D$14),$D$14+SQRT(Z606*($F$14-$D$14)*($E$14-$D$14)),$F$14-SQRT((1-Z606)*($F$14-$D$14)*($F$14-$E$14)))</x:f>
        <x:v>0.9385138306309777</x:v>
      </x:c>
      <x:c r="G606" s="258" t="n">
        <x:f>IF(AA606&lt;($E$15-$D$15)/($F$15-$D$15),$D$15+SQRT(AA606*($F$15-$D$15)*($E$15-$D$15)),$F$15-SQRT((1-AA606)*($F$15-$D$15)*($F$15-$E$15)))</x:f>
        <x:v>0.09648268532583278</x:v>
      </x:c>
      <x:c r="H606" s="258" t="n">
        <x:f>IF(AB606&lt;($E$16-$D$16)/($F$16-$D$16),$D$16+SQRT(AB606*($F$16-$D$16)*($E$16-$D$16)),$F$16-SQRT((1-AB606)*($F$16-$D$16)*($F$16-$E$16)))</x:f>
        <x:v>0.024010398061884753</x:v>
      </x:c>
      <x:c r="I606" s="262" t="n">
        <x:f>'Historical Inputs'!$N$9*(1+D606)^5</x:f>
        <x:v>528394.8775123765</x:v>
      </x:c>
      <x:c r="J606" s="262" t="n">
        <x:f>I606*(1+H606)*('Terminal Value'!$E$10+E606)*(1-'Assumptions'!$E$15)*(1-H606/'Terminal Value'!$E$12)</x:f>
        <x:v>156990.9107768898</x:v>
      </x:c>
      <x:c r="K606" s="264" t="n">
        <x:f>((SUM((('Historical Inputs'!$N$9*(1+(D606))^1)*(('Assumptions'!E37+(E606))*(1-'Assumptions'!E42-(0))+'Assumptions'!E47-'Assumptions'!E52*(F606)+'Assumptions'!E57-'Assumptions'!E62*(1)-'Assumptions'!E67-(0))+('Working Capital'!$E$6))*'DCF'!E12/(1+(G606))^'DCF'!E13,(('Historical Inputs'!$N$9*(1+(D606))^2)*(('Assumptions'!F37+(E606))*(1-'Assumptions'!F42-(0))+'Assumptions'!F47-'Assumptions'!F52*(F606)+'Assumptions'!F57-'Assumptions'!F62*(1)-'Assumptions'!F67-(0))+(('Historical Inputs'!$N$9*(1+(D606))^1)*('Assumptions'!E67+(0))))*'DCF'!F12/(1+(G606))^'DCF'!F13,(('Historical Inputs'!$N$9*(1+(D606))^3)*(('Assumptions'!G37+(E606))*(1-'Assumptions'!G42-(0))+'Assumptions'!G47-'Assumptions'!G52*(F606)+'Assumptions'!G57-'Assumptions'!G62*(1)-'Assumptions'!G67-(0))+(('Historical Inputs'!$N$9*(1+(D606))^2)*('Assumptions'!F67+(0))))*'DCF'!G12/(1+(G606))^'DCF'!G13,(('Historical Inputs'!$N$9*(1+(D606))^4)*(('Assumptions'!H37+(E606))*(1-'Assumptions'!H42-(0))+'Assumptions'!H47-'Assumptions'!H52*(F606)+'Assumptions'!H57-'Assumptions'!H62*(1)-'Assumptions'!H67-(0))+(('Historical Inputs'!$N$9*(1+(D606))^3)*('Assumptions'!G67+(0))))*'DCF'!H12/(1+(G606))^'DCF'!H13,(('Historical Inputs'!$N$9*(1+(D606))^5)*(('Assumptions'!I37+(E606))*(1-'Assumptions'!I42-(0))+'Assumptions'!I47-'Assumptions'!I52*(F606)+'Assumptions'!I57-'Assumptions'!I62*(1)-'Assumptions'!I67-(0))+(('Historical Inputs'!$N$9*(1+(D606))^4)*('Assumptions'!H67+(0))))*'DCF'!I12/(1+(G606))^'DCF'!I13)+('Historical Inputs'!$N$9*(1+(D606))^5)*(1+(H606))*('Terminal Value'!$E$10+(E606))*(1-'Assumptions'!$E$15-(0))*(1-(H606)/('Terminal Value'!$E$12))/((G606)-(H606))/(1+(G606))^'DCF'!$E$19)+'Equity Bridge'!$E$17)/'Equity Bridge'!$E$20</x:f>
        <x:v>242.07797770633812</x:v>
      </x:c>
      <x:c r="X606" s="255" t="n">
        <x:v>0.003607891886877268</x:v>
      </x:c>
      <x:c r="Y606" s="255" t="n">
        <x:v>0.7136082349632052</x:v>
      </x:c>
      <x:c r="Z606" s="255" t="n">
        <x:v>0.14923234691370324</x:v>
      </x:c>
      <x:c r="AA606" s="255" t="n">
        <x:v>0.39559421593923016</x:v>
      </x:c>
      <x:c r="AB606" s="255" t="n">
        <x:v>0.08041646307384498</x:v>
      </x:c>
    </x:row>
    <x:row r="607" ht="24" customHeight="1">
      <x:c r="C607" s="256" t="n">
        <x:f>576</x:f>
        <x:v>576</x:v>
      </x:c>
      <x:c r="D607" s="258" t="n">
        <x:f>IF(X607&lt;($E$12-$D$12)/($F$12-$D$12),$D$12+SQRT(X607*($F$12-$D$12)*($E$12-$D$12)),$F$12-SQRT((1-X607)*($F$12-$D$12)*($F$12-$E$12)))</x:f>
        <x:v>0.13171107227379336</x:v>
      </x:c>
      <x:c r="E607" s="258" t="n">
        <x:f>IF(Y607&lt;($E$13-$D$13)/($F$13-$D$13),$D$13+SQRT(Y607*($F$13-$D$13)*($E$13-$D$13)),$F$13-SQRT((1-Y607)*($F$13-$D$13)*($F$13-$E$13)))</x:f>
        <x:v>-0.03972432004723392</x:v>
      </x:c>
      <x:c r="F607" s="260" t="n">
        <x:f>IF(Z607&lt;($E$14-$D$14)/($F$14-$D$14),$D$14+SQRT(Z607*($F$14-$D$14)*($E$14-$D$14)),$F$14-SQRT((1-Z607)*($F$14-$D$14)*($F$14-$E$14)))</x:f>
        <x:v>1.0402414837230105</x:v>
      </x:c>
      <x:c r="G607" s="258" t="n">
        <x:f>IF(AA607&lt;($E$15-$D$15)/($F$15-$D$15),$D$15+SQRT(AA607*($F$15-$D$15)*($E$15-$D$15)),$F$15-SQRT((1-AA607)*($F$15-$D$15)*($F$15-$E$15)))</x:f>
        <x:v>0.09880609559493016</x:v>
      </x:c>
      <x:c r="H607" s="258" t="n">
        <x:f>IF(AB607&lt;($E$16-$D$16)/($F$16-$D$16),$D$16+SQRT(AB607*($F$16-$D$16)*($E$16-$D$16)),$F$16-SQRT((1-AB607)*($F$16-$D$16)*($F$16-$E$16)))</x:f>
        <x:v>0.025529362207981493</x:v>
      </x:c>
      <x:c r="I607" s="262" t="n">
        <x:f>'Historical Inputs'!$N$9*(1+D607)^5</x:f>
        <x:v>616034.8058946074</x:v>
      </x:c>
      <x:c r="J607" s="262" t="n">
        <x:f>I607*(1+H607)*('Terminal Value'!$E$10+E607)*(1-'Assumptions'!$E$15)*(1-H607/'Terminal Value'!$E$12)</x:f>
        <x:v>158843.9346483897</x:v>
      </x:c>
      <x:c r="K607" s="264" t="n">
        <x:f>((SUM((('Historical Inputs'!$N$9*(1+(D607))^1)*(('Assumptions'!E37+(E607))*(1-'Assumptions'!E42-(0))+'Assumptions'!E47-'Assumptions'!E52*(F607)+'Assumptions'!E57-'Assumptions'!E62*(1)-'Assumptions'!E67-(0))+('Working Capital'!$E$6))*'DCF'!E12/(1+(G607))^'DCF'!E13,(('Historical Inputs'!$N$9*(1+(D607))^2)*(('Assumptions'!F37+(E607))*(1-'Assumptions'!F42-(0))+'Assumptions'!F47-'Assumptions'!F52*(F607)+'Assumptions'!F57-'Assumptions'!F62*(1)-'Assumptions'!F67-(0))+(('Historical Inputs'!$N$9*(1+(D607))^1)*('Assumptions'!E67+(0))))*'DCF'!F12/(1+(G607))^'DCF'!F13,(('Historical Inputs'!$N$9*(1+(D607))^3)*(('Assumptions'!G37+(E607))*(1-'Assumptions'!G42-(0))+'Assumptions'!G47-'Assumptions'!G52*(F607)+'Assumptions'!G57-'Assumptions'!G62*(1)-'Assumptions'!G67-(0))+(('Historical Inputs'!$N$9*(1+(D607))^2)*('Assumptions'!F67+(0))))*'DCF'!G12/(1+(G607))^'DCF'!G13,(('Historical Inputs'!$N$9*(1+(D607))^4)*(('Assumptions'!H37+(E607))*(1-'Assumptions'!H42-(0))+'Assumptions'!H47-'Assumptions'!H52*(F607)+'Assumptions'!H57-'Assumptions'!H62*(1)-'Assumptions'!H67-(0))+(('Historical Inputs'!$N$9*(1+(D607))^3)*('Assumptions'!G67+(0))))*'DCF'!H12/(1+(G607))^'DCF'!H13,(('Historical Inputs'!$N$9*(1+(D607))^5)*(('Assumptions'!I37+(E607))*(1-'Assumptions'!I42-(0))+'Assumptions'!I47-'Assumptions'!I52*(F607)+'Assumptions'!I57-'Assumptions'!I62*(1)-'Assumptions'!I67-(0))+(('Historical Inputs'!$N$9*(1+(D607))^4)*('Assumptions'!H67+(0))))*'DCF'!I12/(1+(G607))^'DCF'!I13)+('Historical Inputs'!$N$9*(1+(D607))^5)*(1+(H607))*('Terminal Value'!$E$10+(E607))*(1-'Assumptions'!$E$15-(0))*(1-(H607)/('Terminal Value'!$E$12))/((G607)-(H607))/(1+(G607))^'DCF'!$E$19)+'Equity Bridge'!$E$17)/'Equity Bridge'!$E$20</x:f>
        <x:v>229.63374611239558</x:v>
      </x:c>
      <x:c r="X607" s="255" t="n">
        <x:v>0.2957427991674051</x:v>
      </x:c>
      <x:c r="Y607" s="255" t="n">
        <x:v>0.021117919698335763</x:v>
      </x:c>
      <x:c r="Z607" s="255" t="n">
        <x:v>0.635388806813927</x:v>
      </x:c>
      <x:c r="AA607" s="255" t="n">
        <x:v>0.5433968835675684</x:v>
      </x:c>
      <x:c r="AB607" s="255" t="n">
        <x:v>0.15286923213526993</x:v>
      </x:c>
    </x:row>
    <x:row r="608" ht="24" customHeight="1">
      <x:c r="C608" s="256" t="n">
        <x:f>577</x:f>
        <x:v>577</x:v>
      </x:c>
      <x:c r="D608" s="258" t="n">
        <x:f>IF(X608&lt;($E$12-$D$12)/($F$12-$D$12),$D$12+SQRT(X608*($F$12-$D$12)*($E$12-$D$12)),$F$12-SQRT((1-X608)*($F$12-$D$12)*($F$12-$E$12)))</x:f>
        <x:v>0.14175228455789937</x:v>
      </x:c>
      <x:c r="E608" s="258" t="n">
        <x:f>IF(Y608&lt;($E$13-$D$13)/($F$13-$D$13),$D$13+SQRT(Y608*($F$13-$D$13)*($E$13-$D$13)),$F$13-SQRT((1-Y608)*($F$13-$D$13)*($F$13-$E$13)))</x:f>
        <x:v>0.009166960570406071</x:v>
      </x:c>
      <x:c r="F608" s="260" t="n">
        <x:f>IF(Z608&lt;($E$14-$D$14)/($F$14-$D$14),$D$14+SQRT(Z608*($F$14-$D$14)*($E$14-$D$14)),$F$14-SQRT((1-Z608)*($F$14-$D$14)*($F$14-$E$14)))</x:f>
        <x:v>0.9860281081987011</x:v>
      </x:c>
      <x:c r="G608" s="258" t="n">
        <x:f>IF(AA608&lt;($E$15-$D$15)/($F$15-$D$15),$D$15+SQRT(AA608*($F$15-$D$15)*($E$15-$D$15)),$F$15-SQRT((1-AA608)*($F$15-$D$15)*($F$15-$E$15)))</x:f>
        <x:v>0.09048515530712856</x:v>
      </x:c>
      <x:c r="H608" s="258" t="n">
        <x:f>IF(AB608&lt;($E$16-$D$16)/($F$16-$D$16),$D$16+SQRT(AB608*($F$16-$D$16)*($E$16-$D$16)),$F$16-SQRT((1-AB608)*($F$16-$D$16)*($F$16-$E$16)))</x:f>
        <x:v>0.02760790821995022</x:v>
      </x:c>
      <x:c r="I608" s="262" t="n">
        <x:f>'Historical Inputs'!$N$9*(1+D608)^5</x:f>
        <x:v>643853.2204517467</x:v>
      </x:c>
      <x:c r="J608" s="262" t="n">
        <x:f>I608*(1+H608)*('Terminal Value'!$E$10+E608)*(1-'Assumptions'!$E$15)*(1-H608/'Terminal Value'!$E$12)</x:f>
        <x:v>186677.5957297706</x:v>
      </x:c>
      <x:c r="K608" s="264" t="n">
        <x:f>((SUM((('Historical Inputs'!$N$9*(1+(D608))^1)*(('Assumptions'!E37+(E608))*(1-'Assumptions'!E42-(0))+'Assumptions'!E47-'Assumptions'!E52*(F608)+'Assumptions'!E57-'Assumptions'!E62*(1)-'Assumptions'!E67-(0))+('Working Capital'!$E$6))*'DCF'!E12/(1+(G608))^'DCF'!E13,(('Historical Inputs'!$N$9*(1+(D608))^2)*(('Assumptions'!F37+(E608))*(1-'Assumptions'!F42-(0))+'Assumptions'!F47-'Assumptions'!F52*(F608)+'Assumptions'!F57-'Assumptions'!F62*(1)-'Assumptions'!F67-(0))+(('Historical Inputs'!$N$9*(1+(D608))^1)*('Assumptions'!E67+(0))))*'DCF'!F12/(1+(G608))^'DCF'!F13,(('Historical Inputs'!$N$9*(1+(D608))^3)*(('Assumptions'!G37+(E608))*(1-'Assumptions'!G42-(0))+'Assumptions'!G47-'Assumptions'!G52*(F608)+'Assumptions'!G57-'Assumptions'!G62*(1)-'Assumptions'!G67-(0))+(('Historical Inputs'!$N$9*(1+(D608))^2)*('Assumptions'!F67+(0))))*'DCF'!G12/(1+(G608))^'DCF'!G13,(('Historical Inputs'!$N$9*(1+(D608))^4)*(('Assumptions'!H37+(E608))*(1-'Assumptions'!H42-(0))+'Assumptions'!H47-'Assumptions'!H52*(F608)+'Assumptions'!H57-'Assumptions'!H62*(1)-'Assumptions'!H67-(0))+(('Historical Inputs'!$N$9*(1+(D608))^3)*('Assumptions'!G67+(0))))*'DCF'!H12/(1+(G608))^'DCF'!H13,(('Historical Inputs'!$N$9*(1+(D608))^5)*(('Assumptions'!I37+(E608))*(1-'Assumptions'!I42-(0))+'Assumptions'!I47-'Assumptions'!I52*(F608)+'Assumptions'!I57-'Assumptions'!I62*(1)-'Assumptions'!I67-(0))+(('Historical Inputs'!$N$9*(1+(D608))^4)*('Assumptions'!H67+(0))))*'DCF'!I12/(1+(G608))^'DCF'!I13)+('Historical Inputs'!$N$9*(1+(D608))^5)*(1+(H608))*('Terminal Value'!$E$10+(E608))*(1-'Assumptions'!$E$15-(0))*(1-(H608)/('Terminal Value'!$E$12))/((G608)-(H608))/(1+(G608))^'DCF'!$E$19)+'Equity Bridge'!$E$17)/'Equity Bridge'!$E$20</x:f>
        <x:v>324.0159814356949</x:v>
      </x:c>
      <x:c r="X608" s="255" t="n">
        <x:v>0.4703581014860766</x:v>
      </x:c>
      <x:c r="Y608" s="255" t="n">
        <x:v>0.6665325781882455</x:v>
      </x:c>
      <x:c r="Z608" s="255" t="n">
        <x:v>0.352450404192715</x:v>
      </x:c>
      <x:c r="AA608" s="255" t="n">
        <x:v>0.11987973693851328</x:v>
      </x:c>
      <x:c r="AB608" s="255" t="n">
        <x:v>0.289401337415931</x:v>
      </x:c>
    </x:row>
    <x:row r="609" ht="24" customHeight="1">
      <x:c r="C609" s="256" t="n">
        <x:f>578</x:f>
        <x:v>578</x:v>
      </x:c>
      <x:c r="D609" s="258" t="n">
        <x:f>IF(X609&lt;($E$12-$D$12)/($F$12-$D$12),$D$12+SQRT(X609*($F$12-$D$12)*($E$12-$D$12)),$F$12-SQRT((1-X609)*($F$12-$D$12)*($F$12-$E$12)))</x:f>
        <x:v>0.18046120914738625</x:v>
      </x:c>
      <x:c r="E609" s="258" t="n">
        <x:f>IF(Y609&lt;($E$13-$D$13)/($F$13-$D$13),$D$13+SQRT(Y609*($F$13-$D$13)*($E$13-$D$13)),$F$13-SQRT((1-Y609)*($F$13-$D$13)*($F$13-$E$13)))</x:f>
        <x:v>0.025101129507991093</x:v>
      </x:c>
      <x:c r="F609" s="260" t="n">
        <x:f>IF(Z609&lt;($E$14-$D$14)/($F$14-$D$14),$D$14+SQRT(Z609*($F$14-$D$14)*($E$14-$D$14)),$F$14-SQRT((1-Z609)*($F$14-$D$14)*($F$14-$E$14)))</x:f>
        <x:v>1.144103596505895</x:v>
      </x:c>
      <x:c r="G609" s="258" t="n">
        <x:f>IF(AA609&lt;($E$15-$D$15)/($F$15-$D$15),$D$15+SQRT(AA609*($F$15-$D$15)*($E$15-$D$15)),$F$15-SQRT((1-AA609)*($F$15-$D$15)*($F$15-$E$15)))</x:f>
        <x:v>0.10146534892891404</x:v>
      </x:c>
      <x:c r="H609" s="258" t="n">
        <x:f>IF(AB609&lt;($E$16-$D$16)/($F$16-$D$16),$D$16+SQRT(AB609*($F$16-$D$16)*($E$16-$D$16)),$F$16-SQRT((1-AB609)*($F$16-$D$16)*($F$16-$E$16)))</x:f>
        <x:v>0.032416208054585005</x:v>
      </x:c>
      <x:c r="I609" s="262" t="n">
        <x:f>'Historical Inputs'!$N$9*(1+D609)^5</x:f>
        <x:v>760652.0288411821</x:v>
      </x:c>
      <x:c r="J609" s="262" t="n">
        <x:f>I609*(1+H609)*('Terminal Value'!$E$10+E609)*(1-'Assumptions'!$E$15)*(1-H609/'Terminal Value'!$E$12)</x:f>
        <x:v>223781.97644833822</x:v>
      </x:c>
      <x:c r="K609" s="264" t="n">
        <x:f>((SUM((('Historical Inputs'!$N$9*(1+(D609))^1)*(('Assumptions'!E37+(E609))*(1-'Assumptions'!E42-(0))+'Assumptions'!E47-'Assumptions'!E52*(F609)+'Assumptions'!E57-'Assumptions'!E62*(1)-'Assumptions'!E67-(0))+('Working Capital'!$E$6))*'DCF'!E12/(1+(G609))^'DCF'!E13,(('Historical Inputs'!$N$9*(1+(D609))^2)*(('Assumptions'!F37+(E609))*(1-'Assumptions'!F42-(0))+'Assumptions'!F47-'Assumptions'!F52*(F609)+'Assumptions'!F57-'Assumptions'!F62*(1)-'Assumptions'!F67-(0))+(('Historical Inputs'!$N$9*(1+(D609))^1)*('Assumptions'!E67+(0))))*'DCF'!F12/(1+(G609))^'DCF'!F13,(('Historical Inputs'!$N$9*(1+(D609))^3)*(('Assumptions'!G37+(E609))*(1-'Assumptions'!G42-(0))+'Assumptions'!G47-'Assumptions'!G52*(F609)+'Assumptions'!G57-'Assumptions'!G62*(1)-'Assumptions'!G67-(0))+(('Historical Inputs'!$N$9*(1+(D609))^2)*('Assumptions'!F67+(0))))*'DCF'!G12/(1+(G609))^'DCF'!G13,(('Historical Inputs'!$N$9*(1+(D609))^4)*(('Assumptions'!H37+(E609))*(1-'Assumptions'!H42-(0))+'Assumptions'!H47-'Assumptions'!H52*(F609)+'Assumptions'!H57-'Assumptions'!H62*(1)-'Assumptions'!H67-(0))+(('Historical Inputs'!$N$9*(1+(D609))^3)*('Assumptions'!G67+(0))))*'DCF'!H12/(1+(G609))^'DCF'!H13,(('Historical Inputs'!$N$9*(1+(D609))^5)*(('Assumptions'!I37+(E609))*(1-'Assumptions'!I42-(0))+'Assumptions'!I47-'Assumptions'!I52*(F609)+'Assumptions'!I57-'Assumptions'!I62*(1)-'Assumptions'!I67-(0))+(('Historical Inputs'!$N$9*(1+(D609))^4)*('Assumptions'!H67+(0))))*'DCF'!I12/(1+(G609))^'DCF'!I13)+('Historical Inputs'!$N$9*(1+(D609))^5)*(1+(H609))*('Terminal Value'!$E$10+(E609))*(1-'Assumptions'!$E$15-(0))*(1-(H609)/('Terminal Value'!$E$12))/((G609)-(H609))/(1+(G609))^'DCF'!$E$19)+'Equity Bridge'!$E$17)/'Equity Bridge'!$E$20</x:f>
        <x:v>333.28774722532484</x:v>
      </x:c>
      <x:c r="X609" s="255" t="n">
        <x:v>0.9672534355784719</x:v>
      </x:c>
      <x:c r="Y609" s="255" t="n">
        <x:v>0.8760092496444336</x:v>
      </x:c>
      <x:c r="Z609" s="255" t="n">
        <x:v>0.9553656010917745</x:v>
      </x:c>
      <x:c r="AA609" s="255" t="n">
        <x:v>0.6970975545428083</x:v>
      </x:c>
      <x:c r="AB609" s="255" t="n">
        <x:v>0.7124304986432931</x:v>
      </x:c>
    </x:row>
    <x:row r="610" ht="24" customHeight="1">
      <x:c r="C610" s="256" t="n">
        <x:f>579</x:f>
        <x:v>579</x:v>
      </x:c>
      <x:c r="D610" s="258" t="n">
        <x:f>IF(X610&lt;($E$12-$D$12)/($F$12-$D$12),$D$12+SQRT(X610*($F$12-$D$12)*($E$12-$D$12)),$F$12-SQRT((1-X610)*($F$12-$D$12)*($F$12-$E$12)))</x:f>
        <x:v>0.15182572668805633</x:v>
      </x:c>
      <x:c r="E610" s="258" t="n">
        <x:f>IF(Y610&lt;($E$13-$D$13)/($F$13-$D$13),$D$13+SQRT(Y610*($F$13-$D$13)*($E$13-$D$13)),$F$13-SQRT((1-Y610)*($F$13-$D$13)*($F$13-$E$13)))</x:f>
        <x:v>-0.031939837842797955</x:v>
      </x:c>
      <x:c r="F610" s="260" t="n">
        <x:f>IF(Z610&lt;($E$14-$D$14)/($F$14-$D$14),$D$14+SQRT(Z610*($F$14-$D$14)*($E$14-$D$14)),$F$14-SQRT((1-Z610)*($F$14-$D$14)*($F$14-$E$14)))</x:f>
        <x:v>1.025874218406282</x:v>
      </x:c>
      <x:c r="G610" s="258" t="n">
        <x:f>IF(AA610&lt;($E$15-$D$15)/($F$15-$D$15),$D$15+SQRT(AA610*($F$15-$D$15)*($E$15-$D$15)),$F$15-SQRT((1-AA610)*($F$15-$D$15)*($F$15-$E$15)))</x:f>
        <x:v>0.09237764871035367</x:v>
      </x:c>
      <x:c r="H610" s="258" t="n">
        <x:f>IF(AB610&lt;($E$16-$D$16)/($F$16-$D$16),$D$16+SQRT(AB610*($F$16-$D$16)*($E$16-$D$16)),$F$16-SQRT((1-AB610)*($F$16-$D$16)*($F$16-$E$16)))</x:f>
        <x:v>0.02807363388498816</x:v>
      </x:c>
      <x:c r="I610" s="262" t="n">
        <x:f>'Historical Inputs'!$N$9*(1+D610)^5</x:f>
        <x:v>672761.7607788856</x:v>
      </x:c>
      <x:c r="J610" s="262" t="n">
        <x:f>I610*(1+H610)*('Terminal Value'!$E$10+E610)*(1-'Assumptions'!$E$15)*(1-H610/'Terminal Value'!$E$12)</x:f>
        <x:v>175068.0152727439</x:v>
      </x:c>
      <x:c r="K610" s="264" t="n">
        <x:f>((SUM((('Historical Inputs'!$N$9*(1+(D610))^1)*(('Assumptions'!E37+(E610))*(1-'Assumptions'!E42-(0))+'Assumptions'!E47-'Assumptions'!E52*(F610)+'Assumptions'!E57-'Assumptions'!E62*(1)-'Assumptions'!E67-(0))+('Working Capital'!$E$6))*'DCF'!E12/(1+(G610))^'DCF'!E13,(('Historical Inputs'!$N$9*(1+(D610))^2)*(('Assumptions'!F37+(E610))*(1-'Assumptions'!F42-(0))+'Assumptions'!F47-'Assumptions'!F52*(F610)+'Assumptions'!F57-'Assumptions'!F62*(1)-'Assumptions'!F67-(0))+(('Historical Inputs'!$N$9*(1+(D610))^1)*('Assumptions'!E67+(0))))*'DCF'!F12/(1+(G610))^'DCF'!F13,(('Historical Inputs'!$N$9*(1+(D610))^3)*(('Assumptions'!G37+(E610))*(1-'Assumptions'!G42-(0))+'Assumptions'!G47-'Assumptions'!G52*(F610)+'Assumptions'!G57-'Assumptions'!G62*(1)-'Assumptions'!G67-(0))+(('Historical Inputs'!$N$9*(1+(D610))^2)*('Assumptions'!F67+(0))))*'DCF'!G12/(1+(G610))^'DCF'!G13,(('Historical Inputs'!$N$9*(1+(D610))^4)*(('Assumptions'!H37+(E610))*(1-'Assumptions'!H42-(0))+'Assumptions'!H47-'Assumptions'!H52*(F610)+'Assumptions'!H57-'Assumptions'!H62*(1)-'Assumptions'!H67-(0))+(('Historical Inputs'!$N$9*(1+(D610))^3)*('Assumptions'!G67+(0))))*'DCF'!H12/(1+(G610))^'DCF'!H13,(('Historical Inputs'!$N$9*(1+(D610))^5)*(('Assumptions'!I37+(E610))*(1-'Assumptions'!I42-(0))+'Assumptions'!I47-'Assumptions'!I52*(F610)+'Assumptions'!I57-'Assumptions'!I62*(1)-'Assumptions'!I67-(0))+(('Historical Inputs'!$N$9*(1+(D610))^4)*('Assumptions'!H67+(0))))*'DCF'!I12/(1+(G610))^'DCF'!I13)+('Historical Inputs'!$N$9*(1+(D610))^5)*(1+(H610))*('Terminal Value'!$E$10+(E610))*(1-'Assumptions'!$E$15-(0))*(1-(H610)/('Terminal Value'!$E$12))/((G610)-(H610))/(1+(G610))^'DCF'!$E$19)+'Equity Bridge'!$E$17)/'Equity Bridge'!$E$20</x:f>
        <x:v>290.3203843486232</x:v>
      </x:c>
      <x:c r="X610" s="255" t="n">
        <x:v>0.6566895566375704</x:v>
      </x:c>
      <x:c r="Y610" s="255" t="n">
        <x:v>0.06523389142888658</x:v>
      </x:c>
      <x:c r="Z610" s="255" t="n">
        <x:v>0.5668601740625253</x:v>
      </x:c>
      <x:c r="AA610" s="255" t="n">
        <x:v>0.18961629126828583</x:v>
      </x:c>
      <x:c r="AB610" s="255" t="n">
        <x:v>0.3259178205441453</x:v>
      </x:c>
    </x:row>
    <x:row r="611" ht="24" customHeight="1">
      <x:c r="C611" s="256" t="n">
        <x:f>580</x:f>
        <x:v>580</x:v>
      </x:c>
      <x:c r="D611" s="258" t="n">
        <x:f>IF(X611&lt;($E$12-$D$12)/($F$12-$D$12),$D$12+SQRT(X611*($F$12-$D$12)*($E$12-$D$12)),$F$12-SQRT((1-X611)*($F$12-$D$12)*($F$12-$E$12)))</x:f>
        <x:v>0.11328690317271482</x:v>
      </x:c>
      <x:c r="E611" s="258" t="n">
        <x:f>IF(Y611&lt;($E$13-$D$13)/($F$13-$D$13),$D$13+SQRT(Y611*($F$13-$D$13)*($E$13-$D$13)),$F$13-SQRT((1-Y611)*($F$13-$D$13)*($F$13-$E$13)))</x:f>
        <x:v>0.023880046526335068</x:v>
      </x:c>
      <x:c r="F611" s="260" t="n">
        <x:f>IF(Z611&lt;($E$14-$D$14)/($F$14-$D$14),$D$14+SQRT(Z611*($F$14-$D$14)*($E$14-$D$14)),$F$14-SQRT((1-Z611)*($F$14-$D$14)*($F$14-$E$14)))</x:f>
        <x:v>0.9632104659302361</x:v>
      </x:c>
      <x:c r="G611" s="258" t="n">
        <x:f>IF(AA611&lt;($E$15-$D$15)/($F$15-$D$15),$D$15+SQRT(AA611*($F$15-$D$15)*($E$15-$D$15)),$F$15-SQRT((1-AA611)*($F$15-$D$15)*($F$15-$E$15)))</x:f>
        <x:v>0.10063050286926585</x:v>
      </x:c>
      <x:c r="H611" s="258" t="n">
        <x:f>IF(AB611&lt;($E$16-$D$16)/($F$16-$D$16),$D$16+SQRT(AB611*($F$16-$D$16)*($E$16-$D$16)),$F$16-SQRT((1-AB611)*($F$16-$D$16)*($F$16-$E$16)))</x:f>
        <x:v>0.030725850507043437</x:v>
      </x:c>
      <x:c r="I611" s="262" t="n">
        <x:f>'Historical Inputs'!$N$9*(1+D611)^5</x:f>
        <x:v>567496.1584633668</x:v>
      </x:c>
      <x:c r="J611" s="262" t="n">
        <x:f>I611*(1+H611)*('Terminal Value'!$E$10+E611)*(1-'Assumptions'!$E$15)*(1-H611/'Terminal Value'!$E$12)</x:f>
        <x:v>167880.28557999045</x:v>
      </x:c>
      <x:c r="K611" s="264" t="n">
        <x:f>((SUM((('Historical Inputs'!$N$9*(1+(D611))^1)*(('Assumptions'!E37+(E611))*(1-'Assumptions'!E42-(0))+'Assumptions'!E47-'Assumptions'!E52*(F611)+'Assumptions'!E57-'Assumptions'!E62*(1)-'Assumptions'!E67-(0))+('Working Capital'!$E$6))*'DCF'!E12/(1+(G611))^'DCF'!E13,(('Historical Inputs'!$N$9*(1+(D611))^2)*(('Assumptions'!F37+(E611))*(1-'Assumptions'!F42-(0))+'Assumptions'!F47-'Assumptions'!F52*(F611)+'Assumptions'!F57-'Assumptions'!F62*(1)-'Assumptions'!F67-(0))+(('Historical Inputs'!$N$9*(1+(D611))^1)*('Assumptions'!E67+(0))))*'DCF'!F12/(1+(G611))^'DCF'!F13,(('Historical Inputs'!$N$9*(1+(D611))^3)*(('Assumptions'!G37+(E611))*(1-'Assumptions'!G42-(0))+'Assumptions'!G47-'Assumptions'!G52*(F611)+'Assumptions'!G57-'Assumptions'!G62*(1)-'Assumptions'!G67-(0))+(('Historical Inputs'!$N$9*(1+(D611))^2)*('Assumptions'!F67+(0))))*'DCF'!G12/(1+(G611))^'DCF'!G13,(('Historical Inputs'!$N$9*(1+(D611))^4)*(('Assumptions'!H37+(E611))*(1-'Assumptions'!H42-(0))+'Assumptions'!H47-'Assumptions'!H52*(F611)+'Assumptions'!H57-'Assumptions'!H62*(1)-'Assumptions'!H67-(0))+(('Historical Inputs'!$N$9*(1+(D611))^3)*('Assumptions'!G67+(0))))*'DCF'!H12/(1+(G611))^'DCF'!H13,(('Historical Inputs'!$N$9*(1+(D611))^5)*(('Assumptions'!I37+(E611))*(1-'Assumptions'!I42-(0))+'Assumptions'!I47-'Assumptions'!I52*(F611)+'Assumptions'!I57-'Assumptions'!I62*(1)-'Assumptions'!I67-(0))+(('Historical Inputs'!$N$9*(1+(D611))^4)*('Assumptions'!H67+(0))))*'DCF'!I12/(1+(G611))^'DCF'!I13)+('Historical Inputs'!$N$9*(1+(D611))^5)*(1+(H611))*('Terminal Value'!$E$10+(E611))*(1-'Assumptions'!$E$15-(0))*(1-(H611)/('Terminal Value'!$E$12))/((G611)-(H611))/(1+(G611))^'DCF'!$E$19)+'Equity Bridge'!$E$17)/'Equity Bridge'!$E$20</x:f>
        <x:v>261.78935569231646</x:v>
      </x:c>
      <x:c r="X611" s="255" t="n">
        <x:v>0.08023922935223526</x:v>
      </x:c>
      <x:c r="Y611" s="255" t="n">
        <x:v>0.8635496061067158</x:v>
      </x:c>
      <x:c r="Z611" s="255" t="n">
        <x:v>0.24412589706935517</x:v>
      </x:c>
      <x:c r="AA611" s="255" t="n">
        <x:v>0.6522294269104665</x:v>
      </x:c>
      <x:c r="AB611" s="255" t="n">
        <x:v>0.5699507559114678</x:v>
      </x:c>
    </x:row>
    <x:row r="612" ht="24" customHeight="1">
      <x:c r="C612" s="256" t="n">
        <x:f>581</x:f>
        <x:v>581</x:v>
      </x:c>
      <x:c r="D612" s="258" t="n">
        <x:f>IF(X612&lt;($E$12-$D$12)/($F$12-$D$12),$D$12+SQRT(X612*($F$12-$D$12)*($E$12-$D$12)),$F$12-SQRT((1-X612)*($F$12-$D$12)*($F$12-$E$12)))</x:f>
        <x:v>0.1032900101524572</x:v>
      </x:c>
      <x:c r="E612" s="258" t="n">
        <x:f>IF(Y612&lt;($E$13-$D$13)/($F$13-$D$13),$D$13+SQRT(Y612*($F$13-$D$13)*($E$13-$D$13)),$F$13-SQRT((1-Y612)*($F$13-$D$13)*($F$13-$E$13)))</x:f>
        <x:v>0.00036902573300151564</x:v>
      </x:c>
      <x:c r="F612" s="260" t="n">
        <x:f>IF(Z612&lt;($E$14-$D$14)/($F$14-$D$14),$D$14+SQRT(Z612*($F$14-$D$14)*($E$14-$D$14)),$F$14-SQRT((1-Z612)*($F$14-$D$14)*($F$14-$E$14)))</x:f>
        <x:v>1.0717481554736026</x:v>
      </x:c>
      <x:c r="G612" s="258" t="n">
        <x:f>IF(AA612&lt;($E$15-$D$15)/($F$15-$D$15),$D$15+SQRT(AA612*($F$15-$D$15)*($E$15-$D$15)),$F$15-SQRT((1-AA612)*($F$15-$D$15)*($F$15-$E$15)))</x:f>
        <x:v>0.10932278123409404</x:v>
      </x:c>
      <x:c r="H612" s="258" t="n">
        <x:f>IF(AB612&lt;($E$16-$D$16)/($F$16-$D$16),$D$16+SQRT(AB612*($F$16-$D$16)*($E$16-$D$16)),$F$16-SQRT((1-AB612)*($F$16-$D$16)*($F$16-$E$16)))</x:f>
        <x:v>0.032341960619755805</x:v>
      </x:c>
      <x:c r="I612" s="262" t="n">
        <x:f>'Historical Inputs'!$N$9*(1+D612)^5</x:f>
        <x:v>542470.1618325198</x:v>
      </x:c>
      <x:c r="J612" s="262" t="n">
        <x:f>I612*(1+H612)*('Terminal Value'!$E$10+E612)*(1-'Assumptions'!$E$15)*(1-H612/'Terminal Value'!$E$12)</x:f>
        <x:v>150364.1421371014</x:v>
      </x:c>
      <x:c r="K612" s="264" t="n">
        <x:f>((SUM((('Historical Inputs'!$N$9*(1+(D612))^1)*(('Assumptions'!E37+(E612))*(1-'Assumptions'!E42-(0))+'Assumptions'!E47-'Assumptions'!E52*(F612)+'Assumptions'!E57-'Assumptions'!E62*(1)-'Assumptions'!E67-(0))+('Working Capital'!$E$6))*'DCF'!E12/(1+(G612))^'DCF'!E13,(('Historical Inputs'!$N$9*(1+(D612))^2)*(('Assumptions'!F37+(E612))*(1-'Assumptions'!F42-(0))+'Assumptions'!F47-'Assumptions'!F52*(F612)+'Assumptions'!F57-'Assumptions'!F62*(1)-'Assumptions'!F67-(0))+(('Historical Inputs'!$N$9*(1+(D612))^1)*('Assumptions'!E67+(0))))*'DCF'!F12/(1+(G612))^'DCF'!F13,(('Historical Inputs'!$N$9*(1+(D612))^3)*(('Assumptions'!G37+(E612))*(1-'Assumptions'!G42-(0))+'Assumptions'!G47-'Assumptions'!G52*(F612)+'Assumptions'!G57-'Assumptions'!G62*(1)-'Assumptions'!G67-(0))+(('Historical Inputs'!$N$9*(1+(D612))^2)*('Assumptions'!F67+(0))))*'DCF'!G12/(1+(G612))^'DCF'!G13,(('Historical Inputs'!$N$9*(1+(D612))^4)*(('Assumptions'!H37+(E612))*(1-'Assumptions'!H42-(0))+'Assumptions'!H47-'Assumptions'!H52*(F612)+'Assumptions'!H57-'Assumptions'!H62*(1)-'Assumptions'!H67-(0))+(('Historical Inputs'!$N$9*(1+(D612))^3)*('Assumptions'!G67+(0))))*'DCF'!H12/(1+(G612))^'DCF'!H13,(('Historical Inputs'!$N$9*(1+(D612))^5)*(('Assumptions'!I37+(E612))*(1-'Assumptions'!I42-(0))+'Assumptions'!I47-'Assumptions'!I52*(F612)+'Assumptions'!I57-'Assumptions'!I62*(1)-'Assumptions'!I67-(0))+(('Historical Inputs'!$N$9*(1+(D612))^4)*('Assumptions'!H67+(0))))*'DCF'!I12/(1+(G612))^'DCF'!I13)+('Historical Inputs'!$N$9*(1+(D612))^5)*(1+(H612))*('Terminal Value'!$E$10+(E612))*(1-'Assumptions'!$E$15-(0))*(1-(H612)/('Terminal Value'!$E$12))/((G612)-(H612))/(1+(G612))^'DCF'!$E$19)+'Equity Bridge'!$E$17)/'Equity Bridge'!$E$20</x:f>
        <x:v>204.19416462494877</x:v>
      </x:c>
      <x:c r="X612" s="255" t="n">
        <x:v>0.020132170951535078</x:v>
      </x:c>
      <x:c r="Y612" s="255" t="n">
        <x:v>0.5073532786617069</x:v>
      </x:c>
      <x:c r="Z612" s="255" t="n">
        <x:v>0.765020919651097</x:v>
      </x:c>
      <x:c r="AA612" s="255" t="n">
        <x:v>0.9676133809501513</x:v>
      </x:c>
      <x:c r="AB612" s="255" t="n">
        <x:v>0.7067721642531456</x:v>
      </x:c>
    </x:row>
    <x:row r="613" ht="24" customHeight="1">
      <x:c r="C613" s="256" t="n">
        <x:f>582</x:f>
        <x:v>582</x:v>
      </x:c>
      <x:c r="D613" s="258" t="n">
        <x:f>IF(X613&lt;($E$12-$D$12)/($F$12-$D$12),$D$12+SQRT(X613*($F$12-$D$12)*($E$12-$D$12)),$F$12-SQRT((1-X613)*($F$12-$D$12)*($F$12-$E$12)))</x:f>
        <x:v>0.14180006352609906</x:v>
      </x:c>
      <x:c r="E613" s="258" t="n">
        <x:f>IF(Y613&lt;($E$13-$D$13)/($F$13-$D$13),$D$13+SQRT(Y613*($F$13-$D$13)*($E$13-$D$13)),$F$13-SQRT((1-Y613)*($F$13-$D$13)*($F$13-$E$13)))</x:f>
        <x:v>0.0027171158712902196</x:v>
      </x:c>
      <x:c r="F613" s="260" t="n">
        <x:f>IF(Z613&lt;($E$14-$D$14)/($F$14-$D$14),$D$14+SQRT(Z613*($F$14-$D$14)*($E$14-$D$14)),$F$14-SQRT((1-Z613)*($F$14-$D$14)*($F$14-$E$14)))</x:f>
        <x:v>1.100045430616347</x:v>
      </x:c>
      <x:c r="G613" s="258" t="n">
        <x:f>IF(AA613&lt;($E$15-$D$15)/($F$15-$D$15),$D$15+SQRT(AA613*($F$15-$D$15)*($E$15-$D$15)),$F$15-SQRT((1-AA613)*($F$15-$D$15)*($F$15-$E$15)))</x:f>
        <x:v>0.10251069921672055</x:v>
      </x:c>
      <x:c r="H613" s="258" t="n">
        <x:f>IF(AB613&lt;($E$16-$D$16)/($F$16-$D$16),$D$16+SQRT(AB613*($F$16-$D$16)*($E$16-$D$16)),$F$16-SQRT((1-AB613)*($F$16-$D$16)*($F$16-$E$16)))</x:f>
        <x:v>0.03072865296168775</x:v>
      </x:c>
      <x:c r="I613" s="262" t="n">
        <x:f>'Historical Inputs'!$N$9*(1+D613)^5</x:f>
        <x:v>643987.9485259573</x:v>
      </x:c>
      <x:c r="J613" s="262" t="n">
        <x:f>I613*(1+H613)*('Terminal Value'!$E$10+E613)*(1-'Assumptions'!$E$15)*(1-H613/'Terminal Value'!$E$12)</x:f>
        <x:v>180994.6003755612</x:v>
      </x:c>
      <x:c r="K613" s="264" t="n">
        <x:f>((SUM((('Historical Inputs'!$N$9*(1+(D613))^1)*(('Assumptions'!E37+(E613))*(1-'Assumptions'!E42-(0))+'Assumptions'!E47-'Assumptions'!E52*(F613)+'Assumptions'!E57-'Assumptions'!E62*(1)-'Assumptions'!E67-(0))+('Working Capital'!$E$6))*'DCF'!E12/(1+(G613))^'DCF'!E13,(('Historical Inputs'!$N$9*(1+(D613))^2)*(('Assumptions'!F37+(E613))*(1-'Assumptions'!F42-(0))+'Assumptions'!F47-'Assumptions'!F52*(F613)+'Assumptions'!F57-'Assumptions'!F62*(1)-'Assumptions'!F67-(0))+(('Historical Inputs'!$N$9*(1+(D613))^1)*('Assumptions'!E67+(0))))*'DCF'!F12/(1+(G613))^'DCF'!F13,(('Historical Inputs'!$N$9*(1+(D613))^3)*(('Assumptions'!G37+(E613))*(1-'Assumptions'!G42-(0))+'Assumptions'!G47-'Assumptions'!G52*(F613)+'Assumptions'!G57-'Assumptions'!G62*(1)-'Assumptions'!G67-(0))+(('Historical Inputs'!$N$9*(1+(D613))^2)*('Assumptions'!F67+(0))))*'DCF'!G12/(1+(G613))^'DCF'!G13,(('Historical Inputs'!$N$9*(1+(D613))^4)*(('Assumptions'!H37+(E613))*(1-'Assumptions'!H42-(0))+'Assumptions'!H47-'Assumptions'!H52*(F613)+'Assumptions'!H57-'Assumptions'!H62*(1)-'Assumptions'!H67-(0))+(('Historical Inputs'!$N$9*(1+(D613))^3)*('Assumptions'!G67+(0))))*'DCF'!H12/(1+(G613))^'DCF'!H13,(('Historical Inputs'!$N$9*(1+(D613))^5)*(('Assumptions'!I37+(E613))*(1-'Assumptions'!I42-(0))+'Assumptions'!I47-'Assumptions'!I52*(F613)+'Assumptions'!I57-'Assumptions'!I62*(1)-'Assumptions'!I67-(0))+(('Historical Inputs'!$N$9*(1+(D613))^4)*('Assumptions'!H67+(0))))*'DCF'!I12/(1+(G613))^'DCF'!I13)+('Historical Inputs'!$N$9*(1+(D613))^5)*(1+(H613))*('Terminal Value'!$E$10+(E613))*(1-'Assumptions'!$E$15-(0))*(1-(H613)/('Terminal Value'!$E$12))/((G613)-(H613))/(1+(G613))^'DCF'!$E$19)+'Equity Bridge'!$E$17)/'Equity Bridge'!$E$20</x:f>
        <x:v>262.4870329790136</x:v>
      </x:c>
      <x:c r="X613" s="255" t="n">
        <x:v>0.4712853794983972</x:v>
      </x:c>
      <x:c r="Y613" s="255" t="n">
        <x:v>0.552865773694201</x:v>
      </x:c>
      <x:c r="Z613" s="255" t="n">
        <x:v>0.8572726294189785</x:v>
      </x:c>
      <x:c r="AA613" s="255" t="n">
        <x:v>0.7489113646920191</x:v>
      </x:c>
      <x:c r="AB613" s="255" t="n">
        <x:v>0.5702106204758933</x:v>
      </x:c>
    </x:row>
    <x:row r="614" ht="24" customHeight="1">
      <x:c r="C614" s="256" t="n">
        <x:f>583</x:f>
        <x:v>583</x:v>
      </x:c>
      <x:c r="D614" s="258" t="n">
        <x:f>IF(X614&lt;($E$12-$D$12)/($F$12-$D$12),$D$12+SQRT(X614*($F$12-$D$12)*($E$12-$D$12)),$F$12-SQRT((1-X614)*($F$12-$D$12)*($F$12-$E$12)))</x:f>
        <x:v>0.1754709365261976</x:v>
      </x:c>
      <x:c r="E614" s="258" t="n">
        <x:f>IF(Y614&lt;($E$13-$D$13)/($F$13-$D$13),$D$13+SQRT(Y614*($F$13-$D$13)*($E$13-$D$13)),$F$13-SQRT((1-Y614)*($F$13-$D$13)*($F$13-$E$13)))</x:f>
        <x:v>0.024653183081063415</x:v>
      </x:c>
      <x:c r="F614" s="260" t="n">
        <x:f>IF(Z614&lt;($E$14-$D$14)/($F$14-$D$14),$D$14+SQRT(Z614*($F$14-$D$14)*($E$14-$D$14)),$F$14-SQRT((1-Z614)*($F$14-$D$14)*($F$14-$E$14)))</x:f>
        <x:v>1.1437439703903935</x:v>
      </x:c>
      <x:c r="G614" s="258" t="n">
        <x:f>IF(AA614&lt;($E$15-$D$15)/($F$15-$D$15),$D$15+SQRT(AA614*($F$15-$D$15)*($E$15-$D$15)),$F$15-SQRT((1-AA614)*($F$15-$D$15)*($F$15-$E$15)))</x:f>
        <x:v>0.09795402448124177</x:v>
      </x:c>
      <x:c r="H614" s="258" t="n">
        <x:f>IF(AB614&lt;($E$16-$D$16)/($F$16-$D$16),$D$16+SQRT(AB614*($F$16-$D$16)*($E$16-$D$16)),$F$16-SQRT((1-AB614)*($F$16-$D$16)*($F$16-$E$16)))</x:f>
        <x:v>0.029811243616447665</x:v>
      </x:c>
      <x:c r="I614" s="262" t="n">
        <x:f>'Historical Inputs'!$N$9*(1+D614)^5</x:f>
        <x:v>744709.5177212227</x:v>
      </x:c>
      <x:c r="J614" s="262" t="n">
        <x:f>I614*(1+H614)*('Terminal Value'!$E$10+E614)*(1-'Assumptions'!$E$15)*(1-H614/'Terminal Value'!$E$12)</x:f>
        <x:v>221702.0829548275</x:v>
      </x:c>
      <x:c r="K614" s="264" t="n">
        <x:f>((SUM((('Historical Inputs'!$N$9*(1+(D614))^1)*(('Assumptions'!E37+(E614))*(1-'Assumptions'!E42-(0))+'Assumptions'!E47-'Assumptions'!E52*(F614)+'Assumptions'!E57-'Assumptions'!E62*(1)-'Assumptions'!E67-(0))+('Working Capital'!$E$6))*'DCF'!E12/(1+(G614))^'DCF'!E13,(('Historical Inputs'!$N$9*(1+(D614))^2)*(('Assumptions'!F37+(E614))*(1-'Assumptions'!F42-(0))+'Assumptions'!F47-'Assumptions'!F52*(F614)+'Assumptions'!F57-'Assumptions'!F62*(1)-'Assumptions'!F67-(0))+(('Historical Inputs'!$N$9*(1+(D614))^1)*('Assumptions'!E67+(0))))*'DCF'!F12/(1+(G614))^'DCF'!F13,(('Historical Inputs'!$N$9*(1+(D614))^3)*(('Assumptions'!G37+(E614))*(1-'Assumptions'!G42-(0))+'Assumptions'!G47-'Assumptions'!G52*(F614)+'Assumptions'!G57-'Assumptions'!G62*(1)-'Assumptions'!G67-(0))+(('Historical Inputs'!$N$9*(1+(D614))^2)*('Assumptions'!F67+(0))))*'DCF'!G12/(1+(G614))^'DCF'!G13,(('Historical Inputs'!$N$9*(1+(D614))^4)*(('Assumptions'!H37+(E614))*(1-'Assumptions'!H42-(0))+'Assumptions'!H47-'Assumptions'!H52*(F614)+'Assumptions'!H57-'Assumptions'!H62*(1)-'Assumptions'!H67-(0))+(('Historical Inputs'!$N$9*(1+(D614))^3)*('Assumptions'!G67+(0))))*'DCF'!H12/(1+(G614))^'DCF'!H13,(('Historical Inputs'!$N$9*(1+(D614))^5)*(('Assumptions'!I37+(E614))*(1-'Assumptions'!I42-(0))+'Assumptions'!I47-'Assumptions'!I52*(F614)+'Assumptions'!I57-'Assumptions'!I62*(1)-'Assumptions'!I67-(0))+(('Historical Inputs'!$N$9*(1+(D614))^4)*('Assumptions'!H67+(0))))*'DCF'!I12/(1+(G614))^'DCF'!I13)+('Historical Inputs'!$N$9*(1+(D614))^5)*(1+(H614))*('Terminal Value'!$E$10+(E614))*(1-'Assumptions'!$E$15-(0))*(1-(H614)/('Terminal Value'!$E$12))/((G614)-(H614))/(1+(G614))^'DCF'!$E$19)+'Equity Bridge'!$E$17)/'Equity Bridge'!$E$20</x:f>
        <x:v>338.11982973717386</x:v>
      </x:c>
      <x:c r="X614" s="255" t="n">
        <x:v>0.9367310339412225</x:v>
      </x:c>
      <x:c r="Y614" s="255" t="n">
        <x:v>0.871507774415582</x:v>
      </x:c>
      <x:c r="Z614" s="255" t="n">
        <x:v>0.9547894161794727</x:v>
      </x:c>
      <x:c r="AA614" s="255" t="n">
        <x:v>0.48765417798799326</x:v>
      </x:c>
      <x:c r="AB614" s="255" t="n">
        <x:v>0.48130250650642536</x:v>
      </x:c>
    </x:row>
    <x:row r="615" ht="24" customHeight="1">
      <x:c r="C615" s="256" t="n">
        <x:f>584</x:f>
        <x:v>584</x:v>
      </x:c>
      <x:c r="D615" s="258" t="n">
        <x:f>IF(X615&lt;($E$12-$D$12)/($F$12-$D$12),$D$12+SQRT(X615*($F$12-$D$12)*($E$12-$D$12)),$F$12-SQRT((1-X615)*($F$12-$D$12)*($F$12-$E$12)))</x:f>
        <x:v>0.12810519094527317</x:v>
      </x:c>
      <x:c r="E615" s="258" t="n">
        <x:f>IF(Y615&lt;($E$13-$D$13)/($F$13-$D$13),$D$13+SQRT(Y615*($F$13-$D$13)*($E$13-$D$13)),$F$13-SQRT((1-Y615)*($F$13-$D$13)*($F$13-$E$13)))</x:f>
        <x:v>-0.01892398009538412</x:v>
      </x:c>
      <x:c r="F615" s="260" t="n">
        <x:f>IF(Z615&lt;($E$14-$D$14)/($F$14-$D$14),$D$14+SQRT(Z615*($F$14-$D$14)*($E$14-$D$14)),$F$14-SQRT((1-Z615)*($F$14-$D$14)*($F$14-$E$14)))</x:f>
        <x:v>0.9740040398460956</x:v>
      </x:c>
      <x:c r="G615" s="258" t="n">
        <x:f>IF(AA615&lt;($E$15-$D$15)/($F$15-$D$15),$D$15+SQRT(AA615*($F$15-$D$15)*($E$15-$D$15)),$F$15-SQRT((1-AA615)*($F$15-$D$15)*($F$15-$E$15)))</x:f>
        <x:v>0.0927944413013421</x:v>
      </x:c>
      <x:c r="H615" s="258" t="n">
        <x:f>IF(AB615&lt;($E$16-$D$16)/($F$16-$D$16),$D$16+SQRT(AB615*($F$16-$D$16)*($E$16-$D$16)),$F$16-SQRT((1-AB615)*($F$16-$D$16)*($F$16-$E$16)))</x:f>
        <x:v>0.022765787969397717</x:v>
      </x:c>
      <x:c r="I615" s="262" t="n">
        <x:f>'Historical Inputs'!$N$9*(1+D615)^5</x:f>
        <x:v>606283.0323369844</x:v>
      </x:c>
      <x:c r="J615" s="262" t="n">
        <x:f>I615*(1+H615)*('Terminal Value'!$E$10+E615)*(1-'Assumptions'!$E$15)*(1-H615/'Terminal Value'!$E$12)</x:f>
        <x:v>167521.58639486757</x:v>
      </x:c>
      <x:c r="K615" s="264" t="n">
        <x:f>((SUM((('Historical Inputs'!$N$9*(1+(D615))^1)*(('Assumptions'!E37+(E615))*(1-'Assumptions'!E42-(0))+'Assumptions'!E47-'Assumptions'!E52*(F615)+'Assumptions'!E57-'Assumptions'!E62*(1)-'Assumptions'!E67-(0))+('Working Capital'!$E$6))*'DCF'!E12/(1+(G615))^'DCF'!E13,(('Historical Inputs'!$N$9*(1+(D615))^2)*(('Assumptions'!F37+(E615))*(1-'Assumptions'!F42-(0))+'Assumptions'!F47-'Assumptions'!F52*(F615)+'Assumptions'!F57-'Assumptions'!F62*(1)-'Assumptions'!F67-(0))+(('Historical Inputs'!$N$9*(1+(D615))^1)*('Assumptions'!E67+(0))))*'DCF'!F12/(1+(G615))^'DCF'!F13,(('Historical Inputs'!$N$9*(1+(D615))^3)*(('Assumptions'!G37+(E615))*(1-'Assumptions'!G42-(0))+'Assumptions'!G47-'Assumptions'!G52*(F615)+'Assumptions'!G57-'Assumptions'!G62*(1)-'Assumptions'!G67-(0))+(('Historical Inputs'!$N$9*(1+(D615))^2)*('Assumptions'!F67+(0))))*'DCF'!G12/(1+(G615))^'DCF'!G13,(('Historical Inputs'!$N$9*(1+(D615))^4)*(('Assumptions'!H37+(E615))*(1-'Assumptions'!H42-(0))+'Assumptions'!H47-'Assumptions'!H52*(F615)+'Assumptions'!H57-'Assumptions'!H62*(1)-'Assumptions'!H67-(0))+(('Historical Inputs'!$N$9*(1+(D615))^3)*('Assumptions'!G67+(0))))*'DCF'!H12/(1+(G615))^'DCF'!H13,(('Historical Inputs'!$N$9*(1+(D615))^5)*(('Assumptions'!I37+(E615))*(1-'Assumptions'!I42-(0))+'Assumptions'!I47-'Assumptions'!I52*(F615)+'Assumptions'!I57-'Assumptions'!I62*(1)-'Assumptions'!I67-(0))+(('Historical Inputs'!$N$9*(1+(D615))^4)*('Assumptions'!H67+(0))))*'DCF'!I12/(1+(G615))^'DCF'!I13)+('Historical Inputs'!$N$9*(1+(D615))^5)*(1+(H615))*('Terminal Value'!$E$10+(E615))*(1-'Assumptions'!$E$15-(0))*(1-(H615)/('Terminal Value'!$E$12))/((G615)-(H615))/(1+(G615))^'DCF'!$E$19)+'Equity Bridge'!$E$17)/'Equity Bridge'!$E$20</x:f>
        <x:v>262.76161430510587</x:v>
      </x:c>
      <x:c r="X615" s="255" t="n">
        <x:v>0.2428789781922931</x:v>
      </x:c>
      <x:c r="Y615" s="255" t="n">
        <x:v>0.19314380262241648</x:v>
      </x:c>
      <x:c r="Z615" s="255" t="n">
        <x:v>0.29289527425051565</x:v>
      </x:c>
      <x:c r="AA615" s="255" t="n">
        <x:v>0.20711356973413897</x:v>
      </x:c>
      <x:c r="AB615" s="255" t="n">
        <x:v>0.03824791545832584</x:v>
      </x:c>
    </x:row>
    <x:row r="616" ht="24" customHeight="1">
      <x:c r="C616" s="256" t="n">
        <x:f>585</x:f>
        <x:v>585</x:v>
      </x:c>
      <x:c r="D616" s="258" t="n">
        <x:f>IF(X616&lt;($E$12-$D$12)/($F$12-$D$12),$D$12+SQRT(X616*($F$12-$D$12)*($E$12-$D$12)),$F$12-SQRT((1-X616)*($F$12-$D$12)*($F$12-$E$12)))</x:f>
        <x:v>0.16098663782191003</x:v>
      </x:c>
      <x:c r="E616" s="258" t="n">
        <x:f>IF(Y616&lt;($E$13-$D$13)/($F$13-$D$13),$D$13+SQRT(Y616*($F$13-$D$13)*($E$13-$D$13)),$F$13-SQRT((1-Y616)*($F$13-$D$13)*($F$13-$E$13)))</x:f>
        <x:v>0.012282737543115901</x:v>
      </x:c>
      <x:c r="F616" s="260" t="n">
        <x:f>IF(Z616&lt;($E$14-$D$14)/($F$14-$D$14),$D$14+SQRT(Z616*($F$14-$D$14)*($E$14-$D$14)),$F$14-SQRT((1-Z616)*($F$14-$D$14)*($F$14-$E$14)))</x:f>
        <x:v>1.1675520935416437</x:v>
      </x:c>
      <x:c r="G616" s="258" t="n">
        <x:f>IF(AA616&lt;($E$15-$D$15)/($F$15-$D$15),$D$15+SQRT(AA616*($F$15-$D$15)*($E$15-$D$15)),$F$15-SQRT((1-AA616)*($F$15-$D$15)*($F$15-$E$15)))</x:f>
        <x:v>0.09876035590384136</x:v>
      </x:c>
      <x:c r="H616" s="258" t="n">
        <x:f>IF(AB616&lt;($E$16-$D$16)/($F$16-$D$16),$D$16+SQRT(AB616*($F$16-$D$16)*($E$16-$D$16)),$F$16-SQRT((1-AB616)*($F$16-$D$16)*($F$16-$E$16)))</x:f>
        <x:v>0.02830944225747848</x:v>
      </x:c>
      <x:c r="I616" s="262" t="n">
        <x:f>'Historical Inputs'!$N$9*(1+D616)^5</x:f>
        <x:v>699944.3828372158</x:v>
      </x:c>
      <x:c r="J616" s="262" t="n">
        <x:f>I616*(1+H616)*('Terminal Value'!$E$10+E616)*(1-'Assumptions'!$E$15)*(1-H616/'Terminal Value'!$E$12)</x:f>
        <x:v>203792.83463098813</x:v>
      </x:c>
      <x:c r="K616" s="264" t="n">
        <x:f>((SUM((('Historical Inputs'!$N$9*(1+(D616))^1)*(('Assumptions'!E37+(E616))*(1-'Assumptions'!E42-(0))+'Assumptions'!E47-'Assumptions'!E52*(F616)+'Assumptions'!E57-'Assumptions'!E62*(1)-'Assumptions'!E67-(0))+('Working Capital'!$E$6))*'DCF'!E12/(1+(G616))^'DCF'!E13,(('Historical Inputs'!$N$9*(1+(D616))^2)*(('Assumptions'!F37+(E616))*(1-'Assumptions'!F42-(0))+'Assumptions'!F47-'Assumptions'!F52*(F616)+'Assumptions'!F57-'Assumptions'!F62*(1)-'Assumptions'!F67-(0))+(('Historical Inputs'!$N$9*(1+(D616))^1)*('Assumptions'!E67+(0))))*'DCF'!F12/(1+(G616))^'DCF'!F13,(('Historical Inputs'!$N$9*(1+(D616))^3)*(('Assumptions'!G37+(E616))*(1-'Assumptions'!G42-(0))+'Assumptions'!G47-'Assumptions'!G52*(F616)+'Assumptions'!G57-'Assumptions'!G62*(1)-'Assumptions'!G67-(0))+(('Historical Inputs'!$N$9*(1+(D616))^2)*('Assumptions'!F67+(0))))*'DCF'!G12/(1+(G616))^'DCF'!G13,(('Historical Inputs'!$N$9*(1+(D616))^4)*(('Assumptions'!H37+(E616))*(1-'Assumptions'!H42-(0))+'Assumptions'!H47-'Assumptions'!H52*(F616)+'Assumptions'!H57-'Assumptions'!H62*(1)-'Assumptions'!H67-(0))+(('Historical Inputs'!$N$9*(1+(D616))^3)*('Assumptions'!G67+(0))))*'DCF'!H12/(1+(G616))^'DCF'!H13,(('Historical Inputs'!$N$9*(1+(D616))^5)*(('Assumptions'!I37+(E616))*(1-'Assumptions'!I42-(0))+'Assumptions'!I47-'Assumptions'!I52*(F616)+'Assumptions'!I57-'Assumptions'!I62*(1)-'Assumptions'!I67-(0))+(('Historical Inputs'!$N$9*(1+(D616))^4)*('Assumptions'!H67+(0))))*'DCF'!I12/(1+(G616))^'DCF'!I13)+('Historical Inputs'!$N$9*(1+(D616))^5)*(1+(H616))*('Terminal Value'!$E$10+(E616))*(1-'Assumptions'!$E$15-(0))*(1-(H616)/('Terminal Value'!$E$12))/((G616)-(H616))/(1+(G616))^'DCF'!$E$19)+'Equity Bridge'!$E$17)/'Equity Bridge'!$E$20</x:f>
        <x:v>299.14131707817967</x:v>
      </x:c>
      <x:c r="X616" s="255" t="n">
        <x:v>0.7917244632449745</x:v>
      </x:c>
      <x:c r="Y616" s="255" t="n">
        <x:v>0.7154816225517042</x:v>
      </x:c>
      <x:c r="Z616" s="255" t="n">
        <x:v>0.9849590480924251</x:v>
      </x:c>
      <x:c r="AA616" s="255" t="n">
        <x:v>0.5404782555208469</x:v>
      </x:c>
      <x:c r="AB616" s="255" t="n">
        <x:v>0.34523415315184536</x:v>
      </x:c>
    </x:row>
    <x:row r="617" ht="24" customHeight="1">
      <x:c r="C617" s="256" t="n">
        <x:f>586</x:f>
        <x:v>586</x:v>
      </x:c>
      <x:c r="D617" s="258" t="n">
        <x:f>IF(X617&lt;($E$12-$D$12)/($F$12-$D$12),$D$12+SQRT(X617*($F$12-$D$12)*($E$12-$D$12)),$F$12-SQRT((1-X617)*($F$12-$D$12)*($F$12-$E$12)))</x:f>
        <x:v>0.10311327324003938</x:v>
      </x:c>
      <x:c r="E617" s="258" t="n">
        <x:f>IF(Y617&lt;($E$13-$D$13)/($F$13-$D$13),$D$13+SQRT(Y617*($F$13-$D$13)*($E$13-$D$13)),$F$13-SQRT((1-Y617)*($F$13-$D$13)*($F$13-$E$13)))</x:f>
        <x:v>0.03082122104345094</x:v>
      </x:c>
      <x:c r="F617" s="260" t="n">
        <x:f>IF(Z617&lt;($E$14-$D$14)/($F$14-$D$14),$D$14+SQRT(Z617*($F$14-$D$14)*($E$14-$D$14)),$F$14-SQRT((1-Z617)*($F$14-$D$14)*($F$14-$E$14)))</x:f>
        <x:v>0.9620625333764807</x:v>
      </x:c>
      <x:c r="G617" s="258" t="n">
        <x:f>IF(AA617&lt;($E$15-$D$15)/($F$15-$D$15),$D$15+SQRT(AA617*($F$15-$D$15)*($E$15-$D$15)),$F$15-SQRT((1-AA617)*($F$15-$D$15)*($F$15-$E$15)))</x:f>
        <x:v>0.10521422469275195</x:v>
      </x:c>
      <x:c r="H617" s="258" t="n">
        <x:f>IF(AB617&lt;($E$16-$D$16)/($F$16-$D$16),$D$16+SQRT(AB617*($F$16-$D$16)*($E$16-$D$16)),$F$16-SQRT((1-AB617)*($F$16-$D$16)*($F$16-$E$16)))</x:f>
        <x:v>0.02579849162149113</x:v>
      </x:c>
      <x:c r="I617" s="262" t="n">
        <x:f>'Historical Inputs'!$N$9*(1+D617)^5</x:f>
        <x:v>542035.8073604751</x:v>
      </x:c>
      <x:c r="J617" s="262" t="n">
        <x:f>I617*(1+H617)*('Terminal Value'!$E$10+E617)*(1-'Assumptions'!$E$15)*(1-H617/'Terminal Value'!$E$12)</x:f>
        <x:v>166916.4053194396</x:v>
      </x:c>
      <x:c r="K617" s="264" t="n">
        <x:f>((SUM((('Historical Inputs'!$N$9*(1+(D617))^1)*(('Assumptions'!E37+(E617))*(1-'Assumptions'!E42-(0))+'Assumptions'!E47-'Assumptions'!E52*(F617)+'Assumptions'!E57-'Assumptions'!E62*(1)-'Assumptions'!E67-(0))+('Working Capital'!$E$6))*'DCF'!E12/(1+(G617))^'DCF'!E13,(('Historical Inputs'!$N$9*(1+(D617))^2)*(('Assumptions'!F37+(E617))*(1-'Assumptions'!F42-(0))+'Assumptions'!F47-'Assumptions'!F52*(F617)+'Assumptions'!F57-'Assumptions'!F62*(1)-'Assumptions'!F67-(0))+(('Historical Inputs'!$N$9*(1+(D617))^1)*('Assumptions'!E67+(0))))*'DCF'!F12/(1+(G617))^'DCF'!F13,(('Historical Inputs'!$N$9*(1+(D617))^3)*(('Assumptions'!G37+(E617))*(1-'Assumptions'!G42-(0))+'Assumptions'!G47-'Assumptions'!G52*(F617)+'Assumptions'!G57-'Assumptions'!G62*(1)-'Assumptions'!G67-(0))+(('Historical Inputs'!$N$9*(1+(D617))^2)*('Assumptions'!F67+(0))))*'DCF'!G12/(1+(G617))^'DCF'!G13,(('Historical Inputs'!$N$9*(1+(D617))^4)*(('Assumptions'!H37+(E617))*(1-'Assumptions'!H42-(0))+'Assumptions'!H47-'Assumptions'!H52*(F617)+'Assumptions'!H57-'Assumptions'!H62*(1)-'Assumptions'!H67-(0))+(('Historical Inputs'!$N$9*(1+(D617))^3)*('Assumptions'!G67+(0))))*'DCF'!H12/(1+(G617))^'DCF'!H13,(('Historical Inputs'!$N$9*(1+(D617))^5)*(('Assumptions'!I37+(E617))*(1-'Assumptions'!I42-(0))+'Assumptions'!I47-'Assumptions'!I52*(F617)+'Assumptions'!I57-'Assumptions'!I62*(1)-'Assumptions'!I67-(0))+(('Historical Inputs'!$N$9*(1+(D617))^4)*('Assumptions'!H67+(0))))*'DCF'!I12/(1+(G617))^'DCF'!I13)+('Historical Inputs'!$N$9*(1+(D617))^5)*(1+(H617))*('Terminal Value'!$E$10+(E617))*(1-'Assumptions'!$E$15-(0))*(1-(H617)/('Terminal Value'!$E$12))/((G617)-(H617))/(1+(G617))^'DCF'!$E$19)+'Equity Bridge'!$E$17)/'Equity Bridge'!$E$20</x:f>
        <x:v>231.59401345670415</x:v>
      </x:c>
      <x:c r="X617" s="255" t="n">
        <x:v>0.019429138387124456</x:v>
      </x:c>
      <x:c r="Y617" s="255" t="n">
        <x:v>0.9264348875471662</x:v>
      </x:c>
      <x:c r="Z617" s="255" t="n">
        <x:v>0.23920021689056892</x:v>
      </x:c>
      <x:c r="AA617" s="255" t="n">
        <x:v>0.8603916262383245</x:v>
      </x:c>
      <x:c r="AB617" s="255" t="n">
        <x:v>0.16811252542251431</x:v>
      </x:c>
    </x:row>
    <x:row r="618" ht="24" customHeight="1">
      <x:c r="C618" s="256" t="n">
        <x:f>587</x:f>
        <x:v>587</x:v>
      </x:c>
      <x:c r="D618" s="258" t="n">
        <x:f>IF(X618&lt;($E$12-$D$12)/($F$12-$D$12),$D$12+SQRT(X618*($F$12-$D$12)*($E$12-$D$12)),$F$12-SQRT((1-X618)*($F$12-$D$12)*($F$12-$E$12)))</x:f>
        <x:v>0.12883114388152617</x:v>
      </x:c>
      <x:c r="E618" s="258" t="n">
        <x:f>IF(Y618&lt;($E$13-$D$13)/($F$13-$D$13),$D$13+SQRT(Y618*($F$13-$D$13)*($E$13-$D$13)),$F$13-SQRT((1-Y618)*($F$13-$D$13)*($F$13-$E$13)))</x:f>
        <x:v>-0.01263198984275956</x:v>
      </x:c>
      <x:c r="F618" s="260" t="n">
        <x:f>IF(Z618&lt;($E$14-$D$14)/($F$14-$D$14),$D$14+SQRT(Z618*($F$14-$D$14)*($E$14-$D$14)),$F$14-SQRT((1-Z618)*($F$14-$D$14)*($F$14-$E$14)))</x:f>
        <x:v>1.076090883805033</x:v>
      </x:c>
      <x:c r="G618" s="258" t="n">
        <x:f>IF(AA618&lt;($E$15-$D$15)/($F$15-$D$15),$D$15+SQRT(AA618*($F$15-$D$15)*($E$15-$D$15)),$F$15-SQRT((1-AA618)*($F$15-$D$15)*($F$15-$E$15)))</x:f>
        <x:v>0.09418583265132459</x:v>
      </x:c>
      <x:c r="H618" s="258" t="n">
        <x:f>IF(AB618&lt;($E$16-$D$16)/($F$16-$D$16),$D$16+SQRT(AB618*($F$16-$D$16)*($E$16-$D$16)),$F$16-SQRT((1-AB618)*($F$16-$D$16)*($F$16-$E$16)))</x:f>
        <x:v>0.03548378673935435</x:v>
      </x:c>
      <x:c r="I618" s="262" t="n">
        <x:f>'Historical Inputs'!$N$9*(1+D618)^5</x:f>
        <x:v>608236.3066427369</x:v>
      </x:c>
      <x:c r="J618" s="262" t="n">
        <x:f>I618*(1+H618)*('Terminal Value'!$E$10+E618)*(1-'Assumptions'!$E$15)*(1-H618/'Terminal Value'!$E$12)</x:f>
        <x:v>160549.18017774698</x:v>
      </x:c>
      <x:c r="K618" s="264" t="n">
        <x:f>((SUM((('Historical Inputs'!$N$9*(1+(D618))^1)*(('Assumptions'!E37+(E618))*(1-'Assumptions'!E42-(0))+'Assumptions'!E47-'Assumptions'!E52*(F618)+'Assumptions'!E57-'Assumptions'!E62*(1)-'Assumptions'!E67-(0))+('Working Capital'!$E$6))*'DCF'!E12/(1+(G618))^'DCF'!E13,(('Historical Inputs'!$N$9*(1+(D618))^2)*(('Assumptions'!F37+(E618))*(1-'Assumptions'!F42-(0))+'Assumptions'!F47-'Assumptions'!F52*(F618)+'Assumptions'!F57-'Assumptions'!F62*(1)-'Assumptions'!F67-(0))+(('Historical Inputs'!$N$9*(1+(D618))^1)*('Assumptions'!E67+(0))))*'DCF'!F12/(1+(G618))^'DCF'!F13,(('Historical Inputs'!$N$9*(1+(D618))^3)*(('Assumptions'!G37+(E618))*(1-'Assumptions'!G42-(0))+'Assumptions'!G47-'Assumptions'!G52*(F618)+'Assumptions'!G57-'Assumptions'!G62*(1)-'Assumptions'!G67-(0))+(('Historical Inputs'!$N$9*(1+(D618))^2)*('Assumptions'!F67+(0))))*'DCF'!G12/(1+(G618))^'DCF'!G13,(('Historical Inputs'!$N$9*(1+(D618))^4)*(('Assumptions'!H37+(E618))*(1-'Assumptions'!H42-(0))+'Assumptions'!H47-'Assumptions'!H52*(F618)+'Assumptions'!H57-'Assumptions'!H62*(1)-'Assumptions'!H67-(0))+(('Historical Inputs'!$N$9*(1+(D618))^3)*('Assumptions'!G67+(0))))*'DCF'!H12/(1+(G618))^'DCF'!H13,(('Historical Inputs'!$N$9*(1+(D618))^5)*(('Assumptions'!I37+(E618))*(1-'Assumptions'!I42-(0))+'Assumptions'!I47-'Assumptions'!I52*(F618)+'Assumptions'!I57-'Assumptions'!I62*(1)-'Assumptions'!I67-(0))+(('Historical Inputs'!$N$9*(1+(D618))^4)*('Assumptions'!H67+(0))))*'DCF'!I12/(1+(G618))^'DCF'!I13)+('Historical Inputs'!$N$9*(1+(D618))^5)*(1+(H618))*('Terminal Value'!$E$10+(E618))*(1-'Assumptions'!$E$15-(0))*(1-(H618)/('Terminal Value'!$E$12))/((G618)-(H618))/(1+(G618))^'DCF'!$E$19)+'Equity Bridge'!$E$17)/'Equity Bridge'!$E$20</x:f>
        <x:v>286.4504744135469</x:v>
      </x:c>
      <x:c r="X618" s="255" t="n">
        <x:v>0.2531036320034782</x:v>
      </x:c>
      <x:c r="Y618" s="255" t="n">
        <x:v>0.27927363662232496</x:v>
      </x:c>
      <x:c r="Z618" s="255" t="n">
        <x:v>0.7806647274826023</x:v>
      </x:c>
      <x:c r="AA618" s="255" t="n">
        <x:v>0.2711161352082032</x:v>
      </x:c>
      <x:c r="AB618" s="255" t="n">
        <x:v>0.8980190889218419</x:v>
      </x:c>
    </x:row>
    <x:row r="619" ht="24" customHeight="1">
      <x:c r="C619" s="256" t="n">
        <x:f>588</x:f>
        <x:v>588</x:v>
      </x:c>
      <x:c r="D619" s="258" t="n">
        <x:f>IF(X619&lt;($E$12-$D$12)/($F$12-$D$12),$D$12+SQRT(X619*($F$12-$D$12)*($E$12-$D$12)),$F$12-SQRT((1-X619)*($F$12-$D$12)*($F$12-$E$12)))</x:f>
        <x:v>0.15251785813514124</x:v>
      </x:c>
      <x:c r="E619" s="258" t="n">
        <x:f>IF(Y619&lt;($E$13-$D$13)/($F$13-$D$13),$D$13+SQRT(Y619*($F$13-$D$13)*($E$13-$D$13)),$F$13-SQRT((1-Y619)*($F$13-$D$13)*($F$13-$E$13)))</x:f>
        <x:v>0.006992379669701017</x:v>
      </x:c>
      <x:c r="F619" s="260" t="n">
        <x:f>IF(Z619&lt;($E$14-$D$14)/($F$14-$D$14),$D$14+SQRT(Z619*($F$14-$D$14)*($E$14-$D$14)),$F$14-SQRT((1-Z619)*($F$14-$D$14)*($F$14-$E$14)))</x:f>
        <x:v>1.1295028685319288</x:v>
      </x:c>
      <x:c r="G619" s="258" t="n">
        <x:f>IF(AA619&lt;($E$15-$D$15)/($F$15-$D$15),$D$15+SQRT(AA619*($F$15-$D$15)*($E$15-$D$15)),$F$15-SQRT((1-AA619)*($F$15-$D$15)*($F$15-$E$15)))</x:f>
        <x:v>0.10127189696290766</x:v>
      </x:c>
      <x:c r="H619" s="258" t="n">
        <x:f>IF(AB619&lt;($E$16-$D$16)/($F$16-$D$16),$D$16+SQRT(AB619*($F$16-$D$16)*($E$16-$D$16)),$F$16-SQRT((1-AB619)*($F$16-$D$16)*($F$16-$E$16)))</x:f>
        <x:v>0.02464950497172104</x:v>
      </x:c>
      <x:c r="I619" s="262" t="n">
        <x:f>'Historical Inputs'!$N$9*(1+D619)^5</x:f>
        <x:v>674785.5023125318</x:v>
      </x:c>
      <x:c r="J619" s="262" t="n">
        <x:f>I619*(1+H619)*('Terminal Value'!$E$10+E619)*(1-'Assumptions'!$E$15)*(1-H619/'Terminal Value'!$E$12)</x:f>
        <x:v>197375.99992599274</x:v>
      </x:c>
      <x:c r="K619" s="264" t="n">
        <x:f>((SUM((('Historical Inputs'!$N$9*(1+(D619))^1)*(('Assumptions'!E37+(E619))*(1-'Assumptions'!E42-(0))+'Assumptions'!E47-'Assumptions'!E52*(F619)+'Assumptions'!E57-'Assumptions'!E62*(1)-'Assumptions'!E67-(0))+('Working Capital'!$E$6))*'DCF'!E12/(1+(G619))^'DCF'!E13,(('Historical Inputs'!$N$9*(1+(D619))^2)*(('Assumptions'!F37+(E619))*(1-'Assumptions'!F42-(0))+'Assumptions'!F47-'Assumptions'!F52*(F619)+'Assumptions'!F57-'Assumptions'!F62*(1)-'Assumptions'!F67-(0))+(('Historical Inputs'!$N$9*(1+(D619))^1)*('Assumptions'!E67+(0))))*'DCF'!F12/(1+(G619))^'DCF'!F13,(('Historical Inputs'!$N$9*(1+(D619))^3)*(('Assumptions'!G37+(E619))*(1-'Assumptions'!G42-(0))+'Assumptions'!G47-'Assumptions'!G52*(F619)+'Assumptions'!G57-'Assumptions'!G62*(1)-'Assumptions'!G67-(0))+(('Historical Inputs'!$N$9*(1+(D619))^2)*('Assumptions'!F67+(0))))*'DCF'!G12/(1+(G619))^'DCF'!G13,(('Historical Inputs'!$N$9*(1+(D619))^4)*(('Assumptions'!H37+(E619))*(1-'Assumptions'!H42-(0))+'Assumptions'!H47-'Assumptions'!H52*(F619)+'Assumptions'!H57-'Assumptions'!H62*(1)-'Assumptions'!H67-(0))+(('Historical Inputs'!$N$9*(1+(D619))^3)*('Assumptions'!G67+(0))))*'DCF'!H12/(1+(G619))^'DCF'!H13,(('Historical Inputs'!$N$9*(1+(D619))^5)*(('Assumptions'!I37+(E619))*(1-'Assumptions'!I42-(0))+'Assumptions'!I47-'Assumptions'!I52*(F619)+'Assumptions'!I57-'Assumptions'!I62*(1)-'Assumptions'!I67-(0))+(('Historical Inputs'!$N$9*(1+(D619))^4)*('Assumptions'!H67+(0))))*'DCF'!I12/(1+(G619))^'DCF'!I13)+('Historical Inputs'!$N$9*(1+(D619))^5)*(1+(H619))*('Terminal Value'!$E$10+(E619))*(1-'Assumptions'!$E$15-(0))*(1-(H619)/('Terminal Value'!$E$12))/((G619)-(H619))/(1+(G619))^'DCF'!$E$19)+'Equity Bridge'!$E$17)/'Equity Bridge'!$E$20</x:f>
        <x:v>269.1616200890411</x:v>
      </x:c>
      <x:c r="X619" s="255" t="n">
        <x:v>0.6680641083529484</x:v>
      </x:c>
      <x:c r="Y619" s="255" t="n">
        <x:v>0.6300689187049707</x:v>
      </x:c>
      <x:c r="Z619" s="255" t="n">
        <x:v>0.9290022064967641</x:v>
      </x:c>
      <x:c r="AA619" s="255" t="n">
        <x:v>0.6869763657704032</x:v>
      </x:c>
      <x:c r="AB619" s="255" t="n">
        <x:v>0.10808948241029337</x:v>
      </x:c>
    </x:row>
    <x:row r="620" ht="24" customHeight="1">
      <x:c r="C620" s="256" t="n">
        <x:f>589</x:f>
        <x:v>589</x:v>
      </x:c>
      <x:c r="D620" s="258" t="n">
        <x:f>IF(X620&lt;($E$12-$D$12)/($F$12-$D$12),$D$12+SQRT(X620*($F$12-$D$12)*($E$12-$D$12)),$F$12-SQRT((1-X620)*($F$12-$D$12)*($F$12-$E$12)))</x:f>
        <x:v>0.16287027738057652</x:v>
      </x:c>
      <x:c r="E620" s="258" t="n">
        <x:f>IF(Y620&lt;($E$13-$D$13)/($F$13-$D$13),$D$13+SQRT(Y620*($F$13-$D$13)*($E$13-$D$13)),$F$13-SQRT((1-Y620)*($F$13-$D$13)*($F$13-$E$13)))</x:f>
        <x:v>0.015486707198885993</x:v>
      </x:c>
      <x:c r="F620" s="260" t="n">
        <x:f>IF(Z620&lt;($E$14-$D$14)/($F$14-$D$14),$D$14+SQRT(Z620*($F$14-$D$14)*($E$14-$D$14)),$F$14-SQRT((1-Z620)*($F$14-$D$14)*($F$14-$E$14)))</x:f>
        <x:v>1.0487617979115675</x:v>
      </x:c>
      <x:c r="G620" s="258" t="n">
        <x:f>IF(AA620&lt;($E$15-$D$15)/($F$15-$D$15),$D$15+SQRT(AA620*($F$15-$D$15)*($E$15-$D$15)),$F$15-SQRT((1-AA620)*($F$15-$D$15)*($F$15-$E$15)))</x:f>
        <x:v>0.0937605455060684</x:v>
      </x:c>
      <x:c r="H620" s="258" t="n">
        <x:f>IF(AB620&lt;($E$16-$D$16)/($F$16-$D$16),$D$16+SQRT(AB620*($F$16-$D$16)*($E$16-$D$16)),$F$16-SQRT((1-AB620)*($F$16-$D$16)*($F$16-$E$16)))</x:f>
        <x:v>0.03207341346120196</x:v>
      </x:c>
      <x:c r="I620" s="262" t="n">
        <x:f>'Historical Inputs'!$N$9*(1+D620)^5</x:f>
        <x:v>705640.9517737161</x:v>
      </x:c>
      <x:c r="J620" s="262" t="n">
        <x:f>I620*(1+H620)*('Terminal Value'!$E$10+E620)*(1-'Assumptions'!$E$15)*(1-H620/'Terminal Value'!$E$12)</x:f>
        <x:v>203250.18659583997</x:v>
      </x:c>
      <x:c r="K620" s="264" t="n">
        <x:f>((SUM((('Historical Inputs'!$N$9*(1+(D620))^1)*(('Assumptions'!E37+(E620))*(1-'Assumptions'!E42-(0))+'Assumptions'!E47-'Assumptions'!E52*(F620)+'Assumptions'!E57-'Assumptions'!E62*(1)-'Assumptions'!E67-(0))+('Working Capital'!$E$6))*'DCF'!E12/(1+(G620))^'DCF'!E13,(('Historical Inputs'!$N$9*(1+(D620))^2)*(('Assumptions'!F37+(E620))*(1-'Assumptions'!F42-(0))+'Assumptions'!F47-'Assumptions'!F52*(F620)+'Assumptions'!F57-'Assumptions'!F62*(1)-'Assumptions'!F67-(0))+(('Historical Inputs'!$N$9*(1+(D620))^1)*('Assumptions'!E67+(0))))*'DCF'!F12/(1+(G620))^'DCF'!F13,(('Historical Inputs'!$N$9*(1+(D620))^3)*(('Assumptions'!G37+(E620))*(1-'Assumptions'!G42-(0))+'Assumptions'!G47-'Assumptions'!G52*(F620)+'Assumptions'!G57-'Assumptions'!G62*(1)-'Assumptions'!G67-(0))+(('Historical Inputs'!$N$9*(1+(D620))^2)*('Assumptions'!F67+(0))))*'DCF'!G12/(1+(G620))^'DCF'!G13,(('Historical Inputs'!$N$9*(1+(D620))^4)*(('Assumptions'!H37+(E620))*(1-'Assumptions'!H42-(0))+'Assumptions'!H47-'Assumptions'!H52*(F620)+'Assumptions'!H57-'Assumptions'!H62*(1)-'Assumptions'!H67-(0))+(('Historical Inputs'!$N$9*(1+(D620))^3)*('Assumptions'!G67+(0))))*'DCF'!H12/(1+(G620))^'DCF'!H13,(('Historical Inputs'!$N$9*(1+(D620))^5)*(('Assumptions'!I37+(E620))*(1-'Assumptions'!I42-(0))+'Assumptions'!I47-'Assumptions'!I52*(F620)+'Assumptions'!I57-'Assumptions'!I62*(1)-'Assumptions'!I67-(0))+(('Historical Inputs'!$N$9*(1+(D620))^4)*('Assumptions'!H67+(0))))*'DCF'!I12/(1+(G620))^'DCF'!I13)+('Historical Inputs'!$N$9*(1+(D620))^5)*(1+(H620))*('Terminal Value'!$E$10+(E620))*(1-'Assumptions'!$E$15-(0))*(1-(H620)/('Terminal Value'!$E$12))/((G620)-(H620))/(1+(G620))^'DCF'!$E$19)+'Equity Bridge'!$E$17)/'Equity Bridge'!$E$20</x:f>
        <x:v>349.64209780469116</x:v>
      </x:c>
      <x:c r="X620" s="255" t="n">
        <x:v>0.8153291524010078</x:v>
      </x:c>
      <x:c r="Y620" s="255" t="n">
        <x:v>0.7617665240049144</x:v>
      </x:c>
      <x:c r="Z620" s="255" t="n">
        <x:v>0.6732429461294069</x:v>
      </x:c>
      <x:c r="AA620" s="255" t="n">
        <x:v>0.25064031741899007</x:v>
      </x:c>
      <x:c r="AB620" s="255" t="n">
        <x:v>0.6858461292147289</x:v>
      </x:c>
    </x:row>
    <x:row r="621" ht="24" customHeight="1">
      <x:c r="C621" s="256" t="n">
        <x:f>590</x:f>
        <x:v>590</x:v>
      </x:c>
      <x:c r="D621" s="258" t="n">
        <x:f>IF(X621&lt;($E$12-$D$12)/($F$12-$D$12),$D$12+SQRT(X621*($F$12-$D$12)*($E$12-$D$12)),$F$12-SQRT((1-X621)*($F$12-$D$12)*($F$12-$E$12)))</x:f>
        <x:v>0.10831974440131341</x:v>
      </x:c>
      <x:c r="E621" s="258" t="n">
        <x:f>IF(Y621&lt;($E$13-$D$13)/($F$13-$D$13),$D$13+SQRT(Y621*($F$13-$D$13)*($E$13-$D$13)),$F$13-SQRT((1-Y621)*($F$13-$D$13)*($F$13-$E$13)))</x:f>
        <x:v>-0.02835770464780479</x:v>
      </x:c>
      <x:c r="F621" s="260" t="n">
        <x:f>IF(Z621&lt;($E$14-$D$14)/($F$14-$D$14),$D$14+SQRT(Z621*($F$14-$D$14)*($E$14-$D$14)),$F$14-SQRT((1-Z621)*($F$14-$D$14)*($F$14-$E$14)))</x:f>
        <x:v>0.9624767086132936</x:v>
      </x:c>
      <x:c r="G621" s="258" t="n">
        <x:f>IF(AA621&lt;($E$15-$D$15)/($F$15-$D$15),$D$15+SQRT(AA621*($F$15-$D$15)*($E$15-$D$15)),$F$15-SQRT((1-AA621)*($F$15-$D$15)*($F$15-$E$15)))</x:f>
        <x:v>0.09902829109166217</x:v>
      </x:c>
      <x:c r="H621" s="258" t="n">
        <x:f>IF(AB621&lt;($E$16-$D$16)/($F$16-$D$16),$D$16+SQRT(AB621*($F$16-$D$16)*($E$16-$D$16)),$F$16-SQRT((1-AB621)*($F$16-$D$16)*($F$16-$E$16)))</x:f>
        <x:v>0.028368087436859955</x:v>
      </x:c>
      <x:c r="I621" s="262" t="n">
        <x:f>'Historical Inputs'!$N$9*(1+D621)^5</x:f>
        <x:v>554948.6211219729</x:v>
      </x:c>
      <x:c r="J621" s="262" t="n">
        <x:f>I621*(1+H621)*('Terminal Value'!$E$10+E621)*(1-'Assumptions'!$E$15)*(1-H621/'Terminal Value'!$E$12)</x:f>
        <x:v>145607.76467591626</x:v>
      </x:c>
      <x:c r="K621" s="264" t="n">
        <x:f>((SUM((('Historical Inputs'!$N$9*(1+(D621))^1)*(('Assumptions'!E37+(E621))*(1-'Assumptions'!E42-(0))+'Assumptions'!E47-'Assumptions'!E52*(F621)+'Assumptions'!E57-'Assumptions'!E62*(1)-'Assumptions'!E67-(0))+('Working Capital'!$E$6))*'DCF'!E12/(1+(G621))^'DCF'!E13,(('Historical Inputs'!$N$9*(1+(D621))^2)*(('Assumptions'!F37+(E621))*(1-'Assumptions'!F42-(0))+'Assumptions'!F47-'Assumptions'!F52*(F621)+'Assumptions'!F57-'Assumptions'!F62*(1)-'Assumptions'!F67-(0))+(('Historical Inputs'!$N$9*(1+(D621))^1)*('Assumptions'!E67+(0))))*'DCF'!F12/(1+(G621))^'DCF'!F13,(('Historical Inputs'!$N$9*(1+(D621))^3)*(('Assumptions'!G37+(E621))*(1-'Assumptions'!G42-(0))+'Assumptions'!G47-'Assumptions'!G52*(F621)+'Assumptions'!G57-'Assumptions'!G62*(1)-'Assumptions'!G67-(0))+(('Historical Inputs'!$N$9*(1+(D621))^2)*('Assumptions'!F67+(0))))*'DCF'!G12/(1+(G621))^'DCF'!G13,(('Historical Inputs'!$N$9*(1+(D621))^4)*(('Assumptions'!H37+(E621))*(1-'Assumptions'!H42-(0))+'Assumptions'!H47-'Assumptions'!H52*(F621)+'Assumptions'!H57-'Assumptions'!H62*(1)-'Assumptions'!H67-(0))+(('Historical Inputs'!$N$9*(1+(D621))^3)*('Assumptions'!G67+(0))))*'DCF'!H12/(1+(G621))^'DCF'!H13,(('Historical Inputs'!$N$9*(1+(D621))^5)*(('Assumptions'!I37+(E621))*(1-'Assumptions'!I42-(0))+'Assumptions'!I47-'Assumptions'!I52*(F621)+'Assumptions'!I57-'Assumptions'!I62*(1)-'Assumptions'!I67-(0))+(('Historical Inputs'!$N$9*(1+(D621))^4)*('Assumptions'!H67+(0))))*'DCF'!I12/(1+(G621))^'DCF'!I13)+('Historical Inputs'!$N$9*(1+(D621))^5)*(1+(H621))*('Terminal Value'!$E$10+(E621))*(1-'Assumptions'!$E$15-(0))*(1-(H621)/('Terminal Value'!$E$12))/((G621)-(H621))/(1+(G621))^'DCF'!$E$19)+'Equity Bridge'!$E$17)/'Equity Bridge'!$E$20</x:f>
        <x:v>223.59524942333036</x:v>
      </x:c>
      <x:c r="X621" s="255" t="n">
        <x:v>0.04537712227582558</x:v>
      </x:c>
      <x:c r="Y621" s="255" t="n">
        <x:v>0.09367778962233009</x:v>
      </x:c>
      <x:c r="Z621" s="255" t="n">
        <x:v>0.24097161867580508</x:v>
      </x:c>
      <x:c r="AA621" s="255" t="n">
        <x:v>0.5574427753222908</x:v>
      </x:c>
      <x:c r="AB621" s="255" t="n">
        <x:v>0.3501244367546671</x:v>
      </x:c>
    </x:row>
    <x:row r="622" ht="24" customHeight="1">
      <x:c r="C622" s="256" t="n">
        <x:f>591</x:f>
        <x:v>591</x:v>
      </x:c>
      <x:c r="D622" s="258" t="n">
        <x:f>IF(X622&lt;($E$12-$D$12)/($F$12-$D$12),$D$12+SQRT(X622*($F$12-$D$12)*($E$12-$D$12)),$F$12-SQRT((1-X622)*($F$12-$D$12)*($F$12-$E$12)))</x:f>
        <x:v>0.11291203630042355</x:v>
      </x:c>
      <x:c r="E622" s="258" t="n">
        <x:f>IF(Y622&lt;($E$13-$D$13)/($F$13-$D$13),$D$13+SQRT(Y622*($F$13-$D$13)*($E$13-$D$13)),$F$13-SQRT((1-Y622)*($F$13-$D$13)*($F$13-$E$13)))</x:f>
        <x:v>0.0392889380465657</x:v>
      </x:c>
      <x:c r="F622" s="260" t="n">
        <x:f>IF(Z622&lt;($E$14-$D$14)/($F$14-$D$14),$D$14+SQRT(Z622*($F$14-$D$14)*($E$14-$D$14)),$F$14-SQRT((1-Z622)*($F$14-$D$14)*($F$14-$E$14)))</x:f>
        <x:v>1.066627501032889</x:v>
      </x:c>
      <x:c r="G622" s="258" t="n">
        <x:f>IF(AA622&lt;($E$15-$D$15)/($F$15-$D$15),$D$15+SQRT(AA622*($F$15-$D$15)*($E$15-$D$15)),$F$15-SQRT((1-AA622)*($F$15-$D$15)*($F$15-$E$15)))</x:f>
        <x:v>0.09574310659409016</x:v>
      </x:c>
      <x:c r="H622" s="258" t="n">
        <x:f>IF(AB622&lt;($E$16-$D$16)/($F$16-$D$16),$D$16+SQRT(AB622*($F$16-$D$16)*($E$16-$D$16)),$F$16-SQRT((1-AB622)*($F$16-$D$16)*($F$16-$E$16)))</x:f>
        <x:v>0.032436578858432485</x:v>
      </x:c>
      <x:c r="I622" s="262" t="n">
        <x:f>'Historical Inputs'!$N$9*(1+D622)^5</x:f>
        <x:v>566541.3628368366</x:v>
      </x:c>
      <x:c r="J622" s="262" t="n">
        <x:f>I622*(1+H622)*('Terminal Value'!$E$10+E622)*(1-'Assumptions'!$E$15)*(1-H622/'Terminal Value'!$E$12)</x:f>
        <x:v>172220.35625846154</x:v>
      </x:c>
      <x:c r="K622" s="264" t="n">
        <x:f>((SUM((('Historical Inputs'!$N$9*(1+(D622))^1)*(('Assumptions'!E37+(E622))*(1-'Assumptions'!E42-(0))+'Assumptions'!E47-'Assumptions'!E52*(F622)+'Assumptions'!E57-'Assumptions'!E62*(1)-'Assumptions'!E67-(0))+('Working Capital'!$E$6))*'DCF'!E12/(1+(G622))^'DCF'!E13,(('Historical Inputs'!$N$9*(1+(D622))^2)*(('Assumptions'!F37+(E622))*(1-'Assumptions'!F42-(0))+'Assumptions'!F47-'Assumptions'!F52*(F622)+'Assumptions'!F57-'Assumptions'!F62*(1)-'Assumptions'!F67-(0))+(('Historical Inputs'!$N$9*(1+(D622))^1)*('Assumptions'!E67+(0))))*'DCF'!F12/(1+(G622))^'DCF'!F13,(('Historical Inputs'!$N$9*(1+(D622))^3)*(('Assumptions'!G37+(E622))*(1-'Assumptions'!G42-(0))+'Assumptions'!G47-'Assumptions'!G52*(F622)+'Assumptions'!G57-'Assumptions'!G62*(1)-'Assumptions'!G67-(0))+(('Historical Inputs'!$N$9*(1+(D622))^2)*('Assumptions'!F67+(0))))*'DCF'!G12/(1+(G622))^'DCF'!G13,(('Historical Inputs'!$N$9*(1+(D622))^4)*(('Assumptions'!H37+(E622))*(1-'Assumptions'!H42-(0))+'Assumptions'!H47-'Assumptions'!H52*(F622)+'Assumptions'!H57-'Assumptions'!H62*(1)-'Assumptions'!H67-(0))+(('Historical Inputs'!$N$9*(1+(D622))^3)*('Assumptions'!G67+(0))))*'DCF'!H12/(1+(G622))^'DCF'!H13,(('Historical Inputs'!$N$9*(1+(D622))^5)*(('Assumptions'!I37+(E622))*(1-'Assumptions'!I42-(0))+'Assumptions'!I47-'Assumptions'!I52*(F622)+'Assumptions'!I57-'Assumptions'!I62*(1)-'Assumptions'!I67-(0))+(('Historical Inputs'!$N$9*(1+(D622))^4)*('Assumptions'!H67+(0))))*'DCF'!I12/(1+(G622))^'DCF'!I13)+('Historical Inputs'!$N$9*(1+(D622))^5)*(1+(H622))*('Terminal Value'!$E$10+(E622))*(1-'Assumptions'!$E$15-(0))*(1-(H622)/('Terminal Value'!$E$12))/((G622)-(H622))/(1+(G622))^'DCF'!$E$19)+'Equity Bridge'!$E$17)/'Equity Bridge'!$E$20</x:f>
        <x:v>291.3871395456652</x:v>
      </x:c>
      <x:c r="X622" s="255" t="n">
        <x:v>0.07726391879750882</x:v>
      </x:c>
      <x:c r="Y622" s="255" t="n">
        <x:v>0.9770546303659384</x:v>
      </x:c>
      <x:c r="Z622" s="255" t="n">
        <x:v>0.7458825217038277</x:v>
      </x:c>
      <x:c r="AA622" s="255" t="n">
        <x:v>0.3529533056223044</x:v>
      </x:c>
      <x:c r="AB622" s="255" t="n">
        <x:v>0.713973303176448</x:v>
      </x:c>
    </x:row>
    <x:row r="623" ht="24" customHeight="1">
      <x:c r="C623" s="256" t="n">
        <x:f>592</x:f>
        <x:v>592</x:v>
      </x:c>
      <x:c r="D623" s="258" t="n">
        <x:f>IF(X623&lt;($E$12-$D$12)/($F$12-$D$12),$D$12+SQRT(X623*($F$12-$D$12)*($E$12-$D$12)),$F$12-SQRT((1-X623)*($F$12-$D$12)*($F$12-$E$12)))</x:f>
        <x:v>0.11711071023132202</x:v>
      </x:c>
      <x:c r="E623" s="258" t="n">
        <x:f>IF(Y623&lt;($E$13-$D$13)/($F$13-$D$13),$D$13+SQRT(Y623*($F$13-$D$13)*($E$13-$D$13)),$F$13-SQRT((1-Y623)*($F$13-$D$13)*($F$13-$E$13)))</x:f>
        <x:v>-0.024142678190674036</x:v>
      </x:c>
      <x:c r="F623" s="260" t="n">
        <x:f>IF(Z623&lt;($E$14-$D$14)/($F$14-$D$14),$D$14+SQRT(Z623*($F$14-$D$14)*($E$14-$D$14)),$F$14-SQRT((1-Z623)*($F$14-$D$14)*($F$14-$E$14)))</x:f>
        <x:v>0.9364398311653319</x:v>
      </x:c>
      <x:c r="G623" s="258" t="n">
        <x:f>IF(AA623&lt;($E$15-$D$15)/($F$15-$D$15),$D$15+SQRT(AA623*($F$15-$D$15)*($E$15-$D$15)),$F$15-SQRT((1-AA623)*($F$15-$D$15)*($F$15-$E$15)))</x:f>
        <x:v>0.10695504669175662</x:v>
      </x:c>
      <x:c r="H623" s="258" t="n">
        <x:f>IF(AB623&lt;($E$16-$D$16)/($F$16-$D$16),$D$16+SQRT(AB623*($F$16-$D$16)*($E$16-$D$16)),$F$16-SQRT((1-AB623)*($F$16-$D$16)*($F$16-$E$16)))</x:f>
        <x:v>0.031853432122216876</x:v>
      </x:c>
      <x:c r="I623" s="262" t="n">
        <x:f>'Historical Inputs'!$N$9*(1+D623)^5</x:f>
        <x:v>577309.2339121585</x:v>
      </x:c>
      <x:c r="J623" s="262" t="n">
        <x:f>I623*(1+H623)*('Terminal Value'!$E$10+E623)*(1-'Assumptions'!$E$15)*(1-H623/'Terminal Value'!$E$12)</x:f>
        <x:v>150590.4844239513</x:v>
      </x:c>
      <x:c r="K623" s="264" t="n">
        <x:f>((SUM((('Historical Inputs'!$N$9*(1+(D623))^1)*(('Assumptions'!E37+(E623))*(1-'Assumptions'!E42-(0))+'Assumptions'!E47-'Assumptions'!E52*(F623)+'Assumptions'!E57-'Assumptions'!E62*(1)-'Assumptions'!E67-(0))+('Working Capital'!$E$6))*'DCF'!E12/(1+(G623))^'DCF'!E13,(('Historical Inputs'!$N$9*(1+(D623))^2)*(('Assumptions'!F37+(E623))*(1-'Assumptions'!F42-(0))+'Assumptions'!F47-'Assumptions'!F52*(F623)+'Assumptions'!F57-'Assumptions'!F62*(1)-'Assumptions'!F67-(0))+(('Historical Inputs'!$N$9*(1+(D623))^1)*('Assumptions'!E67+(0))))*'DCF'!F12/(1+(G623))^'DCF'!F13,(('Historical Inputs'!$N$9*(1+(D623))^3)*(('Assumptions'!G37+(E623))*(1-'Assumptions'!G42-(0))+'Assumptions'!G47-'Assumptions'!G52*(F623)+'Assumptions'!G57-'Assumptions'!G62*(1)-'Assumptions'!G67-(0))+(('Historical Inputs'!$N$9*(1+(D623))^2)*('Assumptions'!F67+(0))))*'DCF'!G12/(1+(G623))^'DCF'!G13,(('Historical Inputs'!$N$9*(1+(D623))^4)*(('Assumptions'!H37+(E623))*(1-'Assumptions'!H42-(0))+'Assumptions'!H47-'Assumptions'!H52*(F623)+'Assumptions'!H57-'Assumptions'!H62*(1)-'Assumptions'!H67-(0))+(('Historical Inputs'!$N$9*(1+(D623))^3)*('Assumptions'!G67+(0))))*'DCF'!H12/(1+(G623))^'DCF'!H13,(('Historical Inputs'!$N$9*(1+(D623))^5)*(('Assumptions'!I37+(E623))*(1-'Assumptions'!I42-(0))+'Assumptions'!I47-'Assumptions'!I52*(F623)+'Assumptions'!I57-'Assumptions'!I62*(1)-'Assumptions'!I67-(0))+(('Historical Inputs'!$N$9*(1+(D623))^4)*('Assumptions'!H67+(0))))*'DCF'!I12/(1+(G623))^'DCF'!I13)+('Historical Inputs'!$N$9*(1+(D623))^5)*(1+(H623))*('Terminal Value'!$E$10+(E623))*(1-'Assumptions'!$E$15-(0))*(1-(H623)/('Terminal Value'!$E$12))/((G623)-(H623))/(1+(G623))^'DCF'!$E$19)+'Equity Bridge'!$E$17)/'Equity Bridge'!$E$20</x:f>
        <x:v>215.75940340765973</x:v>
      </x:c>
      <x:c r="X623" s="255" t="n">
        <x:v>0.11379969010709146</x:v>
      </x:c>
      <x:c r="Y623" s="255" t="n">
        <x:v>0.13372021823020885</x:v>
      </x:c>
      <x:c r="Z623" s="255" t="n">
        <x:v>0.14232084594078276</x:v>
      </x:c>
      <x:c r="AA623" s="255" t="n">
        <x:v>0.9149817429843636</x:v>
      </x:c>
      <x:c r="AB623" s="255" t="n">
        <x:v>0.6681671590633607</x:v>
      </x:c>
    </x:row>
    <x:row r="624" ht="24" customHeight="1">
      <x:c r="C624" s="256" t="n">
        <x:f>593</x:f>
        <x:v>593</x:v>
      </x:c>
      <x:c r="D624" s="258" t="n">
        <x:f>IF(X624&lt;($E$12-$D$12)/($F$12-$D$12),$D$12+SQRT(X624*($F$12-$D$12)*($E$12-$D$12)),$F$12-SQRT((1-X624)*($F$12-$D$12)*($F$12-$E$12)))</x:f>
        <x:v>0.14639569567114047</x:v>
      </x:c>
      <x:c r="E624" s="258" t="n">
        <x:f>IF(Y624&lt;($E$13-$D$13)/($F$13-$D$13),$D$13+SQRT(Y624*($F$13-$D$13)*($E$13-$D$13)),$F$13-SQRT((1-Y624)*($F$13-$D$13)*($F$13-$E$13)))</x:f>
        <x:v>-0.008028160457060243</x:v>
      </x:c>
      <x:c r="F624" s="260" t="n">
        <x:f>IF(Z624&lt;($E$14-$D$14)/($F$14-$D$14),$D$14+SQRT(Z624*($F$14-$D$14)*($E$14-$D$14)),$F$14-SQRT((1-Z624)*($F$14-$D$14)*($F$14-$E$14)))</x:f>
        <x:v>1.0232754166373168</x:v>
      </x:c>
      <x:c r="G624" s="258" t="n">
        <x:f>IF(AA624&lt;($E$15-$D$15)/($F$15-$D$15),$D$15+SQRT(AA624*($F$15-$D$15)*($E$15-$D$15)),$F$15-SQRT((1-AA624)*($F$15-$D$15)*($F$15-$E$15)))</x:f>
        <x:v>0.0983917134852146</x:v>
      </x:c>
      <x:c r="H624" s="258" t="n">
        <x:f>IF(AB624&lt;($E$16-$D$16)/($F$16-$D$16),$D$16+SQRT(AB624*($F$16-$D$16)*($E$16-$D$16)),$F$16-SQRT((1-AB624)*($F$16-$D$16)*($F$16-$E$16)))</x:f>
        <x:v>0.030689531546660084</x:v>
      </x:c>
      <x:c r="I624" s="262" t="n">
        <x:f>'Historical Inputs'!$N$9*(1+D624)^5</x:f>
        <x:v>657052.6326920476</x:v>
      </x:c>
      <x:c r="J624" s="262" t="n">
        <x:f>I624*(1+H624)*('Terminal Value'!$E$10+E624)*(1-'Assumptions'!$E$15)*(1-H624/'Terminal Value'!$E$12)</x:f>
        <x:v>179773.92256377544</x:v>
      </x:c>
      <x:c r="K624" s="264" t="n">
        <x:f>((SUM((('Historical Inputs'!$N$9*(1+(D624))^1)*(('Assumptions'!E37+(E624))*(1-'Assumptions'!E42-(0))+'Assumptions'!E47-'Assumptions'!E52*(F624)+'Assumptions'!E57-'Assumptions'!E62*(1)-'Assumptions'!E67-(0))+('Working Capital'!$E$6))*'DCF'!E12/(1+(G624))^'DCF'!E13,(('Historical Inputs'!$N$9*(1+(D624))^2)*(('Assumptions'!F37+(E624))*(1-'Assumptions'!F42-(0))+'Assumptions'!F47-'Assumptions'!F52*(F624)+'Assumptions'!F57-'Assumptions'!F62*(1)-'Assumptions'!F67-(0))+(('Historical Inputs'!$N$9*(1+(D624))^1)*('Assumptions'!E67+(0))))*'DCF'!F12/(1+(G624))^'DCF'!F13,(('Historical Inputs'!$N$9*(1+(D624))^3)*(('Assumptions'!G37+(E624))*(1-'Assumptions'!G42-(0))+'Assumptions'!G47-'Assumptions'!G52*(F624)+'Assumptions'!G57-'Assumptions'!G62*(1)-'Assumptions'!G67-(0))+(('Historical Inputs'!$N$9*(1+(D624))^2)*('Assumptions'!F67+(0))))*'DCF'!G12/(1+(G624))^'DCF'!G13,(('Historical Inputs'!$N$9*(1+(D624))^4)*(('Assumptions'!H37+(E624))*(1-'Assumptions'!H42-(0))+'Assumptions'!H47-'Assumptions'!H52*(F624)+'Assumptions'!H57-'Assumptions'!H62*(1)-'Assumptions'!H67-(0))+(('Historical Inputs'!$N$9*(1+(D624))^3)*('Assumptions'!G67+(0))))*'DCF'!H12/(1+(G624))^'DCF'!H13,(('Historical Inputs'!$N$9*(1+(D624))^5)*(('Assumptions'!I37+(E624))*(1-'Assumptions'!I42-(0))+'Assumptions'!I47-'Assumptions'!I52*(F624)+'Assumptions'!I57-'Assumptions'!I62*(1)-'Assumptions'!I67-(0))+(('Historical Inputs'!$N$9*(1+(D624))^4)*('Assumptions'!H67+(0))))*'DCF'!I12/(1+(G624))^'DCF'!I13)+('Historical Inputs'!$N$9*(1+(D624))^5)*(1+(H624))*('Terminal Value'!$E$10+(E624))*(1-'Assumptions'!$E$15-(0))*(1-(H624)/('Terminal Value'!$E$12))/((G624)-(H624))/(1+(G624))^'DCF'!$E$19)+'Equity Bridge'!$E$17)/'Equity Bridge'!$E$20</x:f>
        <x:v>281.82358445128574</x:v>
      </x:c>
      <x:c r="X624" s="255" t="n">
        <x:v>0.5608032222005005</x:v>
      </x:c>
      <x:c r="Y624" s="255" t="n">
        <x:v>0.35232706292365623</x:v>
      </x:c>
      <x:c r="Z624" s="255" t="n">
        <x:v>0.5538345947898005</x:v>
      </x:c>
      <x:c r="AA624" s="255" t="n">
        <x:v>0.5166158931593247</x:v>
      </x:c>
      <x:c r="AB624" s="255" t="n">
        <x:v>0.5665758858968112</x:v>
      </x:c>
    </x:row>
    <x:row r="625" ht="24" customHeight="1">
      <x:c r="C625" s="256" t="n">
        <x:f>594</x:f>
        <x:v>594</x:v>
      </x:c>
      <x:c r="D625" s="258" t="n">
        <x:f>IF(X625&lt;($E$12-$D$12)/($F$12-$D$12),$D$12+SQRT(X625*($F$12-$D$12)*($E$12-$D$12)),$F$12-SQRT((1-X625)*($F$12-$D$12)*($F$12-$E$12)))</x:f>
        <x:v>0.15475078090395064</x:v>
      </x:c>
      <x:c r="E625" s="258" t="n">
        <x:f>IF(Y625&lt;($E$13-$D$13)/($F$13-$D$13),$D$13+SQRT(Y625*($F$13-$D$13)*($E$13-$D$13)),$F$13-SQRT((1-Y625)*($F$13-$D$13)*($F$13-$E$13)))</x:f>
        <x:v>0.003259756385296235</x:v>
      </x:c>
      <x:c r="F625" s="260" t="n">
        <x:f>IF(Z625&lt;($E$14-$D$14)/($F$14-$D$14),$D$14+SQRT(Z625*($F$14-$D$14)*($E$14-$D$14)),$F$14-SQRT((1-Z625)*($F$14-$D$14)*($F$14-$E$14)))</x:f>
        <x:v>0.9478708459621059</x:v>
      </x:c>
      <x:c r="G625" s="258" t="n">
        <x:f>IF(AA625&lt;($E$15-$D$15)/($F$15-$D$15),$D$15+SQRT(AA625*($F$15-$D$15)*($E$15-$D$15)),$F$15-SQRT((1-AA625)*($F$15-$D$15)*($F$15-$E$15)))</x:f>
        <x:v>0.10657339487659974</x:v>
      </x:c>
      <x:c r="H625" s="258" t="n">
        <x:f>IF(AB625&lt;($E$16-$D$16)/($F$16-$D$16),$D$16+SQRT(AB625*($F$16-$D$16)*($E$16-$D$16)),$F$16-SQRT((1-AB625)*($F$16-$D$16)*($F$16-$E$16)))</x:f>
        <x:v>0.030935172973209364</x:v>
      </x:c>
      <x:c r="I625" s="262" t="n">
        <x:f>'Historical Inputs'!$N$9*(1+D625)^5</x:f>
        <x:v>681347.6290768129</x:v>
      </x:c>
      <x:c r="J625" s="262" t="n">
        <x:f>I625*(1+H625)*('Terminal Value'!$E$10+E625)*(1-'Assumptions'!$E$15)*(1-H625/'Terminal Value'!$E$12)</x:f>
        <x:v>191557.0963004489</x:v>
      </x:c>
      <x:c r="K625" s="264" t="n">
        <x:f>((SUM((('Historical Inputs'!$N$9*(1+(D625))^1)*(('Assumptions'!E37+(E625))*(1-'Assumptions'!E42-(0))+'Assumptions'!E47-'Assumptions'!E52*(F625)+'Assumptions'!E57-'Assumptions'!E62*(1)-'Assumptions'!E67-(0))+('Working Capital'!$E$6))*'DCF'!E12/(1+(G625))^'DCF'!E13,(('Historical Inputs'!$N$9*(1+(D625))^2)*(('Assumptions'!F37+(E625))*(1-'Assumptions'!F42-(0))+'Assumptions'!F47-'Assumptions'!F52*(F625)+'Assumptions'!F57-'Assumptions'!F62*(1)-'Assumptions'!F67-(0))+(('Historical Inputs'!$N$9*(1+(D625))^1)*('Assumptions'!E67+(0))))*'DCF'!F12/(1+(G625))^'DCF'!F13,(('Historical Inputs'!$N$9*(1+(D625))^3)*(('Assumptions'!G37+(E625))*(1-'Assumptions'!G42-(0))+'Assumptions'!G47-'Assumptions'!G52*(F625)+'Assumptions'!G57-'Assumptions'!G62*(1)-'Assumptions'!G67-(0))+(('Historical Inputs'!$N$9*(1+(D625))^2)*('Assumptions'!F67+(0))))*'DCF'!G12/(1+(G625))^'DCF'!G13,(('Historical Inputs'!$N$9*(1+(D625))^4)*(('Assumptions'!H37+(E625))*(1-'Assumptions'!H42-(0))+'Assumptions'!H47-'Assumptions'!H52*(F625)+'Assumptions'!H57-'Assumptions'!H62*(1)-'Assumptions'!H67-(0))+(('Historical Inputs'!$N$9*(1+(D625))^3)*('Assumptions'!G67+(0))))*'DCF'!H12/(1+(G625))^'DCF'!H13,(('Historical Inputs'!$N$9*(1+(D625))^5)*(('Assumptions'!I37+(E625))*(1-'Assumptions'!I42-(0))+'Assumptions'!I47-'Assumptions'!I52*(F625)+'Assumptions'!I57-'Assumptions'!I62*(1)-'Assumptions'!I67-(0))+(('Historical Inputs'!$N$9*(1+(D625))^4)*('Assumptions'!H67+(0))))*'DCF'!I12/(1+(G625))^'DCF'!I13)+('Historical Inputs'!$N$9*(1+(D625))^5)*(1+(H625))*('Terminal Value'!$E$10+(E625))*(1-'Assumptions'!$E$15-(0))*(1-(H625)/('Terminal Value'!$E$12))/((G625)-(H625))/(1+(G625))^'DCF'!$E$19)+'Equity Bridge'!$E$17)/'Equity Bridge'!$E$20</x:f>
        <x:v>271.19842505619033</x:v>
      </x:c>
      <x:c r="X625" s="255" t="n">
        <x:v>0.7034538820097347</x:v>
      </x:c>
      <x:c r="Y625" s="255" t="n">
        <x:v>0.5630699253676288</x:v>
      </x:c>
      <x:c r="Z625" s="255" t="n">
        <x:v>0.18245147598739575</x:v>
      </x:c>
      <x:c r="AA625" s="255" t="n">
        <x:v>0.9041663267561483</x:v>
      </x:c>
      <x:c r="AB625" s="255" t="n">
        <x:v>0.5891445548718302</x:v>
      </x:c>
    </x:row>
    <x:row r="626" ht="24" customHeight="1">
      <x:c r="C626" s="256" t="n">
        <x:f>595</x:f>
        <x:v>595</x:v>
      </x:c>
      <x:c r="D626" s="258" t="n">
        <x:f>IF(X626&lt;($E$12-$D$12)/($F$12-$D$12),$D$12+SQRT(X626*($F$12-$D$12)*($E$12-$D$12)),$F$12-SQRT((1-X626)*($F$12-$D$12)*($F$12-$E$12)))</x:f>
        <x:v>0.14430941475348505</x:v>
      </x:c>
      <x:c r="E626" s="258" t="n">
        <x:f>IF(Y626&lt;($E$13-$D$13)/($F$13-$D$13),$D$13+SQRT(Y626*($F$13-$D$13)*($E$13-$D$13)),$F$13-SQRT((1-Y626)*($F$13-$D$13)*($F$13-$E$13)))</x:f>
        <x:v>0.004379406918685533</x:v>
      </x:c>
      <x:c r="F626" s="260" t="n">
        <x:f>IF(Z626&lt;($E$14-$D$14)/($F$14-$D$14),$D$14+SQRT(Z626*($F$14-$D$14)*($E$14-$D$14)),$F$14-SQRT((1-Z626)*($F$14-$D$14)*($F$14-$E$14)))</x:f>
        <x:v>0.9881432721692649</x:v>
      </x:c>
      <x:c r="G626" s="258" t="n">
        <x:f>IF(AA626&lt;($E$15-$D$15)/($F$15-$D$15),$D$15+SQRT(AA626*($F$15-$D$15)*($E$15-$D$15)),$F$15-SQRT((1-AA626)*($F$15-$D$15)*($F$15-$E$15)))</x:f>
        <x:v>0.09179381443526438</x:v>
      </x:c>
      <x:c r="H626" s="258" t="n">
        <x:f>IF(AB626&lt;($E$16-$D$16)/($F$16-$D$16),$D$16+SQRT(AB626*($F$16-$D$16)*($E$16-$D$16)),$F$16-SQRT((1-AB626)*($F$16-$D$16)*($F$16-$E$16)))</x:f>
        <x:v>0.039704585978070216</x:v>
      </x:c>
      <x:c r="I626" s="262" t="n">
        <x:f>'Historical Inputs'!$N$9*(1+D626)^5</x:f>
        <x:v>651095.6314214539</x:v>
      </x:c>
      <x:c r="J626" s="262" t="n">
        <x:f>I626*(1+H626)*('Terminal Value'!$E$10+E626)*(1-'Assumptions'!$E$15)*(1-H626/'Terminal Value'!$E$12)</x:f>
        <x:v>175519.2929983475</x:v>
      </x:c>
      <x:c r="K626" s="264" t="n">
        <x:f>((SUM((('Historical Inputs'!$N$9*(1+(D626))^1)*(('Assumptions'!E37+(E626))*(1-'Assumptions'!E42-(0))+'Assumptions'!E47-'Assumptions'!E52*(F626)+'Assumptions'!E57-'Assumptions'!E62*(1)-'Assumptions'!E67-(0))+('Working Capital'!$E$6))*'DCF'!E12/(1+(G626))^'DCF'!E13,(('Historical Inputs'!$N$9*(1+(D626))^2)*(('Assumptions'!F37+(E626))*(1-'Assumptions'!F42-(0))+'Assumptions'!F47-'Assumptions'!F52*(F626)+'Assumptions'!F57-'Assumptions'!F62*(1)-'Assumptions'!F67-(0))+(('Historical Inputs'!$N$9*(1+(D626))^1)*('Assumptions'!E67+(0))))*'DCF'!F12/(1+(G626))^'DCF'!F13,(('Historical Inputs'!$N$9*(1+(D626))^3)*(('Assumptions'!G37+(E626))*(1-'Assumptions'!G42-(0))+'Assumptions'!G47-'Assumptions'!G52*(F626)+'Assumptions'!G57-'Assumptions'!G62*(1)-'Assumptions'!G67-(0))+(('Historical Inputs'!$N$9*(1+(D626))^2)*('Assumptions'!F67+(0))))*'DCF'!G12/(1+(G626))^'DCF'!G13,(('Historical Inputs'!$N$9*(1+(D626))^4)*(('Assumptions'!H37+(E626))*(1-'Assumptions'!H42-(0))+'Assumptions'!H47-'Assumptions'!H52*(F626)+'Assumptions'!H57-'Assumptions'!H62*(1)-'Assumptions'!H67-(0))+(('Historical Inputs'!$N$9*(1+(D626))^3)*('Assumptions'!G67+(0))))*'DCF'!H12/(1+(G626))^'DCF'!H13,(('Historical Inputs'!$N$9*(1+(D626))^5)*(('Assumptions'!I37+(E626))*(1-'Assumptions'!I42-(0))+'Assumptions'!I47-'Assumptions'!I52*(F626)+'Assumptions'!I57-'Assumptions'!I62*(1)-'Assumptions'!I67-(0))+(('Historical Inputs'!$N$9*(1+(D626))^4)*('Assumptions'!H67+(0))))*'DCF'!I12/(1+(G626))^'DCF'!I13)+('Historical Inputs'!$N$9*(1+(D626))^5)*(1+(H626))*('Terminal Value'!$E$10+(E626))*(1-'Assumptions'!$E$15-(0))*(1-(H626)/('Terminal Value'!$E$12))/((G626)-(H626))/(1+(G626))^'DCF'!$E$19)+'Equity Bridge'!$E$17)/'Equity Bridge'!$E$20</x:f>
        <x:v>357.1774763794223</x:v>
      </x:c>
      <x:c r="X626" s="255" t="n">
        <x:v>0.5208263523738138</x:v>
      </x:c>
      <x:c r="Y626" s="255" t="n">
        <x:v>0.5837522973818244</x:v>
      </x:c>
      <x:c r="Z626" s="255" t="n">
        <x:v>0.3634964503929826</x:v>
      </x:c>
      <x:c r="AA626" s="255" t="n">
        <x:v>0.16640469525408264</x:v>
      </x:c>
      <x:c r="AB626" s="255" t="n">
        <x:v>0.9995636527782363</x:v>
      </x:c>
    </x:row>
    <x:row r="627" ht="24" customHeight="1">
      <x:c r="C627" s="256" t="n">
        <x:f>596</x:f>
        <x:v>596</x:v>
      </x:c>
      <x:c r="D627" s="258" t="n">
        <x:f>IF(X627&lt;($E$12-$D$12)/($F$12-$D$12),$D$12+SQRT(X627*($F$12-$D$12)*($E$12-$D$12)),$F$12-SQRT((1-X627)*($F$12-$D$12)*($F$12-$E$12)))</x:f>
        <x:v>0.1554996834401113</x:v>
      </x:c>
      <x:c r="E627" s="258" t="n">
        <x:f>IF(Y627&lt;($E$13-$D$13)/($F$13-$D$13),$D$13+SQRT(Y627*($F$13-$D$13)*($E$13-$D$13)),$F$13-SQRT((1-Y627)*($F$13-$D$13)*($F$13-$E$13)))</x:f>
        <x:v>-0.0033854897676333234</x:v>
      </x:c>
      <x:c r="F627" s="260" t="n">
        <x:f>IF(Z627&lt;($E$14-$D$14)/($F$14-$D$14),$D$14+SQRT(Z627*($F$14-$D$14)*($E$14-$D$14)),$F$14-SQRT((1-Z627)*($F$14-$D$14)*($F$14-$E$14)))</x:f>
        <x:v>1.0035595445687724</x:v>
      </x:c>
      <x:c r="G627" s="258" t="n">
        <x:f>IF(AA627&lt;($E$15-$D$15)/($F$15-$D$15),$D$15+SQRT(AA627*($F$15-$D$15)*($E$15-$D$15)),$F$15-SQRT((1-AA627)*($F$15-$D$15)*($F$15-$E$15)))</x:f>
        <x:v>0.10813939373104174</x:v>
      </x:c>
      <x:c r="H627" s="258" t="n">
        <x:f>IF(AB627&lt;($E$16-$D$16)/($F$16-$D$16),$D$16+SQRT(AB627*($F$16-$D$16)*($E$16-$D$16)),$F$16-SQRT((1-AB627)*($F$16-$D$16)*($F$16-$E$16)))</x:f>
        <x:v>0.02920853896181799</x:v>
      </x:c>
      <x:c r="I627" s="262" t="n">
        <x:f>'Historical Inputs'!$N$9*(1+D627)^5</x:f>
        <x:v>683559.9040436259</x:v>
      </x:c>
      <x:c r="J627" s="262" t="n">
        <x:f>I627*(1+H627)*('Terminal Value'!$E$10+E627)*(1-'Assumptions'!$E$15)*(1-H627/'Terminal Value'!$E$12)</x:f>
        <x:v>190622.73871496032</x:v>
      </x:c>
      <x:c r="K627" s="264" t="n">
        <x:f>((SUM((('Historical Inputs'!$N$9*(1+(D627))^1)*(('Assumptions'!E37+(E627))*(1-'Assumptions'!E42-(0))+'Assumptions'!E47-'Assumptions'!E52*(F627)+'Assumptions'!E57-'Assumptions'!E62*(1)-'Assumptions'!E67-(0))+('Working Capital'!$E$6))*'DCF'!E12/(1+(G627))^'DCF'!E13,(('Historical Inputs'!$N$9*(1+(D627))^2)*(('Assumptions'!F37+(E627))*(1-'Assumptions'!F42-(0))+'Assumptions'!F47-'Assumptions'!F52*(F627)+'Assumptions'!F57-'Assumptions'!F62*(1)-'Assumptions'!F67-(0))+(('Historical Inputs'!$N$9*(1+(D627))^1)*('Assumptions'!E67+(0))))*'DCF'!F12/(1+(G627))^'DCF'!F13,(('Historical Inputs'!$N$9*(1+(D627))^3)*(('Assumptions'!G37+(E627))*(1-'Assumptions'!G42-(0))+'Assumptions'!G47-'Assumptions'!G52*(F627)+'Assumptions'!G57-'Assumptions'!G62*(1)-'Assumptions'!G67-(0))+(('Historical Inputs'!$N$9*(1+(D627))^2)*('Assumptions'!F67+(0))))*'DCF'!G12/(1+(G627))^'DCF'!G13,(('Historical Inputs'!$N$9*(1+(D627))^4)*(('Assumptions'!H37+(E627))*(1-'Assumptions'!H42-(0))+'Assumptions'!H47-'Assumptions'!H52*(F627)+'Assumptions'!H57-'Assumptions'!H62*(1)-'Assumptions'!H67-(0))+(('Historical Inputs'!$N$9*(1+(D627))^3)*('Assumptions'!G67+(0))))*'DCF'!H12/(1+(G627))^'DCF'!H13,(('Historical Inputs'!$N$9*(1+(D627))^5)*(('Assumptions'!I37+(E627))*(1-'Assumptions'!I42-(0))+'Assumptions'!I47-'Assumptions'!I52*(F627)+'Assumptions'!I57-'Assumptions'!I62*(1)-'Assumptions'!I67-(0))+(('Historical Inputs'!$N$9*(1+(D627))^4)*('Assumptions'!H67+(0))))*'DCF'!I12/(1+(G627))^'DCF'!I13)+('Historical Inputs'!$N$9*(1+(D627))^5)*(1+(H627))*('Terminal Value'!$E$10+(E627))*(1-'Assumptions'!$E$15-(0))*(1-(H627)/('Terminal Value'!$E$12))/((G627)-(H627))/(1+(G627))^'DCF'!$E$19)+'Equity Bridge'!$E$17)/'Equity Bridge'!$E$20</x:f>
        <x:v>255.02490979477642</x:v>
      </x:c>
      <x:c r="X627" s="255" t="n">
        <x:v>0.714876679601833</x:v>
      </x:c>
      <x:c r="Y627" s="255" t="n">
        <x:v>0.4345825128406835</x:v>
      </x:c>
      <x:c r="Z627" s="255" t="n">
        <x:v>0.44873067814245526</x:v>
      </x:c>
      <x:c r="AA627" s="255" t="n">
        <x:v>0.9444227632187487</x:v>
      </x:c>
      <x:c r="AB627" s="255" t="n">
        <x:v>0.4239859490565997</x:v>
      </x:c>
    </x:row>
    <x:row r="628" ht="24" customHeight="1">
      <x:c r="C628" s="256" t="n">
        <x:f>597</x:f>
        <x:v>597</x:v>
      </x:c>
      <x:c r="D628" s="258" t="n">
        <x:f>IF(X628&lt;($E$12-$D$12)/($F$12-$D$12),$D$12+SQRT(X628*($F$12-$D$12)*($E$12-$D$12)),$F$12-SQRT((1-X628)*($F$12-$D$12)*($F$12-$E$12)))</x:f>
        <x:v>0.17196527099955272</x:v>
      </x:c>
      <x:c r="E628" s="258" t="n">
        <x:f>IF(Y628&lt;($E$13-$D$13)/($F$13-$D$13),$D$13+SQRT(Y628*($F$13-$D$13)*($E$13-$D$13)),$F$13-SQRT((1-Y628)*($F$13-$D$13)*($F$13-$E$13)))</x:f>
        <x:v>-0.01962180029900998</x:v>
      </x:c>
      <x:c r="F628" s="260" t="n">
        <x:f>IF(Z628&lt;($E$14-$D$14)/($F$14-$D$14),$D$14+SQRT(Z628*($F$14-$D$14)*($E$14-$D$14)),$F$14-SQRT((1-Z628)*($F$14-$D$14)*($F$14-$E$14)))</x:f>
        <x:v>1.0903392622740933</x:v>
      </x:c>
      <x:c r="G628" s="258" t="n">
        <x:f>IF(AA628&lt;($E$15-$D$15)/($F$15-$D$15),$D$15+SQRT(AA628*($F$15-$D$15)*($E$15-$D$15)),$F$15-SQRT((1-AA628)*($F$15-$D$15)*($F$15-$E$15)))</x:f>
        <x:v>0.09961484553486823</x:v>
      </x:c>
      <x:c r="H628" s="258" t="n">
        <x:f>IF(AB628&lt;($E$16-$D$16)/($F$16-$D$16),$D$16+SQRT(AB628*($F$16-$D$16)*($E$16-$D$16)),$F$16-SQRT((1-AB628)*($F$16-$D$16)*($F$16-$E$16)))</x:f>
        <x:v>0.02526139666913417</x:v>
      </x:c>
      <x:c r="I628" s="262" t="n">
        <x:f>'Historical Inputs'!$N$9*(1+D628)^5</x:f>
        <x:v>733670.6365418462</x:v>
      </x:c>
      <x:c r="J628" s="262" t="n">
        <x:f>I628*(1+H628)*('Terminal Value'!$E$10+E628)*(1-'Assumptions'!$E$15)*(1-H628/'Terminal Value'!$E$12)</x:f>
        <x:v>199986.2852341</x:v>
      </x:c>
      <x:c r="K628" s="264" t="n">
        <x:f>((SUM((('Historical Inputs'!$N$9*(1+(D628))^1)*(('Assumptions'!E37+(E628))*(1-'Assumptions'!E42-(0))+'Assumptions'!E47-'Assumptions'!E52*(F628)+'Assumptions'!E57-'Assumptions'!E62*(1)-'Assumptions'!E67-(0))+('Working Capital'!$E$6))*'DCF'!E12/(1+(G628))^'DCF'!E13,(('Historical Inputs'!$N$9*(1+(D628))^2)*(('Assumptions'!F37+(E628))*(1-'Assumptions'!F42-(0))+'Assumptions'!F47-'Assumptions'!F52*(F628)+'Assumptions'!F57-'Assumptions'!F62*(1)-'Assumptions'!F67-(0))+(('Historical Inputs'!$N$9*(1+(D628))^1)*('Assumptions'!E67+(0))))*'DCF'!F12/(1+(G628))^'DCF'!F13,(('Historical Inputs'!$N$9*(1+(D628))^3)*(('Assumptions'!G37+(E628))*(1-'Assumptions'!G42-(0))+'Assumptions'!G47-'Assumptions'!G52*(F628)+'Assumptions'!G57-'Assumptions'!G62*(1)-'Assumptions'!G67-(0))+(('Historical Inputs'!$N$9*(1+(D628))^2)*('Assumptions'!F67+(0))))*'DCF'!G12/(1+(G628))^'DCF'!G13,(('Historical Inputs'!$N$9*(1+(D628))^4)*(('Assumptions'!H37+(E628))*(1-'Assumptions'!H42-(0))+'Assumptions'!H47-'Assumptions'!H52*(F628)+'Assumptions'!H57-'Assumptions'!H62*(1)-'Assumptions'!H67-(0))+(('Historical Inputs'!$N$9*(1+(D628))^3)*('Assumptions'!G67+(0))))*'DCF'!H12/(1+(G628))^'DCF'!H13,(('Historical Inputs'!$N$9*(1+(D628))^5)*(('Assumptions'!I37+(E628))*(1-'Assumptions'!I42-(0))+'Assumptions'!I47-'Assumptions'!I52*(F628)+'Assumptions'!I57-'Assumptions'!I62*(1)-'Assumptions'!I67-(0))+(('Historical Inputs'!$N$9*(1+(D628))^4)*('Assumptions'!H67+(0))))*'DCF'!I12/(1+(G628))^'DCF'!I13)+('Historical Inputs'!$N$9*(1+(D628))^5)*(1+(H628))*('Terminal Value'!$E$10+(E628))*(1-'Assumptions'!$E$15-(0))*(1-(H628)/('Terminal Value'!$E$12))/((G628)-(H628))/(1+(G628))^'DCF'!$E$19)+'Equity Bridge'!$E$17)/'Equity Bridge'!$E$20</x:f>
        <x:v>280.74550787085406</x:v>
      </x:c>
      <x:c r="X628" s="255" t="n">
        <x:v>0.9093322693484077</x:v>
      </x:c>
      <x:c r="Y628" s="255" t="n">
        <x:v>0.18456700341464605</x:v>
      </x:c>
      <x:c r="Z628" s="255" t="n">
        <x:v>0.8282074657344273</x:v>
      </x:c>
      <x:c r="AA628" s="255" t="n">
        <x:v>0.5934671269368956</x:v>
      </x:c>
      <x:c r="AB628" s="255" t="n">
        <x:v>0.1384114745498809</x:v>
      </x:c>
    </x:row>
    <x:row r="629" ht="24" customHeight="1">
      <x:c r="C629" s="256" t="n">
        <x:f>598</x:f>
        <x:v>598</x:v>
      </x:c>
      <x:c r="D629" s="258" t="n">
        <x:f>IF(X629&lt;($E$12-$D$12)/($F$12-$D$12),$D$12+SQRT(X629*($F$12-$D$12)*($E$12-$D$12)),$F$12-SQRT((1-X629)*($F$12-$D$12)*($F$12-$E$12)))</x:f>
        <x:v>0.1564543143557407</x:v>
      </x:c>
      <x:c r="E629" s="258" t="n">
        <x:f>IF(Y629&lt;($E$13-$D$13)/($F$13-$D$13),$D$13+SQRT(Y629*($F$13-$D$13)*($E$13-$D$13)),$F$13-SQRT((1-Y629)*($F$13-$D$13)*($F$13-$E$13)))</x:f>
        <x:v>0.004692532301803658</x:v>
      </x:c>
      <x:c r="F629" s="260" t="n">
        <x:f>IF(Z629&lt;($E$14-$D$14)/($F$14-$D$14),$D$14+SQRT(Z629*($F$14-$D$14)*($E$14-$D$14)),$F$14-SQRT((1-Z629)*($F$14-$D$14)*($F$14-$E$14)))</x:f>
        <x:v>1.030317773093638</x:v>
      </x:c>
      <x:c r="G629" s="258" t="n">
        <x:f>IF(AA629&lt;($E$15-$D$15)/($F$15-$D$15),$D$15+SQRT(AA629*($F$15-$D$15)*($E$15-$D$15)),$F$15-SQRT((1-AA629)*($F$15-$D$15)*($F$15-$E$15)))</x:f>
        <x:v>0.10269810455665995</x:v>
      </x:c>
      <x:c r="H629" s="258" t="n">
        <x:f>IF(AB629&lt;($E$16-$D$16)/($F$16-$D$16),$D$16+SQRT(AB629*($F$16-$D$16)*($E$16-$D$16)),$F$16-SQRT((1-AB629)*($F$16-$D$16)*($F$16-$E$16)))</x:f>
        <x:v>0.035680915296028355</x:v>
      </x:c>
      <x:c r="I629" s="262" t="n">
        <x:f>'Historical Inputs'!$N$9*(1+D629)^5</x:f>
        <x:v>686388.232508265</x:v>
      </x:c>
      <x:c r="J629" s="262" t="n">
        <x:f>I629*(1+H629)*('Terminal Value'!$E$10+E629)*(1-'Assumptions'!$E$15)*(1-H629/'Terminal Value'!$E$12)</x:f>
        <x:v>189090.18720445948</x:v>
      </x:c>
      <x:c r="K629" s="264" t="n">
        <x:f>((SUM((('Historical Inputs'!$N$9*(1+(D629))^1)*(('Assumptions'!E37+(E629))*(1-'Assumptions'!E42-(0))+'Assumptions'!E47-'Assumptions'!E52*(F629)+'Assumptions'!E57-'Assumptions'!E62*(1)-'Assumptions'!E67-(0))+('Working Capital'!$E$6))*'DCF'!E12/(1+(G629))^'DCF'!E13,(('Historical Inputs'!$N$9*(1+(D629))^2)*(('Assumptions'!F37+(E629))*(1-'Assumptions'!F42-(0))+'Assumptions'!F47-'Assumptions'!F52*(F629)+'Assumptions'!F57-'Assumptions'!F62*(1)-'Assumptions'!F67-(0))+(('Historical Inputs'!$N$9*(1+(D629))^1)*('Assumptions'!E67+(0))))*'DCF'!F12/(1+(G629))^'DCF'!F13,(('Historical Inputs'!$N$9*(1+(D629))^3)*(('Assumptions'!G37+(E629))*(1-'Assumptions'!G42-(0))+'Assumptions'!G47-'Assumptions'!G52*(F629)+'Assumptions'!G57-'Assumptions'!G62*(1)-'Assumptions'!G67-(0))+(('Historical Inputs'!$N$9*(1+(D629))^2)*('Assumptions'!F67+(0))))*'DCF'!G12/(1+(G629))^'DCF'!G13,(('Historical Inputs'!$N$9*(1+(D629))^4)*(('Assumptions'!H37+(E629))*(1-'Assumptions'!H42-(0))+'Assumptions'!H47-'Assumptions'!H52*(F629)+'Assumptions'!H57-'Assumptions'!H62*(1)-'Assumptions'!H67-(0))+(('Historical Inputs'!$N$9*(1+(D629))^3)*('Assumptions'!G67+(0))))*'DCF'!H12/(1+(G629))^'DCF'!H13,(('Historical Inputs'!$N$9*(1+(D629))^5)*(('Assumptions'!I37+(E629))*(1-'Assumptions'!I42-(0))+'Assumptions'!I47-'Assumptions'!I52*(F629)+'Assumptions'!I57-'Assumptions'!I62*(1)-'Assumptions'!I67-(0))+(('Historical Inputs'!$N$9*(1+(D629))^4)*('Assumptions'!H67+(0))))*'DCF'!I12/(1+(G629))^'DCF'!I13)+('Historical Inputs'!$N$9*(1+(D629))^5)*(1+(H629))*('Terminal Value'!$E$10+(E629))*(1-'Assumptions'!$E$15-(0))*(1-(H629)/('Terminal Value'!$E$12))/((G629)-(H629))/(1+(G629))^'DCF'!$E$19)+'Equity Bridge'!$E$17)/'Equity Bridge'!$E$20</x:f>
        <x:v>295.0219664258172</x:v>
      </x:c>
      <x:c r="X629" s="255" t="n">
        <x:v>0.7291121445708596</x:v>
      </x:c>
      <x:c r="Y629" s="255" t="n">
        <x:v>0.589446674155379</x:v>
      </x:c>
      <x:c r="Z629" s="255" t="n">
        <x:v>0.5886848838871125</x:v>
      </x:c>
      <x:c r="AA629" s="255" t="n">
        <x:v>0.7576869049275748</x:v>
      </x:c>
      <x:c r="AB629" s="255" t="n">
        <x:v>0.9067275365995909</x:v>
      </x:c>
    </x:row>
    <x:row r="630" ht="24" customHeight="1">
      <x:c r="C630" s="256" t="n">
        <x:f>599</x:f>
        <x:v>599</x:v>
      </x:c>
      <x:c r="D630" s="258" t="n">
        <x:f>IF(X630&lt;($E$12-$D$12)/($F$12-$D$12),$D$12+SQRT(X630*($F$12-$D$12)*($E$12-$D$12)),$F$12-SQRT((1-X630)*($F$12-$D$12)*($F$12-$E$12)))</x:f>
        <x:v>0.11913888027075259</x:v>
      </x:c>
      <x:c r="E630" s="258" t="n">
        <x:f>IF(Y630&lt;($E$13-$D$13)/($F$13-$D$13),$D$13+SQRT(Y630*($F$13-$D$13)*($E$13-$D$13)),$F$13-SQRT((1-Y630)*($F$13-$D$13)*($F$13-$E$13)))</x:f>
        <x:v>0.010022455203599179</x:v>
      </x:c>
      <x:c r="F630" s="260" t="n">
        <x:f>IF(Z630&lt;($E$14-$D$14)/($F$14-$D$14),$D$14+SQRT(Z630*($F$14-$D$14)*($E$14-$D$14)),$F$14-SQRT((1-Z630)*($F$14-$D$14)*($F$14-$E$14)))</x:f>
        <x:v>1.162351411767981</x:v>
      </x:c>
      <x:c r="G630" s="258" t="n">
        <x:f>IF(AA630&lt;($E$15-$D$15)/($F$15-$D$15),$D$15+SQRT(AA630*($F$15-$D$15)*($E$15-$D$15)),$F$15-SQRT((1-AA630)*($F$15-$D$15)*($F$15-$E$15)))</x:f>
        <x:v>0.10036915962943155</x:v>
      </x:c>
      <x:c r="H630" s="258" t="n">
        <x:f>IF(AB630&lt;($E$16-$D$16)/($F$16-$D$16),$D$16+SQRT(AB630*($F$16-$D$16)*($E$16-$D$16)),$F$16-SQRT((1-AB630)*($F$16-$D$16)*($F$16-$E$16)))</x:f>
        <x:v>0.031957175347911676</x:v>
      </x:c>
      <x:c r="I630" s="262" t="n">
        <x:f>'Historical Inputs'!$N$9*(1+D630)^5</x:f>
        <x:v>582568.9659750956</x:v>
      </x:c>
      <x:c r="J630" s="262" t="n">
        <x:f>I630*(1+H630)*('Terminal Value'!$E$10+E630)*(1-'Assumptions'!$E$15)*(1-H630/'Terminal Value'!$E$12)</x:f>
        <x:v>165690.12551403273</x:v>
      </x:c>
      <x:c r="K630" s="264" t="n">
        <x:f>((SUM((('Historical Inputs'!$N$9*(1+(D630))^1)*(('Assumptions'!E37+(E630))*(1-'Assumptions'!E42-(0))+'Assumptions'!E47-'Assumptions'!E52*(F630)+'Assumptions'!E57-'Assumptions'!E62*(1)-'Assumptions'!E67-(0))+('Working Capital'!$E$6))*'DCF'!E12/(1+(G630))^'DCF'!E13,(('Historical Inputs'!$N$9*(1+(D630))^2)*(('Assumptions'!F37+(E630))*(1-'Assumptions'!F42-(0))+'Assumptions'!F47-'Assumptions'!F52*(F630)+'Assumptions'!F57-'Assumptions'!F62*(1)-'Assumptions'!F67-(0))+(('Historical Inputs'!$N$9*(1+(D630))^1)*('Assumptions'!E67+(0))))*'DCF'!F12/(1+(G630))^'DCF'!F13,(('Historical Inputs'!$N$9*(1+(D630))^3)*(('Assumptions'!G37+(E630))*(1-'Assumptions'!G42-(0))+'Assumptions'!G47-'Assumptions'!G52*(F630)+'Assumptions'!G57-'Assumptions'!G62*(1)-'Assumptions'!G67-(0))+(('Historical Inputs'!$N$9*(1+(D630))^2)*('Assumptions'!F67+(0))))*'DCF'!G12/(1+(G630))^'DCF'!G13,(('Historical Inputs'!$N$9*(1+(D630))^4)*(('Assumptions'!H37+(E630))*(1-'Assumptions'!H42-(0))+'Assumptions'!H47-'Assumptions'!H52*(F630)+'Assumptions'!H57-'Assumptions'!H62*(1)-'Assumptions'!H67-(0))+(('Historical Inputs'!$N$9*(1+(D630))^3)*('Assumptions'!G67+(0))))*'DCF'!H12/(1+(G630))^'DCF'!H13,(('Historical Inputs'!$N$9*(1+(D630))^5)*(('Assumptions'!I37+(E630))*(1-'Assumptions'!I42-(0))+'Assumptions'!I47-'Assumptions'!I52*(F630)+'Assumptions'!I57-'Assumptions'!I62*(1)-'Assumptions'!I67-(0))+(('Historical Inputs'!$N$9*(1+(D630))^4)*('Assumptions'!H67+(0))))*'DCF'!I12/(1+(G630))^'DCF'!I13)+('Historical Inputs'!$N$9*(1+(D630))^5)*(1+(H630))*('Terminal Value'!$E$10+(E630))*(1-'Assumptions'!$E$15-(0))*(1-(H630)/('Terminal Value'!$E$12))/((G630)-(H630))/(1+(G630))^'DCF'!$E$19)+'Equity Bridge'!$E$17)/'Equity Bridge'!$E$20</x:f>
        <x:v>250.38908860719192</x:v>
      </x:c>
      <x:c r="X630" s="255" t="n">
        <x:v>0.13397411931024816</x:v>
      </x:c>
      <x:c r="Y630" s="255" t="n">
        <x:v>0.6803591824103531</x:v>
      </x:c>
      <x:c r="Z630" s="255" t="n">
        <x:v>0.979751197201941</x:v>
      </x:c>
      <x:c r="AA630" s="255" t="n">
        <x:v>0.637547119510196</x:v>
      </x:c>
      <x:c r="AB630" s="255" t="n">
        <x:v>0.6765648580788015</x:v>
      </x:c>
    </x:row>
    <x:row r="631" ht="24" customHeight="1">
      <x:c r="C631" s="256" t="n">
        <x:f>600</x:f>
        <x:v>600</x:v>
      </x:c>
      <x:c r="D631" s="258" t="n">
        <x:f>IF(X631&lt;($E$12-$D$12)/($F$12-$D$12),$D$12+SQRT(X631*($F$12-$D$12)*($E$12-$D$12)),$F$12-SQRT((1-X631)*($F$12-$D$12)*($F$12-$E$12)))</x:f>
        <x:v>0.11770525605642015</x:v>
      </x:c>
      <x:c r="E631" s="258" t="n">
        <x:f>IF(Y631&lt;($E$13-$D$13)/($F$13-$D$13),$D$13+SQRT(Y631*($F$13-$D$13)*($E$13-$D$13)),$F$13-SQRT((1-Y631)*($F$13-$D$13)*($F$13-$E$13)))</x:f>
        <x:v>-0.00244371617256213</x:v>
      </x:c>
      <x:c r="F631" s="260" t="n">
        <x:f>IF(Z631&lt;($E$14-$D$14)/($F$14-$D$14),$D$14+SQRT(Z631*($F$14-$D$14)*($E$14-$D$14)),$F$14-SQRT((1-Z631)*($F$14-$D$14)*($F$14-$E$14)))</x:f>
        <x:v>1.088231308044867</x:v>
      </x:c>
      <x:c r="G631" s="258" t="n">
        <x:f>IF(AA631&lt;($E$15-$D$15)/($F$15-$D$15),$D$15+SQRT(AA631*($F$15-$D$15)*($E$15-$D$15)),$F$15-SQRT((1-AA631)*($F$15-$D$15)*($F$15-$E$15)))</x:f>
        <x:v>0.1005413695593228</x:v>
      </x:c>
      <x:c r="H631" s="258" t="n">
        <x:f>IF(AB631&lt;($E$16-$D$16)/($F$16-$D$16),$D$16+SQRT(AB631*($F$16-$D$16)*($E$16-$D$16)),$F$16-SQRT((1-AB631)*($F$16-$D$16)*($F$16-$E$16)))</x:f>
        <x:v>0.0277545295076706</x:v>
      </x:c>
      <x:c r="I631" s="262" t="n">
        <x:f>'Historical Inputs'!$N$9*(1+D631)^5</x:f>
        <x:v>578847.1403138952</x:v>
      </x:c>
      <x:c r="J631" s="262" t="n">
        <x:f>I631*(1+H631)*('Terminal Value'!$E$10+E631)*(1-'Assumptions'!$E$15)*(1-H631/'Terminal Value'!$E$12)</x:f>
        <x:v>162952.00759615362</x:v>
      </x:c>
      <x:c r="K631" s="264" t="n">
        <x:f>((SUM((('Historical Inputs'!$N$9*(1+(D631))^1)*(('Assumptions'!E37+(E631))*(1-'Assumptions'!E42-(0))+'Assumptions'!E47-'Assumptions'!E52*(F631)+'Assumptions'!E57-'Assumptions'!E62*(1)-'Assumptions'!E67-(0))+('Working Capital'!$E$6))*'DCF'!E12/(1+(G631))^'DCF'!E13,(('Historical Inputs'!$N$9*(1+(D631))^2)*(('Assumptions'!F37+(E631))*(1-'Assumptions'!F42-(0))+'Assumptions'!F47-'Assumptions'!F52*(F631)+'Assumptions'!F57-'Assumptions'!F62*(1)-'Assumptions'!F67-(0))+(('Historical Inputs'!$N$9*(1+(D631))^1)*('Assumptions'!E67+(0))))*'DCF'!F12/(1+(G631))^'DCF'!F13,(('Historical Inputs'!$N$9*(1+(D631))^3)*(('Assumptions'!G37+(E631))*(1-'Assumptions'!G42-(0))+'Assumptions'!G47-'Assumptions'!G52*(F631)+'Assumptions'!G57-'Assumptions'!G62*(1)-'Assumptions'!G67-(0))+(('Historical Inputs'!$N$9*(1+(D631))^2)*('Assumptions'!F67+(0))))*'DCF'!G12/(1+(G631))^'DCF'!G13,(('Historical Inputs'!$N$9*(1+(D631))^4)*(('Assumptions'!H37+(E631))*(1-'Assumptions'!H42-(0))+'Assumptions'!H47-'Assumptions'!H52*(F631)+'Assumptions'!H57-'Assumptions'!H62*(1)-'Assumptions'!H67-(0))+(('Historical Inputs'!$N$9*(1+(D631))^3)*('Assumptions'!G67+(0))))*'DCF'!H12/(1+(G631))^'DCF'!H13,(('Historical Inputs'!$N$9*(1+(D631))^5)*(('Assumptions'!I37+(E631))*(1-'Assumptions'!I42-(0))+'Assumptions'!I47-'Assumptions'!I52*(F631)+'Assumptions'!I57-'Assumptions'!I62*(1)-'Assumptions'!I67-(0))+(('Historical Inputs'!$N$9*(1+(D631))^4)*('Assumptions'!H67+(0))))*'DCF'!I12/(1+(G631))^'DCF'!I13)+('Historical Inputs'!$N$9*(1+(D631))^5)*(1+(H631))*('Terminal Value'!$E$10+(E631))*(1-'Assumptions'!$E$15-(0))*(1-(H631)/('Terminal Value'!$E$12))/((G631)-(H631))/(1+(G631))^'DCF'!$E$19)+'Equity Bridge'!$E$17)/'Equity Bridge'!$E$20</x:f>
        <x:v>236.38891263466317</x:v>
      </x:c>
      <x:c r="X631" s="255" t="n">
        <x:v>0.11954323139653644</x:v>
      </x:c>
      <x:c r="Y631" s="255" t="n">
        <x:v>0.45232002629516577</x:v>
      </x:c>
      <x:c r="Z631" s="255" t="n">
        <x:v>0.8215394214091223</x:v>
      </x:c>
      <x:c r="AA631" s="255" t="n">
        <x:v>0.6472560128011883</x:v>
      </x:c>
      <x:c r="AB631" s="255" t="n">
        <x:v>0.3006636394266704</x:v>
      </x:c>
    </x:row>
    <x:row r="632" ht="24" customHeight="1">
      <x:c r="C632" s="256" t="n">
        <x:f>601</x:f>
        <x:v>601</x:v>
      </x:c>
      <x:c r="D632" s="258" t="n">
        <x:f>IF(X632&lt;($E$12-$D$12)/($F$12-$D$12),$D$12+SQRT(X632*($F$12-$D$12)*($E$12-$D$12)),$F$12-SQRT((1-X632)*($F$12-$D$12)*($F$12-$E$12)))</x:f>
        <x:v>0.12606086405288547</x:v>
      </x:c>
      <x:c r="E632" s="258" t="n">
        <x:f>IF(Y632&lt;($E$13-$D$13)/($F$13-$D$13),$D$13+SQRT(Y632*($F$13-$D$13)*($E$13-$D$13)),$F$13-SQRT((1-Y632)*($F$13-$D$13)*($F$13-$E$13)))</x:f>
        <x:v>0.0176270642208025</x:v>
      </x:c>
      <x:c r="F632" s="260" t="n">
        <x:f>IF(Z632&lt;($E$14-$D$14)/($F$14-$D$14),$D$14+SQRT(Z632*($F$14-$D$14)*($E$14-$D$14)),$F$14-SQRT((1-Z632)*($F$14-$D$14)*($F$14-$E$14)))</x:f>
        <x:v>1.0070581938584233</x:v>
      </x:c>
      <x:c r="G632" s="258" t="n">
        <x:f>IF(AA632&lt;($E$15-$D$15)/($F$15-$D$15),$D$15+SQRT(AA632*($F$15-$D$15)*($E$15-$D$15)),$F$15-SQRT((1-AA632)*($F$15-$D$15)*($F$15-$E$15)))</x:f>
        <x:v>0.09203525495335349</x:v>
      </x:c>
      <x:c r="H632" s="258" t="n">
        <x:f>IF(AB632&lt;($E$16-$D$16)/($F$16-$D$16),$D$16+SQRT(AB632*($F$16-$D$16)*($E$16-$D$16)),$F$16-SQRT((1-AB632)*($F$16-$D$16)*($F$16-$E$16)))</x:f>
        <x:v>0.026372129786460086</x:v>
      </x:c>
      <x:c r="I632" s="262" t="n">
        <x:f>'Historical Inputs'!$N$9*(1+D632)^5</x:f>
        <x:v>600809.4440699985</x:v>
      </x:c>
      <x:c r="J632" s="262" t="n">
        <x:f>I632*(1+H632)*('Terminal Value'!$E$10+E632)*(1-'Assumptions'!$E$15)*(1-H632/'Terminal Value'!$E$12)</x:f>
        <x:v>178858.53367225968</x:v>
      </x:c>
      <x:c r="K632" s="264" t="n">
        <x:f>((SUM((('Historical Inputs'!$N$9*(1+(D632))^1)*(('Assumptions'!E37+(E632))*(1-'Assumptions'!E42-(0))+'Assumptions'!E47-'Assumptions'!E52*(F632)+'Assumptions'!E57-'Assumptions'!E62*(1)-'Assumptions'!E67-(0))+('Working Capital'!$E$6))*'DCF'!E12/(1+(G632))^'DCF'!E13,(('Historical Inputs'!$N$9*(1+(D632))^2)*(('Assumptions'!F37+(E632))*(1-'Assumptions'!F42-(0))+'Assumptions'!F47-'Assumptions'!F52*(F632)+'Assumptions'!F57-'Assumptions'!F62*(1)-'Assumptions'!F67-(0))+(('Historical Inputs'!$N$9*(1+(D632))^1)*('Assumptions'!E67+(0))))*'DCF'!F12/(1+(G632))^'DCF'!F13,(('Historical Inputs'!$N$9*(1+(D632))^3)*(('Assumptions'!G37+(E632))*(1-'Assumptions'!G42-(0))+'Assumptions'!G47-'Assumptions'!G52*(F632)+'Assumptions'!G57-'Assumptions'!G62*(1)-'Assumptions'!G67-(0))+(('Historical Inputs'!$N$9*(1+(D632))^2)*('Assumptions'!F67+(0))))*'DCF'!G12/(1+(G632))^'DCF'!G13,(('Historical Inputs'!$N$9*(1+(D632))^4)*(('Assumptions'!H37+(E632))*(1-'Assumptions'!H42-(0))+'Assumptions'!H47-'Assumptions'!H52*(F632)+'Assumptions'!H57-'Assumptions'!H62*(1)-'Assumptions'!H67-(0))+(('Historical Inputs'!$N$9*(1+(D632))^3)*('Assumptions'!G67+(0))))*'DCF'!H12/(1+(G632))^'DCF'!H13,(('Historical Inputs'!$N$9*(1+(D632))^5)*(('Assumptions'!I37+(E632))*(1-'Assumptions'!I42-(0))+'Assumptions'!I47-'Assumptions'!I52*(F632)+'Assumptions'!I57-'Assumptions'!I62*(1)-'Assumptions'!I67-(0))+(('Historical Inputs'!$N$9*(1+(D632))^4)*('Assumptions'!H67+(0))))*'DCF'!I12/(1+(G632))^'DCF'!I13)+('Historical Inputs'!$N$9*(1+(D632))^5)*(1+(H632))*('Terminal Value'!$E$10+(E632))*(1-'Assumptions'!$E$15-(0))*(1-(H632)/('Terminal Value'!$E$12))/((G632)-(H632))/(1+(G632))^'DCF'!$E$19)+'Equity Bridge'!$E$17)/'Equity Bridge'!$E$20</x:f>
        <x:v>297.7988788085102</x:v>
      </x:c>
      <x:c r="X632" s="255" t="n">
        <x:v>0.21521841296852606</x:v>
      </x:c>
      <x:c r="Y632" s="255" t="n">
        <x:v>0.7903986058071909</x:v>
      </x:c>
      <x:c r="Z632" s="255" t="n">
        <x:v>0.46819227775466143</x:v>
      </x:c>
      <x:c r="AA632" s="255" t="n">
        <x:v>0.17581997987971887</x:v>
      </x:c>
      <x:c r="AB632" s="255" t="n">
        <x:v>0.2030201900774593</x:v>
      </x:c>
    </x:row>
    <x:row r="633" ht="24" customHeight="1">
      <x:c r="C633" s="256" t="n">
        <x:f>602</x:f>
        <x:v>602</x:v>
      </x:c>
      <x:c r="D633" s="258" t="n">
        <x:f>IF(X633&lt;($E$12-$D$12)/($F$12-$D$12),$D$12+SQRT(X633*($F$12-$D$12)*($E$12-$D$12)),$F$12-SQRT((1-X633)*($F$12-$D$12)*($F$12-$E$12)))</x:f>
        <x:v>0.13692801502546473</x:v>
      </x:c>
      <x:c r="E633" s="258" t="n">
        <x:f>IF(Y633&lt;($E$13-$D$13)/($F$13-$D$13),$D$13+SQRT(Y633*($F$13-$D$13)*($E$13-$D$13)),$F$13-SQRT((1-Y633)*($F$13-$D$13)*($F$13-$E$13)))</x:f>
        <x:v>0.036757670305168105</x:v>
      </x:c>
      <x:c r="F633" s="260" t="n">
        <x:f>IF(Z633&lt;($E$14-$D$14)/($F$14-$D$14),$D$14+SQRT(Z633*($F$14-$D$14)*($E$14-$D$14)),$F$14-SQRT((1-Z633)*($F$14-$D$14)*($F$14-$E$14)))</x:f>
        <x:v>1.0275395245506214</x:v>
      </x:c>
      <x:c r="G633" s="258" t="n">
        <x:f>IF(AA633&lt;($E$15-$D$15)/($F$15-$D$15),$D$15+SQRT(AA633*($F$15-$D$15)*($E$15-$D$15)),$F$15-SQRT((1-AA633)*($F$15-$D$15)*($F$15-$E$15)))</x:f>
        <x:v>0.08769017858673969</x:v>
      </x:c>
      <x:c r="H633" s="258" t="n">
        <x:f>IF(AB633&lt;($E$16-$D$16)/($F$16-$D$16),$D$16+SQRT(AB633*($F$16-$D$16)*($E$16-$D$16)),$F$16-SQRT((1-AB633)*($F$16-$D$16)*($F$16-$E$16)))</x:f>
        <x:v>0.029381013760175857</x:v>
      </x:c>
      <x:c r="I633" s="262" t="n">
        <x:f>'Historical Inputs'!$N$9*(1+D633)^5</x:f>
        <x:v>630365.2534337991</x:v>
      </x:c>
      <x:c r="J633" s="262" t="n">
        <x:f>I633*(1+H633)*('Terminal Value'!$E$10+E633)*(1-'Assumptions'!$E$15)*(1-H633/'Terminal Value'!$E$12)</x:f>
        <x:v>193417.74214747682</x:v>
      </x:c>
      <x:c r="K633" s="264" t="n">
        <x:f>((SUM((('Historical Inputs'!$N$9*(1+(D633))^1)*(('Assumptions'!E37+(E633))*(1-'Assumptions'!E42-(0))+'Assumptions'!E47-'Assumptions'!E52*(F633)+'Assumptions'!E57-'Assumptions'!E62*(1)-'Assumptions'!E67-(0))+('Working Capital'!$E$6))*'DCF'!E12/(1+(G633))^'DCF'!E13,(('Historical Inputs'!$N$9*(1+(D633))^2)*(('Assumptions'!F37+(E633))*(1-'Assumptions'!F42-(0))+'Assumptions'!F47-'Assumptions'!F52*(F633)+'Assumptions'!F57-'Assumptions'!F62*(1)-'Assumptions'!F67-(0))+(('Historical Inputs'!$N$9*(1+(D633))^1)*('Assumptions'!E67+(0))))*'DCF'!F12/(1+(G633))^'DCF'!F13,(('Historical Inputs'!$N$9*(1+(D633))^3)*(('Assumptions'!G37+(E633))*(1-'Assumptions'!G42-(0))+'Assumptions'!G47-'Assumptions'!G52*(F633)+'Assumptions'!G57-'Assumptions'!G62*(1)-'Assumptions'!G67-(0))+(('Historical Inputs'!$N$9*(1+(D633))^2)*('Assumptions'!F67+(0))))*'DCF'!G12/(1+(G633))^'DCF'!G13,(('Historical Inputs'!$N$9*(1+(D633))^4)*(('Assumptions'!H37+(E633))*(1-'Assumptions'!H42-(0))+'Assumptions'!H47-'Assumptions'!H52*(F633)+'Assumptions'!H57-'Assumptions'!H62*(1)-'Assumptions'!H67-(0))+(('Historical Inputs'!$N$9*(1+(D633))^3)*('Assumptions'!G67+(0))))*'DCF'!H12/(1+(G633))^'DCF'!H13,(('Historical Inputs'!$N$9*(1+(D633))^5)*(('Assumptions'!I37+(E633))*(1-'Assumptions'!I42-(0))+'Assumptions'!I47-'Assumptions'!I52*(F633)+'Assumptions'!I57-'Assumptions'!I62*(1)-'Assumptions'!I67-(0))+(('Historical Inputs'!$N$9*(1+(D633))^4)*('Assumptions'!H67+(0))))*'DCF'!I12/(1+(G633))^'DCF'!I13)+('Historical Inputs'!$N$9*(1+(D633))^5)*(1+(H633))*('Terminal Value'!$E$10+(E633))*(1-'Assumptions'!$E$15-(0))*(1-(H633)/('Terminal Value'!$E$12))/((G633)-(H633))/(1+(G633))^'DCF'!$E$19)+'Equity Bridge'!$E$17)/'Equity Bridge'!$E$20</x:f>
        <x:v>361.2293240360136</x:v>
      </x:c>
      <x:c r="X633" s="255" t="n">
        <x:v>0.38143112940453683</x:v>
      </x:c>
      <x:c r="Y633" s="255" t="n">
        <x:v>0.9649281408506747</x:v>
      </x:c>
      <x:c r="Z633" s="255" t="n">
        <x:v>0.5751054915396323</x:v>
      </x:c>
      <x:c r="AA633" s="255" t="n">
        <x:v>0.04600169917191077</x:v>
      </x:c>
      <x:c r="AB633" s="255" t="n">
        <x:v>0.4400170958430438</x:v>
      </x:c>
    </x:row>
    <x:row r="634" ht="24" customHeight="1">
      <x:c r="C634" s="256" t="n">
        <x:f>603</x:f>
        <x:v>603</x:v>
      </x:c>
      <x:c r="D634" s="258" t="n">
        <x:f>IF(X634&lt;($E$12-$D$12)/($F$12-$D$12),$D$12+SQRT(X634*($F$12-$D$12)*($E$12-$D$12)),$F$12-SQRT((1-X634)*($F$12-$D$12)*($F$12-$E$12)))</x:f>
        <x:v>0.11454447234915201</x:v>
      </x:c>
      <x:c r="E634" s="258" t="n">
        <x:f>IF(Y634&lt;($E$13-$D$13)/($F$13-$D$13),$D$13+SQRT(Y634*($F$13-$D$13)*($E$13-$D$13)),$F$13-SQRT((1-Y634)*($F$13-$D$13)*($F$13-$E$13)))</x:f>
        <x:v>0.024681264991397334</x:v>
      </x:c>
      <x:c r="F634" s="260" t="n">
        <x:f>IF(Z634&lt;($E$14-$D$14)/($F$14-$D$14),$D$14+SQRT(Z634*($F$14-$D$14)*($E$14-$D$14)),$F$14-SQRT((1-Z634)*($F$14-$D$14)*($F$14-$E$14)))</x:f>
        <x:v>1.0055914870415934</x:v>
      </x:c>
      <x:c r="G634" s="258" t="n">
        <x:f>IF(AA634&lt;($E$15-$D$15)/($F$15-$D$15),$D$15+SQRT(AA634*($F$15-$D$15)*($E$15-$D$15)),$F$15-SQRT((1-AA634)*($F$15-$D$15)*($F$15-$E$15)))</x:f>
        <x:v>0.09318212139772047</x:v>
      </x:c>
      <x:c r="H634" s="258" t="n">
        <x:f>IF(AB634&lt;($E$16-$D$16)/($F$16-$D$16),$D$16+SQRT(AB634*($F$16-$D$16)*($E$16-$D$16)),$F$16-SQRT((1-AB634)*($F$16-$D$16)*($F$16-$E$16)))</x:f>
        <x:v>0.02855045056505047</x:v>
      </x:c>
      <x:c r="I634" s="262" t="n">
        <x:f>'Historical Inputs'!$N$9*(1+D634)^5</x:f>
        <x:v>570708.6269239221</x:v>
      </x:c>
      <x:c r="J634" s="262" t="n">
        <x:f>I634*(1+H634)*('Terminal Value'!$E$10+E634)*(1-'Assumptions'!$E$15)*(1-H634/'Terminal Value'!$E$12)</x:f>
        <x:v>170961.95600045714</x:v>
      </x:c>
      <x:c r="K634" s="264" t="n">
        <x:f>((SUM((('Historical Inputs'!$N$9*(1+(D634))^1)*(('Assumptions'!E37+(E634))*(1-'Assumptions'!E42-(0))+'Assumptions'!E47-'Assumptions'!E52*(F634)+'Assumptions'!E57-'Assumptions'!E62*(1)-'Assumptions'!E67-(0))+('Working Capital'!$E$6))*'DCF'!E12/(1+(G634))^'DCF'!E13,(('Historical Inputs'!$N$9*(1+(D634))^2)*(('Assumptions'!F37+(E634))*(1-'Assumptions'!F42-(0))+'Assumptions'!F47-'Assumptions'!F52*(F634)+'Assumptions'!F57-'Assumptions'!F62*(1)-'Assumptions'!F67-(0))+(('Historical Inputs'!$N$9*(1+(D634))^1)*('Assumptions'!E67+(0))))*'DCF'!F12/(1+(G634))^'DCF'!F13,(('Historical Inputs'!$N$9*(1+(D634))^3)*(('Assumptions'!G37+(E634))*(1-'Assumptions'!G42-(0))+'Assumptions'!G47-'Assumptions'!G52*(F634)+'Assumptions'!G57-'Assumptions'!G62*(1)-'Assumptions'!G67-(0))+(('Historical Inputs'!$N$9*(1+(D634))^2)*('Assumptions'!F67+(0))))*'DCF'!G12/(1+(G634))^'DCF'!G13,(('Historical Inputs'!$N$9*(1+(D634))^4)*(('Assumptions'!H37+(E634))*(1-'Assumptions'!H42-(0))+'Assumptions'!H47-'Assumptions'!H52*(F634)+'Assumptions'!H57-'Assumptions'!H62*(1)-'Assumptions'!H67-(0))+(('Historical Inputs'!$N$9*(1+(D634))^3)*('Assumptions'!G67+(0))))*'DCF'!H12/(1+(G634))^'DCF'!H13,(('Historical Inputs'!$N$9*(1+(D634))^5)*(('Assumptions'!I37+(E634))*(1-'Assumptions'!I42-(0))+'Assumptions'!I47-'Assumptions'!I52*(F634)+'Assumptions'!I57-'Assumptions'!I62*(1)-'Assumptions'!I67-(0))+(('Historical Inputs'!$N$9*(1+(D634))^4)*('Assumptions'!H67+(0))))*'DCF'!I12/(1+(G634))^'DCF'!I13)+('Historical Inputs'!$N$9*(1+(D634))^5)*(1+(H634))*('Terminal Value'!$E$10+(E634))*(1-'Assumptions'!$E$15-(0))*(1-(H634)/('Terminal Value'!$E$12))/((G634)-(H634))/(1+(G634))^'DCF'!$E$19)+'Equity Bridge'!$E$17)/'Equity Bridge'!$E$20</x:f>
        <x:v>288.885097664878</x:v>
      </x:c>
      <x:c r="X634" s="255" t="n">
        <x:v>0.09063110995464041</x:v>
      </x:c>
      <x:c r="Y634" s="255" t="n">
        <x:v>0.8717923315128315</x:v>
      </x:c>
      <x:c r="Z634" s="255" t="n">
        <x:v>0.46007614413287246</x:v>
      </x:c>
      <x:c r="AA634" s="255" t="n">
        <x:v>0.22408174527176972</x:v>
      </x:c>
      <x:c r="AB634" s="255" t="n">
        <x:v>0.3655510243268598</x:v>
      </x:c>
    </x:row>
    <x:row r="635" ht="24" customHeight="1">
      <x:c r="C635" s="256" t="n">
        <x:f>604</x:f>
        <x:v>604</x:v>
      </x:c>
      <x:c r="D635" s="258" t="n">
        <x:f>IF(X635&lt;($E$12-$D$12)/($F$12-$D$12),$D$12+SQRT(X635*($F$12-$D$12)*($E$12-$D$12)),$F$12-SQRT((1-X635)*($F$12-$D$12)*($F$12-$E$12)))</x:f>
        <x:v>0.12718207940150075</x:v>
      </x:c>
      <x:c r="E635" s="258" t="n">
        <x:f>IF(Y635&lt;($E$13-$D$13)/($F$13-$D$13),$D$13+SQRT(Y635*($F$13-$D$13)*($E$13-$D$13)),$F$13-SQRT((1-Y635)*($F$13-$D$13)*($F$13-$E$13)))</x:f>
        <x:v>0.004709747812118151</x:v>
      </x:c>
      <x:c r="F635" s="260" t="n">
        <x:f>IF(Z635&lt;($E$14-$D$14)/($F$14-$D$14),$D$14+SQRT(Z635*($F$14-$D$14)*($E$14-$D$14)),$F$14-SQRT((1-Z635)*($F$14-$D$14)*($F$14-$E$14)))</x:f>
        <x:v>1.020045028551673</x:v>
      </x:c>
      <x:c r="G635" s="258" t="n">
        <x:f>IF(AA635&lt;($E$15-$D$15)/($F$15-$D$15),$D$15+SQRT(AA635*($F$15-$D$15)*($E$15-$D$15)),$F$15-SQRT((1-AA635)*($F$15-$D$15)*($F$15-$E$15)))</x:f>
        <x:v>0.1043810329958126</x:v>
      </x:c>
      <x:c r="H635" s="258" t="n">
        <x:f>IF(AB635&lt;($E$16-$D$16)/($F$16-$D$16),$D$16+SQRT(AB635*($F$16-$D$16)*($E$16-$D$16)),$F$16-SQRT((1-AB635)*($F$16-$D$16)*($F$16-$E$16)))</x:f>
        <x:v>0.030296254673030543</x:v>
      </x:c>
      <x:c r="I635" s="262" t="n">
        <x:f>'Historical Inputs'!$N$9*(1+D635)^5</x:f>
        <x:v>603806.5271066821</x:v>
      </x:c>
      <x:c r="J635" s="262" t="n">
        <x:f>I635*(1+H635)*('Terminal Value'!$E$10+E635)*(1-'Assumptions'!$E$15)*(1-H635/'Terminal Value'!$E$12)</x:f>
        <x:v>170905.09417117544</x:v>
      </x:c>
      <x:c r="K635" s="264" t="n">
        <x:f>((SUM((('Historical Inputs'!$N$9*(1+(D635))^1)*(('Assumptions'!E37+(E635))*(1-'Assumptions'!E42-(0))+'Assumptions'!E47-'Assumptions'!E52*(F635)+'Assumptions'!E57-'Assumptions'!E62*(1)-'Assumptions'!E67-(0))+('Working Capital'!$E$6))*'DCF'!E12/(1+(G635))^'DCF'!E13,(('Historical Inputs'!$N$9*(1+(D635))^2)*(('Assumptions'!F37+(E635))*(1-'Assumptions'!F42-(0))+'Assumptions'!F47-'Assumptions'!F52*(F635)+'Assumptions'!F57-'Assumptions'!F62*(1)-'Assumptions'!F67-(0))+(('Historical Inputs'!$N$9*(1+(D635))^1)*('Assumptions'!E67+(0))))*'DCF'!F12/(1+(G635))^'DCF'!F13,(('Historical Inputs'!$N$9*(1+(D635))^3)*(('Assumptions'!G37+(E635))*(1-'Assumptions'!G42-(0))+'Assumptions'!G47-'Assumptions'!G52*(F635)+'Assumptions'!G57-'Assumptions'!G62*(1)-'Assumptions'!G67-(0))+(('Historical Inputs'!$N$9*(1+(D635))^2)*('Assumptions'!F67+(0))))*'DCF'!G12/(1+(G635))^'DCF'!G13,(('Historical Inputs'!$N$9*(1+(D635))^4)*(('Assumptions'!H37+(E635))*(1-'Assumptions'!H42-(0))+'Assumptions'!H47-'Assumptions'!H52*(F635)+'Assumptions'!H57-'Assumptions'!H62*(1)-'Assumptions'!H67-(0))+(('Historical Inputs'!$N$9*(1+(D635))^3)*('Assumptions'!G67+(0))))*'DCF'!H12/(1+(G635))^'DCF'!H13,(('Historical Inputs'!$N$9*(1+(D635))^5)*(('Assumptions'!I37+(E635))*(1-'Assumptions'!I42-(0))+'Assumptions'!I47-'Assumptions'!I52*(F635)+'Assumptions'!I57-'Assumptions'!I62*(1)-'Assumptions'!I67-(0))+(('Historical Inputs'!$N$9*(1+(D635))^4)*('Assumptions'!H67+(0))))*'DCF'!I12/(1+(G635))^'DCF'!I13)+('Historical Inputs'!$N$9*(1+(D635))^5)*(1+(H635))*('Terminal Value'!$E$10+(E635))*(1-'Assumptions'!$E$15-(0))*(1-(H635)/('Terminal Value'!$E$12))/((G635)-(H635))/(1+(G635))^'DCF'!$E$19)+'Equity Bridge'!$E$17)/'Equity Bridge'!$E$20</x:f>
        <x:v>245.4431870064298</x:v>
      </x:c>
      <x:c r="X635" s="255" t="n">
        <x:v>0.2301819062994297</x:v>
      </x:c>
      <x:c r="Y635" s="255" t="n">
        <x:v>0.5897586113516126</x:v>
      </x:c>
      <x:c r="Z635" s="255" t="n">
        <x:v>0.5373744035861683</x:v>
      </x:c>
      <x:c r="AA635" s="255" t="n">
        <x:v>0.8294978392607811</x:v>
      </x:c>
      <x:c r="AB635" s="255" t="n">
        <x:v>0.529186633146592</x:v>
      </x:c>
    </x:row>
    <x:row r="636" ht="24" customHeight="1">
      <x:c r="C636" s="256" t="n">
        <x:f>605</x:f>
        <x:v>605</x:v>
      </x:c>
      <x:c r="D636" s="258" t="n">
        <x:f>IF(X636&lt;($E$12-$D$12)/($F$12-$D$12),$D$12+SQRT(X636*($F$12-$D$12)*($E$12-$D$12)),$F$12-SQRT((1-X636)*($F$12-$D$12)*($F$12-$E$12)))</x:f>
        <x:v>0.11361083934800706</x:v>
      </x:c>
      <x:c r="E636" s="258" t="n">
        <x:f>IF(Y636&lt;($E$13-$D$13)/($F$13-$D$13),$D$13+SQRT(Y636*($F$13-$D$13)*($E$13-$D$13)),$F$13-SQRT((1-Y636)*($F$13-$D$13)*($F$13-$E$13)))</x:f>
        <x:v>0.01099714464520088</x:v>
      </x:c>
      <x:c r="F636" s="260" t="n">
        <x:f>IF(Z636&lt;($E$14-$D$14)/($F$14-$D$14),$D$14+SQRT(Z636*($F$14-$D$14)*($E$14-$D$14)),$F$14-SQRT((1-Z636)*($F$14-$D$14)*($F$14-$E$14)))</x:f>
        <x:v>0.9870457297382704</x:v>
      </x:c>
      <x:c r="G636" s="258" t="n">
        <x:f>IF(AA636&lt;($E$15-$D$15)/($F$15-$D$15),$D$15+SQRT(AA636*($F$15-$D$15)*($E$15-$D$15)),$F$15-SQRT((1-AA636)*($F$15-$D$15)*($F$15-$E$15)))</x:f>
        <x:v>0.10786813404893547</x:v>
      </x:c>
      <x:c r="H636" s="258" t="n">
        <x:f>IF(AB636&lt;($E$16-$D$16)/($F$16-$D$16),$D$16+SQRT(AB636*($F$16-$D$16)*($E$16-$D$16)),$F$16-SQRT((1-AB636)*($F$16-$D$16)*($F$16-$E$16)))</x:f>
        <x:v>0.027322345743675133</x:v>
      </x:c>
      <x:c r="I636" s="262" t="n">
        <x:f>'Historical Inputs'!$N$9*(1+D636)^5</x:f>
        <x:v>568322.2687238879</x:v>
      </x:c>
      <x:c r="J636" s="262" t="n">
        <x:f>I636*(1+H636)*('Terminal Value'!$E$10+E636)*(1-'Assumptions'!$E$15)*(1-H636/'Terminal Value'!$E$12)</x:f>
        <x:v>165743.43854173415</x:v>
      </x:c>
      <x:c r="K636" s="264" t="n">
        <x:f>((SUM((('Historical Inputs'!$N$9*(1+(D636))^1)*(('Assumptions'!E37+(E636))*(1-'Assumptions'!E42-(0))+'Assumptions'!E47-'Assumptions'!E52*(F636)+'Assumptions'!E57-'Assumptions'!E62*(1)-'Assumptions'!E67-(0))+('Working Capital'!$E$6))*'DCF'!E12/(1+(G636))^'DCF'!E13,(('Historical Inputs'!$N$9*(1+(D636))^2)*(('Assumptions'!F37+(E636))*(1-'Assumptions'!F42-(0))+'Assumptions'!F47-'Assumptions'!F52*(F636)+'Assumptions'!F57-'Assumptions'!F62*(1)-'Assumptions'!F67-(0))+(('Historical Inputs'!$N$9*(1+(D636))^1)*('Assumptions'!E67+(0))))*'DCF'!F12/(1+(G636))^'DCF'!F13,(('Historical Inputs'!$N$9*(1+(D636))^3)*(('Assumptions'!G37+(E636))*(1-'Assumptions'!G42-(0))+'Assumptions'!G47-'Assumptions'!G52*(F636)+'Assumptions'!G57-'Assumptions'!G62*(1)-'Assumptions'!G67-(0))+(('Historical Inputs'!$N$9*(1+(D636))^2)*('Assumptions'!F67+(0))))*'DCF'!G12/(1+(G636))^'DCF'!G13,(('Historical Inputs'!$N$9*(1+(D636))^4)*(('Assumptions'!H37+(E636))*(1-'Assumptions'!H42-(0))+'Assumptions'!H47-'Assumptions'!H52*(F636)+'Assumptions'!H57-'Assumptions'!H62*(1)-'Assumptions'!H67-(0))+(('Historical Inputs'!$N$9*(1+(D636))^3)*('Assumptions'!G67+(0))))*'DCF'!H12/(1+(G636))^'DCF'!H13,(('Historical Inputs'!$N$9*(1+(D636))^5)*(('Assumptions'!I37+(E636))*(1-'Assumptions'!I42-(0))+'Assumptions'!I47-'Assumptions'!I52*(F636)+'Assumptions'!I57-'Assumptions'!I62*(1)-'Assumptions'!I67-(0))+(('Historical Inputs'!$N$9*(1+(D636))^4)*('Assumptions'!H67+(0))))*'DCF'!I12/(1+(G636))^'DCF'!I13)+('Historical Inputs'!$N$9*(1+(D636))^5)*(1+(H636))*('Terminal Value'!$E$10+(E636))*(1-'Assumptions'!$E$15-(0))*(1-(H636)/('Terminal Value'!$E$12))/((G636)-(H636))/(1+(G636))^'DCF'!$E$19)+'Equity Bridge'!$E$17)/'Equity Bridge'!$E$20</x:f>
        <x:v>222.37275182869195</x:v>
      </x:c>
      <x:c r="X636" s="255" t="n">
        <x:v>0.08285557754336526</x:v>
      </x:c>
      <x:c r="Y636" s="255" t="n">
        <x:v>0.6957554548345235</x:v>
      </x:c>
      <x:c r="Z636" s="255" t="n">
        <x:v>0.3577434674189537</x:v>
      </x:c>
      <x:c r="AA636" s="255" t="n">
        <x:v>0.9382300790045671</x:v>
      </x:c>
      <x:c r="AB636" s="255" t="n">
        <x:v>0.2680837359495868</x:v>
      </x:c>
    </x:row>
    <x:row r="637" ht="24" customHeight="1">
      <x:c r="C637" s="256" t="n">
        <x:f>606</x:f>
        <x:v>606</x:v>
      </x:c>
      <x:c r="D637" s="258" t="n">
        <x:f>IF(X637&lt;($E$12-$D$12)/($F$12-$D$12),$D$12+SQRT(X637*($F$12-$D$12)*($E$12-$D$12)),$F$12-SQRT((1-X637)*($F$12-$D$12)*($F$12-$E$12)))</x:f>
        <x:v>0.1524239114261772</x:v>
      </x:c>
      <x:c r="E637" s="258" t="n">
        <x:f>IF(Y637&lt;($E$13-$D$13)/($F$13-$D$13),$D$13+SQRT(Y637*($F$13-$D$13)*($E$13-$D$13)),$F$13-SQRT((1-Y637)*($F$13-$D$13)*($F$13-$E$13)))</x:f>
        <x:v>0.0019741379867478925</x:v>
      </x:c>
      <x:c r="F637" s="260" t="n">
        <x:f>IF(Z637&lt;($E$14-$D$14)/($F$14-$D$14),$D$14+SQRT(Z637*($F$14-$D$14)*($E$14-$D$14)),$F$14-SQRT((1-Z637)*($F$14-$D$14)*($F$14-$E$14)))</x:f>
        <x:v>0.9113184582585769</x:v>
      </x:c>
      <x:c r="G637" s="258" t="n">
        <x:f>IF(AA637&lt;($E$15-$D$15)/($F$15-$D$15),$D$15+SQRT(AA637*($F$15-$D$15)*($E$15-$D$15)),$F$15-SQRT((1-AA637)*($F$15-$D$15)*($F$15-$E$15)))</x:f>
        <x:v>0.09815325399465803</x:v>
      </x:c>
      <x:c r="H637" s="258" t="n">
        <x:f>IF(AB637&lt;($E$16-$D$16)/($F$16-$D$16),$D$16+SQRT(AB637*($F$16-$D$16)*($E$16-$D$16)),$F$16-SQRT((1-AB637)*($F$16-$D$16)*($F$16-$E$16)))</x:f>
        <x:v>0.028350183749694762</x:v>
      </x:c>
      <x:c r="I637" s="262" t="n">
        <x:f>'Historical Inputs'!$N$9*(1+D637)^5</x:f>
        <x:v>674510.523740285</x:v>
      </x:c>
      <x:c r="J637" s="262" t="n">
        <x:f>I637*(1+H637)*('Terminal Value'!$E$10+E637)*(1-'Assumptions'!$E$15)*(1-H637/'Terminal Value'!$E$12)</x:f>
        <x:v>191439.3480825097</x:v>
      </x:c>
      <x:c r="K637" s="264" t="n">
        <x:f>((SUM((('Historical Inputs'!$N$9*(1+(D637))^1)*(('Assumptions'!E37+(E637))*(1-'Assumptions'!E42-(0))+'Assumptions'!E47-'Assumptions'!E52*(F637)+'Assumptions'!E57-'Assumptions'!E62*(1)-'Assumptions'!E67-(0))+('Working Capital'!$E$6))*'DCF'!E12/(1+(G637))^'DCF'!E13,(('Historical Inputs'!$N$9*(1+(D637))^2)*(('Assumptions'!F37+(E637))*(1-'Assumptions'!F42-(0))+'Assumptions'!F47-'Assumptions'!F52*(F637)+'Assumptions'!F57-'Assumptions'!F62*(1)-'Assumptions'!F67-(0))+(('Historical Inputs'!$N$9*(1+(D637))^1)*('Assumptions'!E67+(0))))*'DCF'!F12/(1+(G637))^'DCF'!F13,(('Historical Inputs'!$N$9*(1+(D637))^3)*(('Assumptions'!G37+(E637))*(1-'Assumptions'!G42-(0))+'Assumptions'!G47-'Assumptions'!G52*(F637)+'Assumptions'!G57-'Assumptions'!G62*(1)-'Assumptions'!G67-(0))+(('Historical Inputs'!$N$9*(1+(D637))^2)*('Assumptions'!F67+(0))))*'DCF'!G12/(1+(G637))^'DCF'!G13,(('Historical Inputs'!$N$9*(1+(D637))^4)*(('Assumptions'!H37+(E637))*(1-'Assumptions'!H42-(0))+'Assumptions'!H47-'Assumptions'!H52*(F637)+'Assumptions'!H57-'Assumptions'!H62*(1)-'Assumptions'!H67-(0))+(('Historical Inputs'!$N$9*(1+(D637))^3)*('Assumptions'!G67+(0))))*'DCF'!H12/(1+(G637))^'DCF'!H13,(('Historical Inputs'!$N$9*(1+(D637))^5)*(('Assumptions'!I37+(E637))*(1-'Assumptions'!I42-(0))+'Assumptions'!I47-'Assumptions'!I52*(F637)+'Assumptions'!I57-'Assumptions'!I62*(1)-'Assumptions'!I67-(0))+(('Historical Inputs'!$N$9*(1+(D637))^4)*('Assumptions'!H67+(0))))*'DCF'!I12/(1+(G637))^'DCF'!I13)+('Historical Inputs'!$N$9*(1+(D637))^5)*(1+(H637))*('Terminal Value'!$E$10+(E637))*(1-'Assumptions'!$E$15-(0))*(1-(H637)/('Terminal Value'!$E$12))/((G637)-(H637))/(1+(G637))^'DCF'!$E$19)+'Equity Bridge'!$E$17)/'Equity Bridge'!$E$20</x:f>
        <x:v>300.0448775630441</x:v>
      </x:c>
      <x:c r="X637" s="255" t="n">
        <x:v>0.6665314190142396</x:v>
      </x:c>
      <x:c r="Y637" s="255" t="n">
        <x:v>0.5387033155768137</x:v>
      </x:c>
      <x:c r="Z637" s="255" t="n">
        <x:v>0.07161815853731135</x:v>
      </x:c>
      <x:c r="AA637" s="255" t="n">
        <x:v>0.5008586113185858</x:v>
      </x:c>
      <x:c r="AB637" s="255" t="n">
        <x:v>0.3486278432683325</x:v>
      </x:c>
    </x:row>
    <x:row r="638" ht="24" customHeight="1">
      <x:c r="C638" s="256" t="n">
        <x:f>607</x:f>
        <x:v>607</x:v>
      </x:c>
      <x:c r="D638" s="258" t="n">
        <x:f>IF(X638&lt;($E$12-$D$12)/($F$12-$D$12),$D$12+SQRT(X638*($F$12-$D$12)*($E$12-$D$12)),$F$12-SQRT((1-X638)*($F$12-$D$12)*($F$12-$E$12)))</x:f>
        <x:v>0.16062089086118225</x:v>
      </x:c>
      <x:c r="E638" s="258" t="n">
        <x:f>IF(Y638&lt;($E$13-$D$13)/($F$13-$D$13),$D$13+SQRT(Y638*($F$13-$D$13)*($E$13-$D$13)),$F$13-SQRT((1-Y638)*($F$13-$D$13)*($F$13-$E$13)))</x:f>
        <x:v>0.03427998015019821</x:v>
      </x:c>
      <x:c r="F638" s="260" t="n">
        <x:f>IF(Z638&lt;($E$14-$D$14)/($F$14-$D$14),$D$14+SQRT(Z638*($F$14-$D$14)*($E$14-$D$14)),$F$14-SQRT((1-Z638)*($F$14-$D$14)*($F$14-$E$14)))</x:f>
        <x:v>0.9958982063320951</x:v>
      </x:c>
      <x:c r="G638" s="258" t="n">
        <x:f>IF(AA638&lt;($E$15-$D$15)/($F$15-$D$15),$D$15+SQRT(AA638*($F$15-$D$15)*($E$15-$D$15)),$F$15-SQRT((1-AA638)*($F$15-$D$15)*($F$15-$E$15)))</x:f>
        <x:v>0.11187100122098696</x:v>
      </x:c>
      <x:c r="H638" s="258" t="n">
        <x:f>IF(AB638&lt;($E$16-$D$16)/($F$16-$D$16),$D$16+SQRT(AB638*($F$16-$D$16)*($E$16-$D$16)),$F$16-SQRT((1-AB638)*($F$16-$D$16)*($F$16-$E$16)))</x:f>
        <x:v>0.02359696954031608</x:v>
      </x:c>
      <x:c r="I638" s="262" t="n">
        <x:f>'Historical Inputs'!$N$9*(1+D638)^5</x:f>
        <x:v>698842.5558409926</x:v>
      </x:c>
      <x:c r="J638" s="262" t="n">
        <x:f>I638*(1+H638)*('Terminal Value'!$E$10+E638)*(1-'Assumptions'!$E$15)*(1-H638/'Terminal Value'!$E$12)</x:f>
        <x:v>219201.83081224086</x:v>
      </x:c>
      <x:c r="K638" s="264" t="n">
        <x:f>((SUM((('Historical Inputs'!$N$9*(1+(D638))^1)*(('Assumptions'!E37+(E638))*(1-'Assumptions'!E42-(0))+'Assumptions'!E47-'Assumptions'!E52*(F638)+'Assumptions'!E57-'Assumptions'!E62*(1)-'Assumptions'!E67-(0))+('Working Capital'!$E$6))*'DCF'!E12/(1+(G638))^'DCF'!E13,(('Historical Inputs'!$N$9*(1+(D638))^2)*(('Assumptions'!F37+(E638))*(1-'Assumptions'!F42-(0))+'Assumptions'!F47-'Assumptions'!F52*(F638)+'Assumptions'!F57-'Assumptions'!F62*(1)-'Assumptions'!F67-(0))+(('Historical Inputs'!$N$9*(1+(D638))^1)*('Assumptions'!E67+(0))))*'DCF'!F12/(1+(G638))^'DCF'!F13,(('Historical Inputs'!$N$9*(1+(D638))^3)*(('Assumptions'!G37+(E638))*(1-'Assumptions'!G42-(0))+'Assumptions'!G47-'Assumptions'!G52*(F638)+'Assumptions'!G57-'Assumptions'!G62*(1)-'Assumptions'!G67-(0))+(('Historical Inputs'!$N$9*(1+(D638))^2)*('Assumptions'!F67+(0))))*'DCF'!G12/(1+(G638))^'DCF'!G13,(('Historical Inputs'!$N$9*(1+(D638))^4)*(('Assumptions'!H37+(E638))*(1-'Assumptions'!H42-(0))+'Assumptions'!H47-'Assumptions'!H52*(F638)+'Assumptions'!H57-'Assumptions'!H62*(1)-'Assumptions'!H67-(0))+(('Historical Inputs'!$N$9*(1+(D638))^3)*('Assumptions'!G67+(0))))*'DCF'!H12/(1+(G638))^'DCF'!H13,(('Historical Inputs'!$N$9*(1+(D638))^5)*(('Assumptions'!I37+(E638))*(1-'Assumptions'!I42-(0))+'Assumptions'!I47-'Assumptions'!I52*(F638)+'Assumptions'!I57-'Assumptions'!I62*(1)-'Assumptions'!I67-(0))+(('Historical Inputs'!$N$9*(1+(D638))^4)*('Assumptions'!H67+(0))))*'DCF'!I12/(1+(G638))^'DCF'!I13)+('Historical Inputs'!$N$9*(1+(D638))^5)*(1+(H638))*('Terminal Value'!$E$10+(E638))*(1-'Assumptions'!$E$15-(0))*(1-(H638)/('Terminal Value'!$E$12))/((G638)-(H638))/(1+(G638))^'DCF'!$E$19)+'Equity Bridge'!$E$17)/'Equity Bridge'!$E$20</x:f>
        <x:v>266.14512709839977</x:v>
      </x:c>
      <x:c r="X638" s="255" t="n">
        <x:v>0.7869765911287041</x:v>
      </x:c>
      <x:c r="Y638" s="255" t="n">
        <x:v>0.9505761951843675</x:v>
      </x:c>
      <x:c r="Z638" s="255" t="n">
        <x:v>0.40545307830328803</x:v>
      </x:c>
      <x:c r="AA638" s="255" t="n">
        <x:v>0.9964193437839213</x:v>
      </x:c>
      <x:c r="AB638" s="255" t="n">
        <x:v>0.06469094936980835</x:v>
      </x:c>
    </x:row>
    <x:row r="639" ht="24" customHeight="1">
      <x:c r="C639" s="256" t="n">
        <x:f>608</x:f>
        <x:v>608</x:v>
      </x:c>
      <x:c r="D639" s="258" t="n">
        <x:f>IF(X639&lt;($E$12-$D$12)/($F$12-$D$12),$D$12+SQRT(X639*($F$12-$D$12)*($E$12-$D$12)),$F$12-SQRT((1-X639)*($F$12-$D$12)*($F$12-$E$12)))</x:f>
        <x:v>0.1808752409780757</x:v>
      </x:c>
      <x:c r="E639" s="258" t="n">
        <x:f>IF(Y639&lt;($E$13-$D$13)/($F$13-$D$13),$D$13+SQRT(Y639*($F$13-$D$13)*($E$13-$D$13)),$F$13-SQRT((1-Y639)*($F$13-$D$13)*($F$13-$E$13)))</x:f>
        <x:v>0.025447048575218238</x:v>
      </x:c>
      <x:c r="F639" s="260" t="n">
        <x:f>IF(Z639&lt;($E$14-$D$14)/($F$14-$D$14),$D$14+SQRT(Z639*($F$14-$D$14)*($E$14-$D$14)),$F$14-SQRT((1-Z639)*($F$14-$D$14)*($F$14-$E$14)))</x:f>
        <x:v>1.0017951166131054</x:v>
      </x:c>
      <x:c r="G639" s="258" t="n">
        <x:f>IF(AA639&lt;($E$15-$D$15)/($F$15-$D$15),$D$15+SQRT(AA639*($F$15-$D$15)*($E$15-$D$15)),$F$15-SQRT((1-AA639)*($F$15-$D$15)*($F$15-$E$15)))</x:f>
        <x:v>0.09794071469607166</x:v>
      </x:c>
      <x:c r="H639" s="258" t="n">
        <x:f>IF(AB639&lt;($E$16-$D$16)/($F$16-$D$16),$D$16+SQRT(AB639*($F$16-$D$16)*($E$16-$D$16)),$F$16-SQRT((1-AB639)*($F$16-$D$16)*($F$16-$E$16)))</x:f>
        <x:v>0.03256540937985117</x:v>
      </x:c>
      <x:c r="I639" s="262" t="n">
        <x:f>'Historical Inputs'!$N$9*(1+D639)^5</x:f>
        <x:v>761986.9102646938</x:v>
      </x:c>
      <x:c r="J639" s="262" t="n">
        <x:f>I639*(1+H639)*('Terminal Value'!$E$10+E639)*(1-'Assumptions'!$E$15)*(1-H639/'Terminal Value'!$E$12)</x:f>
        <x:v>224189.7611516354</x:v>
      </x:c>
      <x:c r="K639" s="264" t="n">
        <x:f>((SUM((('Historical Inputs'!$N$9*(1+(D639))^1)*(('Assumptions'!E37+(E639))*(1-'Assumptions'!E42-(0))+'Assumptions'!E47-'Assumptions'!E52*(F639)+'Assumptions'!E57-'Assumptions'!E62*(1)-'Assumptions'!E67-(0))+('Working Capital'!$E$6))*'DCF'!E12/(1+(G639))^'DCF'!E13,(('Historical Inputs'!$N$9*(1+(D639))^2)*(('Assumptions'!F37+(E639))*(1-'Assumptions'!F42-(0))+'Assumptions'!F47-'Assumptions'!F52*(F639)+'Assumptions'!F57-'Assumptions'!F62*(1)-'Assumptions'!F67-(0))+(('Historical Inputs'!$N$9*(1+(D639))^1)*('Assumptions'!E67+(0))))*'DCF'!F12/(1+(G639))^'DCF'!F13,(('Historical Inputs'!$N$9*(1+(D639))^3)*(('Assumptions'!G37+(E639))*(1-'Assumptions'!G42-(0))+'Assumptions'!G47-'Assumptions'!G52*(F639)+'Assumptions'!G57-'Assumptions'!G62*(1)-'Assumptions'!G67-(0))+(('Historical Inputs'!$N$9*(1+(D639))^2)*('Assumptions'!F67+(0))))*'DCF'!G12/(1+(G639))^'DCF'!G13,(('Historical Inputs'!$N$9*(1+(D639))^4)*(('Assumptions'!H37+(E639))*(1-'Assumptions'!H42-(0))+'Assumptions'!H47-'Assumptions'!H52*(F639)+'Assumptions'!H57-'Assumptions'!H62*(1)-'Assumptions'!H67-(0))+(('Historical Inputs'!$N$9*(1+(D639))^3)*('Assumptions'!G67+(0))))*'DCF'!H12/(1+(G639))^'DCF'!H13,(('Historical Inputs'!$N$9*(1+(D639))^5)*(('Assumptions'!I37+(E639))*(1-'Assumptions'!I42-(0))+'Assumptions'!I47-'Assumptions'!I52*(F639)+'Assumptions'!I57-'Assumptions'!I62*(1)-'Assumptions'!I67-(0))+(('Historical Inputs'!$N$9*(1+(D639))^4)*('Assumptions'!H67+(0))))*'DCF'!I12/(1+(G639))^'DCF'!I13)+('Historical Inputs'!$N$9*(1+(D639))^5)*(1+(H639))*('Terminal Value'!$E$10+(E639))*(1-'Assumptions'!$E$15-(0))*(1-(H639)/('Terminal Value'!$E$12))/((G639)-(H639))/(1+(G639))^'DCF'!$E$19)+'Equity Bridge'!$E$17)/'Equity Bridge'!$E$20</x:f>
        <x:v>364.4405576825869</x:v>
      </x:c>
      <x:c r="X639" s="255" t="n">
        <x:v>0.9693383006065109</x:v>
      </x:c>
      <x:c r="Y639" s="255" t="n">
        <x:v>0.8794305152664614</x:v>
      </x:c>
      <x:c r="Z639" s="255" t="n">
        <x:v>0.43878320287982164</x:v>
      </x:c>
      <x:c r="AA639" s="255" t="n">
        <x:v>0.48677827579699284</x:v>
      </x:c>
      <x:c r="AB639" s="255" t="n">
        <x:v>0.723634311553975</x:v>
      </x:c>
    </x:row>
    <x:row r="640" ht="24" customHeight="1">
      <x:c r="C640" s="256" t="n">
        <x:f>609</x:f>
        <x:v>609</x:v>
      </x:c>
      <x:c r="D640" s="258" t="n">
        <x:f>IF(X640&lt;($E$12-$D$12)/($F$12-$D$12),$D$12+SQRT(X640*($F$12-$D$12)*($E$12-$D$12)),$F$12-SQRT((1-X640)*($F$12-$D$12)*($F$12-$E$12)))</x:f>
        <x:v>0.13786727859425058</x:v>
      </x:c>
      <x:c r="E640" s="258" t="n">
        <x:f>IF(Y640&lt;($E$13-$D$13)/($F$13-$D$13),$D$13+SQRT(Y640*($F$13-$D$13)*($E$13-$D$13)),$F$13-SQRT((1-Y640)*($F$13-$D$13)*($F$13-$E$13)))</x:f>
        <x:v>0.03252252007636716</x:v>
      </x:c>
      <x:c r="F640" s="260" t="n">
        <x:f>IF(Z640&lt;($E$14-$D$14)/($F$14-$D$14),$D$14+SQRT(Z640*($F$14-$D$14)*($E$14-$D$14)),$F$14-SQRT((1-Z640)*($F$14-$D$14)*($F$14-$E$14)))</x:f>
        <x:v>1.136339081998983</x:v>
      </x:c>
      <x:c r="G640" s="258" t="n">
        <x:f>IF(AA640&lt;($E$15-$D$15)/($F$15-$D$15),$D$15+SQRT(AA640*($F$15-$D$15)*($E$15-$D$15)),$F$15-SQRT((1-AA640)*($F$15-$D$15)*($F$15-$E$15)))</x:f>
        <x:v>0.09927415399772006</x:v>
      </x:c>
      <x:c r="H640" s="258" t="n">
        <x:f>IF(AB640&lt;($E$16-$D$16)/($F$16-$D$16),$D$16+SQRT(AB640*($F$16-$D$16)*($E$16-$D$16)),$F$16-SQRT((1-AB640)*($F$16-$D$16)*($F$16-$E$16)))</x:f>
        <x:v>0.022772584891429658</x:v>
      </x:c>
      <x:c r="I640" s="262" t="n">
        <x:f>'Historical Inputs'!$N$9*(1+D640)^5</x:f>
        <x:v>632973.4141998932</x:v>
      </x:c>
      <x:c r="J640" s="262" t="n">
        <x:f>I640*(1+H640)*('Terminal Value'!$E$10+E640)*(1-'Assumptions'!$E$15)*(1-H640/'Terminal Value'!$E$12)</x:f>
        <x:v>198501.6710331742</x:v>
      </x:c>
      <x:c r="K640" s="264" t="n">
        <x:f>((SUM((('Historical Inputs'!$N$9*(1+(D640))^1)*(('Assumptions'!E37+(E640))*(1-'Assumptions'!E42-(0))+'Assumptions'!E47-'Assumptions'!E52*(F640)+'Assumptions'!E57-'Assumptions'!E62*(1)-'Assumptions'!E67-(0))+('Working Capital'!$E$6))*'DCF'!E12/(1+(G640))^'DCF'!E13,(('Historical Inputs'!$N$9*(1+(D640))^2)*(('Assumptions'!F37+(E640))*(1-'Assumptions'!F42-(0))+'Assumptions'!F47-'Assumptions'!F52*(F640)+'Assumptions'!F57-'Assumptions'!F62*(1)-'Assumptions'!F67-(0))+(('Historical Inputs'!$N$9*(1+(D640))^1)*('Assumptions'!E67+(0))))*'DCF'!F12/(1+(G640))^'DCF'!F13,(('Historical Inputs'!$N$9*(1+(D640))^3)*(('Assumptions'!G37+(E640))*(1-'Assumptions'!G42-(0))+'Assumptions'!G47-'Assumptions'!G52*(F640)+'Assumptions'!G57-'Assumptions'!G62*(1)-'Assumptions'!G67-(0))+(('Historical Inputs'!$N$9*(1+(D640))^2)*('Assumptions'!F67+(0))))*'DCF'!G12/(1+(G640))^'DCF'!G13,(('Historical Inputs'!$N$9*(1+(D640))^4)*(('Assumptions'!H37+(E640))*(1-'Assumptions'!H42-(0))+'Assumptions'!H47-'Assumptions'!H52*(F640)+'Assumptions'!H57-'Assumptions'!H62*(1)-'Assumptions'!H67-(0))+(('Historical Inputs'!$N$9*(1+(D640))^3)*('Assumptions'!G67+(0))))*'DCF'!H12/(1+(G640))^'DCF'!H13,(('Historical Inputs'!$N$9*(1+(D640))^5)*(('Assumptions'!I37+(E640))*(1-'Assumptions'!I42-(0))+'Assumptions'!I47-'Assumptions'!I52*(F640)+'Assumptions'!I57-'Assumptions'!I62*(1)-'Assumptions'!I67-(0))+(('Historical Inputs'!$N$9*(1+(D640))^4)*('Assumptions'!H67+(0))))*'DCF'!I12/(1+(G640))^'DCF'!I13)+('Historical Inputs'!$N$9*(1+(D640))^5)*(1+(H640))*('Terminal Value'!$E$10+(E640))*(1-'Assumptions'!$E$15-(0))*(1-(H640)/('Terminal Value'!$E$12))/((G640)-(H640))/(1+(G640))^'DCF'!$E$19)+'Equity Bridge'!$E$17)/'Equity Bridge'!$E$20</x:f>
        <x:v>275.2991207734391</x:v>
      </x:c>
      <x:c r="X640" s="255" t="n">
        <x:v>0.3980150017848255</x:v>
      </x:c>
      <x:c r="Y640" s="255" t="n">
        <x:v>0.9389075391038022</x:v>
      </x:c>
      <x:c r="Z640" s="255" t="n">
        <x:v>0.9421041074181111</x:v>
      </x:c>
      <x:c r="AA640" s="255" t="n">
        <x:v>0.5727290520881773</x:v>
      </x:c>
      <x:c r="AB640" s="255" t="n">
        <x:v>0.03843613490092013</x:v>
      </x:c>
    </x:row>
    <x:row r="641" ht="24" customHeight="1">
      <x:c r="C641" s="256" t="n">
        <x:f>610</x:f>
        <x:v>610</x:v>
      </x:c>
      <x:c r="D641" s="258" t="n">
        <x:f>IF(X641&lt;($E$12-$D$12)/($F$12-$D$12),$D$12+SQRT(X641*($F$12-$D$12)*($E$12-$D$12)),$F$12-SQRT((1-X641)*($F$12-$D$12)*($F$12-$E$12)))</x:f>
        <x:v>0.15464640246394032</x:v>
      </x:c>
      <x:c r="E641" s="258" t="n">
        <x:f>IF(Y641&lt;($E$13-$D$13)/($F$13-$D$13),$D$13+SQRT(Y641*($F$13-$D$13)*($E$13-$D$13)),$F$13-SQRT((1-Y641)*($F$13-$D$13)*($F$13-$E$13)))</x:f>
        <x:v>-0.0028823143548045577</x:v>
      </x:c>
      <x:c r="F641" s="260" t="n">
        <x:f>IF(Z641&lt;($E$14-$D$14)/($F$14-$D$14),$D$14+SQRT(Z641*($F$14-$D$14)*($E$14-$D$14)),$F$14-SQRT((1-Z641)*($F$14-$D$14)*($F$14-$E$14)))</x:f>
        <x:v>0.9291128297812288</x:v>
      </x:c>
      <x:c r="G641" s="258" t="n">
        <x:f>IF(AA641&lt;($E$15-$D$15)/($F$15-$D$15),$D$15+SQRT(AA641*($F$15-$D$15)*($E$15-$D$15)),$F$15-SQRT((1-AA641)*($F$15-$D$15)*($F$15-$E$15)))</x:f>
        <x:v>0.10470065370517762</x:v>
      </x:c>
      <x:c r="H641" s="258" t="n">
        <x:f>IF(AB641&lt;($E$16-$D$16)/($F$16-$D$16),$D$16+SQRT(AB641*($F$16-$D$16)*($E$16-$D$16)),$F$16-SQRT((1-AB641)*($F$16-$D$16)*($F$16-$E$16)))</x:f>
        <x:v>0.03390574861152756</x:v>
      </x:c>
      <x:c r="I641" s="262" t="n">
        <x:f>'Historical Inputs'!$N$9*(1+D641)^5</x:f>
        <x:v>681039.7481548445</x:v>
      </x:c>
      <x:c r="J641" s="262" t="n">
        <x:f>I641*(1+H641)*('Terminal Value'!$E$10+E641)*(1-'Assumptions'!$E$15)*(1-H641/'Terminal Value'!$E$12)</x:f>
        <x:v>185774.98354821562</x:v>
      </x:c>
      <x:c r="K641" s="264" t="n">
        <x:f>((SUM((('Historical Inputs'!$N$9*(1+(D641))^1)*(('Assumptions'!E37+(E641))*(1-'Assumptions'!E42-(0))+'Assumptions'!E47-'Assumptions'!E52*(F641)+'Assumptions'!E57-'Assumptions'!E62*(1)-'Assumptions'!E67-(0))+('Working Capital'!$E$6))*'DCF'!E12/(1+(G641))^'DCF'!E13,(('Historical Inputs'!$N$9*(1+(D641))^2)*(('Assumptions'!F37+(E641))*(1-'Assumptions'!F42-(0))+'Assumptions'!F47-'Assumptions'!F52*(F641)+'Assumptions'!F57-'Assumptions'!F62*(1)-'Assumptions'!F67-(0))+(('Historical Inputs'!$N$9*(1+(D641))^1)*('Assumptions'!E67+(0))))*'DCF'!F12/(1+(G641))^'DCF'!F13,(('Historical Inputs'!$N$9*(1+(D641))^3)*(('Assumptions'!G37+(E641))*(1-'Assumptions'!G42-(0))+'Assumptions'!G47-'Assumptions'!G52*(F641)+'Assumptions'!G57-'Assumptions'!G62*(1)-'Assumptions'!G67-(0))+(('Historical Inputs'!$N$9*(1+(D641))^2)*('Assumptions'!F67+(0))))*'DCF'!G12/(1+(G641))^'DCF'!G13,(('Historical Inputs'!$N$9*(1+(D641))^4)*(('Assumptions'!H37+(E641))*(1-'Assumptions'!H42-(0))+'Assumptions'!H47-'Assumptions'!H52*(F641)+'Assumptions'!H57-'Assumptions'!H62*(1)-'Assumptions'!H67-(0))+(('Historical Inputs'!$N$9*(1+(D641))^3)*('Assumptions'!G67+(0))))*'DCF'!H12/(1+(G641))^'DCF'!H13,(('Historical Inputs'!$N$9*(1+(D641))^5)*(('Assumptions'!I37+(E641))*(1-'Assumptions'!I42-(0))+'Assumptions'!I47-'Assumptions'!I52*(F641)+'Assumptions'!I57-'Assumptions'!I62*(1)-'Assumptions'!I67-(0))+(('Historical Inputs'!$N$9*(1+(D641))^4)*('Assumptions'!H67+(0))))*'DCF'!I12/(1+(G641))^'DCF'!I13)+('Historical Inputs'!$N$9*(1+(D641))^5)*(1+(H641))*('Terminal Value'!$E$10+(E641))*(1-'Assumptions'!$E$15-(0))*(1-(H641)/('Terminal Value'!$E$12))/((G641)-(H641))/(1+(G641))^'DCF'!$E$19)+'Equity Bridge'!$E$17)/'Equity Bridge'!$E$20</x:f>
        <x:v>280.7733561535411</x:v>
      </x:c>
      <x:c r="X641" s="255" t="n">
        <x:v>0.7018440144947424</x:v>
      </x:c>
      <x:c r="Y641" s="255" t="n">
        <x:v>0.4440152601118913</x:v>
      </x:c>
      <x:c r="Z641" s="255" t="n">
        <x:v>0.11921599687607021</x:v>
      </x:c>
      <x:c r="AA641" s="255" t="n">
        <x:v>0.8417137796221833</x:v>
      </x:c>
      <x:c r="AB641" s="255" t="n">
        <x:v>0.8143005000705085</x:v>
      </x:c>
    </x:row>
    <x:row r="642" ht="24" customHeight="1">
      <x:c r="C642" s="256" t="n">
        <x:f>611</x:f>
        <x:v>611</x:v>
      </x:c>
      <x:c r="D642" s="258" t="n">
        <x:f>IF(X642&lt;($E$12-$D$12)/($F$12-$D$12),$D$12+SQRT(X642*($F$12-$D$12)*($E$12-$D$12)),$F$12-SQRT((1-X642)*($F$12-$D$12)*($F$12-$E$12)))</x:f>
        <x:v>0.1311559451148937</x:v>
      </x:c>
      <x:c r="E642" s="258" t="n">
        <x:f>IF(Y642&lt;($E$13-$D$13)/($F$13-$D$13),$D$13+SQRT(Y642*($F$13-$D$13)*($E$13-$D$13)),$F$13-SQRT((1-Y642)*($F$13-$D$13)*($F$13-$E$13)))</x:f>
        <x:v>0.0086380570773203</x:v>
      </x:c>
      <x:c r="F642" s="260" t="n">
        <x:f>IF(Z642&lt;($E$14-$D$14)/($F$14-$D$14),$D$14+SQRT(Z642*($F$14-$D$14)*($E$14-$D$14)),$F$14-SQRT((1-Z642)*($F$14-$D$14)*($F$14-$E$14)))</x:f>
        <x:v>1.0265383740277425</x:v>
      </x:c>
      <x:c r="G642" s="258" t="n">
        <x:f>IF(AA642&lt;($E$15-$D$15)/($F$15-$D$15),$D$15+SQRT(AA642*($F$15-$D$15)*($E$15-$D$15)),$F$15-SQRT((1-AA642)*($F$15-$D$15)*($F$15-$E$15)))</x:f>
        <x:v>0.10172476825423697</x:v>
      </x:c>
      <x:c r="H642" s="258" t="n">
        <x:f>IF(AB642&lt;($E$16-$D$16)/($F$16-$D$16),$D$16+SQRT(AB642*($F$16-$D$16)*($E$16-$D$16)),$F$16-SQRT((1-AB642)*($F$16-$D$16)*($F$16-$E$16)))</x:f>
        <x:v>0.028714379335276173</x:v>
      </x:c>
      <x:c r="I642" s="262" t="n">
        <x:f>'Historical Inputs'!$N$9*(1+D642)^5</x:f>
        <x:v>614525.3997812751</x:v>
      </x:c>
      <x:c r="J642" s="262" t="n">
        <x:f>I642*(1+H642)*('Terminal Value'!$E$10+E642)*(1-'Assumptions'!$E$15)*(1-H642/'Terminal Value'!$E$12)</x:f>
        <x:v>176992.29316917018</x:v>
      </x:c>
      <x:c r="K642" s="264" t="n">
        <x:f>((SUM((('Historical Inputs'!$N$9*(1+(D642))^1)*(('Assumptions'!E37+(E642))*(1-'Assumptions'!E42-(0))+'Assumptions'!E47-'Assumptions'!E52*(F642)+'Assumptions'!E57-'Assumptions'!E62*(1)-'Assumptions'!E67-(0))+('Working Capital'!$E$6))*'DCF'!E12/(1+(G642))^'DCF'!E13,(('Historical Inputs'!$N$9*(1+(D642))^2)*(('Assumptions'!F37+(E642))*(1-'Assumptions'!F42-(0))+'Assumptions'!F47-'Assumptions'!F52*(F642)+'Assumptions'!F57-'Assumptions'!F62*(1)-'Assumptions'!F67-(0))+(('Historical Inputs'!$N$9*(1+(D642))^1)*('Assumptions'!E67+(0))))*'DCF'!F12/(1+(G642))^'DCF'!F13,(('Historical Inputs'!$N$9*(1+(D642))^3)*(('Assumptions'!G37+(E642))*(1-'Assumptions'!G42-(0))+'Assumptions'!G47-'Assumptions'!G52*(F642)+'Assumptions'!G57-'Assumptions'!G62*(1)-'Assumptions'!G67-(0))+(('Historical Inputs'!$N$9*(1+(D642))^2)*('Assumptions'!F67+(0))))*'DCF'!G12/(1+(G642))^'DCF'!G13,(('Historical Inputs'!$N$9*(1+(D642))^4)*(('Assumptions'!H37+(E642))*(1-'Assumptions'!H42-(0))+'Assumptions'!H47-'Assumptions'!H52*(F642)+'Assumptions'!H57-'Assumptions'!H62*(1)-'Assumptions'!H67-(0))+(('Historical Inputs'!$N$9*(1+(D642))^3)*('Assumptions'!G67+(0))))*'DCF'!H12/(1+(G642))^'DCF'!H13,(('Historical Inputs'!$N$9*(1+(D642))^5)*(('Assumptions'!I37+(E642))*(1-'Assumptions'!I42-(0))+'Assumptions'!I47-'Assumptions'!I52*(F642)+'Assumptions'!I57-'Assumptions'!I62*(1)-'Assumptions'!I67-(0))+(('Historical Inputs'!$N$9*(1+(D642))^4)*('Assumptions'!H67+(0))))*'DCF'!I12/(1+(G642))^'DCF'!I13)+('Historical Inputs'!$N$9*(1+(D642))^5)*(1+(H642))*('Terminal Value'!$E$10+(E642))*(1-'Assumptions'!$E$15-(0))*(1-(H642)/('Terminal Value'!$E$12))/((G642)-(H642))/(1+(G642))^'DCF'!$E$19)+'Equity Bridge'!$E$17)/'Equity Bridge'!$E$20</x:f>
        <x:v>259.02941608143067</x:v>
      </x:c>
      <x:c r="X642" s="255" t="n">
        <x:v>0.28726567729062036</x:v>
      </x:c>
      <x:c r="Y642" s="255" t="n">
        <x:v>0.6578379355321974</x:v>
      </x:c>
      <x:c r="Z642" s="255" t="n">
        <x:v>0.5701580616437238</x:v>
      </x:c>
      <x:c r="AA642" s="255" t="n">
        <x:v>0.7104090065974531</x:v>
      </x:c>
      <x:c r="AB642" s="255" t="n">
        <x:v>0.37970203599544206</x:v>
      </x:c>
    </x:row>
    <x:row r="643" ht="24" customHeight="1">
      <x:c r="C643" s="256" t="n">
        <x:f>612</x:f>
        <x:v>612</x:v>
      </x:c>
      <x:c r="D643" s="258" t="n">
        <x:f>IF(X643&lt;($E$12-$D$12)/($F$12-$D$12),$D$12+SQRT(X643*($F$12-$D$12)*($E$12-$D$12)),$F$12-SQRT((1-X643)*($F$12-$D$12)*($F$12-$E$12)))</x:f>
        <x:v>0.12176096789084345</x:v>
      </x:c>
      <x:c r="E643" s="258" t="n">
        <x:f>IF(Y643&lt;($E$13-$D$13)/($F$13-$D$13),$D$13+SQRT(Y643*($F$13-$D$13)*($E$13-$D$13)),$F$13-SQRT((1-Y643)*($F$13-$D$13)*($F$13-$E$13)))</x:f>
        <x:v>-0.00019131583260552365</x:v>
      </x:c>
      <x:c r="F643" s="260" t="n">
        <x:f>IF(Z643&lt;($E$14-$D$14)/($F$14-$D$14),$D$14+SQRT(Z643*($F$14-$D$14)*($E$14-$D$14)),$F$14-SQRT((1-Z643)*($F$14-$D$14)*($F$14-$E$14)))</x:f>
        <x:v>1.069093813140026</x:v>
      </x:c>
      <x:c r="G643" s="258" t="n">
        <x:f>IF(AA643&lt;($E$15-$D$15)/($F$15-$D$15),$D$15+SQRT(AA643*($F$15-$D$15)*($E$15-$D$15)),$F$15-SQRT((1-AA643)*($F$15-$D$15)*($F$15-$E$15)))</x:f>
        <x:v>0.09736202749604597</x:v>
      </x:c>
      <x:c r="H643" s="258" t="n">
        <x:f>IF(AB643&lt;($E$16-$D$16)/($F$16-$D$16),$D$16+SQRT(AB643*($F$16-$D$16)*($E$16-$D$16)),$F$16-SQRT((1-AB643)*($F$16-$D$16)*($F$16-$E$16)))</x:f>
        <x:v>0.027505800668498434</x:v>
      </x:c>
      <x:c r="I643" s="262" t="n">
        <x:f>'Historical Inputs'!$N$9*(1+D643)^5</x:f>
        <x:v>589425.6735118129</x:v>
      </x:c>
      <x:c r="J643" s="262" t="n">
        <x:f>I643*(1+H643)*('Terminal Value'!$E$10+E643)*(1-'Assumptions'!$E$15)*(1-H643/'Terminal Value'!$E$12)</x:f>
        <x:v>167070.60307504324</x:v>
      </x:c>
      <x:c r="K643" s="264" t="n">
        <x:f>((SUM((('Historical Inputs'!$N$9*(1+(D643))^1)*(('Assumptions'!E37+(E643))*(1-'Assumptions'!E42-(0))+'Assumptions'!E47-'Assumptions'!E52*(F643)+'Assumptions'!E57-'Assumptions'!E62*(1)-'Assumptions'!E67-(0))+('Working Capital'!$E$6))*'DCF'!E12/(1+(G643))^'DCF'!E13,(('Historical Inputs'!$N$9*(1+(D643))^2)*(('Assumptions'!F37+(E643))*(1-'Assumptions'!F42-(0))+'Assumptions'!F47-'Assumptions'!F52*(F643)+'Assumptions'!F57-'Assumptions'!F62*(1)-'Assumptions'!F67-(0))+(('Historical Inputs'!$N$9*(1+(D643))^1)*('Assumptions'!E67+(0))))*'DCF'!F12/(1+(G643))^'DCF'!F13,(('Historical Inputs'!$N$9*(1+(D643))^3)*(('Assumptions'!G37+(E643))*(1-'Assumptions'!G42-(0))+'Assumptions'!G47-'Assumptions'!G52*(F643)+'Assumptions'!G57-'Assumptions'!G62*(1)-'Assumptions'!G67-(0))+(('Historical Inputs'!$N$9*(1+(D643))^2)*('Assumptions'!F67+(0))))*'DCF'!G12/(1+(G643))^'DCF'!G13,(('Historical Inputs'!$N$9*(1+(D643))^4)*(('Assumptions'!H37+(E643))*(1-'Assumptions'!H42-(0))+'Assumptions'!H47-'Assumptions'!H52*(F643)+'Assumptions'!H57-'Assumptions'!H62*(1)-'Assumptions'!H67-(0))+(('Historical Inputs'!$N$9*(1+(D643))^3)*('Assumptions'!G67+(0))))*'DCF'!H12/(1+(G643))^'DCF'!H13,(('Historical Inputs'!$N$9*(1+(D643))^5)*(('Assumptions'!I37+(E643))*(1-'Assumptions'!I42-(0))+'Assumptions'!I47-'Assumptions'!I52*(F643)+'Assumptions'!I57-'Assumptions'!I62*(1)-'Assumptions'!I67-(0))+(('Historical Inputs'!$N$9*(1+(D643))^4)*('Assumptions'!H67+(0))))*'DCF'!I12/(1+(G643))^'DCF'!I13)+('Historical Inputs'!$N$9*(1+(D643))^5)*(1+(H643))*('Terminal Value'!$E$10+(E643))*(1-'Assumptions'!$E$15-(0))*(1-(H643)/('Terminal Value'!$E$12))/((G643)-(H643))/(1+(G643))^'DCF'!$E$19)+'Equity Bridge'!$E$17)/'Equity Bridge'!$E$20</x:f>
        <x:v>254.83997028666414</x:v>
      </x:c>
      <x:c r="X643" s="255" t="n">
        <x:v>0.1624949882528468</x:v>
      </x:c>
      <x:c r="Y643" s="255" t="n">
        <x:v>0.49618100369745066</x:v>
      </x:c>
      <x:c r="Z643" s="255" t="n">
        <x:v>0.7551938605968795</x:v>
      </x:c>
      <x:c r="AA643" s="255" t="n">
        <x:v>0.44945680466756166</x:v>
      </x:c>
      <x:c r="AB643" s="255" t="n">
        <x:v>0.2816852183761577</x:v>
      </x:c>
    </x:row>
    <x:row r="644" ht="24" customHeight="1">
      <x:c r="C644" s="256" t="n">
        <x:f>613</x:f>
        <x:v>613</x:v>
      </x:c>
      <x:c r="D644" s="258" t="n">
        <x:f>IF(X644&lt;($E$12-$D$12)/($F$12-$D$12),$D$12+SQRT(X644*($F$12-$D$12)*($E$12-$D$12)),$F$12-SQRT((1-X644)*($F$12-$D$12)*($F$12-$E$12)))</x:f>
        <x:v>0.17428068342661732</x:v>
      </x:c>
      <x:c r="E644" s="258" t="n">
        <x:f>IF(Y644&lt;($E$13-$D$13)/($F$13-$D$13),$D$13+SQRT(Y644*($F$13-$D$13)*($E$13-$D$13)),$F$13-SQRT((1-Y644)*($F$13-$D$13)*($F$13-$E$13)))</x:f>
        <x:v>-0.006875476107749995</x:v>
      </x:c>
      <x:c r="F644" s="260" t="n">
        <x:f>IF(Z644&lt;($E$14-$D$14)/($F$14-$D$14),$D$14+SQRT(Z644*($F$14-$D$14)*($E$14-$D$14)),$F$14-SQRT((1-Z644)*($F$14-$D$14)*($F$14-$E$14)))</x:f>
        <x:v>1.0566214434338872</x:v>
      </x:c>
      <x:c r="G644" s="258" t="n">
        <x:f>IF(AA644&lt;($E$15-$D$15)/($F$15-$D$15),$D$15+SQRT(AA644*($F$15-$D$15)*($E$15-$D$15)),$F$15-SQRT((1-AA644)*($F$15-$D$15)*($F$15-$E$15)))</x:f>
        <x:v>0.10352850231167014</x:v>
      </x:c>
      <x:c r="H644" s="258" t="n">
        <x:f>IF(AB644&lt;($E$16-$D$16)/($F$16-$D$16),$D$16+SQRT(AB644*($F$16-$D$16)*($E$16-$D$16)),$F$16-SQRT((1-AB644)*($F$16-$D$16)*($F$16-$E$16)))</x:f>
        <x:v>0.030420310873276072</x:v>
      </x:c>
      <x:c r="I644" s="262" t="n">
        <x:f>'Historical Inputs'!$N$9*(1+D644)^5</x:f>
        <x:v>740946.772417751</x:v>
      </x:c>
      <x:c r="J644" s="262" t="n">
        <x:f>I644*(1+H644)*('Terminal Value'!$E$10+E644)*(1-'Assumptions'!$E$15)*(1-H644/'Terminal Value'!$E$12)</x:f>
        <x:v>203594.19177420082</x:v>
      </x:c>
      <x:c r="K644" s="264" t="n">
        <x:f>((SUM((('Historical Inputs'!$N$9*(1+(D644))^1)*(('Assumptions'!E37+(E644))*(1-'Assumptions'!E42-(0))+'Assumptions'!E47-'Assumptions'!E52*(F644)+'Assumptions'!E57-'Assumptions'!E62*(1)-'Assumptions'!E67-(0))+('Working Capital'!$E$6))*'DCF'!E12/(1+(G644))^'DCF'!E13,(('Historical Inputs'!$N$9*(1+(D644))^2)*(('Assumptions'!F37+(E644))*(1-'Assumptions'!F42-(0))+'Assumptions'!F47-'Assumptions'!F52*(F644)+'Assumptions'!F57-'Assumptions'!F62*(1)-'Assumptions'!F67-(0))+(('Historical Inputs'!$N$9*(1+(D644))^1)*('Assumptions'!E67+(0))))*'DCF'!F12/(1+(G644))^'DCF'!F13,(('Historical Inputs'!$N$9*(1+(D644))^3)*(('Assumptions'!G37+(E644))*(1-'Assumptions'!G42-(0))+'Assumptions'!G47-'Assumptions'!G52*(F644)+'Assumptions'!G57-'Assumptions'!G62*(1)-'Assumptions'!G67-(0))+(('Historical Inputs'!$N$9*(1+(D644))^2)*('Assumptions'!F67+(0))))*'DCF'!G12/(1+(G644))^'DCF'!G13,(('Historical Inputs'!$N$9*(1+(D644))^4)*(('Assumptions'!H37+(E644))*(1-'Assumptions'!H42-(0))+'Assumptions'!H47-'Assumptions'!H52*(F644)+'Assumptions'!H57-'Assumptions'!H62*(1)-'Assumptions'!H67-(0))+(('Historical Inputs'!$N$9*(1+(D644))^3)*('Assumptions'!G67+(0))))*'DCF'!H12/(1+(G644))^'DCF'!H13,(('Historical Inputs'!$N$9*(1+(D644))^5)*(('Assumptions'!I37+(E644))*(1-'Assumptions'!I42-(0))+'Assumptions'!I47-'Assumptions'!I52*(F644)+'Assumptions'!I57-'Assumptions'!I62*(1)-'Assumptions'!I67-(0))+(('Historical Inputs'!$N$9*(1+(D644))^4)*('Assumptions'!H67+(0))))*'DCF'!I12/(1+(G644))^'DCF'!I13)+('Historical Inputs'!$N$9*(1+(D644))^5)*(1+(H644))*('Terminal Value'!$E$10+(E644))*(1-'Assumptions'!$E$15-(0))*(1-(H644)/('Terminal Value'!$E$12))/((G644)-(H644))/(1+(G644))^'DCF'!$E$19)+'Equity Bridge'!$E$17)/'Equity Bridge'!$E$20</x:f>
        <x:v>289.87738418897754</x:v>
      </x:c>
      <x:c r="X644" s="255" t="n">
        <x:v>0.9279797161899874</x:v>
      </x:c>
      <x:c r="Y644" s="255" t="n">
        <x:v>0.3719449121866484</x:v>
      </x:c>
      <x:c r="Z644" s="255" t="n">
        <x:v>0.7063227073859718</x:v>
      </x:c>
      <x:c r="AA644" s="255" t="n">
        <x:v>0.7946933626025833</x:v>
      </x:c>
      <x:c r="AB644" s="255" t="n">
        <x:v>0.5411477811766368</x:v>
      </x:c>
    </x:row>
    <x:row r="645" ht="24" customHeight="1">
      <x:c r="C645" s="256" t="n">
        <x:f>614</x:f>
        <x:v>614</x:v>
      </x:c>
      <x:c r="D645" s="258" t="n">
        <x:f>IF(X645&lt;($E$12-$D$12)/($F$12-$D$12),$D$12+SQRT(X645*($F$12-$D$12)*($E$12-$D$12)),$F$12-SQRT((1-X645)*($F$12-$D$12)*($F$12-$E$12)))</x:f>
        <x:v>0.13515750966100235</x:v>
      </x:c>
      <x:c r="E645" s="258" t="n">
        <x:f>IF(Y645&lt;($E$13-$D$13)/($F$13-$D$13),$D$13+SQRT(Y645*($F$13-$D$13)*($E$13-$D$13)),$F$13-SQRT((1-Y645)*($F$13-$D$13)*($F$13-$E$13)))</x:f>
        <x:v>-0.001871170095235422</x:v>
      </x:c>
      <x:c r="F645" s="260" t="n">
        <x:f>IF(Z645&lt;($E$14-$D$14)/($F$14-$D$14),$D$14+SQRT(Z645*($F$14-$D$14)*($E$14-$D$14)),$F$14-SQRT((1-Z645)*($F$14-$D$14)*($F$14-$E$14)))</x:f>
        <x:v>0.9726158810909343</x:v>
      </x:c>
      <x:c r="G645" s="258" t="n">
        <x:f>IF(AA645&lt;($E$15-$D$15)/($F$15-$D$15),$D$15+SQRT(AA645*($F$15-$D$15)*($E$15-$D$15)),$F$15-SQRT((1-AA645)*($F$15-$D$15)*($F$15-$E$15)))</x:f>
        <x:v>0.09971899280909634</x:v>
      </x:c>
      <x:c r="H645" s="258" t="n">
        <x:f>IF(AB645&lt;($E$16-$D$16)/($F$16-$D$16),$D$16+SQRT(AB645*($F$16-$D$16)*($E$16-$D$16)),$F$16-SQRT((1-AB645)*($F$16-$D$16)*($F$16-$E$16)))</x:f>
        <x:v>0.026367732289448505</x:v>
      </x:c>
      <x:c r="I645" s="262" t="n">
        <x:f>'Historical Inputs'!$N$9*(1+D645)^5</x:f>
        <x:v>625472.2680169233</x:v>
      </x:c>
      <x:c r="J645" s="262" t="n">
        <x:f>I645*(1+H645)*('Terminal Value'!$E$10+E645)*(1-'Assumptions'!$E$15)*(1-H645/'Terminal Value'!$E$12)</x:f>
        <x:v>177510.9323005179</x:v>
      </x:c>
      <x:c r="K645" s="264" t="n">
        <x:f>((SUM((('Historical Inputs'!$N$9*(1+(D645))^1)*(('Assumptions'!E37+(E645))*(1-'Assumptions'!E42-(0))+'Assumptions'!E47-'Assumptions'!E52*(F645)+'Assumptions'!E57-'Assumptions'!E62*(1)-'Assumptions'!E67-(0))+('Working Capital'!$E$6))*'DCF'!E12/(1+(G645))^'DCF'!E13,(('Historical Inputs'!$N$9*(1+(D645))^2)*(('Assumptions'!F37+(E645))*(1-'Assumptions'!F42-(0))+'Assumptions'!F47-'Assumptions'!F52*(F645)+'Assumptions'!F57-'Assumptions'!F62*(1)-'Assumptions'!F67-(0))+(('Historical Inputs'!$N$9*(1+(D645))^1)*('Assumptions'!E67+(0))))*'DCF'!F12/(1+(G645))^'DCF'!F13,(('Historical Inputs'!$N$9*(1+(D645))^3)*(('Assumptions'!G37+(E645))*(1-'Assumptions'!G42-(0))+'Assumptions'!G47-'Assumptions'!G52*(F645)+'Assumptions'!G57-'Assumptions'!G62*(1)-'Assumptions'!G67-(0))+(('Historical Inputs'!$N$9*(1+(D645))^2)*('Assumptions'!F67+(0))))*'DCF'!G12/(1+(G645))^'DCF'!G13,(('Historical Inputs'!$N$9*(1+(D645))^4)*(('Assumptions'!H37+(E645))*(1-'Assumptions'!H42-(0))+'Assumptions'!H47-'Assumptions'!H52*(F645)+'Assumptions'!H57-'Assumptions'!H62*(1)-'Assumptions'!H67-(0))+(('Historical Inputs'!$N$9*(1+(D645))^3)*('Assumptions'!G67+(0))))*'DCF'!H12/(1+(G645))^'DCF'!H13,(('Historical Inputs'!$N$9*(1+(D645))^5)*(('Assumptions'!I37+(E645))*(1-'Assumptions'!I42-(0))+'Assumptions'!I47-'Assumptions'!I52*(F645)+'Assumptions'!I57-'Assumptions'!I62*(1)-'Assumptions'!I67-(0))+(('Historical Inputs'!$N$9*(1+(D645))^4)*('Assumptions'!H67+(0))))*'DCF'!I12/(1+(G645))^'DCF'!I13)+('Historical Inputs'!$N$9*(1+(D645))^5)*(1+(H645))*('Terminal Value'!$E$10+(E645))*(1-'Assumptions'!$E$15-(0))*(1-(H645)/('Terminal Value'!$E$12))/((G645)-(H645))/(1+(G645))^'DCF'!$E$19)+'Equity Bridge'!$E$17)/'Equity Bridge'!$E$20</x:f>
        <x:v>262.66634220262836</x:v>
      </x:c>
      <x:c r="X645" s="255" t="n">
        <x:v>0.3511301761612744</x:v>
      </x:c>
      <x:c r="Y645" s="255" t="n">
        <x:v>0.4632768536003522</x:v>
      </x:c>
      <x:c r="Z645" s="255" t="n">
        <x:v>0.2863743675372602</x:v>
      </x:c>
      <x:c r="AA645" s="255" t="n">
        <x:v>0.5997036740673262</x:v>
      </x:c>
      <x:c r="AB645" s="255" t="n">
        <x:v>0.20274007255042548</x:v>
      </x:c>
    </x:row>
    <x:row r="646" ht="24" customHeight="1">
      <x:c r="C646" s="256" t="n">
        <x:f>615</x:f>
        <x:v>615</x:v>
      </x:c>
      <x:c r="D646" s="258" t="n">
        <x:f>IF(X646&lt;($E$12-$D$12)/($F$12-$D$12),$D$12+SQRT(X646*($F$12-$D$12)*($E$12-$D$12)),$F$12-SQRT((1-X646)*($F$12-$D$12)*($F$12-$E$12)))</x:f>
        <x:v>0.14102355645587114</x:v>
      </x:c>
      <x:c r="E646" s="258" t="n">
        <x:f>IF(Y646&lt;($E$13-$D$13)/($F$13-$D$13),$D$13+SQRT(Y646*($F$13-$D$13)*($E$13-$D$13)),$F$13-SQRT((1-Y646)*($F$13-$D$13)*($F$13-$E$13)))</x:f>
        <x:v>-0.029329201630369058</x:v>
      </x:c>
      <x:c r="F646" s="260" t="n">
        <x:f>IF(Z646&lt;($E$14-$D$14)/($F$14-$D$14),$D$14+SQRT(Z646*($F$14-$D$14)*($E$14-$D$14)),$F$14-SQRT((1-Z646)*($F$14-$D$14)*($F$14-$E$14)))</x:f>
        <x:v>1.1297319540406077</x:v>
      </x:c>
      <x:c r="G646" s="258" t="n">
        <x:f>IF(AA646&lt;($E$15-$D$15)/($F$15-$D$15),$D$15+SQRT(AA646*($F$15-$D$15)*($E$15-$D$15)),$F$15-SQRT((1-AA646)*($F$15-$D$15)*($F$15-$E$15)))</x:f>
        <x:v>0.10053039091470395</x:v>
      </x:c>
      <x:c r="H646" s="258" t="n">
        <x:f>IF(AB646&lt;($E$16-$D$16)/($F$16-$D$16),$D$16+SQRT(AB646*($F$16-$D$16)*($E$16-$D$16)),$F$16-SQRT((1-AB646)*($F$16-$D$16)*($F$16-$E$16)))</x:f>
        <x:v>0.029363452859321734</x:v>
      </x:c>
      <x:c r="I646" s="262" t="n">
        <x:f>'Historical Inputs'!$N$9*(1+D646)^5</x:f>
        <x:v>641801.1317724278</x:v>
      </x:c>
      <x:c r="J646" s="262" t="n">
        <x:f>I646*(1+H646)*('Terminal Value'!$E$10+E646)*(1-'Assumptions'!$E$15)*(1-H646/'Terminal Value'!$E$12)</x:f>
        <x:v>167143.55793287288</x:v>
      </x:c>
      <x:c r="K646" s="264" t="n">
        <x:f>((SUM((('Historical Inputs'!$N$9*(1+(D646))^1)*(('Assumptions'!E37+(E646))*(1-'Assumptions'!E42-(0))+'Assumptions'!E47-'Assumptions'!E52*(F646)+'Assumptions'!E57-'Assumptions'!E62*(1)-'Assumptions'!E67-(0))+('Working Capital'!$E$6))*'DCF'!E12/(1+(G646))^'DCF'!E13,(('Historical Inputs'!$N$9*(1+(D646))^2)*(('Assumptions'!F37+(E646))*(1-'Assumptions'!F42-(0))+'Assumptions'!F47-'Assumptions'!F52*(F646)+'Assumptions'!F57-'Assumptions'!F62*(1)-'Assumptions'!F67-(0))+(('Historical Inputs'!$N$9*(1+(D646))^1)*('Assumptions'!E67+(0))))*'DCF'!F12/(1+(G646))^'DCF'!F13,(('Historical Inputs'!$N$9*(1+(D646))^3)*(('Assumptions'!G37+(E646))*(1-'Assumptions'!G42-(0))+'Assumptions'!G47-'Assumptions'!G52*(F646)+'Assumptions'!G57-'Assumptions'!G62*(1)-'Assumptions'!G67-(0))+(('Historical Inputs'!$N$9*(1+(D646))^2)*('Assumptions'!F67+(0))))*'DCF'!G12/(1+(G646))^'DCF'!G13,(('Historical Inputs'!$N$9*(1+(D646))^4)*(('Assumptions'!H37+(E646))*(1-'Assumptions'!H42-(0))+'Assumptions'!H47-'Assumptions'!H52*(F646)+'Assumptions'!H57-'Assumptions'!H62*(1)-'Assumptions'!H67-(0))+(('Historical Inputs'!$N$9*(1+(D646))^3)*('Assumptions'!G67+(0))))*'DCF'!H12/(1+(G646))^'DCF'!H13,(('Historical Inputs'!$N$9*(1+(D646))^5)*(('Assumptions'!I37+(E646))*(1-'Assumptions'!I42-(0))+'Assumptions'!I47-'Assumptions'!I52*(F646)+'Assumptions'!I57-'Assumptions'!I62*(1)-'Assumptions'!I67-(0))+(('Historical Inputs'!$N$9*(1+(D646))^4)*('Assumptions'!H67+(0))))*'DCF'!I12/(1+(G646))^'DCF'!I13)+('Historical Inputs'!$N$9*(1+(D646))^5)*(1+(H646))*('Terminal Value'!$E$10+(E646))*(1-'Assumptions'!$E$15-(0))*(1-(H646)/('Terminal Value'!$E$12))/((G646)-(H646))/(1+(G646))^'DCF'!$E$19)+'Equity Bridge'!$E$17)/'Equity Bridge'!$E$20</x:f>
        <x:v>241.32306680412455</x:v>
      </x:c>
      <x:c r="X646" s="255" t="n">
        <x:v>0.4563283661082398</x:v>
      </x:c>
      <x:c r="Y646" s="255" t="n">
        <x:v>0.08545638104758746</x:v>
      </x:c>
      <x:c r="Z646" s="255" t="n">
        <x:v>0.9294628816721249</x:v>
      </x:c>
      <x:c r="AA646" s="255" t="n">
        <x:v>0.6466409896637387</x:v>
      </x:c>
      <x:c r="AB646" s="255" t="n">
        <x:v>0.4383712472437018</x:v>
      </x:c>
    </x:row>
    <x:row r="647" ht="24" customHeight="1">
      <x:c r="C647" s="256" t="n">
        <x:f>616</x:f>
        <x:v>616</x:v>
      </x:c>
      <x:c r="D647" s="258" t="n">
        <x:f>IF(X647&lt;($E$12-$D$12)/($F$12-$D$12),$D$12+SQRT(X647*($F$12-$D$12)*($E$12-$D$12)),$F$12-SQRT((1-X647)*($F$12-$D$12)*($F$12-$E$12)))</x:f>
        <x:v>0.1160644927467409</x:v>
      </x:c>
      <x:c r="E647" s="258" t="n">
        <x:f>IF(Y647&lt;($E$13-$D$13)/($F$13-$D$13),$D$13+SQRT(Y647*($F$13-$D$13)*($E$13-$D$13)),$F$13-SQRT((1-Y647)*($F$13-$D$13)*($F$13-$E$13)))</x:f>
        <x:v>-0.03721305661377326</x:v>
      </x:c>
      <x:c r="F647" s="260" t="n">
        <x:f>IF(Z647&lt;($E$14-$D$14)/($F$14-$D$14),$D$14+SQRT(Z647*($F$14-$D$14)*($E$14-$D$14)),$F$14-SQRT((1-Z647)*($F$14-$D$14)*($F$14-$E$14)))</x:f>
        <x:v>1.0182538999913007</x:v>
      </x:c>
      <x:c r="G647" s="258" t="n">
        <x:f>IF(AA647&lt;($E$15-$D$15)/($F$15-$D$15),$D$15+SQRT(AA647*($F$15-$D$15)*($E$15-$D$15)),$F$15-SQRT((1-AA647)*($F$15-$D$15)*($F$15-$E$15)))</x:f>
        <x:v>0.08713677882674681</x:v>
      </x:c>
      <x:c r="H647" s="258" t="n">
        <x:f>IF(AB647&lt;($E$16-$D$16)/($F$16-$D$16),$D$16+SQRT(AB647*($F$16-$D$16)*($E$16-$D$16)),$F$16-SQRT((1-AB647)*($F$16-$D$16)*($F$16-$E$16)))</x:f>
        <x:v>0.026589574756308035</x:v>
      </x:c>
      <x:c r="I647" s="262" t="n">
        <x:f>'Historical Inputs'!$N$9*(1+D647)^5</x:f>
        <x:v>574610.9303955903</x:v>
      </x:c>
      <x:c r="J647" s="262" t="n">
        <x:f>I647*(1+H647)*('Terminal Value'!$E$10+E647)*(1-'Assumptions'!$E$15)*(1-H647/'Terminal Value'!$E$12)</x:f>
        <x:v>148442.2661176295</x:v>
      </x:c>
      <x:c r="K647" s="264" t="n">
        <x:f>((SUM((('Historical Inputs'!$N$9*(1+(D647))^1)*(('Assumptions'!E37+(E647))*(1-'Assumptions'!E42-(0))+'Assumptions'!E47-'Assumptions'!E52*(F647)+'Assumptions'!E57-'Assumptions'!E62*(1)-'Assumptions'!E67-(0))+('Working Capital'!$E$6))*'DCF'!E12/(1+(G647))^'DCF'!E13,(('Historical Inputs'!$N$9*(1+(D647))^2)*(('Assumptions'!F37+(E647))*(1-'Assumptions'!F42-(0))+'Assumptions'!F47-'Assumptions'!F52*(F647)+'Assumptions'!F57-'Assumptions'!F62*(1)-'Assumptions'!F67-(0))+(('Historical Inputs'!$N$9*(1+(D647))^1)*('Assumptions'!E67+(0))))*'DCF'!F12/(1+(G647))^'DCF'!F13,(('Historical Inputs'!$N$9*(1+(D647))^3)*(('Assumptions'!G37+(E647))*(1-'Assumptions'!G42-(0))+'Assumptions'!G47-'Assumptions'!G52*(F647)+'Assumptions'!G57-'Assumptions'!G62*(1)-'Assumptions'!G67-(0))+(('Historical Inputs'!$N$9*(1+(D647))^2)*('Assumptions'!F67+(0))))*'DCF'!G12/(1+(G647))^'DCF'!G13,(('Historical Inputs'!$N$9*(1+(D647))^4)*(('Assumptions'!H37+(E647))*(1-'Assumptions'!H42-(0))+'Assumptions'!H47-'Assumptions'!H52*(F647)+'Assumptions'!H57-'Assumptions'!H62*(1)-'Assumptions'!H67-(0))+(('Historical Inputs'!$N$9*(1+(D647))^3)*('Assumptions'!G67+(0))))*'DCF'!H12/(1+(G647))^'DCF'!H13,(('Historical Inputs'!$N$9*(1+(D647))^5)*(('Assumptions'!I37+(E647))*(1-'Assumptions'!I42-(0))+'Assumptions'!I47-'Assumptions'!I52*(F647)+'Assumptions'!I57-'Assumptions'!I62*(1)-'Assumptions'!I67-(0))+(('Historical Inputs'!$N$9*(1+(D647))^4)*('Assumptions'!H67+(0))))*'DCF'!I12/(1+(G647))^'DCF'!I13)+('Historical Inputs'!$N$9*(1+(D647))^5)*(1+(H647))*('Terminal Value'!$E$10+(E647))*(1-'Assumptions'!$E$15-(0))*(1-(H647)/('Terminal Value'!$E$12))/((G647)-(H647))/(1+(G647))^'DCF'!$E$19)+'Equity Bridge'!$E$17)/'Equity Bridge'!$E$20</x:f>
        <x:v>265.90986687945264</x:v>
      </x:c>
      <x:c r="X647" s="255" t="n">
        <x:v>0.1040361459595649</x:v>
      </x:c>
      <x:c r="Y647" s="255" t="n">
        <x:v>0.03270118423251356</x:v>
      </x:c>
      <x:c r="Z647" s="255" t="n">
        <x:v>0.5281193590232554</x:v>
      </x:c>
      <x:c r="AA647" s="255" t="n">
        <x:v>0.035491753727106</x:v>
      </x:c>
      <x:c r="AB647" s="255" t="n">
        <x:v>0.2171124773448605</x:v>
      </x:c>
    </x:row>
    <x:row r="648" ht="24" customHeight="1">
      <x:c r="C648" s="256" t="n">
        <x:f>617</x:f>
        <x:v>617</x:v>
      </x:c>
      <x:c r="D648" s="258" t="n">
        <x:f>IF(X648&lt;($E$12-$D$12)/($F$12-$D$12),$D$12+SQRT(X648*($F$12-$D$12)*($E$12-$D$12)),$F$12-SQRT((1-X648)*($F$12-$D$12)*($F$12-$E$12)))</x:f>
        <x:v>0.13716066988781989</x:v>
      </x:c>
      <x:c r="E648" s="258" t="n">
        <x:f>IF(Y648&lt;($E$13-$D$13)/($F$13-$D$13),$D$13+SQRT(Y648*($F$13-$D$13)*($E$13-$D$13)),$F$13-SQRT((1-Y648)*($F$13-$D$13)*($F$13-$E$13)))</x:f>
        <x:v>0.004832218753863124</x:v>
      </x:c>
      <x:c r="F648" s="260" t="n">
        <x:f>IF(Z648&lt;($E$14-$D$14)/($F$14-$D$14),$D$14+SQRT(Z648*($F$14-$D$14)*($E$14-$D$14)),$F$14-SQRT((1-Z648)*($F$14-$D$14)*($F$14-$E$14)))</x:f>
        <x:v>0.9567329987113333</x:v>
      </x:c>
      <x:c r="G648" s="258" t="n">
        <x:f>IF(AA648&lt;($E$15-$D$15)/($F$15-$D$15),$D$15+SQRT(AA648*($F$15-$D$15)*($E$15-$D$15)),$F$15-SQRT((1-AA648)*($F$15-$D$15)*($F$15-$E$15)))</x:f>
        <x:v>0.09148109316914221</x:v>
      </x:c>
      <x:c r="H648" s="258" t="n">
        <x:f>IF(AB648&lt;($E$16-$D$16)/($F$16-$D$16),$D$16+SQRT(AB648*($F$16-$D$16)*($E$16-$D$16)),$F$16-SQRT((1-AB648)*($F$16-$D$16)*($F$16-$E$16)))</x:f>
        <x:v>0.031318386591524895</x:v>
      </x:c>
      <x:c r="I648" s="262" t="n">
        <x:f>'Historical Inputs'!$N$9*(1+D648)^5</x:f>
        <x:v>631010.4903091517</x:v>
      </x:c>
      <x:c r="J648" s="262" t="n">
        <x:f>I648*(1+H648)*('Terminal Value'!$E$10+E648)*(1-'Assumptions'!$E$15)*(1-H648/'Terminal Value'!$E$12)</x:f>
        <x:v>177759.22419132455</x:v>
      </x:c>
      <x:c r="K648" s="264" t="n">
        <x:f>((SUM((('Historical Inputs'!$N$9*(1+(D648))^1)*(('Assumptions'!E37+(E648))*(1-'Assumptions'!E42-(0))+'Assumptions'!E47-'Assumptions'!E52*(F648)+'Assumptions'!E57-'Assumptions'!E62*(1)-'Assumptions'!E67-(0))+('Working Capital'!$E$6))*'DCF'!E12/(1+(G648))^'DCF'!E13,(('Historical Inputs'!$N$9*(1+(D648))^2)*(('Assumptions'!F37+(E648))*(1-'Assumptions'!F42-(0))+'Assumptions'!F47-'Assumptions'!F52*(F648)+'Assumptions'!F57-'Assumptions'!F62*(1)-'Assumptions'!F67-(0))+(('Historical Inputs'!$N$9*(1+(D648))^1)*('Assumptions'!E67+(0))))*'DCF'!F12/(1+(G648))^'DCF'!F13,(('Historical Inputs'!$N$9*(1+(D648))^3)*(('Assumptions'!G37+(E648))*(1-'Assumptions'!G42-(0))+'Assumptions'!G47-'Assumptions'!G52*(F648)+'Assumptions'!G57-'Assumptions'!G62*(1)-'Assumptions'!G67-(0))+(('Historical Inputs'!$N$9*(1+(D648))^2)*('Assumptions'!F67+(0))))*'DCF'!G12/(1+(G648))^'DCF'!G13,(('Historical Inputs'!$N$9*(1+(D648))^4)*(('Assumptions'!H37+(E648))*(1-'Assumptions'!H42-(0))+'Assumptions'!H47-'Assumptions'!H52*(F648)+'Assumptions'!H57-'Assumptions'!H62*(1)-'Assumptions'!H67-(0))+(('Historical Inputs'!$N$9*(1+(D648))^3)*('Assumptions'!G67+(0))))*'DCF'!H12/(1+(G648))^'DCF'!H13,(('Historical Inputs'!$N$9*(1+(D648))^5)*(('Assumptions'!I37+(E648))*(1-'Assumptions'!I42-(0))+'Assumptions'!I47-'Assumptions'!I52*(F648)+'Assumptions'!I57-'Assumptions'!I62*(1)-'Assumptions'!I67-(0))+(('Historical Inputs'!$N$9*(1+(D648))^4)*('Assumptions'!H67+(0))))*'DCF'!I12/(1+(G648))^'DCF'!I13)+('Historical Inputs'!$N$9*(1+(D648))^5)*(1+(H648))*('Terminal Value'!$E$10+(E648))*(1-'Assumptions'!$E$15-(0))*(1-(H648)/('Terminal Value'!$E$12))/((G648)-(H648))/(1+(G648))^'DCF'!$E$19)+'Equity Bridge'!$E$17)/'Equity Bridge'!$E$20</x:f>
        <x:v>321.5645522487536</x:v>
      </x:c>
      <x:c r="X648" s="255" t="n">
        <x:v>0.38550606262622067</x:v>
      </x:c>
      <x:c r="Y648" s="255" t="n">
        <x:v>0.5919743074602252</x:v>
      </x:c>
      <x:c r="Z648" s="255" t="n">
        <x:v>0.2169892002650189</x:v>
      </x:c>
      <x:c r="AA648" s="255" t="n">
        <x:v>0.1545948329132727</x:v>
      </x:c>
      <x:c r="AB648" s="255" t="n">
        <x:v>0.6231479431289264</x:v>
      </x:c>
    </x:row>
    <x:row r="649" ht="24" customHeight="1">
      <x:c r="C649" s="256" t="n">
        <x:f>618</x:f>
        <x:v>618</x:v>
      </x:c>
      <x:c r="D649" s="258" t="n">
        <x:f>IF(X649&lt;($E$12-$D$12)/($F$12-$D$12),$D$12+SQRT(X649*($F$12-$D$12)*($E$12-$D$12)),$F$12-SQRT((1-X649)*($F$12-$D$12)*($F$12-$E$12)))</x:f>
        <x:v>0.16012238662875897</x:v>
      </x:c>
      <x:c r="E649" s="258" t="n">
        <x:f>IF(Y649&lt;($E$13-$D$13)/($F$13-$D$13),$D$13+SQRT(Y649*($F$13-$D$13)*($E$13-$D$13)),$F$13-SQRT((1-Y649)*($F$13-$D$13)*($F$13-$E$13)))</x:f>
        <x:v>0.004019098724458811</x:v>
      </x:c>
      <x:c r="F649" s="260" t="n">
        <x:f>IF(Z649&lt;($E$14-$D$14)/($F$14-$D$14),$D$14+SQRT(Z649*($F$14-$D$14)*($E$14-$D$14)),$F$14-SQRT((1-Z649)*($F$14-$D$14)*($F$14-$E$14)))</x:f>
        <x:v>0.9371781585531621</x:v>
      </x:c>
      <x:c r="G649" s="258" t="n">
        <x:f>IF(AA649&lt;($E$15-$D$15)/($F$15-$D$15),$D$15+SQRT(AA649*($F$15-$D$15)*($E$15-$D$15)),$F$15-SQRT((1-AA649)*($F$15-$D$15)*($F$15-$E$15)))</x:f>
        <x:v>0.0926232775190059</x:v>
      </x:c>
      <x:c r="H649" s="258" t="n">
        <x:f>IF(AB649&lt;($E$16-$D$16)/($F$16-$D$16),$D$16+SQRT(AB649*($F$16-$D$16)*($E$16-$D$16)),$F$16-SQRT((1-AB649)*($F$16-$D$16)*($F$16-$E$16)))</x:f>
        <x:v>0.03719345060958326</x:v>
      </x:c>
      <x:c r="I649" s="262" t="n">
        <x:f>'Historical Inputs'!$N$9*(1+D649)^5</x:f>
        <x:v>697343.0272798787</x:v>
      </x:c>
      <x:c r="J649" s="262" t="n">
        <x:f>I649*(1+H649)*('Terminal Value'!$E$10+E649)*(1-'Assumptions'!$E$15)*(1-H649/'Terminal Value'!$E$12)</x:f>
        <x:v>190300.52527477604</x:v>
      </x:c>
      <x:c r="K649" s="264" t="n">
        <x:f>((SUM((('Historical Inputs'!$N$9*(1+(D649))^1)*(('Assumptions'!E37+(E649))*(1-'Assumptions'!E42-(0))+'Assumptions'!E47-'Assumptions'!E52*(F649)+'Assumptions'!E57-'Assumptions'!E62*(1)-'Assumptions'!E67-(0))+('Working Capital'!$E$6))*'DCF'!E12/(1+(G649))^'DCF'!E13,(('Historical Inputs'!$N$9*(1+(D649))^2)*(('Assumptions'!F37+(E649))*(1-'Assumptions'!F42-(0))+'Assumptions'!F47-'Assumptions'!F52*(F649)+'Assumptions'!F57-'Assumptions'!F62*(1)-'Assumptions'!F67-(0))+(('Historical Inputs'!$N$9*(1+(D649))^1)*('Assumptions'!E67+(0))))*'DCF'!F12/(1+(G649))^'DCF'!F13,(('Historical Inputs'!$N$9*(1+(D649))^3)*(('Assumptions'!G37+(E649))*(1-'Assumptions'!G42-(0))+'Assumptions'!G47-'Assumptions'!G52*(F649)+'Assumptions'!G57-'Assumptions'!G62*(1)-'Assumptions'!G67-(0))+(('Historical Inputs'!$N$9*(1+(D649))^2)*('Assumptions'!F67+(0))))*'DCF'!G12/(1+(G649))^'DCF'!G13,(('Historical Inputs'!$N$9*(1+(D649))^4)*(('Assumptions'!H37+(E649))*(1-'Assumptions'!H42-(0))+'Assumptions'!H47-'Assumptions'!H52*(F649)+'Assumptions'!H57-'Assumptions'!H62*(1)-'Assumptions'!H67-(0))+(('Historical Inputs'!$N$9*(1+(D649))^3)*('Assumptions'!G67+(0))))*'DCF'!H12/(1+(G649))^'DCF'!H13,(('Historical Inputs'!$N$9*(1+(D649))^5)*(('Assumptions'!I37+(E649))*(1-'Assumptions'!I42-(0))+'Assumptions'!I47-'Assumptions'!I52*(F649)+'Assumptions'!I57-'Assumptions'!I62*(1)-'Assumptions'!I67-(0))+(('Historical Inputs'!$N$9*(1+(D649))^4)*('Assumptions'!H67+(0))))*'DCF'!I12/(1+(G649))^'DCF'!I13)+('Historical Inputs'!$N$9*(1+(D649))^5)*(1+(H649))*('Terminal Value'!$E$10+(E649))*(1-'Assumptions'!$E$15-(0))*(1-(H649)/('Terminal Value'!$E$12))/((G649)-(H649))/(1+(G649))^'DCF'!$E$19)+'Equity Bridge'!$E$17)/'Equity Bridge'!$E$20</x:f>
        <x:v>367.9433211743372</x:v>
      </x:c>
      <x:c r="X649" s="255" t="n">
        <x:v>0.7804191900683907</x:v>
      </x:c>
      <x:c r="Y649" s="255" t="n">
        <x:v>0.577151343577787</x:v>
      </x:c>
      <x:c r="Z649" s="255" t="n">
        <x:v>0.14476250149943393</x:v>
      </x:c>
      <x:c r="AA649" s="255" t="n">
        <x:v>0.19983455213396173</x:v>
      </x:c>
      <x:c r="AB649" s="255" t="n">
        <x:v>0.9606164025957572</x:v>
      </x:c>
    </x:row>
    <x:row r="650" ht="24" customHeight="1">
      <x:c r="C650" s="256" t="n">
        <x:f>619</x:f>
        <x:v>619</x:v>
      </x:c>
      <x:c r="D650" s="258" t="n">
        <x:f>IF(X650&lt;($E$12-$D$12)/($F$12-$D$12),$D$12+SQRT(X650*($F$12-$D$12)*($E$12-$D$12)),$F$12-SQRT((1-X650)*($F$12-$D$12)*($F$12-$E$12)))</x:f>
        <x:v>0.1346753363577717</x:v>
      </x:c>
      <x:c r="E650" s="258" t="n">
        <x:f>IF(Y650&lt;($E$13-$D$13)/($F$13-$D$13),$D$13+SQRT(Y650*($F$13-$D$13)*($E$13-$D$13)),$F$13-SQRT((1-Y650)*($F$13-$D$13)*($F$13-$E$13)))</x:f>
        <x:v>-0.04168119252346837</x:v>
      </x:c>
      <x:c r="F650" s="260" t="n">
        <x:f>IF(Z650&lt;($E$14-$D$14)/($F$14-$D$14),$D$14+SQRT(Z650*($F$14-$D$14)*($E$14-$D$14)),$F$14-SQRT((1-Z650)*($F$14-$D$14)*($F$14-$E$14)))</x:f>
        <x:v>1.0330262892936362</x:v>
      </x:c>
      <x:c r="G650" s="258" t="n">
        <x:f>IF(AA650&lt;($E$15-$D$15)/($F$15-$D$15),$D$15+SQRT(AA650*($F$15-$D$15)*($E$15-$D$15)),$F$15-SQRT((1-AA650)*($F$15-$D$15)*($F$15-$E$15)))</x:f>
        <x:v>0.09828761192294319</x:v>
      </x:c>
      <x:c r="H650" s="258" t="n">
        <x:f>IF(AB650&lt;($E$16-$D$16)/($F$16-$D$16),$D$16+SQRT(AB650*($F$16-$D$16)*($E$16-$D$16)),$F$16-SQRT((1-AB650)*($F$16-$D$16)*($F$16-$E$16)))</x:f>
        <x:v>0.0313056490129943</x:v>
      </x:c>
      <x:c r="I650" s="262" t="n">
        <x:f>'Historical Inputs'!$N$9*(1+D650)^5</x:f>
        <x:v>624145.0075689012</x:v>
      </x:c>
      <x:c r="J650" s="262" t="n">
        <x:f>I650*(1+H650)*('Terminal Value'!$E$10+E650)*(1-'Assumptions'!$E$15)*(1-H650/'Terminal Value'!$E$12)</x:f>
        <x:v>155633.48153807418</x:v>
      </x:c>
      <x:c r="K650" s="264" t="n">
        <x:f>((SUM((('Historical Inputs'!$N$9*(1+(D650))^1)*(('Assumptions'!E37+(E650))*(1-'Assumptions'!E42-(0))+'Assumptions'!E47-'Assumptions'!E52*(F650)+'Assumptions'!E57-'Assumptions'!E62*(1)-'Assumptions'!E67-(0))+('Working Capital'!$E$6))*'DCF'!E12/(1+(G650))^'DCF'!E13,(('Historical Inputs'!$N$9*(1+(D650))^2)*(('Assumptions'!F37+(E650))*(1-'Assumptions'!F42-(0))+'Assumptions'!F47-'Assumptions'!F52*(F650)+'Assumptions'!F57-'Assumptions'!F62*(1)-'Assumptions'!F67-(0))+(('Historical Inputs'!$N$9*(1+(D650))^1)*('Assumptions'!E67+(0))))*'DCF'!F12/(1+(G650))^'DCF'!F13,(('Historical Inputs'!$N$9*(1+(D650))^3)*(('Assumptions'!G37+(E650))*(1-'Assumptions'!G42-(0))+'Assumptions'!G47-'Assumptions'!G52*(F650)+'Assumptions'!G57-'Assumptions'!G62*(1)-'Assumptions'!G67-(0))+(('Historical Inputs'!$N$9*(1+(D650))^2)*('Assumptions'!F67+(0))))*'DCF'!G12/(1+(G650))^'DCF'!G13,(('Historical Inputs'!$N$9*(1+(D650))^4)*(('Assumptions'!H37+(E650))*(1-'Assumptions'!H42-(0))+'Assumptions'!H47-'Assumptions'!H52*(F650)+'Assumptions'!H57-'Assumptions'!H62*(1)-'Assumptions'!H67-(0))+(('Historical Inputs'!$N$9*(1+(D650))^3)*('Assumptions'!G67+(0))))*'DCF'!H12/(1+(G650))^'DCF'!H13,(('Historical Inputs'!$N$9*(1+(D650))^5)*(('Assumptions'!I37+(E650))*(1-'Assumptions'!I42-(0))+'Assumptions'!I47-'Assumptions'!I52*(F650)+'Assumptions'!I57-'Assumptions'!I62*(1)-'Assumptions'!I67-(0))+(('Historical Inputs'!$N$9*(1+(D650))^4)*('Assumptions'!H67+(0))))*'DCF'!I12/(1+(G650))^'DCF'!I13)+('Historical Inputs'!$N$9*(1+(D650))^5)*(1+(H650))*('Terminal Value'!$E$10+(E650))*(1-'Assumptions'!$E$15-(0))*(1-(H650)/('Terminal Value'!$E$12))/((G650)-(H650))/(1+(G650))^'DCF'!$E$19)+'Equity Bridge'!$E$17)/'Equity Bridge'!$E$20</x:f>
        <x:v>244.02243356441699</x:v>
      </x:c>
      <x:c r="X650" s="255" t="n">
        <x:v>0.3430953557296038</x:v>
      </x:c>
      <x:c r="Y650" s="255" t="n">
        <x:v>0.013840511566319713</x:v>
      </x:c>
      <x:c r="Z650" s="255" t="n">
        <x:v>0.6017111418992509</x:v>
      </x:c>
      <x:c r="AA650" s="255" t="n">
        <x:v>0.5097679968107827</x:v>
      </x:c>
      <x:c r="AB650" s="255" t="n">
        <x:v>0.6220413045737652</x:v>
      </x:c>
    </x:row>
    <x:row r="651" ht="24" customHeight="1">
      <x:c r="C651" s="256" t="n">
        <x:f>620</x:f>
        <x:v>620</x:v>
      </x:c>
      <x:c r="D651" s="258" t="n">
        <x:f>IF(X651&lt;($E$12-$D$12)/($F$12-$D$12),$D$12+SQRT(X651*($F$12-$D$12)*($E$12-$D$12)),$F$12-SQRT((1-X651)*($F$12-$D$12)*($F$12-$E$12)))</x:f>
        <x:v>0.13338811685800397</x:v>
      </x:c>
      <x:c r="E651" s="258" t="n">
        <x:f>IF(Y651&lt;($E$13-$D$13)/($F$13-$D$13),$D$13+SQRT(Y651*($F$13-$D$13)*($E$13-$D$13)),$F$13-SQRT((1-Y651)*($F$13-$D$13)*($F$13-$E$13)))</x:f>
        <x:v>-0.01402785806523104</x:v>
      </x:c>
      <x:c r="F651" s="260" t="n">
        <x:f>IF(Z651&lt;($E$14-$D$14)/($F$14-$D$14),$D$14+SQRT(Z651*($F$14-$D$14)*($E$14-$D$14)),$F$14-SQRT((1-Z651)*($F$14-$D$14)*($F$14-$E$14)))</x:f>
        <x:v>0.8720486203914682</x:v>
      </x:c>
      <x:c r="G651" s="258" t="n">
        <x:f>IF(AA651&lt;($E$15-$D$15)/($F$15-$D$15),$D$15+SQRT(AA651*($F$15-$D$15)*($E$15-$D$15)),$F$15-SQRT((1-AA651)*($F$15-$D$15)*($F$15-$E$15)))</x:f>
        <x:v>0.09858831602060382</x:v>
      </x:c>
      <x:c r="H651" s="258" t="n">
        <x:f>IF(AB651&lt;($E$16-$D$16)/($F$16-$D$16),$D$16+SQRT(AB651*($F$16-$D$16)*($E$16-$D$16)),$F$16-SQRT((1-AB651)*($F$16-$D$16)*($F$16-$E$16)))</x:f>
        <x:v>0.03047049538127152</x:v>
      </x:c>
      <x:c r="I651" s="262" t="n">
        <x:f>'Historical Inputs'!$N$9*(1+D651)^5</x:f>
        <x:v>620612.7599595898</x:v>
      </x:c>
      <x:c r="J651" s="262" t="n">
        <x:f>I651*(1+H651)*('Terminal Value'!$E$10+E651)*(1-'Assumptions'!$E$15)*(1-H651/'Terminal Value'!$E$12)</x:f>
        <x:v>167385.37374399518</x:v>
      </x:c>
      <x:c r="K651" s="264" t="n">
        <x:f>((SUM((('Historical Inputs'!$N$9*(1+(D651))^1)*(('Assumptions'!E37+(E651))*(1-'Assumptions'!E42-(0))+'Assumptions'!E47-'Assumptions'!E52*(F651)+'Assumptions'!E57-'Assumptions'!E62*(1)-'Assumptions'!E67-(0))+('Working Capital'!$E$6))*'DCF'!E12/(1+(G651))^'DCF'!E13,(('Historical Inputs'!$N$9*(1+(D651))^2)*(('Assumptions'!F37+(E651))*(1-'Assumptions'!F42-(0))+'Assumptions'!F47-'Assumptions'!F52*(F651)+'Assumptions'!F57-'Assumptions'!F62*(1)-'Assumptions'!F67-(0))+(('Historical Inputs'!$N$9*(1+(D651))^1)*('Assumptions'!E67+(0))))*'DCF'!F12/(1+(G651))^'DCF'!F13,(('Historical Inputs'!$N$9*(1+(D651))^3)*(('Assumptions'!G37+(E651))*(1-'Assumptions'!G42-(0))+'Assumptions'!G47-'Assumptions'!G52*(F651)+'Assumptions'!G57-'Assumptions'!G62*(1)-'Assumptions'!G67-(0))+(('Historical Inputs'!$N$9*(1+(D651))^2)*('Assumptions'!F67+(0))))*'DCF'!G12/(1+(G651))^'DCF'!G13,(('Historical Inputs'!$N$9*(1+(D651))^4)*(('Assumptions'!H37+(E651))*(1-'Assumptions'!H42-(0))+'Assumptions'!H47-'Assumptions'!H52*(F651)+'Assumptions'!H57-'Assumptions'!H62*(1)-'Assumptions'!H67-(0))+(('Historical Inputs'!$N$9*(1+(D651))^3)*('Assumptions'!G67+(0))))*'DCF'!H12/(1+(G651))^'DCF'!H13,(('Historical Inputs'!$N$9*(1+(D651))^5)*(('Assumptions'!I37+(E651))*(1-'Assumptions'!I42-(0))+'Assumptions'!I47-'Assumptions'!I52*(F651)+'Assumptions'!I57-'Assumptions'!I62*(1)-'Assumptions'!I67-(0))+(('Historical Inputs'!$N$9*(1+(D651))^4)*('Assumptions'!H67+(0))))*'DCF'!I12/(1+(G651))^'DCF'!I13)+('Historical Inputs'!$N$9*(1+(D651))^5)*(1+(H651))*('Terminal Value'!$E$10+(E651))*(1-'Assumptions'!$E$15-(0))*(1-(H651)/('Terminal Value'!$E$12))/((G651)-(H651))/(1+(G651))^'DCF'!$E$19)+'Equity Bridge'!$E$17)/'Equity Bridge'!$E$20</x:f>
        <x:v>270.5364707884759</x:v>
      </x:c>
      <x:c r="X651" s="255" t="n">
        <x:v>0.32210095769262603</x:v>
      </x:c>
      <x:c r="Y651" s="255" t="n">
        <x:v>0.2587989990750327</x:v>
      </x:c>
      <x:c r="Z651" s="255" t="n">
        <x:v>0.009259841165087046</x:v>
      </x:c>
      <x:c r="AA651" s="255" t="n">
        <x:v>0.5294172124773016</x:v>
      </x:c>
      <x:c r="AB651" s="255" t="n">
        <x:v>0.5459427086081631</x:v>
      </x:c>
    </x:row>
    <x:row r="652" ht="24" customHeight="1">
      <x:c r="C652" s="256" t="n">
        <x:f>621</x:f>
        <x:v>621</x:v>
      </x:c>
      <x:c r="D652" s="258" t="n">
        <x:f>IF(X652&lt;($E$12-$D$12)/($F$12-$D$12),$D$12+SQRT(X652*($F$12-$D$12)*($E$12-$D$12)),$F$12-SQRT((1-X652)*($F$12-$D$12)*($F$12-$E$12)))</x:f>
        <x:v>0.15396865953147576</x:v>
      </x:c>
      <x:c r="E652" s="258" t="n">
        <x:f>IF(Y652&lt;($E$13-$D$13)/($F$13-$D$13),$D$13+SQRT(Y652*($F$13-$D$13)*($E$13-$D$13)),$F$13-SQRT((1-Y652)*($F$13-$D$13)*($F$13-$E$13)))</x:f>
        <x:v>0.015967012618572564</x:v>
      </x:c>
      <x:c r="F652" s="260" t="n">
        <x:f>IF(Z652&lt;($E$14-$D$14)/($F$14-$D$14),$D$14+SQRT(Z652*($F$14-$D$14)*($E$14-$D$14)),$F$14-SQRT((1-Z652)*($F$14-$D$14)*($F$14-$E$14)))</x:f>
        <x:v>1.0530711993441983</x:v>
      </x:c>
      <x:c r="G652" s="258" t="n">
        <x:f>IF(AA652&lt;($E$15-$D$15)/($F$15-$D$15),$D$15+SQRT(AA652*($F$15-$D$15)*($E$15-$D$15)),$F$15-SQRT((1-AA652)*($F$15-$D$15)*($F$15-$E$15)))</x:f>
        <x:v>0.0928283543533677</x:v>
      </x:c>
      <x:c r="H652" s="258" t="n">
        <x:f>IF(AB652&lt;($E$16-$D$16)/($F$16-$D$16),$D$16+SQRT(AB652*($F$16-$D$16)*($E$16-$D$16)),$F$16-SQRT((1-AB652)*($F$16-$D$16)*($F$16-$E$16)))</x:f>
        <x:v>0.026614508139966096</x:v>
      </x:c>
      <x:c r="I652" s="262" t="n">
        <x:f>'Historical Inputs'!$N$9*(1+D652)^5</x:f>
        <x:v>679043.3432919877</x:v>
      </x:c>
      <x:c r="J652" s="262" t="n">
        <x:f>I652*(1+H652)*('Terminal Value'!$E$10+E652)*(1-'Assumptions'!$E$15)*(1-H652/'Terminal Value'!$E$12)</x:f>
        <x:v>201111.32665711685</x:v>
      </x:c>
      <x:c r="K652" s="264" t="n">
        <x:f>((SUM((('Historical Inputs'!$N$9*(1+(D652))^1)*(('Assumptions'!E37+(E652))*(1-'Assumptions'!E42-(0))+'Assumptions'!E47-'Assumptions'!E52*(F652)+'Assumptions'!E57-'Assumptions'!E62*(1)-'Assumptions'!E67-(0))+('Working Capital'!$E$6))*'DCF'!E12/(1+(G652))^'DCF'!E13,(('Historical Inputs'!$N$9*(1+(D652))^2)*(('Assumptions'!F37+(E652))*(1-'Assumptions'!F42-(0))+'Assumptions'!F47-'Assumptions'!F52*(F652)+'Assumptions'!F57-'Assumptions'!F62*(1)-'Assumptions'!F67-(0))+(('Historical Inputs'!$N$9*(1+(D652))^1)*('Assumptions'!E67+(0))))*'DCF'!F12/(1+(G652))^'DCF'!F13,(('Historical Inputs'!$N$9*(1+(D652))^3)*(('Assumptions'!G37+(E652))*(1-'Assumptions'!G42-(0))+'Assumptions'!G47-'Assumptions'!G52*(F652)+'Assumptions'!G57-'Assumptions'!G62*(1)-'Assumptions'!G67-(0))+(('Historical Inputs'!$N$9*(1+(D652))^2)*('Assumptions'!F67+(0))))*'DCF'!G12/(1+(G652))^'DCF'!G13,(('Historical Inputs'!$N$9*(1+(D652))^4)*(('Assumptions'!H37+(E652))*(1-'Assumptions'!H42-(0))+'Assumptions'!H47-'Assumptions'!H52*(F652)+'Assumptions'!H57-'Assumptions'!H62*(1)-'Assumptions'!H67-(0))+(('Historical Inputs'!$N$9*(1+(D652))^3)*('Assumptions'!G67+(0))))*'DCF'!H12/(1+(G652))^'DCF'!H13,(('Historical Inputs'!$N$9*(1+(D652))^5)*(('Assumptions'!I37+(E652))*(1-'Assumptions'!I42-(0))+'Assumptions'!I47-'Assumptions'!I52*(F652)+'Assumptions'!I57-'Assumptions'!I62*(1)-'Assumptions'!I67-(0))+(('Historical Inputs'!$N$9*(1+(D652))^4)*('Assumptions'!H67+(0))))*'DCF'!I12/(1+(G652))^'DCF'!I13)+('Historical Inputs'!$N$9*(1+(D652))^5)*(1+(H652))*('Terminal Value'!$E$10+(E652))*(1-'Assumptions'!$E$15-(0))*(1-(H652)/('Terminal Value'!$E$12))/((G652)-(H652))/(1+(G652))^'DCF'!$E$19)+'Equity Bridge'!$E$17)/'Equity Bridge'!$E$20</x:f>
        <x:v>326.3694534508437</x:v>
      </x:c>
      <x:c r="X652" s="255" t="n">
        <x:v>0.6912849176419394</x:v>
      </x:c>
      <x:c r="Y652" s="255" t="n">
        <x:v>0.7683511539791201</x:v>
      </x:c>
      <x:c r="Z652" s="255" t="n">
        <x:v>0.6915989648263962</x:v>
      </x:c>
      <x:c r="AA652" s="255" t="n">
        <x:v>0.2085712323736657</x:v>
      </x:c>
      <x:c r="AB652" s="255" t="n">
        <x:v>0.21875858966838868</x:v>
      </x:c>
    </x:row>
    <x:row r="653" ht="24" customHeight="1">
      <x:c r="C653" s="256" t="n">
        <x:f>622</x:f>
        <x:v>622</x:v>
      </x:c>
      <x:c r="D653" s="258" t="n">
        <x:f>IF(X653&lt;($E$12-$D$12)/($F$12-$D$12),$D$12+SQRT(X653*($F$12-$D$12)*($E$12-$D$12)),$F$12-SQRT((1-X653)*($F$12-$D$12)*($F$12-$E$12)))</x:f>
        <x:v>0.1368193374354276</x:v>
      </x:c>
      <x:c r="E653" s="258" t="n">
        <x:f>IF(Y653&lt;($E$13-$D$13)/($F$13-$D$13),$D$13+SQRT(Y653*($F$13-$D$13)*($E$13-$D$13)),$F$13-SQRT((1-Y653)*($F$13-$D$13)*($F$13-$E$13)))</x:f>
        <x:v>-0.017097762252996952</x:v>
      </x:c>
      <x:c r="F653" s="260" t="n">
        <x:f>IF(Z653&lt;($E$14-$D$14)/($F$14-$D$14),$D$14+SQRT(Z653*($F$14-$D$14)*($E$14-$D$14)),$F$14-SQRT((1-Z653)*($F$14-$D$14)*($F$14-$E$14)))</x:f>
        <x:v>0.9236857812578835</x:v>
      </x:c>
      <x:c r="G653" s="258" t="n">
        <x:f>IF(AA653&lt;($E$15-$D$15)/($F$15-$D$15),$D$15+SQRT(AA653*($F$15-$D$15)*($E$15-$D$15)),$F$15-SQRT((1-AA653)*($F$15-$D$15)*($F$15-$E$15)))</x:f>
        <x:v>0.10118809961984103</x:v>
      </x:c>
      <x:c r="H653" s="258" t="n">
        <x:f>IF(AB653&lt;($E$16-$D$16)/($F$16-$D$16),$D$16+SQRT(AB653*($F$16-$D$16)*($E$16-$D$16)),$F$16-SQRT((1-AB653)*($F$16-$D$16)*($F$16-$E$16)))</x:f>
        <x:v>0.02474186404517831</x:v>
      </x:c>
      <x:c r="I653" s="262" t="n">
        <x:f>'Historical Inputs'!$N$9*(1+D653)^5</x:f>
        <x:v>630064.0317205092</x:v>
      </x:c>
      <x:c r="J653" s="262" t="n">
        <x:f>I653*(1+H653)*('Terminal Value'!$E$10+E653)*(1-'Assumptions'!$E$15)*(1-H653/'Terminal Value'!$E$12)</x:f>
        <x:v>173310.64988668877</x:v>
      </x:c>
      <x:c r="K653" s="264" t="n">
        <x:f>((SUM((('Historical Inputs'!$N$9*(1+(D653))^1)*(('Assumptions'!E37+(E653))*(1-'Assumptions'!E42-(0))+'Assumptions'!E47-'Assumptions'!E52*(F653)+'Assumptions'!E57-'Assumptions'!E62*(1)-'Assumptions'!E67-(0))+('Working Capital'!$E$6))*'DCF'!E12/(1+(G653))^'DCF'!E13,(('Historical Inputs'!$N$9*(1+(D653))^2)*(('Assumptions'!F37+(E653))*(1-'Assumptions'!F42-(0))+'Assumptions'!F47-'Assumptions'!F52*(F653)+'Assumptions'!F57-'Assumptions'!F62*(1)-'Assumptions'!F67-(0))+(('Historical Inputs'!$N$9*(1+(D653))^1)*('Assumptions'!E67+(0))))*'DCF'!F12/(1+(G653))^'DCF'!F13,(('Historical Inputs'!$N$9*(1+(D653))^3)*(('Assumptions'!G37+(E653))*(1-'Assumptions'!G42-(0))+'Assumptions'!G47-'Assumptions'!G52*(F653)+'Assumptions'!G57-'Assumptions'!G62*(1)-'Assumptions'!G67-(0))+(('Historical Inputs'!$N$9*(1+(D653))^2)*('Assumptions'!F67+(0))))*'DCF'!G12/(1+(G653))^'DCF'!G13,(('Historical Inputs'!$N$9*(1+(D653))^4)*(('Assumptions'!H37+(E653))*(1-'Assumptions'!H42-(0))+'Assumptions'!H47-'Assumptions'!H52*(F653)+'Assumptions'!H57-'Assumptions'!H62*(1)-'Assumptions'!H67-(0))+(('Historical Inputs'!$N$9*(1+(D653))^3)*('Assumptions'!G67+(0))))*'DCF'!H12/(1+(G653))^'DCF'!H13,(('Historical Inputs'!$N$9*(1+(D653))^5)*(('Assumptions'!I37+(E653))*(1-'Assumptions'!I42-(0))+'Assumptions'!I47-'Assumptions'!I52*(F653)+'Assumptions'!I57-'Assumptions'!I62*(1)-'Assumptions'!I67-(0))+(('Historical Inputs'!$N$9*(1+(D653))^4)*('Assumptions'!H67+(0))))*'DCF'!I12/(1+(G653))^'DCF'!I13)+('Historical Inputs'!$N$9*(1+(D653))^5)*(1+(H653))*('Terminal Value'!$E$10+(E653))*(1-'Assumptions'!$E$15-(0))*(1-(H653)/('Terminal Value'!$E$12))/((G653)-(H653))/(1+(G653))^'DCF'!$E$19)+'Equity Bridge'!$E$17)/'Equity Bridge'!$E$20</x:f>
        <x:v>248.4202662400042</x:v>
      </x:c>
      <x:c r="X653" s="255" t="n">
        <x:v>0.379535068250076</x:v>
      </x:c>
      <x:c r="Y653" s="255" t="n">
        <x:v>0.2165114497520625</x:v>
      </x:c>
      <x:c r="Z653" s="255" t="n">
        <x:v>0.10342084494446957</x:v>
      </x:c>
      <x:c r="AA653" s="255" t="n">
        <x:v>0.6825405549050318</x:v>
      </x:c>
      <x:c r="AB653" s="255" t="n">
        <x:v>0.11242637311477421</x:v>
      </x:c>
    </x:row>
    <x:row r="654" ht="24" customHeight="1">
      <x:c r="C654" s="256" t="n">
        <x:f>623</x:f>
        <x:v>623</x:v>
      </x:c>
      <x:c r="D654" s="258" t="n">
        <x:f>IF(X654&lt;($E$12-$D$12)/($F$12-$D$12),$D$12+SQRT(X654*($F$12-$D$12)*($E$12-$D$12)),$F$12-SQRT((1-X654)*($F$12-$D$12)*($F$12-$E$12)))</x:f>
        <x:v>0.12216162770261481</x:v>
      </x:c>
      <x:c r="E654" s="258" t="n">
        <x:f>IF(Y654&lt;($E$13-$D$13)/($F$13-$D$13),$D$13+SQRT(Y654*($F$13-$D$13)*($E$13-$D$13)),$F$13-SQRT((1-Y654)*($F$13-$D$13)*($F$13-$E$13)))</x:f>
        <x:v>-0.004497009256892358</x:v>
      </x:c>
      <x:c r="F654" s="260" t="n">
        <x:f>IF(Z654&lt;($E$14-$D$14)/($F$14-$D$14),$D$14+SQRT(Z654*($F$14-$D$14)*($E$14-$D$14)),$F$14-SQRT((1-Z654)*($F$14-$D$14)*($F$14-$E$14)))</x:f>
        <x:v>0.976980930014883</x:v>
      </x:c>
      <x:c r="G654" s="258" t="n">
        <x:f>IF(AA654&lt;($E$15-$D$15)/($F$15-$D$15),$D$15+SQRT(AA654*($F$15-$D$15)*($E$15-$D$15)),$F$15-SQRT((1-AA654)*($F$15-$D$15)*($F$15-$E$15)))</x:f>
        <x:v>0.10143890998136519</x:v>
      </x:c>
      <x:c r="H654" s="258" t="n">
        <x:f>IF(AB654&lt;($E$16-$D$16)/($F$16-$D$16),$D$16+SQRT(AB654*($F$16-$D$16)*($E$16-$D$16)),$F$16-SQRT((1-AB654)*($F$16-$D$16)*($F$16-$E$16)))</x:f>
        <x:v>0.02603894995751864</x:v>
      </x:c>
      <x:c r="I654" s="262" t="n">
        <x:f>'Historical Inputs'!$N$9*(1+D654)^5</x:f>
        <x:v>590479.0527279208</x:v>
      </x:c>
      <x:c r="J654" s="262" t="n">
        <x:f>I654*(1+H654)*('Terminal Value'!$E$10+E654)*(1-'Assumptions'!$E$15)*(1-H654/'Terminal Value'!$E$12)</x:f>
        <x:v>166736.2872879088</x:v>
      </x:c>
      <x:c r="K654" s="264" t="n">
        <x:f>((SUM((('Historical Inputs'!$N$9*(1+(D654))^1)*(('Assumptions'!E37+(E654))*(1-'Assumptions'!E42-(0))+'Assumptions'!E47-'Assumptions'!E52*(F654)+'Assumptions'!E57-'Assumptions'!E62*(1)-'Assumptions'!E67-(0))+('Working Capital'!$E$6))*'DCF'!E12/(1+(G654))^'DCF'!E13,(('Historical Inputs'!$N$9*(1+(D654))^2)*(('Assumptions'!F37+(E654))*(1-'Assumptions'!F42-(0))+'Assumptions'!F47-'Assumptions'!F52*(F654)+'Assumptions'!F57-'Assumptions'!F62*(1)-'Assumptions'!F67-(0))+(('Historical Inputs'!$N$9*(1+(D654))^1)*('Assumptions'!E67+(0))))*'DCF'!F12/(1+(G654))^'DCF'!F13,(('Historical Inputs'!$N$9*(1+(D654))^3)*(('Assumptions'!G37+(E654))*(1-'Assumptions'!G42-(0))+'Assumptions'!G47-'Assumptions'!G52*(F654)+'Assumptions'!G57-'Assumptions'!G62*(1)-'Assumptions'!G67-(0))+(('Historical Inputs'!$N$9*(1+(D654))^2)*('Assumptions'!F67+(0))))*'DCF'!G12/(1+(G654))^'DCF'!G13,(('Historical Inputs'!$N$9*(1+(D654))^4)*(('Assumptions'!H37+(E654))*(1-'Assumptions'!H42-(0))+'Assumptions'!H47-'Assumptions'!H52*(F654)+'Assumptions'!H57-'Assumptions'!H62*(1)-'Assumptions'!H67-(0))+(('Historical Inputs'!$N$9*(1+(D654))^3)*('Assumptions'!G67+(0))))*'DCF'!H12/(1+(G654))^'DCF'!H13,(('Historical Inputs'!$N$9*(1+(D654))^5)*(('Assumptions'!I37+(E654))*(1-'Assumptions'!I42-(0))+'Assumptions'!I47-'Assumptions'!I52*(F654)+'Assumptions'!I57-'Assumptions'!I62*(1)-'Assumptions'!I67-(0))+(('Historical Inputs'!$N$9*(1+(D654))^4)*('Assumptions'!H67+(0))))*'DCF'!I12/(1+(G654))^'DCF'!I13)+('Historical Inputs'!$N$9*(1+(D654))^5)*(1+(H654))*('Terminal Value'!$E$10+(E654))*(1-'Assumptions'!$E$15-(0))*(1-(H654)/('Terminal Value'!$E$12))/((G654)-(H654))/(1+(G654))^'DCF'!$E$19)+'Equity Bridge'!$E$17)/'Equity Bridge'!$E$20</x:f>
        <x:v>240.14245110292404</x:v>
      </x:c>
      <x:c r="X654" s="255" t="n">
        <x:v>0.16709524817582377</x:v>
      </x:c>
      <x:c r="Y654" s="255" t="n">
        <x:v>0.4141044333134679</x:v>
      </x:c>
      <x:c r="Z654" s="255" t="n">
        <x:v>0.30712679214180194</x:v>
      </x:c>
      <x:c r="AA654" s="255" t="n">
        <x:v>0.6957241111652108</x:v>
      </x:c>
      <x:c r="AB654" s="255" t="n">
        <x:v>0.1823445829470719</x:v>
      </x:c>
    </x:row>
    <x:row r="655" ht="24" customHeight="1">
      <x:c r="C655" s="256" t="n">
        <x:f>624</x:f>
        <x:v>624</x:v>
      </x:c>
      <x:c r="D655" s="258" t="n">
        <x:f>IF(X655&lt;($E$12-$D$12)/($F$12-$D$12),$D$12+SQRT(X655*($F$12-$D$12)*($E$12-$D$12)),$F$12-SQRT((1-X655)*($F$12-$D$12)*($F$12-$E$12)))</x:f>
        <x:v>0.14221262850253746</x:v>
      </x:c>
      <x:c r="E655" s="258" t="n">
        <x:f>IF(Y655&lt;($E$13-$D$13)/($F$13-$D$13),$D$13+SQRT(Y655*($F$13-$D$13)*($E$13-$D$13)),$F$13-SQRT((1-Y655)*($F$13-$D$13)*($F$13-$E$13)))</x:f>
        <x:v>-0.014757809828520124</x:v>
      </x:c>
      <x:c r="F655" s="260" t="n">
        <x:f>IF(Z655&lt;($E$14-$D$14)/($F$14-$D$14),$D$14+SQRT(Z655*($F$14-$D$14)*($E$14-$D$14)),$F$14-SQRT((1-Z655)*($F$14-$D$14)*($F$14-$E$14)))</x:f>
        <x:v>1.0552931530444614</x:v>
      </x:c>
      <x:c r="G655" s="258" t="n">
        <x:f>IF(AA655&lt;($E$15-$D$15)/($F$15-$D$15),$D$15+SQRT(AA655*($F$15-$D$15)*($E$15-$D$15)),$F$15-SQRT((1-AA655)*($F$15-$D$15)*($F$15-$E$15)))</x:f>
        <x:v>0.1018587721889796</x:v>
      </x:c>
      <x:c r="H655" s="258" t="n">
        <x:f>IF(AB655&lt;($E$16-$D$16)/($F$16-$D$16),$D$16+SQRT(AB655*($F$16-$D$16)*($E$16-$D$16)),$F$16-SQRT((1-AB655)*($F$16-$D$16)*($F$16-$E$16)))</x:f>
        <x:v>0.028797150460888238</x:v>
      </x:c>
      <x:c r="I655" s="262" t="n">
        <x:f>'Historical Inputs'!$N$9*(1+D655)^5</x:f>
        <x:v>645152.2458105842</x:v>
      </x:c>
      <x:c r="J655" s="262" t="n">
        <x:f>I655*(1+H655)*('Terminal Value'!$E$10+E655)*(1-'Assumptions'!$E$15)*(1-H655/'Terminal Value'!$E$12)</x:f>
        <x:v>175104.2913181835</x:v>
      </x:c>
      <x:c r="K655" s="264" t="n">
        <x:f>((SUM((('Historical Inputs'!$N$9*(1+(D655))^1)*(('Assumptions'!E37+(E655))*(1-'Assumptions'!E42-(0))+'Assumptions'!E47-'Assumptions'!E52*(F655)+'Assumptions'!E57-'Assumptions'!E62*(1)-'Assumptions'!E67-(0))+('Working Capital'!$E$6))*'DCF'!E12/(1+(G655))^'DCF'!E13,(('Historical Inputs'!$N$9*(1+(D655))^2)*(('Assumptions'!F37+(E655))*(1-'Assumptions'!F42-(0))+'Assumptions'!F47-'Assumptions'!F52*(F655)+'Assumptions'!F57-'Assumptions'!F62*(1)-'Assumptions'!F67-(0))+(('Historical Inputs'!$N$9*(1+(D655))^1)*('Assumptions'!E67+(0))))*'DCF'!F12/(1+(G655))^'DCF'!F13,(('Historical Inputs'!$N$9*(1+(D655))^3)*(('Assumptions'!G37+(E655))*(1-'Assumptions'!G42-(0))+'Assumptions'!G47-'Assumptions'!G52*(F655)+'Assumptions'!G57-'Assumptions'!G62*(1)-'Assumptions'!G67-(0))+(('Historical Inputs'!$N$9*(1+(D655))^2)*('Assumptions'!F67+(0))))*'DCF'!G12/(1+(G655))^'DCF'!G13,(('Historical Inputs'!$N$9*(1+(D655))^4)*(('Assumptions'!H37+(E655))*(1-'Assumptions'!H42-(0))+'Assumptions'!H47-'Assumptions'!H52*(F655)+'Assumptions'!H57-'Assumptions'!H62*(1)-'Assumptions'!H67-(0))+(('Historical Inputs'!$N$9*(1+(D655))^3)*('Assumptions'!G67+(0))))*'DCF'!H12/(1+(G655))^'DCF'!H13,(('Historical Inputs'!$N$9*(1+(D655))^5)*(('Assumptions'!I37+(E655))*(1-'Assumptions'!I42-(0))+'Assumptions'!I47-'Assumptions'!I52*(F655)+'Assumptions'!I57-'Assumptions'!I62*(1)-'Assumptions'!I67-(0))+(('Historical Inputs'!$N$9*(1+(D655))^4)*('Assumptions'!H67+(0))))*'DCF'!I12/(1+(G655))^'DCF'!I13)+('Historical Inputs'!$N$9*(1+(D655))^5)*(1+(H655))*('Terminal Value'!$E$10+(E655))*(1-'Assumptions'!$E$15-(0))*(1-(H655)/('Terminal Value'!$E$12))/((G655)-(H655))/(1+(G655))^'DCF'!$E$19)+'Equity Bridge'!$E$17)/'Equity Bridge'!$E$20</x:f>
        <x:v>251.91544968175847</x:v>
      </x:c>
      <x:c r="X655" s="255" t="n">
        <x:v>0.47933028501244435</x:v>
      </x:c>
      <x:c r="Y655" s="255" t="n">
        <x:v>0.2484023936165506</x:v>
      </x:c>
      <x:c r="Z655" s="255" t="n">
        <x:v>0.7008561206312335</x:v>
      </x:c>
      <x:c r="AA655" s="255" t="n">
        <x:v>0.7171679262824242</x:v>
      </x:c>
      <x:c r="AB655" s="255" t="n">
        <x:v>0.386949281157531</x:v>
      </x:c>
    </x:row>
    <x:row r="656" ht="24" customHeight="1">
      <x:c r="C656" s="256" t="n">
        <x:f>625</x:f>
        <x:v>625</x:v>
      </x:c>
      <x:c r="D656" s="258" t="n">
        <x:f>IF(X656&lt;($E$12-$D$12)/($F$12-$D$12),$D$12+SQRT(X656*($F$12-$D$12)*($E$12-$D$12)),$F$12-SQRT((1-X656)*($F$12-$D$12)*($F$12-$E$12)))</x:f>
        <x:v>0.13684936348177548</x:v>
      </x:c>
      <x:c r="E656" s="258" t="n">
        <x:f>IF(Y656&lt;($E$13-$D$13)/($F$13-$D$13),$D$13+SQRT(Y656*($F$13-$D$13)*($E$13-$D$13)),$F$13-SQRT((1-Y656)*($F$13-$D$13)*($F$13-$E$13)))</x:f>
        <x:v>0.03426486643415509</x:v>
      </x:c>
      <x:c r="F656" s="260" t="n">
        <x:f>IF(Z656&lt;($E$14-$D$14)/($F$14-$D$14),$D$14+SQRT(Z656*($F$14-$D$14)*($E$14-$D$14)),$F$14-SQRT((1-Z656)*($F$14-$D$14)*($F$14-$E$14)))</x:f>
        <x:v>1.060359544119794</x:v>
      </x:c>
      <x:c r="G656" s="258" t="n">
        <x:f>IF(AA656&lt;($E$15-$D$15)/($F$15-$D$15),$D$15+SQRT(AA656*($F$15-$D$15)*($E$15-$D$15)),$F$15-SQRT((1-AA656)*($F$15-$D$15)*($F$15-$E$15)))</x:f>
        <x:v>0.11037688984425545</x:v>
      </x:c>
      <x:c r="H656" s="258" t="n">
        <x:f>IF(AB656&lt;($E$16-$D$16)/($F$16-$D$16),$D$16+SQRT(AB656*($F$16-$D$16)*($E$16-$D$16)),$F$16-SQRT((1-AB656)*($F$16-$D$16)*($F$16-$E$16)))</x:f>
        <x:v>0.02976263286349373</x:v>
      </x:c>
      <x:c r="I656" s="262" t="n">
        <x:f>'Historical Inputs'!$N$9*(1+D656)^5</x:f>
        <x:v>630147.2434084897</x:v>
      </x:c>
      <x:c r="J656" s="262" t="n">
        <x:f>I656*(1+H656)*('Terminal Value'!$E$10+E656)*(1-'Assumptions'!$E$15)*(1-H656/'Terminal Value'!$E$12)</x:f>
        <x:v>191888.4122331638</x:v>
      </x:c>
      <x:c r="K656" s="264" t="n">
        <x:f>((SUM((('Historical Inputs'!$N$9*(1+(D656))^1)*(('Assumptions'!E37+(E656))*(1-'Assumptions'!E42-(0))+'Assumptions'!E47-'Assumptions'!E52*(F656)+'Assumptions'!E57-'Assumptions'!E62*(1)-'Assumptions'!E67-(0))+('Working Capital'!$E$6))*'DCF'!E12/(1+(G656))^'DCF'!E13,(('Historical Inputs'!$N$9*(1+(D656))^2)*(('Assumptions'!F37+(E656))*(1-'Assumptions'!F42-(0))+'Assumptions'!F47-'Assumptions'!F52*(F656)+'Assumptions'!F57-'Assumptions'!F62*(1)-'Assumptions'!F67-(0))+(('Historical Inputs'!$N$9*(1+(D656))^1)*('Assumptions'!E67+(0))))*'DCF'!F12/(1+(G656))^'DCF'!F13,(('Historical Inputs'!$N$9*(1+(D656))^3)*(('Assumptions'!G37+(E656))*(1-'Assumptions'!G42-(0))+'Assumptions'!G47-'Assumptions'!G52*(F656)+'Assumptions'!G57-'Assumptions'!G62*(1)-'Assumptions'!G67-(0))+(('Historical Inputs'!$N$9*(1+(D656))^2)*('Assumptions'!F67+(0))))*'DCF'!G12/(1+(G656))^'DCF'!G13,(('Historical Inputs'!$N$9*(1+(D656))^4)*(('Assumptions'!H37+(E656))*(1-'Assumptions'!H42-(0))+'Assumptions'!H47-'Assumptions'!H52*(F656)+'Assumptions'!H57-'Assumptions'!H62*(1)-'Assumptions'!H67-(0))+(('Historical Inputs'!$N$9*(1+(D656))^3)*('Assumptions'!G67+(0))))*'DCF'!H12/(1+(G656))^'DCF'!H13,(('Historical Inputs'!$N$9*(1+(D656))^5)*(('Assumptions'!I37+(E656))*(1-'Assumptions'!I42-(0))+'Assumptions'!I47-'Assumptions'!I52*(F656)+'Assumptions'!I57-'Assumptions'!I62*(1)-'Assumptions'!I67-(0))+(('Historical Inputs'!$N$9*(1+(D656))^4)*('Assumptions'!H67+(0))))*'DCF'!I12/(1+(G656))^'DCF'!I13)+('Historical Inputs'!$N$9*(1+(D656))^5)*(1+(H656))*('Terminal Value'!$E$10+(E656))*(1-'Assumptions'!$E$15-(0))*(1-(H656)/('Terminal Value'!$E$12))/((G656)-(H656))/(1+(G656))^'DCF'!$E$19)+'Equity Bridge'!$E$17)/'Equity Bridge'!$E$20</x:f>
        <x:v>250.70974776335012</x:v>
      </x:c>
      <x:c r="X656" s="255" t="n">
        <x:v>0.3800584502057712</x:v>
      </x:c>
      <x:c r="Y656" s="255" t="n">
        <x:v>0.9504811143330042</x:v>
      </x:c>
      <x:c r="Z656" s="255" t="n">
        <x:v>0.7214363297366894</x:v>
      </x:c>
      <x:c r="AA656" s="255" t="n">
        <x:v>0.9830292918828333</x:v>
      </x:c>
      <x:c r="AB656" s="255" t="n">
        <x:v>0.4765450021368389</x:v>
      </x:c>
    </x:row>
    <x:row r="657" ht="24" customHeight="1">
      <x:c r="C657" s="256" t="n">
        <x:f>626</x:f>
        <x:v>626</x:v>
      </x:c>
      <x:c r="D657" s="258" t="n">
        <x:f>IF(X657&lt;($E$12-$D$12)/($F$12-$D$12),$D$12+SQRT(X657*($F$12-$D$12)*($E$12-$D$12)),$F$12-SQRT((1-X657)*($F$12-$D$12)*($F$12-$E$12)))</x:f>
        <x:v>0.16890586431381593</x:v>
      </x:c>
      <x:c r="E657" s="258" t="n">
        <x:f>IF(Y657&lt;($E$13-$D$13)/($F$13-$D$13),$D$13+SQRT(Y657*($F$13-$D$13)*($E$13-$D$13)),$F$13-SQRT((1-Y657)*($F$13-$D$13)*($F$13-$E$13)))</x:f>
        <x:v>0.03069197420970182</x:v>
      </x:c>
      <x:c r="F657" s="260" t="n">
        <x:f>IF(Z657&lt;($E$14-$D$14)/($F$14-$D$14),$D$14+SQRT(Z657*($F$14-$D$14)*($E$14-$D$14)),$F$14-SQRT((1-Z657)*($F$14-$D$14)*($F$14-$E$14)))</x:f>
        <x:v>0.9775542212965764</x:v>
      </x:c>
      <x:c r="G657" s="258" t="n">
        <x:f>IF(AA657&lt;($E$15-$D$15)/($F$15-$D$15),$D$15+SQRT(AA657*($F$15-$D$15)*($E$15-$D$15)),$F$15-SQRT((1-AA657)*($F$15-$D$15)*($F$15-$E$15)))</x:f>
        <x:v>0.10200771757698851</x:v>
      </x:c>
      <x:c r="H657" s="258" t="n">
        <x:f>IF(AB657&lt;($E$16-$D$16)/($F$16-$D$16),$D$16+SQRT(AB657*($F$16-$D$16)*($E$16-$D$16)),$F$16-SQRT((1-AB657)*($F$16-$D$16)*($F$16-$E$16)))</x:f>
        <x:v>0.03279792856582724</x:v>
      </x:c>
      <x:c r="I657" s="262" t="n">
        <x:f>'Historical Inputs'!$N$9*(1+D657)^5</x:f>
        <x:v>724144.2945448474</x:v>
      </x:c>
      <x:c r="J657" s="262" t="n">
        <x:f>I657*(1+H657)*('Terminal Value'!$E$10+E657)*(1-'Assumptions'!$E$15)*(1-H657/'Terminal Value'!$E$12)</x:f>
        <x:v>215431.3461782141</x:v>
      </x:c>
      <x:c r="K657" s="264" t="n">
        <x:f>((SUM((('Historical Inputs'!$N$9*(1+(D657))^1)*(('Assumptions'!E37+(E657))*(1-'Assumptions'!E42-(0))+'Assumptions'!E47-'Assumptions'!E52*(F657)+'Assumptions'!E57-'Assumptions'!E62*(1)-'Assumptions'!E67-(0))+('Working Capital'!$E$6))*'DCF'!E12/(1+(G657))^'DCF'!E13,(('Historical Inputs'!$N$9*(1+(D657))^2)*(('Assumptions'!F37+(E657))*(1-'Assumptions'!F42-(0))+'Assumptions'!F47-'Assumptions'!F52*(F657)+'Assumptions'!F57-'Assumptions'!F62*(1)-'Assumptions'!F67-(0))+(('Historical Inputs'!$N$9*(1+(D657))^1)*('Assumptions'!E67+(0))))*'DCF'!F12/(1+(G657))^'DCF'!F13,(('Historical Inputs'!$N$9*(1+(D657))^3)*(('Assumptions'!G37+(E657))*(1-'Assumptions'!G42-(0))+'Assumptions'!G47-'Assumptions'!G52*(F657)+'Assumptions'!G57-'Assumptions'!G62*(1)-'Assumptions'!G67-(0))+(('Historical Inputs'!$N$9*(1+(D657))^2)*('Assumptions'!F67+(0))))*'DCF'!G12/(1+(G657))^'DCF'!G13,(('Historical Inputs'!$N$9*(1+(D657))^4)*(('Assumptions'!H37+(E657))*(1-'Assumptions'!H42-(0))+'Assumptions'!H47-'Assumptions'!H52*(F657)+'Assumptions'!H57-'Assumptions'!H62*(1)-'Assumptions'!H67-(0))+(('Historical Inputs'!$N$9*(1+(D657))^3)*('Assumptions'!G67+(0))))*'DCF'!H12/(1+(G657))^'DCF'!H13,(('Historical Inputs'!$N$9*(1+(D657))^5)*(('Assumptions'!I37+(E657))*(1-'Assumptions'!I42-(0))+'Assumptions'!I47-'Assumptions'!I52*(F657)+'Assumptions'!I57-'Assumptions'!I62*(1)-'Assumptions'!I67-(0))+(('Historical Inputs'!$N$9*(1+(D657))^4)*('Assumptions'!H67+(0))))*'DCF'!I12/(1+(G657))^'DCF'!I13)+('Historical Inputs'!$N$9*(1+(D657))^5)*(1+(H657))*('Terminal Value'!$E$10+(E657))*(1-'Assumptions'!$E$15-(0))*(1-(H657)/('Terminal Value'!$E$12))/((G657)-(H657))/(1+(G657))^'DCF'!$E$19)+'Equity Bridge'!$E$17)/'Equity Bridge'!$E$20</x:f>
        <x:v>332.04532854850044</x:v>
      </x:c>
      <x:c r="X657" s="255" t="n">
        <x:v>0.8814042255628016</x:v>
      </x:c>
      <x:c r="Y657" s="255" t="n">
        <x:v>0.925440028016236</x:v>
      </x:c>
      <x:c r="Z657" s="255" t="n">
        <x:v>0.30990627372525736</x:v>
      </x:c>
      <x:c r="AA657" s="255" t="n">
        <x:v>0.7245868129198465</x:v>
      </x:c>
      <x:c r="AB657" s="255" t="n">
        <x:v>0.740650835285364</x:v>
      </x:c>
    </x:row>
    <x:row r="658" ht="24" customHeight="1">
      <x:c r="C658" s="256" t="n">
        <x:f>627</x:f>
        <x:v>627</x:v>
      </x:c>
      <x:c r="D658" s="258" t="n">
        <x:f>IF(X658&lt;($E$12-$D$12)/($F$12-$D$12),$D$12+SQRT(X658*($F$12-$D$12)*($E$12-$D$12)),$F$12-SQRT((1-X658)*($F$12-$D$12)*($F$12-$E$12)))</x:f>
        <x:v>0.12750217482511794</x:v>
      </x:c>
      <x:c r="E658" s="258" t="n">
        <x:f>IF(Y658&lt;($E$13-$D$13)/($F$13-$D$13),$D$13+SQRT(Y658*($F$13-$D$13)*($E$13-$D$13)),$F$13-SQRT((1-Y658)*($F$13-$D$13)*($F$13-$E$13)))</x:f>
        <x:v>-0.018428686827116673</x:v>
      </x:c>
      <x:c r="F658" s="260" t="n">
        <x:f>IF(Z658&lt;($E$14-$D$14)/($F$14-$D$14),$D$14+SQRT(Z658*($F$14-$D$14)*($E$14-$D$14)),$F$14-SQRT((1-Z658)*($F$14-$D$14)*($F$14-$E$14)))</x:f>
        <x:v>0.9714840235113935</x:v>
      </x:c>
      <x:c r="G658" s="258" t="n">
        <x:f>IF(AA658&lt;($E$15-$D$15)/($F$15-$D$15),$D$15+SQRT(AA658*($F$15-$D$15)*($E$15-$D$15)),$F$15-SQRT((1-AA658)*($F$15-$D$15)*($F$15-$E$15)))</x:f>
        <x:v>0.08705582454737801</x:v>
      </x:c>
      <x:c r="H658" s="258" t="n">
        <x:f>IF(AB658&lt;($E$16-$D$16)/($F$16-$D$16),$D$16+SQRT(AB658*($F$16-$D$16)*($E$16-$D$16)),$F$16-SQRT((1-AB658)*($F$16-$D$16)*($F$16-$E$16)))</x:f>
        <x:v>0.03169861410436821</x:v>
      </x:c>
      <x:c r="I658" s="262" t="n">
        <x:f>'Historical Inputs'!$N$9*(1+D658)^5</x:f>
        <x:v>604664.3543959042</x:v>
      </x:c>
      <x:c r="J658" s="262" t="n">
        <x:f>I658*(1+H658)*('Terminal Value'!$E$10+E658)*(1-'Assumptions'!$E$15)*(1-H658/'Terminal Value'!$E$12)</x:f>
        <x:v>160247.260803629</x:v>
      </x:c>
      <x:c r="K658" s="264" t="n">
        <x:f>((SUM((('Historical Inputs'!$N$9*(1+(D658))^1)*(('Assumptions'!E37+(E658))*(1-'Assumptions'!E42-(0))+'Assumptions'!E47-'Assumptions'!E52*(F658)+'Assumptions'!E57-'Assumptions'!E62*(1)-'Assumptions'!E67-(0))+('Working Capital'!$E$6))*'DCF'!E12/(1+(G658))^'DCF'!E13,(('Historical Inputs'!$N$9*(1+(D658))^2)*(('Assumptions'!F37+(E658))*(1-'Assumptions'!F42-(0))+'Assumptions'!F47-'Assumptions'!F52*(F658)+'Assumptions'!F57-'Assumptions'!F62*(1)-'Assumptions'!F67-(0))+(('Historical Inputs'!$N$9*(1+(D658))^1)*('Assumptions'!E67+(0))))*'DCF'!F12/(1+(G658))^'DCF'!F13,(('Historical Inputs'!$N$9*(1+(D658))^3)*(('Assumptions'!G37+(E658))*(1-'Assumptions'!G42-(0))+'Assumptions'!G47-'Assumptions'!G52*(F658)+'Assumptions'!G57-'Assumptions'!G62*(1)-'Assumptions'!G67-(0))+(('Historical Inputs'!$N$9*(1+(D658))^2)*('Assumptions'!F67+(0))))*'DCF'!G12/(1+(G658))^'DCF'!G13,(('Historical Inputs'!$N$9*(1+(D658))^4)*(('Assumptions'!H37+(E658))*(1-'Assumptions'!H42-(0))+'Assumptions'!H47-'Assumptions'!H52*(F658)+'Assumptions'!H57-'Assumptions'!H62*(1)-'Assumptions'!H67-(0))+(('Historical Inputs'!$N$9*(1+(D658))^3)*('Assumptions'!G67+(0))))*'DCF'!H12/(1+(G658))^'DCF'!H13,(('Historical Inputs'!$N$9*(1+(D658))^5)*(('Assumptions'!I37+(E658))*(1-'Assumptions'!I42-(0))+'Assumptions'!I47-'Assumptions'!I52*(F658)+'Assumptions'!I57-'Assumptions'!I62*(1)-'Assumptions'!I67-(0))+(('Historical Inputs'!$N$9*(1+(D658))^4)*('Assumptions'!H67+(0))))*'DCF'!I12/(1+(G658))^'DCF'!I13)+('Historical Inputs'!$N$9*(1+(D658))^5)*(1+(H658))*('Terminal Value'!$E$10+(E658))*(1-'Assumptions'!$E$15-(0))*(1-(H658)/('Terminal Value'!$E$12))/((G658)-(H658))/(1+(G658))^'DCF'!$E$19)+'Equity Bridge'!$E$17)/'Equity Bridge'!$E$20</x:f>
        <x:v>314.50061860993964</x:v>
      </x:c>
      <x:c r="X658" s="255" t="n">
        <x:v>0.2345461007858135</x:v>
      </x:c>
      <x:c r="Y658" s="255" t="n">
        <x:v>0.19934956309205532</x:v>
      </x:c>
      <x:c r="Z658" s="255" t="n">
        <x:v>0.2811117708288915</x:v>
      </x:c>
      <x:c r="AA658" s="255" t="n">
        <x:v>0.034068421921093384</x:v>
      </x:c>
      <x:c r="AB658" s="255" t="n">
        <x:v>0.6554349610590282</x:v>
      </x:c>
    </x:row>
    <x:row r="659" ht="24" customHeight="1">
      <x:c r="C659" s="256" t="n">
        <x:f>628</x:f>
        <x:v>628</x:v>
      </x:c>
      <x:c r="D659" s="258" t="n">
        <x:f>IF(X659&lt;($E$12-$D$12)/($F$12-$D$12),$D$12+SQRT(X659*($F$12-$D$12)*($E$12-$D$12)),$F$12-SQRT((1-X659)*($F$12-$D$12)*($F$12-$E$12)))</x:f>
        <x:v>0.17927911675088773</x:v>
      </x:c>
      <x:c r="E659" s="258" t="n">
        <x:f>IF(Y659&lt;($E$13-$D$13)/($F$13-$D$13),$D$13+SQRT(Y659*($F$13-$D$13)*($E$13-$D$13)),$F$13-SQRT((1-Y659)*($F$13-$D$13)*($F$13-$E$13)))</x:f>
        <x:v>0.007831104463435143</x:v>
      </x:c>
      <x:c r="F659" s="260" t="n">
        <x:f>IF(Z659&lt;($E$14-$D$14)/($F$14-$D$14),$D$14+SQRT(Z659*($F$14-$D$14)*($E$14-$D$14)),$F$14-SQRT((1-Z659)*($F$14-$D$14)*($F$14-$E$14)))</x:f>
        <x:v>1.0425928966121174</x:v>
      </x:c>
      <x:c r="G659" s="258" t="n">
        <x:f>IF(AA659&lt;($E$15-$D$15)/($F$15-$D$15),$D$15+SQRT(AA659*($F$15-$D$15)*($E$15-$D$15)),$F$15-SQRT((1-AA659)*($F$15-$D$15)*($F$15-$E$15)))</x:f>
        <x:v>0.08754688806113015</x:v>
      </x:c>
      <x:c r="H659" s="258" t="n">
        <x:f>IF(AB659&lt;($E$16-$D$16)/($F$16-$D$16),$D$16+SQRT(AB659*($F$16-$D$16)*($E$16-$D$16)),$F$16-SQRT((1-AB659)*($F$16-$D$16)*($F$16-$E$16)))</x:f>
        <x:v>0.029165232103751056</x:v>
      </x:c>
      <x:c r="I659" s="262" t="n">
        <x:f>'Historical Inputs'!$N$9*(1+D659)^5</x:f>
        <x:v>756851.1331904274</x:v>
      </x:c>
      <x:c r="J659" s="262" t="n">
        <x:f>I659*(1+H659)*('Terminal Value'!$E$10+E659)*(1-'Assumptions'!$E$15)*(1-H659/'Terminal Value'!$E$12)</x:f>
        <x:v>217076.17998844365</x:v>
      </x:c>
      <x:c r="K659" s="264" t="n">
        <x:f>((SUM((('Historical Inputs'!$N$9*(1+(D659))^1)*(('Assumptions'!E37+(E659))*(1-'Assumptions'!E42-(0))+'Assumptions'!E47-'Assumptions'!E52*(F659)+'Assumptions'!E57-'Assumptions'!E62*(1)-'Assumptions'!E67-(0))+('Working Capital'!$E$6))*'DCF'!E12/(1+(G659))^'DCF'!E13,(('Historical Inputs'!$N$9*(1+(D659))^2)*(('Assumptions'!F37+(E659))*(1-'Assumptions'!F42-(0))+'Assumptions'!F47-'Assumptions'!F52*(F659)+'Assumptions'!F57-'Assumptions'!F62*(1)-'Assumptions'!F67-(0))+(('Historical Inputs'!$N$9*(1+(D659))^1)*('Assumptions'!E67+(0))))*'DCF'!F12/(1+(G659))^'DCF'!F13,(('Historical Inputs'!$N$9*(1+(D659))^3)*(('Assumptions'!G37+(E659))*(1-'Assumptions'!G42-(0))+'Assumptions'!G47-'Assumptions'!G52*(F659)+'Assumptions'!G57-'Assumptions'!G62*(1)-'Assumptions'!G67-(0))+(('Historical Inputs'!$N$9*(1+(D659))^2)*('Assumptions'!F67+(0))))*'DCF'!G12/(1+(G659))^'DCF'!G13,(('Historical Inputs'!$N$9*(1+(D659))^4)*(('Assumptions'!H37+(E659))*(1-'Assumptions'!H42-(0))+'Assumptions'!H47-'Assumptions'!H52*(F659)+'Assumptions'!H57-'Assumptions'!H62*(1)-'Assumptions'!H67-(0))+(('Historical Inputs'!$N$9*(1+(D659))^3)*('Assumptions'!G67+(0))))*'DCF'!H12/(1+(G659))^'DCF'!H13,(('Historical Inputs'!$N$9*(1+(D659))^5)*(('Assumptions'!I37+(E659))*(1-'Assumptions'!I42-(0))+'Assumptions'!I47-'Assumptions'!I52*(F659)+'Assumptions'!I57-'Assumptions'!I62*(1)-'Assumptions'!I67-(0))+(('Historical Inputs'!$N$9*(1+(D659))^4)*('Assumptions'!H67+(0))))*'DCF'!I12/(1+(G659))^'DCF'!I13)+('Historical Inputs'!$N$9*(1+(D659))^5)*(1+(H659))*('Terminal Value'!$E$10+(E659))*(1-'Assumptions'!$E$15-(0))*(1-(H659)/('Terminal Value'!$E$12))/((G659)-(H659))/(1+(G659))^'DCF'!$E$19)+'Equity Bridge'!$E$17)/'Equity Bridge'!$E$20</x:f>
        <x:v>398.69896298710074</x:v>
      </x:c>
      <x:c r="X659" s="255" t="n">
        <x:v>0.9609236339419094</x:v>
      </x:c>
      <x:c r="Y659" s="255" t="n">
        <x:v>0.6443568498452561</x:v>
      </x:c>
      <x:c r="Z659" s="255" t="n">
        <x:v>0.646042911471949</x:v>
      </x:c>
      <x:c r="AA659" s="255" t="n">
        <x:v>0.04314979482506076</x:v>
      </x:c>
      <x:c r="AB659" s="255" t="n">
        <x:v>0.420007397578145</x:v>
      </x:c>
    </x:row>
    <x:row r="660" ht="24" customHeight="1">
      <x:c r="C660" s="256" t="n">
        <x:f>629</x:f>
        <x:v>629</x:v>
      </x:c>
      <x:c r="D660" s="258" t="n">
        <x:f>IF(X660&lt;($E$12-$D$12)/($F$12-$D$12),$D$12+SQRT(X660*($F$12-$D$12)*($E$12-$D$12)),$F$12-SQRT((1-X660)*($F$12-$D$12)*($F$12-$E$12)))</x:f>
        <x:v>0.1489775532387901</x:v>
      </x:c>
      <x:c r="E660" s="258" t="n">
        <x:f>IF(Y660&lt;($E$13-$D$13)/($F$13-$D$13),$D$13+SQRT(Y660*($F$13-$D$13)*($E$13-$D$13)),$F$13-SQRT((1-Y660)*($F$13-$D$13)*($F$13-$E$13)))</x:f>
        <x:v>-0.0006399588442374121</x:v>
      </x:c>
      <x:c r="F660" s="260" t="n">
        <x:f>IF(Z660&lt;($E$14-$D$14)/($F$14-$D$14),$D$14+SQRT(Z660*($F$14-$D$14)*($E$14-$D$14)),$F$14-SQRT((1-Z660)*($F$14-$D$14)*($F$14-$E$14)))</x:f>
        <x:v>1.1289594978758004</x:v>
      </x:c>
      <x:c r="G660" s="258" t="n">
        <x:f>IF(AA660&lt;($E$15-$D$15)/($F$15-$D$15),$D$15+SQRT(AA660*($F$15-$D$15)*($E$15-$D$15)),$F$15-SQRT((1-AA660)*($F$15-$D$15)*($F$15-$E$15)))</x:f>
        <x:v>0.10059023569727475</x:v>
      </x:c>
      <x:c r="H660" s="258" t="n">
        <x:f>IF(AB660&lt;($E$16-$D$16)/($F$16-$D$16),$D$16+SQRT(AB660*($F$16-$D$16)*($E$16-$D$16)),$F$16-SQRT((1-AB660)*($F$16-$D$16)*($F$16-$E$16)))</x:f>
        <x:v>0.02789705684817286</x:v>
      </x:c>
      <x:c r="I660" s="262" t="n">
        <x:f>'Historical Inputs'!$N$9*(1+D660)^5</x:f>
        <x:v>664484.9473909348</x:v>
      </x:c>
      <x:c r="J660" s="262" t="n">
        <x:f>I660*(1+H660)*('Terminal Value'!$E$10+E660)*(1-'Assumptions'!$E$15)*(1-H660/'Terminal Value'!$E$12)</x:f>
        <x:v>187779.2788745976</x:v>
      </x:c>
      <x:c r="K660" s="264" t="n">
        <x:f>((SUM((('Historical Inputs'!$N$9*(1+(D660))^1)*(('Assumptions'!E37+(E660))*(1-'Assumptions'!E42-(0))+'Assumptions'!E47-'Assumptions'!E52*(F660)+'Assumptions'!E57-'Assumptions'!E62*(1)-'Assumptions'!E67-(0))+('Working Capital'!$E$6))*'DCF'!E12/(1+(G660))^'DCF'!E13,(('Historical Inputs'!$N$9*(1+(D660))^2)*(('Assumptions'!F37+(E660))*(1-'Assumptions'!F42-(0))+'Assumptions'!F47-'Assumptions'!F52*(F660)+'Assumptions'!F57-'Assumptions'!F62*(1)-'Assumptions'!F67-(0))+(('Historical Inputs'!$N$9*(1+(D660))^1)*('Assumptions'!E67+(0))))*'DCF'!F12/(1+(G660))^'DCF'!F13,(('Historical Inputs'!$N$9*(1+(D660))^3)*(('Assumptions'!G37+(E660))*(1-'Assumptions'!G42-(0))+'Assumptions'!G47-'Assumptions'!G52*(F660)+'Assumptions'!G57-'Assumptions'!G62*(1)-'Assumptions'!G67-(0))+(('Historical Inputs'!$N$9*(1+(D660))^2)*('Assumptions'!F67+(0))))*'DCF'!G12/(1+(G660))^'DCF'!G13,(('Historical Inputs'!$N$9*(1+(D660))^4)*(('Assumptions'!H37+(E660))*(1-'Assumptions'!H42-(0))+'Assumptions'!H47-'Assumptions'!H52*(F660)+'Assumptions'!H57-'Assumptions'!H62*(1)-'Assumptions'!H67-(0))+(('Historical Inputs'!$N$9*(1+(D660))^3)*('Assumptions'!G67+(0))))*'DCF'!H12/(1+(G660))^'DCF'!H13,(('Historical Inputs'!$N$9*(1+(D660))^5)*(('Assumptions'!I37+(E660))*(1-'Assumptions'!I42-(0))+'Assumptions'!I47-'Assumptions'!I52*(F660)+'Assumptions'!I57-'Assumptions'!I62*(1)-'Assumptions'!I67-(0))+(('Historical Inputs'!$N$9*(1+(D660))^4)*('Assumptions'!H67+(0))))*'DCF'!I12/(1+(G660))^'DCF'!I13)+('Historical Inputs'!$N$9*(1+(D660))^5)*(1+(H660))*('Terminal Value'!$E$10+(E660))*(1-'Assumptions'!$E$15-(0))*(1-(H660)/('Terminal Value'!$E$12))/((G660)-(H660))/(1+(G660))^'DCF'!$E$19)+'Equity Bridge'!$E$17)/'Equity Bridge'!$E$20</x:f>
        <x:v>268.38906665952817</x:v>
      </x:c>
      <x:c r="X660" s="255" t="n">
        <x:v>0.6078657323258424</x:v>
      </x:c>
      <x:c r="Y660" s="255" t="n">
        <x:v>0.4872827325797153</x:v>
      </x:c>
      <x:c r="Z660" s="255" t="n">
        <x:v>0.9279035293991658</x:v>
      </x:c>
      <x:c r="AA660" s="255" t="n">
        <x:v>0.6499869928421963</x:v>
      </x:c>
      <x:c r="AB660" s="255" t="n">
        <x:v>0.3118175343163694</x:v>
      </x:c>
    </x:row>
    <x:row r="661" ht="24" customHeight="1">
      <x:c r="C661" s="256" t="n">
        <x:f>630</x:f>
        <x:v>630</x:v>
      </x:c>
      <x:c r="D661" s="258" t="n">
        <x:f>IF(X661&lt;($E$12-$D$12)/($F$12-$D$12),$D$12+SQRT(X661*($F$12-$D$12)*($E$12-$D$12)),$F$12-SQRT((1-X661)*($F$12-$D$12)*($F$12-$E$12)))</x:f>
        <x:v>0.12897982976941988</x:v>
      </x:c>
      <x:c r="E661" s="258" t="n">
        <x:f>IF(Y661&lt;($E$13-$D$13)/($F$13-$D$13),$D$13+SQRT(Y661*($F$13-$D$13)*($E$13-$D$13)),$F$13-SQRT((1-Y661)*($F$13-$D$13)*($F$13-$E$13)))</x:f>
        <x:v>-0.0013500117069365006</x:v>
      </x:c>
      <x:c r="F661" s="260" t="n">
        <x:f>IF(Z661&lt;($E$14-$D$14)/($F$14-$D$14),$D$14+SQRT(Z661*($F$14-$D$14)*($E$14-$D$14)),$F$14-SQRT((1-Z661)*($F$14-$D$14)*($F$14-$E$14)))</x:f>
        <x:v>0.9325993124697136</x:v>
      </x:c>
      <x:c r="G661" s="258" t="n">
        <x:f>IF(AA661&lt;($E$15-$D$15)/($F$15-$D$15),$D$15+SQRT(AA661*($F$15-$D$15)*($E$15-$D$15)),$F$15-SQRT((1-AA661)*($F$15-$D$15)*($F$15-$E$15)))</x:f>
        <x:v>0.11032437481110119</x:v>
      </x:c>
      <x:c r="H661" s="258" t="n">
        <x:f>IF(AB661&lt;($E$16-$D$16)/($F$16-$D$16),$D$16+SQRT(AB661*($F$16-$D$16)*($E$16-$D$16)),$F$16-SQRT((1-AB661)*($F$16-$D$16)*($F$16-$E$16)))</x:f>
        <x:v>0.030522197583368993</x:v>
      </x:c>
      <x:c r="I661" s="262" t="n">
        <x:f>'Historical Inputs'!$N$9*(1+D661)^5</x:f>
        <x:v>608636.9865089448</x:v>
      </x:c>
      <x:c r="J661" s="262" t="n">
        <x:f>I661*(1+H661)*('Terminal Value'!$E$10+E661)*(1-'Assumptions'!$E$15)*(1-H661/'Terminal Value'!$E$12)</x:f>
        <x:v>169504.1215097589</x:v>
      </x:c>
      <x:c r="K661" s="264" t="n">
        <x:f>((SUM((('Historical Inputs'!$N$9*(1+(D661))^1)*(('Assumptions'!E37+(E661))*(1-'Assumptions'!E42-(0))+'Assumptions'!E47-'Assumptions'!E52*(F661)+'Assumptions'!E57-'Assumptions'!E62*(1)-'Assumptions'!E67-(0))+('Working Capital'!$E$6))*'DCF'!E12/(1+(G661))^'DCF'!E13,(('Historical Inputs'!$N$9*(1+(D661))^2)*(('Assumptions'!F37+(E661))*(1-'Assumptions'!F42-(0))+'Assumptions'!F47-'Assumptions'!F52*(F661)+'Assumptions'!F57-'Assumptions'!F62*(1)-'Assumptions'!F67-(0))+(('Historical Inputs'!$N$9*(1+(D661))^1)*('Assumptions'!E67+(0))))*'DCF'!F12/(1+(G661))^'DCF'!F13,(('Historical Inputs'!$N$9*(1+(D661))^3)*(('Assumptions'!G37+(E661))*(1-'Assumptions'!G42-(0))+'Assumptions'!G47-'Assumptions'!G52*(F661)+'Assumptions'!G57-'Assumptions'!G62*(1)-'Assumptions'!G67-(0))+(('Historical Inputs'!$N$9*(1+(D661))^2)*('Assumptions'!F67+(0))))*'DCF'!G12/(1+(G661))^'DCF'!G13,(('Historical Inputs'!$N$9*(1+(D661))^4)*(('Assumptions'!H37+(E661))*(1-'Assumptions'!H42-(0))+'Assumptions'!H47-'Assumptions'!H52*(F661)+'Assumptions'!H57-'Assumptions'!H62*(1)-'Assumptions'!H67-(0))+(('Historical Inputs'!$N$9*(1+(D661))^3)*('Assumptions'!G67+(0))))*'DCF'!H12/(1+(G661))^'DCF'!H13,(('Historical Inputs'!$N$9*(1+(D661))^5)*(('Assumptions'!I37+(E661))*(1-'Assumptions'!I42-(0))+'Assumptions'!I47-'Assumptions'!I52*(F661)+'Assumptions'!I57-'Assumptions'!I62*(1)-'Assumptions'!I67-(0))+(('Historical Inputs'!$N$9*(1+(D661))^4)*('Assumptions'!H67+(0))))*'DCF'!I12/(1+(G661))^'DCF'!I13)+('Historical Inputs'!$N$9*(1+(D661))^5)*(1+(H661))*('Terminal Value'!$E$10+(E661))*(1-'Assumptions'!$E$15-(0))*(1-(H661)/('Terminal Value'!$E$12))/((G661)-(H661))/(1+(G661))^'DCF'!$E$19)+'Equity Bridge'!$E$17)/'Equity Bridge'!$E$20</x:f>
        <x:v>229.19653223972492</x:v>
      </x:c>
      <x:c r="X661" s="255" t="n">
        <x:v>0.25522380147167256</x:v>
      </x:c>
      <x:c r="Y661" s="255" t="n">
        <x:v>0.4733642721830431</x:v>
      </x:c>
      <x:c r="Z661" s="255" t="n">
        <x:v>0.1299551699137027</x:v>
      </x:c>
      <x:c r="AA661" s="255" t="n">
        <x:v>0.9823781668645137</x:v>
      </x:c>
      <x:c r="AB661" s="255" t="n">
        <x:v>0.5508563067565174</x:v>
      </x:c>
    </x:row>
    <x:row r="662" ht="24" customHeight="1">
      <x:c r="C662" s="256" t="n">
        <x:f>631</x:f>
        <x:v>631</x:v>
      </x:c>
      <x:c r="D662" s="258" t="n">
        <x:f>IF(X662&lt;($E$12-$D$12)/($F$12-$D$12),$D$12+SQRT(X662*($F$12-$D$12)*($E$12-$D$12)),$F$12-SQRT((1-X662)*($F$12-$D$12)*($F$12-$E$12)))</x:f>
        <x:v>0.13856303468178857</x:v>
      </x:c>
      <x:c r="E662" s="258" t="n">
        <x:f>IF(Y662&lt;($E$13-$D$13)/($F$13-$D$13),$D$13+SQRT(Y662*($F$13-$D$13)*($E$13-$D$13)),$F$13-SQRT((1-Y662)*($F$13-$D$13)*($F$13-$E$13)))</x:f>
        <x:v>0.019720322201176164</x:v>
      </x:c>
      <x:c r="F662" s="260" t="n">
        <x:f>IF(Z662&lt;($E$14-$D$14)/($F$14-$D$14),$D$14+SQRT(Z662*($F$14-$D$14)*($E$14-$D$14)),$F$14-SQRT((1-Z662)*($F$14-$D$14)*($F$14-$E$14)))</x:f>
        <x:v>1.0295238056477412</x:v>
      </x:c>
      <x:c r="G662" s="258" t="n">
        <x:f>IF(AA662&lt;($E$15-$D$15)/($F$15-$D$15),$D$15+SQRT(AA662*($F$15-$D$15)*($E$15-$D$15)),$F$15-SQRT((1-AA662)*($F$15-$D$15)*($F$15-$E$15)))</x:f>
        <x:v>0.09094913772622087</x:v>
      </x:c>
      <x:c r="H662" s="258" t="n">
        <x:f>IF(AB662&lt;($E$16-$D$16)/($F$16-$D$16),$D$16+SQRT(AB662*($F$16-$D$16)*($E$16-$D$16)),$F$16-SQRT((1-AB662)*($F$16-$D$16)*($F$16-$E$16)))</x:f>
        <x:v>0.028709128325515684</x:v>
      </x:c>
      <x:c r="I662" s="262" t="n">
        <x:f>'Historical Inputs'!$N$9*(1+D662)^5</x:f>
        <x:v>634910.9600305271</x:v>
      </x:c>
      <x:c r="J662" s="262" t="n">
        <x:f>I662*(1+H662)*('Terminal Value'!$E$10+E662)*(1-'Assumptions'!$E$15)*(1-H662/'Terminal Value'!$E$12)</x:f>
        <x:v>187827.69373582638</x:v>
      </x:c>
      <x:c r="K662" s="264" t="n">
        <x:f>((SUM((('Historical Inputs'!$N$9*(1+(D662))^1)*(('Assumptions'!E37+(E662))*(1-'Assumptions'!E42-(0))+'Assumptions'!E47-'Assumptions'!E52*(F662)+'Assumptions'!E57-'Assumptions'!E62*(1)-'Assumptions'!E67-(0))+('Working Capital'!$E$6))*'DCF'!E12/(1+(G662))^'DCF'!E13,(('Historical Inputs'!$N$9*(1+(D662))^2)*(('Assumptions'!F37+(E662))*(1-'Assumptions'!F42-(0))+'Assumptions'!F47-'Assumptions'!F52*(F662)+'Assumptions'!F57-'Assumptions'!F62*(1)-'Assumptions'!F67-(0))+(('Historical Inputs'!$N$9*(1+(D662))^1)*('Assumptions'!E67+(0))))*'DCF'!F12/(1+(G662))^'DCF'!F13,(('Historical Inputs'!$N$9*(1+(D662))^3)*(('Assumptions'!G37+(E662))*(1-'Assumptions'!G42-(0))+'Assumptions'!G47-'Assumptions'!G52*(F662)+'Assumptions'!G57-'Assumptions'!G62*(1)-'Assumptions'!G67-(0))+(('Historical Inputs'!$N$9*(1+(D662))^2)*('Assumptions'!F67+(0))))*'DCF'!G12/(1+(G662))^'DCF'!G13,(('Historical Inputs'!$N$9*(1+(D662))^4)*(('Assumptions'!H37+(E662))*(1-'Assumptions'!H42-(0))+'Assumptions'!H47-'Assumptions'!H52*(F662)+'Assumptions'!H57-'Assumptions'!H62*(1)-'Assumptions'!H67-(0))+(('Historical Inputs'!$N$9*(1+(D662))^3)*('Assumptions'!G67+(0))))*'DCF'!H12/(1+(G662))^'DCF'!H13,(('Historical Inputs'!$N$9*(1+(D662))^5)*(('Assumptions'!I37+(E662))*(1-'Assumptions'!I42-(0))+'Assumptions'!I47-'Assumptions'!I52*(F662)+'Assumptions'!I57-'Assumptions'!I62*(1)-'Assumptions'!I67-(0))+(('Historical Inputs'!$N$9*(1+(D662))^4)*('Assumptions'!H67+(0))))*'DCF'!I12/(1+(G662))^'DCF'!I13)+('Historical Inputs'!$N$9*(1+(D662))^5)*(1+(H662))*('Terminal Value'!$E$10+(E662))*(1-'Assumptions'!$E$15-(0))*(1-(H662)/('Terminal Value'!$E$12))/((G662)-(H662))/(1+(G662))^'DCF'!$E$19)+'Equity Bridge'!$E$17)/'Equity Bridge'!$E$20</x:f>
        <x:v>326.5610709176375</x:v>
      </x:c>
      <x:c r="X662" s="255" t="n">
        <x:v>0.4105269601767363</x:v>
      </x:c>
      <x:c r="Y662" s="255" t="n">
        <x:v>0.816628222479883</x:v>
      </x:c>
      <x:c r="Z662" s="255" t="n">
        <x:v>0.5848266737024406</x:v>
      </x:c>
      <x:c r="AA662" s="255" t="n">
        <x:v>0.1355041432766464</x:v>
      </x:c>
      <x:c r="AB662" s="255" t="n">
        <x:v>0.37924458095149804</x:v>
      </x:c>
    </x:row>
    <x:row r="663" ht="24" customHeight="1">
      <x:c r="C663" s="256" t="n">
        <x:f>632</x:f>
        <x:v>632</x:v>
      </x:c>
      <x:c r="D663" s="258" t="n">
        <x:f>IF(X663&lt;($E$12-$D$12)/($F$12-$D$12),$D$12+SQRT(X663*($F$12-$D$12)*($E$12-$D$12)),$F$12-SQRT((1-X663)*($F$12-$D$12)*($F$12-$E$12)))</x:f>
        <x:v>0.1661370347647148</x:v>
      </x:c>
      <x:c r="E663" s="258" t="n">
        <x:f>IF(Y663&lt;($E$13-$D$13)/($F$13-$D$13),$D$13+SQRT(Y663*($F$13-$D$13)*($E$13-$D$13)),$F$13-SQRT((1-Y663)*($F$13-$D$13)*($F$13-$E$13)))</x:f>
        <x:v>0.009217298733681469</x:v>
      </x:c>
      <x:c r="F663" s="260" t="n">
        <x:f>IF(Z663&lt;($E$14-$D$14)/($F$14-$D$14),$D$14+SQRT(Z663*($F$14-$D$14)*($E$14-$D$14)),$F$14-SQRT((1-Z663)*($F$14-$D$14)*($F$14-$E$14)))</x:f>
        <x:v>0.8908785986673762</x:v>
      </x:c>
      <x:c r="G663" s="258" t="n">
        <x:f>IF(AA663&lt;($E$15-$D$15)/($F$15-$D$15),$D$15+SQRT(AA663*($F$15-$D$15)*($E$15-$D$15)),$F$15-SQRT((1-AA663)*($F$15-$D$15)*($F$15-$E$15)))</x:f>
        <x:v>0.09864091730365689</x:v>
      </x:c>
      <x:c r="H663" s="258" t="n">
        <x:f>IF(AB663&lt;($E$16-$D$16)/($F$16-$D$16),$D$16+SQRT(AB663*($F$16-$D$16)*($E$16-$D$16)),$F$16-SQRT((1-AB663)*($F$16-$D$16)*($F$16-$E$16)))</x:f>
        <x:v>0.026174389331340118</x:v>
      </x:c>
      <x:c r="I663" s="262" t="n">
        <x:f>'Historical Inputs'!$N$9*(1+D663)^5</x:f>
        <x:v>715608.2957492541</x:v>
      </x:c>
      <x:c r="J663" s="262" t="n">
        <x:f>I663*(1+H663)*('Terminal Value'!$E$10+E663)*(1-'Assumptions'!$E$15)*(1-H663/'Terminal Value'!$E$12)</x:f>
        <x:v>208941.2927684704</x:v>
      </x:c>
      <x:c r="K663" s="264" t="n">
        <x:f>((SUM((('Historical Inputs'!$N$9*(1+(D663))^1)*(('Assumptions'!E37+(E663))*(1-'Assumptions'!E42-(0))+'Assumptions'!E47-'Assumptions'!E52*(F663)+'Assumptions'!E57-'Assumptions'!E62*(1)-'Assumptions'!E67-(0))+('Working Capital'!$E$6))*'DCF'!E12/(1+(G663))^'DCF'!E13,(('Historical Inputs'!$N$9*(1+(D663))^2)*(('Assumptions'!F37+(E663))*(1-'Assumptions'!F42-(0))+'Assumptions'!F47-'Assumptions'!F52*(F663)+'Assumptions'!F57-'Assumptions'!F62*(1)-'Assumptions'!F67-(0))+(('Historical Inputs'!$N$9*(1+(D663))^1)*('Assumptions'!E67+(0))))*'DCF'!F12/(1+(G663))^'DCF'!F13,(('Historical Inputs'!$N$9*(1+(D663))^3)*(('Assumptions'!G37+(E663))*(1-'Assumptions'!G42-(0))+'Assumptions'!G47-'Assumptions'!G52*(F663)+'Assumptions'!G57-'Assumptions'!G62*(1)-'Assumptions'!G67-(0))+(('Historical Inputs'!$N$9*(1+(D663))^2)*('Assumptions'!F67+(0))))*'DCF'!G12/(1+(G663))^'DCF'!G13,(('Historical Inputs'!$N$9*(1+(D663))^4)*(('Assumptions'!H37+(E663))*(1-'Assumptions'!H42-(0))+'Assumptions'!H47-'Assumptions'!H52*(F663)+'Assumptions'!H57-'Assumptions'!H62*(1)-'Assumptions'!H67-(0))+(('Historical Inputs'!$N$9*(1+(D663))^3)*('Assumptions'!G67+(0))))*'DCF'!H12/(1+(G663))^'DCF'!H13,(('Historical Inputs'!$N$9*(1+(D663))^5)*(('Assumptions'!I37+(E663))*(1-'Assumptions'!I42-(0))+'Assumptions'!I47-'Assumptions'!I52*(F663)+'Assumptions'!I57-'Assumptions'!I62*(1)-'Assumptions'!I67-(0))+(('Historical Inputs'!$N$9*(1+(D663))^4)*('Assumptions'!H67+(0))))*'DCF'!I12/(1+(G663))^'DCF'!I13)+('Historical Inputs'!$N$9*(1+(D663))^5)*(1+(H663))*('Terminal Value'!$E$10+(E663))*(1-'Assumptions'!$E$15-(0))*(1-(H663)/('Terminal Value'!$E$12))/((G663)-(H663))/(1+(G663))^'DCF'!$E$19)+'Equity Bridge'!$E$17)/'Equity Bridge'!$E$20</x:f>
        <x:v>317.3047335922868</x:v>
      </x:c>
      <x:c r="X663" s="255" t="n">
        <x:v>0.8529012603585225</x:v>
      </x:c>
      <x:c r="Y663" s="255" t="n">
        <x:v>0.6673542554844442</x:v>
      </x:c>
      <x:c r="Z663" s="255" t="n">
        <x:v>0.031829711028731555</x:v>
      </x:c>
      <x:c r="AA663" s="255" t="n">
        <x:v>0.5328130934799301</x:v>
      </x:c>
      <x:c r="AB663" s="255" t="n">
        <x:v>0.1906154180748334</x:v>
      </x:c>
    </x:row>
    <x:row r="664" ht="24" customHeight="1">
      <x:c r="C664" s="256" t="n">
        <x:f>633</x:f>
        <x:v>633</x:v>
      </x:c>
      <x:c r="D664" s="258" t="n">
        <x:f>IF(X664&lt;($E$12-$D$12)/($F$12-$D$12),$D$12+SQRT(X664*($F$12-$D$12)*($E$12-$D$12)),$F$12-SQRT((1-X664)*($F$12-$D$12)*($F$12-$E$12)))</x:f>
        <x:v>0.16271953395404545</x:v>
      </x:c>
      <x:c r="E664" s="258" t="n">
        <x:f>IF(Y664&lt;($E$13-$D$13)/($F$13-$D$13),$D$13+SQRT(Y664*($F$13-$D$13)*($E$13-$D$13)),$F$13-SQRT((1-Y664)*($F$13-$D$13)*($F$13-$E$13)))</x:f>
        <x:v>0.012330595841948795</x:v>
      </x:c>
      <x:c r="F664" s="260" t="n">
        <x:f>IF(Z664&lt;($E$14-$D$14)/($F$14-$D$14),$D$14+SQRT(Z664*($F$14-$D$14)*($E$14-$D$14)),$F$14-SQRT((1-Z664)*($F$14-$D$14)*($F$14-$E$14)))</x:f>
        <x:v>1.0455796467838148</x:v>
      </x:c>
      <x:c r="G664" s="258" t="n">
        <x:f>IF(AA664&lt;($E$15-$D$15)/($F$15-$D$15),$D$15+SQRT(AA664*($F$15-$D$15)*($E$15-$D$15)),$F$15-SQRT((1-AA664)*($F$15-$D$15)*($F$15-$E$15)))</x:f>
        <x:v>0.10051632185363946</x:v>
      </x:c>
      <x:c r="H664" s="258" t="n">
        <x:f>IF(AB664&lt;($E$16-$D$16)/($F$16-$D$16),$D$16+SQRT(AB664*($F$16-$D$16)*($E$16-$D$16)),$F$16-SQRT((1-AB664)*($F$16-$D$16)*($F$16-$E$16)))</x:f>
        <x:v>0.024665341368724225</x:v>
      </x:c>
      <x:c r="I664" s="262" t="n">
        <x:f>'Historical Inputs'!$N$9*(1+D664)^5</x:f>
        <x:v>705183.7074755498</x:v>
      </x:c>
      <x:c r="J664" s="262" t="n">
        <x:f>I664*(1+H664)*('Terminal Value'!$E$10+E664)*(1-'Assumptions'!$E$15)*(1-H664/'Terminal Value'!$E$12)</x:f>
        <x:v>208957.34505881034</x:v>
      </x:c>
      <x:c r="K664" s="264" t="n">
        <x:f>((SUM((('Historical Inputs'!$N$9*(1+(D664))^1)*(('Assumptions'!E37+(E664))*(1-'Assumptions'!E42-(0))+'Assumptions'!E47-'Assumptions'!E52*(F664)+'Assumptions'!E57-'Assumptions'!E62*(1)-'Assumptions'!E67-(0))+('Working Capital'!$E$6))*'DCF'!E12/(1+(G664))^'DCF'!E13,(('Historical Inputs'!$N$9*(1+(D664))^2)*(('Assumptions'!F37+(E664))*(1-'Assumptions'!F42-(0))+'Assumptions'!F47-'Assumptions'!F52*(F664)+'Assumptions'!F57-'Assumptions'!F62*(1)-'Assumptions'!F67-(0))+(('Historical Inputs'!$N$9*(1+(D664))^1)*('Assumptions'!E67+(0))))*'DCF'!F12/(1+(G664))^'DCF'!F13,(('Historical Inputs'!$N$9*(1+(D664))^3)*(('Assumptions'!G37+(E664))*(1-'Assumptions'!G42-(0))+'Assumptions'!G47-'Assumptions'!G52*(F664)+'Assumptions'!G57-'Assumptions'!G62*(1)-'Assumptions'!G67-(0))+(('Historical Inputs'!$N$9*(1+(D664))^2)*('Assumptions'!F67+(0))))*'DCF'!G12/(1+(G664))^'DCF'!G13,(('Historical Inputs'!$N$9*(1+(D664))^4)*(('Assumptions'!H37+(E664))*(1-'Assumptions'!H42-(0))+'Assumptions'!H47-'Assumptions'!H52*(F664)+'Assumptions'!H57-'Assumptions'!H62*(1)-'Assumptions'!H67-(0))+(('Historical Inputs'!$N$9*(1+(D664))^3)*('Assumptions'!G67+(0))))*'DCF'!H12/(1+(G664))^'DCF'!H13,(('Historical Inputs'!$N$9*(1+(D664))^5)*(('Assumptions'!I37+(E664))*(1-'Assumptions'!I42-(0))+'Assumptions'!I47-'Assumptions'!I52*(F664)+'Assumptions'!I57-'Assumptions'!I62*(1)-'Assumptions'!I67-(0))+(('Historical Inputs'!$N$9*(1+(D664))^4)*('Assumptions'!H67+(0))))*'DCF'!I12/(1+(G664))^'DCF'!I13)+('Historical Inputs'!$N$9*(1+(D664))^5)*(1+(H664))*('Terminal Value'!$E$10+(E664))*(1-'Assumptions'!$E$15-(0))*(1-(H664)/('Terminal Value'!$E$12))/((G664)-(H664))/(1+(G664))^'DCF'!$E$19)+'Equity Bridge'!$E$17)/'Equity Bridge'!$E$20</x:f>
        <x:v>293.6710948768743</x:v>
      </x:c>
      <x:c r="X664" s="255" t="n">
        <x:v>0.8134923668933451</x:v>
      </x:c>
      <x:c r="Y664" s="255" t="n">
        <x:v>0.7162031980754789</x:v>
      </x:c>
      <x:c r="Z664" s="255" t="n">
        <x:v>0.6593479216084086</x:v>
      </x:c>
      <x:c r="AA664" s="255" t="n">
        <x:v>0.6458520584413472</x:v>
      </x:c>
      <x:c r="AB664" s="255" t="n">
        <x:v>0.10882705043364815</x:v>
      </x:c>
    </x:row>
    <x:row r="665" ht="24" customHeight="1">
      <x:c r="C665" s="256" t="n">
        <x:f>634</x:f>
        <x:v>634</x:v>
      </x:c>
      <x:c r="D665" s="258" t="n">
        <x:f>IF(X665&lt;($E$12-$D$12)/($F$12-$D$12),$D$12+SQRT(X665*($F$12-$D$12)*($E$12-$D$12)),$F$12-SQRT((1-X665)*($F$12-$D$12)*($F$12-$E$12)))</x:f>
        <x:v>0.11728243891559424</x:v>
      </x:c>
      <x:c r="E665" s="258" t="n">
        <x:f>IF(Y665&lt;($E$13-$D$13)/($F$13-$D$13),$D$13+SQRT(Y665*($F$13-$D$13)*($E$13-$D$13)),$F$13-SQRT((1-Y665)*($F$13-$D$13)*($F$13-$E$13)))</x:f>
        <x:v>-0.0035484717565877344</x:v>
      </x:c>
      <x:c r="F665" s="260" t="n">
        <x:f>IF(Z665&lt;($E$14-$D$14)/($F$14-$D$14),$D$14+SQRT(Z665*($F$14-$D$14)*($E$14-$D$14)),$F$14-SQRT((1-Z665)*($F$14-$D$14)*($F$14-$E$14)))</x:f>
        <x:v>1.1142123055148476</x:v>
      </x:c>
      <x:c r="G665" s="258" t="n">
        <x:f>IF(AA665&lt;($E$15-$D$15)/($F$15-$D$15),$D$15+SQRT(AA665*($F$15-$D$15)*($E$15-$D$15)),$F$15-SQRT((1-AA665)*($F$15-$D$15)*($F$15-$E$15)))</x:f>
        <x:v>0.0963411077146372</x:v>
      </x:c>
      <x:c r="H665" s="258" t="n">
        <x:f>IF(AB665&lt;($E$16-$D$16)/($F$16-$D$16),$D$16+SQRT(AB665*($F$16-$D$16)*($E$16-$D$16)),$F$16-SQRT((1-AB665)*($F$16-$D$16)*($F$16-$E$16)))</x:f>
        <x:v>0.03393313284208392</x:v>
      </x:c>
      <x:c r="I665" s="262" t="n">
        <x:f>'Historical Inputs'!$N$9*(1+D665)^5</x:f>
        <x:v>577753.1068418893</x:v>
      </x:c>
      <x:c r="J665" s="262" t="n">
        <x:f>I665*(1+H665)*('Terminal Value'!$E$10+E665)*(1-'Assumptions'!$E$15)*(1-H665/'Terminal Value'!$E$12)</x:f>
        <x:v>157314.16255538847</x:v>
      </x:c>
      <x:c r="K665" s="264" t="n">
        <x:f>((SUM((('Historical Inputs'!$N$9*(1+(D665))^1)*(('Assumptions'!E37+(E665))*(1-'Assumptions'!E42-(0))+'Assumptions'!E47-'Assumptions'!E52*(F665)+'Assumptions'!E57-'Assumptions'!E62*(1)-'Assumptions'!E67-(0))+('Working Capital'!$E$6))*'DCF'!E12/(1+(G665))^'DCF'!E13,(('Historical Inputs'!$N$9*(1+(D665))^2)*(('Assumptions'!F37+(E665))*(1-'Assumptions'!F42-(0))+'Assumptions'!F47-'Assumptions'!F52*(F665)+'Assumptions'!F57-'Assumptions'!F62*(1)-'Assumptions'!F67-(0))+(('Historical Inputs'!$N$9*(1+(D665))^1)*('Assumptions'!E67+(0))))*'DCF'!F12/(1+(G665))^'DCF'!F13,(('Historical Inputs'!$N$9*(1+(D665))^3)*(('Assumptions'!G37+(E665))*(1-'Assumptions'!G42-(0))+'Assumptions'!G47-'Assumptions'!G52*(F665)+'Assumptions'!G57-'Assumptions'!G62*(1)-'Assumptions'!G67-(0))+(('Historical Inputs'!$N$9*(1+(D665))^2)*('Assumptions'!F67+(0))))*'DCF'!G12/(1+(G665))^'DCF'!G13,(('Historical Inputs'!$N$9*(1+(D665))^4)*(('Assumptions'!H37+(E665))*(1-'Assumptions'!H42-(0))+'Assumptions'!H47-'Assumptions'!H52*(F665)+'Assumptions'!H57-'Assumptions'!H62*(1)-'Assumptions'!H67-(0))+(('Historical Inputs'!$N$9*(1+(D665))^3)*('Assumptions'!G67+(0))))*'DCF'!H12/(1+(G665))^'DCF'!H13,(('Historical Inputs'!$N$9*(1+(D665))^5)*(('Assumptions'!I37+(E665))*(1-'Assumptions'!I42-(0))+'Assumptions'!I47-'Assumptions'!I52*(F665)+'Assumptions'!I57-'Assumptions'!I62*(1)-'Assumptions'!I67-(0))+(('Historical Inputs'!$N$9*(1+(D665))^4)*('Assumptions'!H67+(0))))*'DCF'!I12/(1+(G665))^'DCF'!I13)+('Historical Inputs'!$N$9*(1+(D665))^5)*(1+(H665))*('Terminal Value'!$E$10+(E665))*(1-'Assumptions'!$E$15-(0))*(1-(H665)/('Terminal Value'!$E$12))/((G665)-(H665))/(1+(G665))^'DCF'!$E$19)+'Equity Bridge'!$E$17)/'Equity Bridge'!$E$20</x:f>
        <x:v>263.0679962466044</x:v>
      </x:c>
      <x:c r="X665" s="255" t="n">
        <x:v>0.11544413326524205</x:v>
      </x:c>
      <x:c r="Y665" s="255" t="n">
        <x:v>0.4315488952297054</x:v>
      </x:c>
      <x:c r="Z665" s="255" t="n">
        <x:v>0.8948638782131737</x:v>
      </x:c>
      <x:c r="AA665" s="255" t="n">
        <x:v>0.3872433220635484</x:v>
      </x:c>
      <x:c r="AB665" s="255" t="n">
        <x:v>0.8159656144409964</x:v>
      </x:c>
    </x:row>
    <x:row r="666" ht="24" customHeight="1">
      <x:c r="C666" s="256" t="n">
        <x:f>635</x:f>
        <x:v>635</x:v>
      </x:c>
      <x:c r="D666" s="258" t="n">
        <x:f>IF(X666&lt;($E$12-$D$12)/($F$12-$D$12),$D$12+SQRT(X666*($F$12-$D$12)*($E$12-$D$12)),$F$12-SQRT((1-X666)*($F$12-$D$12)*($F$12-$E$12)))</x:f>
        <x:v>0.16614010089726866</x:v>
      </x:c>
      <x:c r="E666" s="258" t="n">
        <x:f>IF(Y666&lt;($E$13-$D$13)/($F$13-$D$13),$D$13+SQRT(Y666*($F$13-$D$13)*($E$13-$D$13)),$F$13-SQRT((1-Y666)*($F$13-$D$13)*($F$13-$E$13)))</x:f>
        <x:v>0.00851923842670281</x:v>
      </x:c>
      <x:c r="F666" s="260" t="n">
        <x:f>IF(Z666&lt;($E$14-$D$14)/($F$14-$D$14),$D$14+SQRT(Z666*($F$14-$D$14)*($E$14-$D$14)),$F$14-SQRT((1-Z666)*($F$14-$D$14)*($F$14-$E$14)))</x:f>
        <x:v>0.9976987989052613</x:v>
      </x:c>
      <x:c r="G666" s="258" t="n">
        <x:f>IF(AA666&lt;($E$15-$D$15)/($F$15-$D$15),$D$15+SQRT(AA666*($F$15-$D$15)*($E$15-$D$15)),$F$15-SQRT((1-AA666)*($F$15-$D$15)*($F$15-$E$15)))</x:f>
        <x:v>0.10425503185588236</x:v>
      </x:c>
      <x:c r="H666" s="258" t="n">
        <x:f>IF(AB666&lt;($E$16-$D$16)/($F$16-$D$16),$D$16+SQRT(AB666*($F$16-$D$16)*($E$16-$D$16)),$F$16-SQRT((1-AB666)*($F$16-$D$16)*($F$16-$E$16)))</x:f>
        <x:v>0.035054563619209896</x:v>
      </x:c>
      <x:c r="I666" s="262" t="n">
        <x:f>'Historical Inputs'!$N$9*(1+D666)^5</x:f>
        <x:v>715617.703569108</x:v>
      </x:c>
      <x:c r="J666" s="262" t="n">
        <x:f>I666*(1+H666)*('Terminal Value'!$E$10+E666)*(1-'Assumptions'!$E$15)*(1-H666/'Terminal Value'!$E$12)</x:f>
        <x:v>199644.39856724266</x:v>
      </x:c>
      <x:c r="K666" s="264" t="n">
        <x:f>((SUM((('Historical Inputs'!$N$9*(1+(D666))^1)*(('Assumptions'!E37+(E666))*(1-'Assumptions'!E42-(0))+'Assumptions'!E47-'Assumptions'!E52*(F666)+'Assumptions'!E57-'Assumptions'!E62*(1)-'Assumptions'!E67-(0))+('Working Capital'!$E$6))*'DCF'!E12/(1+(G666))^'DCF'!E13,(('Historical Inputs'!$N$9*(1+(D666))^2)*(('Assumptions'!F37+(E666))*(1-'Assumptions'!F42-(0))+'Assumptions'!F47-'Assumptions'!F52*(F666)+'Assumptions'!F57-'Assumptions'!F62*(1)-'Assumptions'!F67-(0))+(('Historical Inputs'!$N$9*(1+(D666))^1)*('Assumptions'!E67+(0))))*'DCF'!F12/(1+(G666))^'DCF'!F13,(('Historical Inputs'!$N$9*(1+(D666))^3)*(('Assumptions'!G37+(E666))*(1-'Assumptions'!G42-(0))+'Assumptions'!G47-'Assumptions'!G52*(F666)+'Assumptions'!G57-'Assumptions'!G62*(1)-'Assumptions'!G67-(0))+(('Historical Inputs'!$N$9*(1+(D666))^2)*('Assumptions'!F67+(0))))*'DCF'!G12/(1+(G666))^'DCF'!G13,(('Historical Inputs'!$N$9*(1+(D666))^4)*(('Assumptions'!H37+(E666))*(1-'Assumptions'!H42-(0))+'Assumptions'!H47-'Assumptions'!H52*(F666)+'Assumptions'!H57-'Assumptions'!H62*(1)-'Assumptions'!H67-(0))+(('Historical Inputs'!$N$9*(1+(D666))^3)*('Assumptions'!G67+(0))))*'DCF'!H12/(1+(G666))^'DCF'!H13,(('Historical Inputs'!$N$9*(1+(D666))^5)*(('Assumptions'!I37+(E666))*(1-'Assumptions'!I42-(0))+'Assumptions'!I47-'Assumptions'!I52*(F666)+'Assumptions'!I57-'Assumptions'!I62*(1)-'Assumptions'!I67-(0))+(('Historical Inputs'!$N$9*(1+(D666))^4)*('Assumptions'!H67+(0))))*'DCF'!I12/(1+(G666))^'DCF'!I13)+('Historical Inputs'!$N$9*(1+(D666))^5)*(1+(H666))*('Terminal Value'!$E$10+(E666))*(1-'Assumptions'!$E$15-(0))*(1-(H666)/('Terminal Value'!$E$12))/((G666)-(H666))/(1+(G666))^'DCF'!$E$19)+'Equity Bridge'!$E$17)/'Equity Bridge'!$E$20</x:f>
        <x:v>303.28982862903695</x:v>
      </x:c>
      <x:c r="X666" s="255" t="n">
        <x:v>0.8529345198683643</x:v>
      </x:c>
      <x:c r="Y666" s="255" t="n">
        <x:v>0.6558692838598543</x:v>
      </x:c>
      <x:c r="Z666" s="255" t="n">
        <x:v>0.41552257520108227</x:v>
      </x:c>
      <x:c r="AA666" s="255" t="n">
        <x:v>0.8245572859191768</x:v>
      </x:c>
      <x:c r="AB666" s="255" t="n">
        <x:v>0.8777132950177885</x:v>
      </x:c>
    </x:row>
    <x:row r="667" ht="24" customHeight="1">
      <x:c r="C667" s="256" t="n">
        <x:f>636</x:f>
        <x:v>636</x:v>
      </x:c>
      <x:c r="D667" s="258" t="n">
        <x:f>IF(X667&lt;($E$12-$D$12)/($F$12-$D$12),$D$12+SQRT(X667*($F$12-$D$12)*($E$12-$D$12)),$F$12-SQRT((1-X667)*($F$12-$D$12)*($F$12-$E$12)))</x:f>
        <x:v>0.1620065691853314</x:v>
      </x:c>
      <x:c r="E667" s="258" t="n">
        <x:f>IF(Y667&lt;($E$13-$D$13)/($F$13-$D$13),$D$13+SQRT(Y667*($F$13-$D$13)*($E$13-$D$13)),$F$13-SQRT((1-Y667)*($F$13-$D$13)*($F$13-$E$13)))</x:f>
        <x:v>-0.015789014363090284</x:v>
      </x:c>
      <x:c r="F667" s="260" t="n">
        <x:f>IF(Z667&lt;($E$14-$D$14)/($F$14-$D$14),$D$14+SQRT(Z667*($F$14-$D$14)*($E$14-$D$14)),$F$14-SQRT((1-Z667)*($F$14-$D$14)*($F$14-$E$14)))</x:f>
        <x:v>1.1137176215773246</x:v>
      </x:c>
      <x:c r="G667" s="258" t="n">
        <x:f>IF(AA667&lt;($E$15-$D$15)/($F$15-$D$15),$D$15+SQRT(AA667*($F$15-$D$15)*($E$15-$D$15)),$F$15-SQRT((1-AA667)*($F$15-$D$15)*($F$15-$E$15)))</x:f>
        <x:v>0.10135774112611518</x:v>
      </x:c>
      <x:c r="H667" s="258" t="n">
        <x:f>IF(AB667&lt;($E$16-$D$16)/($F$16-$D$16),$D$16+SQRT(AB667*($F$16-$D$16)*($E$16-$D$16)),$F$16-SQRT((1-AB667)*($F$16-$D$16)*($F$16-$E$16)))</x:f>
        <x:v>0.029809872967063167</x:v>
      </x:c>
      <x:c r="I667" s="262" t="n">
        <x:f>'Historical Inputs'!$N$9*(1+D667)^5</x:f>
        <x:v>703024.3091145471</x:v>
      </x:c>
      <x:c r="J667" s="262" t="n">
        <x:f>I667*(1+H667)*('Terminal Value'!$E$10+E667)*(1-'Assumptions'!$E$15)*(1-H667/'Terminal Value'!$E$12)</x:f>
        <x:v>189361.4304328848</x:v>
      </x:c>
      <x:c r="K667" s="264" t="n">
        <x:f>((SUM((('Historical Inputs'!$N$9*(1+(D667))^1)*(('Assumptions'!E37+(E667))*(1-'Assumptions'!E42-(0))+'Assumptions'!E47-'Assumptions'!E52*(F667)+'Assumptions'!E57-'Assumptions'!E62*(1)-'Assumptions'!E67-(0))+('Working Capital'!$E$6))*'DCF'!E12/(1+(G667))^'DCF'!E13,(('Historical Inputs'!$N$9*(1+(D667))^2)*(('Assumptions'!F37+(E667))*(1-'Assumptions'!F42-(0))+'Assumptions'!F47-'Assumptions'!F52*(F667)+'Assumptions'!F57-'Assumptions'!F62*(1)-'Assumptions'!F67-(0))+(('Historical Inputs'!$N$9*(1+(D667))^1)*('Assumptions'!E67+(0))))*'DCF'!F12/(1+(G667))^'DCF'!F13,(('Historical Inputs'!$N$9*(1+(D667))^3)*(('Assumptions'!G37+(E667))*(1-'Assumptions'!G42-(0))+'Assumptions'!G47-'Assumptions'!G52*(F667)+'Assumptions'!G57-'Assumptions'!G62*(1)-'Assumptions'!G67-(0))+(('Historical Inputs'!$N$9*(1+(D667))^2)*('Assumptions'!F67+(0))))*'DCF'!G12/(1+(G667))^'DCF'!G13,(('Historical Inputs'!$N$9*(1+(D667))^4)*(('Assumptions'!H37+(E667))*(1-'Assumptions'!H42-(0))+'Assumptions'!H47-'Assumptions'!H52*(F667)+'Assumptions'!H57-'Assumptions'!H62*(1)-'Assumptions'!H67-(0))+(('Historical Inputs'!$N$9*(1+(D667))^3)*('Assumptions'!G67+(0))))*'DCF'!H12/(1+(G667))^'DCF'!H13,(('Historical Inputs'!$N$9*(1+(D667))^5)*(('Assumptions'!I37+(E667))*(1-'Assumptions'!I42-(0))+'Assumptions'!I47-'Assumptions'!I52*(F667)+'Assumptions'!I57-'Assumptions'!I62*(1)-'Assumptions'!I67-(0))+(('Historical Inputs'!$N$9*(1+(D667))^4)*('Assumptions'!H67+(0))))*'DCF'!I12/(1+(G667))^'DCF'!I13)+('Historical Inputs'!$N$9*(1+(D667))^5)*(1+(H667))*('Terminal Value'!$E$10+(E667))*(1-'Assumptions'!$E$15-(0))*(1-(H667)/('Terminal Value'!$E$12))/((G667)-(H667))/(1+(G667))^'DCF'!$E$19)+'Equity Bridge'!$E$17)/'Equity Bridge'!$E$20</x:f>
        <x:v>272.8037480410376</x:v>
      </x:c>
      <x:c r="X667" s="255" t="n">
        <x:v>0.804681841949949</x:v>
      </x:c>
      <x:c r="Y667" s="255" t="n">
        <x:v>0.23407830764976856</x:v>
      </x:c>
      <x:c r="Z667" s="255" t="n">
        <x:v>0.8936478739103746</x:v>
      </x:c>
      <x:c r="AA667" s="255" t="n">
        <x:v>0.6914881633943173</x:v>
      </x:c>
      <x:c r="AB667" s="255" t="n">
        <x:v>0.48116803814958353</x:v>
      </x:c>
    </x:row>
    <x:row r="668" ht="24" customHeight="1">
      <x:c r="C668" s="256" t="n">
        <x:f>637</x:f>
        <x:v>637</x:v>
      </x:c>
      <x:c r="D668" s="258" t="n">
        <x:f>IF(X668&lt;($E$12-$D$12)/($F$12-$D$12),$D$12+SQRT(X668*($F$12-$D$12)*($E$12-$D$12)),$F$12-SQRT((1-X668)*($F$12-$D$12)*($F$12-$E$12)))</x:f>
        <x:v>0.10727465650555174</x:v>
      </x:c>
      <x:c r="E668" s="258" t="n">
        <x:f>IF(Y668&lt;($E$13-$D$13)/($F$13-$D$13),$D$13+SQRT(Y668*($F$13-$D$13)*($E$13-$D$13)),$F$13-SQRT((1-Y668)*($F$13-$D$13)*($F$13-$E$13)))</x:f>
        <x:v>-0.011270425396000552</x:v>
      </x:c>
      <x:c r="F668" s="260" t="n">
        <x:f>IF(Z668&lt;($E$14-$D$14)/($F$14-$D$14),$D$14+SQRT(Z668*($F$14-$D$14)*($E$14-$D$14)),$F$14-SQRT((1-Z668)*($F$14-$D$14)*($F$14-$E$14)))</x:f>
        <x:v>1.1145274268524274</x:v>
      </x:c>
      <x:c r="G668" s="258" t="n">
        <x:f>IF(AA668&lt;($E$15-$D$15)/($F$15-$D$15),$D$15+SQRT(AA668*($F$15-$D$15)*($E$15-$D$15)),$F$15-SQRT((1-AA668)*($F$15-$D$15)*($F$15-$E$15)))</x:f>
        <x:v>0.0958038705164862</x:v>
      </x:c>
      <x:c r="H668" s="258" t="n">
        <x:f>IF(AB668&lt;($E$16-$D$16)/($F$16-$D$16),$D$16+SQRT(AB668*($F$16-$D$16)*($E$16-$D$16)),$F$16-SQRT((1-AB668)*($F$16-$D$16)*($F$16-$E$16)))</x:f>
        <x:v>0.02625017988213909</x:v>
      </x:c>
      <x:c r="I668" s="262" t="n">
        <x:f>'Historical Inputs'!$N$9*(1+D668)^5</x:f>
        <x:v>552337.1123167407</x:v>
      </x:c>
      <x:c r="J668" s="262" t="n">
        <x:f>I668*(1+H668)*('Terminal Value'!$E$10+E668)*(1-'Assumptions'!$E$15)*(1-H668/'Terminal Value'!$E$12)</x:f>
        <x:v>153140.27031945554</x:v>
      </x:c>
      <x:c r="K668" s="264" t="n">
        <x:f>((SUM((('Historical Inputs'!$N$9*(1+(D668))^1)*(('Assumptions'!E37+(E668))*(1-'Assumptions'!E42-(0))+'Assumptions'!E47-'Assumptions'!E52*(F668)+'Assumptions'!E57-'Assumptions'!E62*(1)-'Assumptions'!E67-(0))+('Working Capital'!$E$6))*'DCF'!E12/(1+(G668))^'DCF'!E13,(('Historical Inputs'!$N$9*(1+(D668))^2)*(('Assumptions'!F37+(E668))*(1-'Assumptions'!F42-(0))+'Assumptions'!F47-'Assumptions'!F52*(F668)+'Assumptions'!F57-'Assumptions'!F62*(1)-'Assumptions'!F67-(0))+(('Historical Inputs'!$N$9*(1+(D668))^1)*('Assumptions'!E67+(0))))*'DCF'!F12/(1+(G668))^'DCF'!F13,(('Historical Inputs'!$N$9*(1+(D668))^3)*(('Assumptions'!G37+(E668))*(1-'Assumptions'!G42-(0))+'Assumptions'!G47-'Assumptions'!G52*(F668)+'Assumptions'!G57-'Assumptions'!G62*(1)-'Assumptions'!G67-(0))+(('Historical Inputs'!$N$9*(1+(D668))^2)*('Assumptions'!F67+(0))))*'DCF'!G12/(1+(G668))^'DCF'!G13,(('Historical Inputs'!$N$9*(1+(D668))^4)*(('Assumptions'!H37+(E668))*(1-'Assumptions'!H42-(0))+'Assumptions'!H47-'Assumptions'!H52*(F668)+'Assumptions'!H57-'Assumptions'!H62*(1)-'Assumptions'!H67-(0))+(('Historical Inputs'!$N$9*(1+(D668))^3)*('Assumptions'!G67+(0))))*'DCF'!H12/(1+(G668))^'DCF'!H13,(('Historical Inputs'!$N$9*(1+(D668))^5)*(('Assumptions'!I37+(E668))*(1-'Assumptions'!I42-(0))+'Assumptions'!I47-'Assumptions'!I52*(F668)+'Assumptions'!I57-'Assumptions'!I62*(1)-'Assumptions'!I67-(0))+(('Historical Inputs'!$N$9*(1+(D668))^4)*('Assumptions'!H67+(0))))*'DCF'!I12/(1+(G668))^'DCF'!I13)+('Historical Inputs'!$N$9*(1+(D668))^5)*(1+(H668))*('Terminal Value'!$E$10+(E668))*(1-'Assumptions'!$E$15-(0))*(1-(H668)/('Terminal Value'!$E$12))/((G668)-(H668))/(1+(G668))^'DCF'!$E$19)+'Equity Bridge'!$E$17)/'Equity Bridge'!$E$20</x:f>
        <x:v>232.94046240873482</x:v>
      </x:c>
      <x:c r="X668" s="255" t="n">
        <x:v>0.03929881640155264</x:v>
      </x:c>
      <x:c r="Y668" s="255" t="n">
        <x:v>0.2999959898013518</x:v>
      </x:c>
      <x:c r="Z668" s="255" t="n">
        <x:v>0.8956348462790411</x:v>
      </x:c>
      <x:c r="AA668" s="255" t="n">
        <x:v>0.3563650295271643</x:v>
      </x:c>
      <x:c r="AB668" s="255" t="n">
        <x:v>0.19532374279548104</x:v>
      </x:c>
    </x:row>
    <x:row r="669" ht="24" customHeight="1">
      <x:c r="C669" s="256" t="n">
        <x:f>638</x:f>
        <x:v>638</x:v>
      </x:c>
      <x:c r="D669" s="258" t="n">
        <x:f>IF(X669&lt;($E$12-$D$12)/($F$12-$D$12),$D$12+SQRT(X669*($F$12-$D$12)*($E$12-$D$12)),$F$12-SQRT((1-X669)*($F$12-$D$12)*($F$12-$E$12)))</x:f>
        <x:v>0.18565076573450393</x:v>
      </x:c>
      <x:c r="E669" s="258" t="n">
        <x:f>IF(Y669&lt;($E$13-$D$13)/($F$13-$D$13),$D$13+SQRT(Y669*($F$13-$D$13)*($E$13-$D$13)),$F$13-SQRT((1-Y669)*($F$13-$D$13)*($F$13-$E$13)))</x:f>
        <x:v>0.0015687338305696089</x:v>
      </x:c>
      <x:c r="F669" s="260" t="n">
        <x:f>IF(Z669&lt;($E$14-$D$14)/($F$14-$D$14),$D$14+SQRT(Z669*($F$14-$D$14)*($E$14-$D$14)),$F$14-SQRT((1-Z669)*($F$14-$D$14)*($F$14-$E$14)))</x:f>
        <x:v>1.0420690803621873</x:v>
      </x:c>
      <x:c r="G669" s="258" t="n">
        <x:f>IF(AA669&lt;($E$15-$D$15)/($F$15-$D$15),$D$15+SQRT(AA669*($F$15-$D$15)*($E$15-$D$15)),$F$15-SQRT((1-AA669)*($F$15-$D$15)*($F$15-$E$15)))</x:f>
        <x:v>0.10676791505469958</x:v>
      </x:c>
      <x:c r="H669" s="258" t="n">
        <x:f>IF(AB669&lt;($E$16-$D$16)/($F$16-$D$16),$D$16+SQRT(AB669*($F$16-$D$16)*($E$16-$D$16)),$F$16-SQRT((1-AB669)*($F$16-$D$16)*($F$16-$E$16)))</x:f>
        <x:v>0.029220855651378524</x:v>
      </x:c>
      <x:c r="I669" s="262" t="n">
        <x:f>'Historical Inputs'!$N$9*(1+D669)^5</x:f>
        <x:v>777519.6194552027</x:v>
      </x:c>
      <x:c r="J669" s="262" t="n">
        <x:f>I669*(1+H669)*('Terminal Value'!$E$10+E669)*(1-'Assumptions'!$E$15)*(1-H669/'Terminal Value'!$E$12)</x:f>
        <x:v>219520.2812260171</x:v>
      </x:c>
      <x:c r="K669" s="264" t="n">
        <x:f>((SUM((('Historical Inputs'!$N$9*(1+(D669))^1)*(('Assumptions'!E37+(E669))*(1-'Assumptions'!E42-(0))+'Assumptions'!E47-'Assumptions'!E52*(F669)+'Assumptions'!E57-'Assumptions'!E62*(1)-'Assumptions'!E67-(0))+('Working Capital'!$E$6))*'DCF'!E12/(1+(G669))^'DCF'!E13,(('Historical Inputs'!$N$9*(1+(D669))^2)*(('Assumptions'!F37+(E669))*(1-'Assumptions'!F42-(0))+'Assumptions'!F47-'Assumptions'!F52*(F669)+'Assumptions'!F57-'Assumptions'!F62*(1)-'Assumptions'!F67-(0))+(('Historical Inputs'!$N$9*(1+(D669))^1)*('Assumptions'!E67+(0))))*'DCF'!F12/(1+(G669))^'DCF'!F13,(('Historical Inputs'!$N$9*(1+(D669))^3)*(('Assumptions'!G37+(E669))*(1-'Assumptions'!G42-(0))+'Assumptions'!G47-'Assumptions'!G52*(F669)+'Assumptions'!G57-'Assumptions'!G62*(1)-'Assumptions'!G67-(0))+(('Historical Inputs'!$N$9*(1+(D669))^2)*('Assumptions'!F67+(0))))*'DCF'!G12/(1+(G669))^'DCF'!G13,(('Historical Inputs'!$N$9*(1+(D669))^4)*(('Assumptions'!H37+(E669))*(1-'Assumptions'!H42-(0))+'Assumptions'!H47-'Assumptions'!H52*(F669)+'Assumptions'!H57-'Assumptions'!H62*(1)-'Assumptions'!H67-(0))+(('Historical Inputs'!$N$9*(1+(D669))^3)*('Assumptions'!G67+(0))))*'DCF'!H12/(1+(G669))^'DCF'!H13,(('Historical Inputs'!$N$9*(1+(D669))^5)*(('Assumptions'!I37+(E669))*(1-'Assumptions'!I42-(0))+'Assumptions'!I47-'Assumptions'!I52*(F669)+'Assumptions'!I57-'Assumptions'!I62*(1)-'Assumptions'!I67-(0))+(('Historical Inputs'!$N$9*(1+(D669))^4)*('Assumptions'!H67+(0))))*'DCF'!I12/(1+(G669))^'DCF'!I13)+('Historical Inputs'!$N$9*(1+(D669))^5)*(1+(H669))*('Terminal Value'!$E$10+(E669))*(1-'Assumptions'!$E$15-(0))*(1-(H669)/('Terminal Value'!$E$12))/((G669)-(H669))/(1+(G669))^'DCF'!$E$19)+'Equity Bridge'!$E$17)/'Equity Bridge'!$E$20</x:f>
        <x:v>294.9264107345132</x:v>
      </x:c>
      <x:c r="X669" s="255" t="n">
        <x:v>0.9884289736539412</x:v>
      </x:c>
      <x:c r="Y669" s="255" t="n">
        <x:v>0.5308824914451574</x:v>
      </x:c>
      <x:c r="Z669" s="255" t="n">
        <x:v>0.6436832088907822</x:v>
      </x:c>
      <x:c r="AA669" s="255" t="n">
        <x:v>0.9097596155687143</x:v>
      </x:c>
      <x:c r="AB669" s="255" t="n">
        <x:v>0.4251208947177967</x:v>
      </x:c>
    </x:row>
    <x:row r="670" ht="24" customHeight="1">
      <x:c r="C670" s="256" t="n">
        <x:f>639</x:f>
        <x:v>639</x:v>
      </x:c>
      <x:c r="D670" s="258" t="n">
        <x:f>IF(X670&lt;($E$12-$D$12)/($F$12-$D$12),$D$12+SQRT(X670*($F$12-$D$12)*($E$12-$D$12)),$F$12-SQRT((1-X670)*($F$12-$D$12)*($F$12-$E$12)))</x:f>
        <x:v>0.16406992109148322</x:v>
      </x:c>
      <x:c r="E670" s="258" t="n">
        <x:f>IF(Y670&lt;($E$13-$D$13)/($F$13-$D$13),$D$13+SQRT(Y670*($F$13-$D$13)*($E$13-$D$13)),$F$13-SQRT((1-Y670)*($F$13-$D$13)*($F$13-$E$13)))</x:f>
        <x:v>0.009969512663282692</x:v>
      </x:c>
      <x:c r="F670" s="260" t="n">
        <x:f>IF(Z670&lt;($E$14-$D$14)/($F$14-$D$14),$D$14+SQRT(Z670*($F$14-$D$14)*($E$14-$D$14)),$F$14-SQRT((1-Z670)*($F$14-$D$14)*($F$14-$E$14)))</x:f>
        <x:v>0.9601303078591505</x:v>
      </x:c>
      <x:c r="G670" s="258" t="n">
        <x:f>IF(AA670&lt;($E$15-$D$15)/($F$15-$D$15),$D$15+SQRT(AA670*($F$15-$D$15)*($E$15-$D$15)),$F$15-SQRT((1-AA670)*($F$15-$D$15)*($F$15-$E$15)))</x:f>
        <x:v>0.10034148762566075</x:v>
      </x:c>
      <x:c r="H670" s="258" t="n">
        <x:f>IF(AB670&lt;($E$16-$D$16)/($F$16-$D$16),$D$16+SQRT(AB670*($F$16-$D$16)*($E$16-$D$16)),$F$16-SQRT((1-AB670)*($F$16-$D$16)*($F$16-$E$16)))</x:f>
        <x:v>0.027311946023941484</x:v>
      </x:c>
      <x:c r="I670" s="262" t="n">
        <x:f>'Historical Inputs'!$N$9*(1+D670)^5</x:f>
        <x:v>709288.246418227</x:v>
      </x:c>
      <x:c r="J670" s="262" t="n">
        <x:f>I670*(1+H670)*('Terminal Value'!$E$10+E670)*(1-'Assumptions'!$E$15)*(1-H670/'Terminal Value'!$E$12)</x:f>
        <x:v>206347.3757212032</x:v>
      </x:c>
      <x:c r="K670" s="264" t="n">
        <x:f>((SUM((('Historical Inputs'!$N$9*(1+(D670))^1)*(('Assumptions'!E37+(E670))*(1-'Assumptions'!E42-(0))+'Assumptions'!E47-'Assumptions'!E52*(F670)+'Assumptions'!E57-'Assumptions'!E62*(1)-'Assumptions'!E67-(0))+('Working Capital'!$E$6))*'DCF'!E12/(1+(G670))^'DCF'!E13,(('Historical Inputs'!$N$9*(1+(D670))^2)*(('Assumptions'!F37+(E670))*(1-'Assumptions'!F42-(0))+'Assumptions'!F47-'Assumptions'!F52*(F670)+'Assumptions'!F57-'Assumptions'!F62*(1)-'Assumptions'!F67-(0))+(('Historical Inputs'!$N$9*(1+(D670))^1)*('Assumptions'!E67+(0))))*'DCF'!F12/(1+(G670))^'DCF'!F13,(('Historical Inputs'!$N$9*(1+(D670))^3)*(('Assumptions'!G37+(E670))*(1-'Assumptions'!G42-(0))+'Assumptions'!G47-'Assumptions'!G52*(F670)+'Assumptions'!G57-'Assumptions'!G62*(1)-'Assumptions'!G67-(0))+(('Historical Inputs'!$N$9*(1+(D670))^2)*('Assumptions'!F67+(0))))*'DCF'!G12/(1+(G670))^'DCF'!G13,(('Historical Inputs'!$N$9*(1+(D670))^4)*(('Assumptions'!H37+(E670))*(1-'Assumptions'!H42-(0))+'Assumptions'!H47-'Assumptions'!H52*(F670)+'Assumptions'!H57-'Assumptions'!H62*(1)-'Assumptions'!H67-(0))+(('Historical Inputs'!$N$9*(1+(D670))^3)*('Assumptions'!G67+(0))))*'DCF'!H12/(1+(G670))^'DCF'!H13,(('Historical Inputs'!$N$9*(1+(D670))^5)*(('Assumptions'!I37+(E670))*(1-'Assumptions'!I42-(0))+'Assumptions'!I47-'Assumptions'!I52*(F670)+'Assumptions'!I57-'Assumptions'!I62*(1)-'Assumptions'!I67-(0))+(('Historical Inputs'!$N$9*(1+(D670))^4)*('Assumptions'!H67+(0))))*'DCF'!I12/(1+(G670))^'DCF'!I13)+('Historical Inputs'!$N$9*(1+(D670))^5)*(1+(H670))*('Terminal Value'!$E$10+(E670))*(1-'Assumptions'!$E$15-(0))*(1-(H670)/('Terminal Value'!$E$12))/((G670)-(H670))/(1+(G670))^'DCF'!$E$19)+'Equity Bridge'!$E$17)/'Equity Bridge'!$E$20</x:f>
        <x:v>305.36198339709847</x:v>
      </x:c>
      <x:c r="X670" s="255" t="n">
        <x:v>0.8296226301419642</x:v>
      </x:c>
      <x:c r="Y670" s="255" t="n">
        <x:v>0.679512016716983</x:v>
      </x:c>
      <x:c r="Z670" s="255" t="n">
        <x:v>0.23102256588859582</x:v>
      </x:c>
      <x:c r="AA670" s="255" t="n">
        <x:v>0.635974729146598</x:v>
      </x:c>
      <x:c r="AB670" s="255" t="n">
        <x:v>0.2673227732851684</x:v>
      </x:c>
    </x:row>
    <x:row r="671" ht="24" customHeight="1">
      <x:c r="C671" s="256" t="n">
        <x:f>640</x:f>
        <x:v>640</x:v>
      </x:c>
      <x:c r="D671" s="258" t="n">
        <x:f>IF(X671&lt;($E$12-$D$12)/($F$12-$D$12),$D$12+SQRT(X671*($F$12-$D$12)*($E$12-$D$12)),$F$12-SQRT((1-X671)*($F$12-$D$12)*($F$12-$E$12)))</x:f>
        <x:v>0.11766539603967859</x:v>
      </x:c>
      <x:c r="E671" s="258" t="n">
        <x:f>IF(Y671&lt;($E$13-$D$13)/($F$13-$D$13),$D$13+SQRT(Y671*($F$13-$D$13)*($E$13-$D$13)),$F$13-SQRT((1-Y671)*($F$13-$D$13)*($F$13-$E$13)))</x:f>
        <x:v>0.04104964062742689</x:v>
      </x:c>
      <x:c r="F671" s="260" t="n">
        <x:f>IF(Z671&lt;($E$14-$D$14)/($F$14-$D$14),$D$14+SQRT(Z671*($F$14-$D$14)*($E$14-$D$14)),$F$14-SQRT((1-Z671)*($F$14-$D$14)*($F$14-$E$14)))</x:f>
        <x:v>0.9361069583449371</x:v>
      </x:c>
      <x:c r="G671" s="258" t="n">
        <x:f>IF(AA671&lt;($E$15-$D$15)/($F$15-$D$15),$D$15+SQRT(AA671*($F$15-$D$15)*($E$15-$D$15)),$F$15-SQRT((1-AA671)*($F$15-$D$15)*($F$15-$E$15)))</x:f>
        <x:v>0.10977017586011781</x:v>
      </x:c>
      <x:c r="H671" s="258" t="n">
        <x:f>IF(AB671&lt;($E$16-$D$16)/($F$16-$D$16),$D$16+SQRT(AB671*($F$16-$D$16)*($E$16-$D$16)),$F$16-SQRT((1-AB671)*($F$16-$D$16)*($F$16-$E$16)))</x:f>
        <x:v>0.02909642584753664</x:v>
      </x:c>
      <x:c r="I671" s="262" t="n">
        <x:f>'Historical Inputs'!$N$9*(1+D671)^5</x:f>
        <x:v>578743.9323752547</x:v>
      </x:c>
      <x:c r="J671" s="262" t="n">
        <x:f>I671*(1+H671)*('Terminal Value'!$E$10+E671)*(1-'Assumptions'!$E$15)*(1-H671/'Terminal Value'!$E$12)</x:f>
        <x:v>179573.03793729932</x:v>
      </x:c>
      <x:c r="K671" s="264" t="n">
        <x:f>((SUM((('Historical Inputs'!$N$9*(1+(D671))^1)*(('Assumptions'!E37+(E671))*(1-'Assumptions'!E42-(0))+'Assumptions'!E47-'Assumptions'!E52*(F671)+'Assumptions'!E57-'Assumptions'!E62*(1)-'Assumptions'!E67-(0))+('Working Capital'!$E$6))*'DCF'!E12/(1+(G671))^'DCF'!E13,(('Historical Inputs'!$N$9*(1+(D671))^2)*(('Assumptions'!F37+(E671))*(1-'Assumptions'!F42-(0))+'Assumptions'!F47-'Assumptions'!F52*(F671)+'Assumptions'!F57-'Assumptions'!F62*(1)-'Assumptions'!F67-(0))+(('Historical Inputs'!$N$9*(1+(D671))^1)*('Assumptions'!E67+(0))))*'DCF'!F12/(1+(G671))^'DCF'!F13,(('Historical Inputs'!$N$9*(1+(D671))^3)*(('Assumptions'!G37+(E671))*(1-'Assumptions'!G42-(0))+'Assumptions'!G47-'Assumptions'!G52*(F671)+'Assumptions'!G57-'Assumptions'!G62*(1)-'Assumptions'!G67-(0))+(('Historical Inputs'!$N$9*(1+(D671))^2)*('Assumptions'!F67+(0))))*'DCF'!G12/(1+(G671))^'DCF'!G13,(('Historical Inputs'!$N$9*(1+(D671))^4)*(('Assumptions'!H37+(E671))*(1-'Assumptions'!H42-(0))+'Assumptions'!H47-'Assumptions'!H52*(F671)+'Assumptions'!H57-'Assumptions'!H62*(1)-'Assumptions'!H67-(0))+(('Historical Inputs'!$N$9*(1+(D671))^3)*('Assumptions'!G67+(0))))*'DCF'!H12/(1+(G671))^'DCF'!H13,(('Historical Inputs'!$N$9*(1+(D671))^5)*(('Assumptions'!I37+(E671))*(1-'Assumptions'!I42-(0))+'Assumptions'!I47-'Assumptions'!I52*(F671)+'Assumptions'!I57-'Assumptions'!I62*(1)-'Assumptions'!I67-(0))+(('Historical Inputs'!$N$9*(1+(D671))^4)*('Assumptions'!H67+(0))))*'DCF'!I12/(1+(G671))^'DCF'!I13)+('Historical Inputs'!$N$9*(1+(D671))^5)*(1+(H671))*('Terminal Value'!$E$10+(E671))*(1-'Assumptions'!$E$15-(0))*(1-(H671)/('Terminal Value'!$E$12))/((G671)-(H671))/(1+(G671))^'DCF'!$E$19)+'Equity Bridge'!$E$17)/'Equity Bridge'!$E$20</x:f>
        <x:v>243.78208970706004</x:v>
      </x:c>
      <x:c r="X671" s="255" t="n">
        <x:v>0.11915374635043385</x:v>
      </x:c>
      <x:c r="Y671" s="255" t="n">
        <x:v>0.9839782134203585</x:v>
      </x:c>
      <x:c r="Z671" s="255" t="n">
        <x:v>0.1412268242936522</x:v>
      </x:c>
      <x:c r="AA671" s="255" t="n">
        <x:v>0.9747595471961359</x:v>
      </x:c>
      <x:c r="AB671" s="255" t="n">
        <x:v>0.4137248159986636</x:v>
      </x:c>
    </x:row>
    <x:row r="672" ht="24" customHeight="1">
      <x:c r="C672" s="256" t="n">
        <x:f>641</x:f>
        <x:v>641</x:v>
      </x:c>
      <x:c r="D672" s="258" t="n">
        <x:f>IF(X672&lt;($E$12-$D$12)/($F$12-$D$12),$D$12+SQRT(X672*($F$12-$D$12)*($E$12-$D$12)),$F$12-SQRT((1-X672)*($F$12-$D$12)*($F$12-$E$12)))</x:f>
        <x:v>0.09946305410389007</x:v>
      </x:c>
      <x:c r="E672" s="258" t="n">
        <x:f>IF(Y672&lt;($E$13-$D$13)/($F$13-$D$13),$D$13+SQRT(Y672*($F$13-$D$13)*($E$13-$D$13)),$F$13-SQRT((1-Y672)*($F$13-$D$13)*($F$13-$E$13)))</x:f>
        <x:v>-0.03704013352454294</x:v>
      </x:c>
      <x:c r="F672" s="260" t="n">
        <x:f>IF(Z672&lt;($E$14-$D$14)/($F$14-$D$14),$D$14+SQRT(Z672*($F$14-$D$14)*($E$14-$D$14)),$F$14-SQRT((1-Z672)*($F$14-$D$14)*($F$14-$E$14)))</x:f>
        <x:v>1.0333938636563138</x:v>
      </x:c>
      <x:c r="G672" s="258" t="n">
        <x:f>IF(AA672&lt;($E$15-$D$15)/($F$15-$D$15),$D$15+SQRT(AA672*($F$15-$D$15)*($E$15-$D$15)),$F$15-SQRT((1-AA672)*($F$15-$D$15)*($F$15-$E$15)))</x:f>
        <x:v>0.0980036025735334</x:v>
      </x:c>
      <x:c r="H672" s="258" t="n">
        <x:f>IF(AB672&lt;($E$16-$D$16)/($F$16-$D$16),$D$16+SQRT(AB672*($F$16-$D$16)*($E$16-$D$16)),$F$16-SQRT((1-AB672)*($F$16-$D$16)*($F$16-$E$16)))</x:f>
        <x:v>0.03213771770425765</x:v>
      </x:c>
      <x:c r="I672" s="262" t="n">
        <x:f>'Historical Inputs'!$N$9*(1+D672)^5</x:f>
        <x:v>533126.9369906393</x:v>
      </x:c>
      <x:c r="J672" s="262" t="n">
        <x:f>I672*(1+H672)*('Terminal Value'!$E$10+E672)*(1-'Assumptions'!$E$15)*(1-H672/'Terminal Value'!$E$12)</x:f>
        <x:v>134103.4641686634</x:v>
      </x:c>
      <x:c r="K672" s="264" t="n">
        <x:f>((SUM((('Historical Inputs'!$N$9*(1+(D672))^1)*(('Assumptions'!E37+(E672))*(1-'Assumptions'!E42-(0))+'Assumptions'!E47-'Assumptions'!E52*(F672)+'Assumptions'!E57-'Assumptions'!E62*(1)-'Assumptions'!E67-(0))+('Working Capital'!$E$6))*'DCF'!E12/(1+(G672))^'DCF'!E13,(('Historical Inputs'!$N$9*(1+(D672))^2)*(('Assumptions'!F37+(E672))*(1-'Assumptions'!F42-(0))+'Assumptions'!F47-'Assumptions'!F52*(F672)+'Assumptions'!F57-'Assumptions'!F62*(1)-'Assumptions'!F67-(0))+(('Historical Inputs'!$N$9*(1+(D672))^1)*('Assumptions'!E67+(0))))*'DCF'!F12/(1+(G672))^'DCF'!F13,(('Historical Inputs'!$N$9*(1+(D672))^3)*(('Assumptions'!G37+(E672))*(1-'Assumptions'!G42-(0))+'Assumptions'!G47-'Assumptions'!G52*(F672)+'Assumptions'!G57-'Assumptions'!G62*(1)-'Assumptions'!G67-(0))+(('Historical Inputs'!$N$9*(1+(D672))^2)*('Assumptions'!F67+(0))))*'DCF'!G12/(1+(G672))^'DCF'!G13,(('Historical Inputs'!$N$9*(1+(D672))^4)*(('Assumptions'!H37+(E672))*(1-'Assumptions'!H42-(0))+'Assumptions'!H47-'Assumptions'!H52*(F672)+'Assumptions'!H57-'Assumptions'!H62*(1)-'Assumptions'!H67-(0))+(('Historical Inputs'!$N$9*(1+(D672))^3)*('Assumptions'!G67+(0))))*'DCF'!H12/(1+(G672))^'DCF'!H13,(('Historical Inputs'!$N$9*(1+(D672))^5)*(('Assumptions'!I37+(E672))*(1-'Assumptions'!I42-(0))+'Assumptions'!I47-'Assumptions'!I52*(F672)+'Assumptions'!I57-'Assumptions'!I62*(1)-'Assumptions'!I67-(0))+(('Historical Inputs'!$N$9*(1+(D672))^4)*('Assumptions'!H67+(0))))*'DCF'!I12/(1+(G672))^'DCF'!I13)+('Historical Inputs'!$N$9*(1+(D672))^5)*(1+(H672))*('Terminal Value'!$E$10+(E672))*(1-'Assumptions'!$E$15-(0))*(1-(H672)/('Terminal Value'!$E$12))/((G672)-(H672))/(1+(G672))^'DCF'!$E$19)+'Equity Bridge'!$E$17)/'Equity Bridge'!$E$20</x:f>
        <x:v>215.43948097952835</x:v>
      </x:c>
      <x:c r="X672" s="255" t="n">
        <x:v>0.007702967326700283</x:v>
      </x:c>
      <x:c r="Y672" s="255" t="n">
        <x:v>0.033591627812335156</x:v>
      </x:c>
      <x:c r="Z672" s="255" t="n">
        <x:v>0.6034627904661298</x:v>
      </x:c>
      <x:c r="AA672" s="255" t="n">
        <x:v>0.4909237858005028</x:v>
      </x:c>
      <x:c r="AB672" s="255" t="n">
        <x:v>0.6909225855102819</x:v>
      </x:c>
    </x:row>
    <x:row r="673" ht="24" customHeight="1">
      <x:c r="C673" s="256" t="n">
        <x:f>642</x:f>
        <x:v>642</x:v>
      </x:c>
      <x:c r="D673" s="258" t="n">
        <x:f>IF(X673&lt;($E$12-$D$12)/($F$12-$D$12),$D$12+SQRT(X673*($F$12-$D$12)*($E$12-$D$12)),$F$12-SQRT((1-X673)*($F$12-$D$12)*($F$12-$E$12)))</x:f>
        <x:v>0.14962485932270936</x:v>
      </x:c>
      <x:c r="E673" s="258" t="n">
        <x:f>IF(Y673&lt;($E$13-$D$13)/($F$13-$D$13),$D$13+SQRT(Y673*($F$13-$D$13)*($E$13-$D$13)),$F$13-SQRT((1-Y673)*($F$13-$D$13)*($F$13-$E$13)))</x:f>
        <x:v>0.006026694465293296</x:v>
      </x:c>
      <x:c r="F673" s="260" t="n">
        <x:f>IF(Z673&lt;($E$14-$D$14)/($F$14-$D$14),$D$14+SQRT(Z673*($F$14-$D$14)*($E$14-$D$14)),$F$14-SQRT((1-Z673)*($F$14-$D$14)*($F$14-$E$14)))</x:f>
        <x:v>0.9983994193245206</x:v>
      </x:c>
      <x:c r="G673" s="258" t="n">
        <x:f>IF(AA673&lt;($E$15-$D$15)/($F$15-$D$15),$D$15+SQRT(AA673*($F$15-$D$15)*($E$15-$D$15)),$F$15-SQRT((1-AA673)*($F$15-$D$15)*($F$15-$E$15)))</x:f>
        <x:v>0.09554017980259444</x:v>
      </x:c>
      <x:c r="H673" s="258" t="n">
        <x:f>IF(AB673&lt;($E$16-$D$16)/($F$16-$D$16),$D$16+SQRT(AB673*($F$16-$D$16)*($E$16-$D$16)),$F$16-SQRT((1-AB673)*($F$16-$D$16)*($F$16-$E$16)))</x:f>
        <x:v>0.025848392573573853</x:v>
      </x:c>
      <x:c r="I673" s="262" t="n">
        <x:f>'Historical Inputs'!$N$9*(1+D673)^5</x:f>
        <x:v>666358.8311111637</x:v>
      </x:c>
      <x:c r="J673" s="262" t="n">
        <x:f>I673*(1+H673)*('Terminal Value'!$E$10+E673)*(1-'Assumptions'!$E$15)*(1-H673/'Terminal Value'!$E$12)</x:f>
        <x:v>193345.20508765604</x:v>
      </x:c>
      <x:c r="K673" s="264" t="n">
        <x:f>((SUM((('Historical Inputs'!$N$9*(1+(D673))^1)*(('Assumptions'!E37+(E673))*(1-'Assumptions'!E42-(0))+'Assumptions'!E47-'Assumptions'!E52*(F673)+'Assumptions'!E57-'Assumptions'!E62*(1)-'Assumptions'!E67-(0))+('Working Capital'!$E$6))*'DCF'!E12/(1+(G673))^'DCF'!E13,(('Historical Inputs'!$N$9*(1+(D673))^2)*(('Assumptions'!F37+(E673))*(1-'Assumptions'!F42-(0))+'Assumptions'!F47-'Assumptions'!F52*(F673)+'Assumptions'!F57-'Assumptions'!F62*(1)-'Assumptions'!F67-(0))+(('Historical Inputs'!$N$9*(1+(D673))^1)*('Assumptions'!E67+(0))))*'DCF'!F12/(1+(G673))^'DCF'!F13,(('Historical Inputs'!$N$9*(1+(D673))^3)*(('Assumptions'!G37+(E673))*(1-'Assumptions'!G42-(0))+'Assumptions'!G47-'Assumptions'!G52*(F673)+'Assumptions'!G57-'Assumptions'!G62*(1)-'Assumptions'!G67-(0))+(('Historical Inputs'!$N$9*(1+(D673))^2)*('Assumptions'!F67+(0))))*'DCF'!G12/(1+(G673))^'DCF'!G13,(('Historical Inputs'!$N$9*(1+(D673))^4)*(('Assumptions'!H37+(E673))*(1-'Assumptions'!H42-(0))+'Assumptions'!H47-'Assumptions'!H52*(F673)+'Assumptions'!H57-'Assumptions'!H62*(1)-'Assumptions'!H67-(0))+(('Historical Inputs'!$N$9*(1+(D673))^3)*('Assumptions'!G67+(0))))*'DCF'!H12/(1+(G673))^'DCF'!H13,(('Historical Inputs'!$N$9*(1+(D673))^5)*(('Assumptions'!I37+(E673))*(1-'Assumptions'!I42-(0))+'Assumptions'!I47-'Assumptions'!I52*(F673)+'Assumptions'!I57-'Assumptions'!I62*(1)-'Assumptions'!I67-(0))+(('Historical Inputs'!$N$9*(1+(D673))^4)*('Assumptions'!H67+(0))))*'DCF'!I12/(1+(G673))^'DCF'!I13)+('Historical Inputs'!$N$9*(1+(D673))^5)*(1+(H673))*('Terminal Value'!$E$10+(E673))*(1-'Assumptions'!$E$15-(0))*(1-(H673)/('Terminal Value'!$E$12))/((G673)-(H673))/(1+(G673))^'DCF'!$E$19)+'Equity Bridge'!$E$17)/'Equity Bridge'!$E$20</x:f>
        <x:v>300.55574960243376</x:v>
      </x:c>
      <x:c r="X673" s="255" t="n">
        <x:v>0.6192468790562865</x:v>
      </x:c>
      <x:c r="Y673" s="255" t="n">
        <x:v>0.6132696800702665</x:v>
      </x:c>
      <x:c r="Z673" s="255" t="n">
        <x:v>0.4194740505877126</x:v>
      </x:c>
      <x:c r="AA673" s="255" t="n">
        <x:v>0.34167844605065634</x:v>
      </x:c>
      <x:c r="AB673" s="255" t="n">
        <x:v>0.1710184784731691</x:v>
      </x:c>
    </x:row>
    <x:row r="674" ht="24" customHeight="1">
      <x:c r="C674" s="256" t="n">
        <x:f>643</x:f>
        <x:v>643</x:v>
      </x:c>
      <x:c r="D674" s="258" t="n">
        <x:f>IF(X674&lt;($E$12-$D$12)/($F$12-$D$12),$D$12+SQRT(X674*($F$12-$D$12)*($E$12-$D$12)),$F$12-SQRT((1-X674)*($F$12-$D$12)*($F$12-$E$12)))</x:f>
        <x:v>0.11421276028754507</x:v>
      </x:c>
      <x:c r="E674" s="258" t="n">
        <x:f>IF(Y674&lt;($E$13-$D$13)/($F$13-$D$13),$D$13+SQRT(Y674*($F$13-$D$13)*($E$13-$D$13)),$F$13-SQRT((1-Y674)*($F$13-$D$13)*($F$13-$E$13)))</x:f>
        <x:v>0.031070841503770305</x:v>
      </x:c>
      <x:c r="F674" s="260" t="n">
        <x:f>IF(Z674&lt;($E$14-$D$14)/($F$14-$D$14),$D$14+SQRT(Z674*($F$14-$D$14)*($E$14-$D$14)),$F$14-SQRT((1-Z674)*($F$14-$D$14)*($F$14-$E$14)))</x:f>
        <x:v>1.021545279539145</x:v>
      </x:c>
      <x:c r="G674" s="258" t="n">
        <x:f>IF(AA674&lt;($E$15-$D$15)/($F$15-$D$15),$D$15+SQRT(AA674*($F$15-$D$15)*($E$15-$D$15)),$F$15-SQRT((1-AA674)*($F$15-$D$15)*($F$15-$E$15)))</x:f>
        <x:v>0.09221376827589242</x:v>
      </x:c>
      <x:c r="H674" s="258" t="n">
        <x:f>IF(AB674&lt;($E$16-$D$16)/($F$16-$D$16),$D$16+SQRT(AB674*($F$16-$D$16)*($E$16-$D$16)),$F$16-SQRT((1-AB674)*($F$16-$D$16)*($F$16-$E$16)))</x:f>
        <x:v>0.028732708302599504</x:v>
      </x:c>
      <x:c r="I674" s="262" t="n">
        <x:f>'Historical Inputs'!$N$9*(1+D674)^5</x:f>
        <x:v>569859.8573703265</x:v>
      </x:c>
      <x:c r="J674" s="262" t="n">
        <x:f>I674*(1+H674)*('Terminal Value'!$E$10+E674)*(1-'Assumptions'!$E$15)*(1-H674/'Terminal Value'!$E$12)</x:f>
        <x:v>173122.5666516595</x:v>
      </x:c>
      <x:c r="K674" s="264" t="n">
        <x:f>((SUM((('Historical Inputs'!$N$9*(1+(D674))^1)*(('Assumptions'!E37+(E674))*(1-'Assumptions'!E42-(0))+'Assumptions'!E47-'Assumptions'!E52*(F674)+'Assumptions'!E57-'Assumptions'!E62*(1)-'Assumptions'!E67-(0))+('Working Capital'!$E$6))*'DCF'!E12/(1+(G674))^'DCF'!E13,(('Historical Inputs'!$N$9*(1+(D674))^2)*(('Assumptions'!F37+(E674))*(1-'Assumptions'!F42-(0))+'Assumptions'!F47-'Assumptions'!F52*(F674)+'Assumptions'!F57-'Assumptions'!F62*(1)-'Assumptions'!F67-(0))+(('Historical Inputs'!$N$9*(1+(D674))^1)*('Assumptions'!E67+(0))))*'DCF'!F12/(1+(G674))^'DCF'!F13,(('Historical Inputs'!$N$9*(1+(D674))^3)*(('Assumptions'!G37+(E674))*(1-'Assumptions'!G42-(0))+'Assumptions'!G47-'Assumptions'!G52*(F674)+'Assumptions'!G57-'Assumptions'!G62*(1)-'Assumptions'!G67-(0))+(('Historical Inputs'!$N$9*(1+(D674))^2)*('Assumptions'!F67+(0))))*'DCF'!G12/(1+(G674))^'DCF'!G13,(('Historical Inputs'!$N$9*(1+(D674))^4)*(('Assumptions'!H37+(E674))*(1-'Assumptions'!H42-(0))+'Assumptions'!H47-'Assumptions'!H52*(F674)+'Assumptions'!H57-'Assumptions'!H62*(1)-'Assumptions'!H67-(0))+(('Historical Inputs'!$N$9*(1+(D674))^3)*('Assumptions'!G67+(0))))*'DCF'!H12/(1+(G674))^'DCF'!H13,(('Historical Inputs'!$N$9*(1+(D674))^5)*(('Assumptions'!I37+(E674))*(1-'Assumptions'!I42-(0))+'Assumptions'!I47-'Assumptions'!I52*(F674)+'Assumptions'!I57-'Assumptions'!I62*(1)-'Assumptions'!I67-(0))+(('Historical Inputs'!$N$9*(1+(D674))^4)*('Assumptions'!H67+(0))))*'DCF'!I12/(1+(G674))^'DCF'!I13)+('Historical Inputs'!$N$9*(1+(D674))^5)*(1+(H674))*('Terminal Value'!$E$10+(E674))*(1-'Assumptions'!$E$15-(0))*(1-(H674)/('Terminal Value'!$E$12))/((G674)-(H674))/(1+(G674))^'DCF'!$E$19)+'Equity Bridge'!$E$17)/'Equity Bridge'!$E$20</x:f>
        <x:v>297.4695835612161</x:v>
      </x:c>
      <x:c r="X674" s="255" t="n">
        <x:v>0.0878285948932549</x:v>
      </x:c>
      <x:c r="Y674" s="255" t="n">
        <x:v>0.928337391724923</x:v>
      </x:c>
      <x:c r="Z674" s="255" t="n">
        <x:v>0.545055896360545</x:v>
      </x:c>
      <x:c r="AA674" s="255" t="n">
        <x:v>0.18294793141904253</x:v>
      </x:c>
      <x:c r="AB674" s="255" t="n">
        <x:v>0.3813009714914515</x:v>
      </x:c>
    </x:row>
    <x:row r="675" ht="24" customHeight="1">
      <x:c r="C675" s="256" t="n">
        <x:f>644</x:f>
        <x:v>644</x:v>
      </x:c>
      <x:c r="D675" s="258" t="n">
        <x:f>IF(X675&lt;($E$12-$D$12)/($F$12-$D$12),$D$12+SQRT(X675*($F$12-$D$12)*($E$12-$D$12)),$F$12-SQRT((1-X675)*($F$12-$D$12)*($F$12-$E$12)))</x:f>
        <x:v>0.153622921443057</x:v>
      </x:c>
      <x:c r="E675" s="258" t="n">
        <x:f>IF(Y675&lt;($E$13-$D$13)/($F$13-$D$13),$D$13+SQRT(Y675*($F$13-$D$13)*($E$13-$D$13)),$F$13-SQRT((1-Y675)*($F$13-$D$13)*($F$13-$E$13)))</x:f>
        <x:v>-0.016132988030958806</x:v>
      </x:c>
      <x:c r="F675" s="260" t="n">
        <x:f>IF(Z675&lt;($E$14-$D$14)/($F$14-$D$14),$D$14+SQRT(Z675*($F$14-$D$14)*($E$14-$D$14)),$F$14-SQRT((1-Z675)*($F$14-$D$14)*($F$14-$E$14)))</x:f>
        <x:v>1.1017410594373591</x:v>
      </x:c>
      <x:c r="G675" s="258" t="n">
        <x:f>IF(AA675&lt;($E$15-$D$15)/($F$15-$D$15),$D$15+SQRT(AA675*($F$15-$D$15)*($E$15-$D$15)),$F$15-SQRT((1-AA675)*($F$15-$D$15)*($F$15-$E$15)))</x:f>
        <x:v>0.10341908808393603</x:v>
      </x:c>
      <x:c r="H675" s="258" t="n">
        <x:f>IF(AB675&lt;($E$16-$D$16)/($F$16-$D$16),$D$16+SQRT(AB675*($F$16-$D$16)*($E$16-$D$16)),$F$16-SQRT((1-AB675)*($F$16-$D$16)*($F$16-$E$16)))</x:f>
        <x:v>0.032397442636107124</x:v>
      </x:c>
      <x:c r="I675" s="262" t="n">
        <x:f>'Historical Inputs'!$N$9*(1+D675)^5</x:f>
        <x:v>678026.7190141007</x:v>
      </x:c>
      <x:c r="J675" s="262" t="n">
        <x:f>I675*(1+H675)*('Terminal Value'!$E$10+E675)*(1-'Assumptions'!$E$15)*(1-H675/'Terminal Value'!$E$12)</x:f>
        <x:v>180142.07172381197</x:v>
      </x:c>
      <x:c r="K675" s="264" t="n">
        <x:f>((SUM((('Historical Inputs'!$N$9*(1+(D675))^1)*(('Assumptions'!E37+(E675))*(1-'Assumptions'!E42-(0))+'Assumptions'!E47-'Assumptions'!E52*(F675)+'Assumptions'!E57-'Assumptions'!E62*(1)-'Assumptions'!E67-(0))+('Working Capital'!$E$6))*'DCF'!E12/(1+(G675))^'DCF'!E13,(('Historical Inputs'!$N$9*(1+(D675))^2)*(('Assumptions'!F37+(E675))*(1-'Assumptions'!F42-(0))+'Assumptions'!F47-'Assumptions'!F52*(F675)+'Assumptions'!F57-'Assumptions'!F62*(1)-'Assumptions'!F67-(0))+(('Historical Inputs'!$N$9*(1+(D675))^1)*('Assumptions'!E67+(0))))*'DCF'!F12/(1+(G675))^'DCF'!F13,(('Historical Inputs'!$N$9*(1+(D675))^3)*(('Assumptions'!G37+(E675))*(1-'Assumptions'!G42-(0))+'Assumptions'!G47-'Assumptions'!G52*(F675)+'Assumptions'!G57-'Assumptions'!G62*(1)-'Assumptions'!G67-(0))+(('Historical Inputs'!$N$9*(1+(D675))^2)*('Assumptions'!F67+(0))))*'DCF'!G12/(1+(G675))^'DCF'!G13,(('Historical Inputs'!$N$9*(1+(D675))^4)*(('Assumptions'!H37+(E675))*(1-'Assumptions'!H42-(0))+'Assumptions'!H47-'Assumptions'!H52*(F675)+'Assumptions'!H57-'Assumptions'!H62*(1)-'Assumptions'!H67-(0))+(('Historical Inputs'!$N$9*(1+(D675))^3)*('Assumptions'!G67+(0))))*'DCF'!H12/(1+(G675))^'DCF'!H13,(('Historical Inputs'!$N$9*(1+(D675))^5)*(('Assumptions'!I37+(E675))*(1-'Assumptions'!I42-(0))+'Assumptions'!I47-'Assumptions'!I52*(F675)+'Assumptions'!I57-'Assumptions'!I62*(1)-'Assumptions'!I67-(0))+(('Historical Inputs'!$N$9*(1+(D675))^4)*('Assumptions'!H67+(0))))*'DCF'!I12/(1+(G675))^'DCF'!I13)+('Historical Inputs'!$N$9*(1+(D675))^5)*(1+(H675))*('Terminal Value'!$E$10+(E675))*(1-'Assumptions'!$E$15-(0))*(1-(H675)/('Terminal Value'!$E$12))/((G675)-(H675))/(1+(G675))^'DCF'!$E$19)+'Equity Bridge'!$E$17)/'Equity Bridge'!$E$20</x:f>
        <x:v>260.6765922409961</x:v>
      </x:c>
      <x:c r="X675" s="255" t="n">
        <x:v>0.6858276173660502</x:v>
      </x:c>
      <x:c r="Y675" s="255" t="n">
        <x:v>0.22939489994223594</x:v>
      </x:c>
      <x:c r="Z675" s="255" t="n">
        <x:v>0.8620740085643918</x:v>
      </x:c>
      <x:c r="AA675" s="255" t="n">
        <x:v>0.7899926482059405</x:v>
      </x:c>
      <x:c r="AB675" s="255" t="n">
        <x:v>0.7110056076435911</x:v>
      </x:c>
    </x:row>
    <x:row r="676" ht="24" customHeight="1">
      <x:c r="C676" s="256" t="n">
        <x:f>645</x:f>
        <x:v>645</x:v>
      </x:c>
      <x:c r="D676" s="258" t="n">
        <x:f>IF(X676&lt;($E$12-$D$12)/($F$12-$D$12),$D$12+SQRT(X676*($F$12-$D$12)*($E$12-$D$12)),$F$12-SQRT((1-X676)*($F$12-$D$12)*($F$12-$E$12)))</x:f>
        <x:v>0.12694281344789704</x:v>
      </x:c>
      <x:c r="E676" s="258" t="n">
        <x:f>IF(Y676&lt;($E$13-$D$13)/($F$13-$D$13),$D$13+SQRT(Y676*($F$13-$D$13)*($E$13-$D$13)),$F$13-SQRT((1-Y676)*($F$13-$D$13)*($F$13-$E$13)))</x:f>
        <x:v>-0.01665975591978458</x:v>
      </x:c>
      <x:c r="F676" s="260" t="n">
        <x:f>IF(Z676&lt;($E$14-$D$14)/($F$14-$D$14),$D$14+SQRT(Z676*($F$14-$D$14)*($E$14-$D$14)),$F$14-SQRT((1-Z676)*($F$14-$D$14)*($F$14-$E$14)))</x:f>
        <x:v>1.0420851826942064</x:v>
      </x:c>
      <x:c r="G676" s="258" t="n">
        <x:f>IF(AA676&lt;($E$15-$D$15)/($F$15-$D$15),$D$15+SQRT(AA676*($F$15-$D$15)*($E$15-$D$15)),$F$15-SQRT((1-AA676)*($F$15-$D$15)*($F$15-$E$15)))</x:f>
        <x:v>0.10182699100540776</x:v>
      </x:c>
      <x:c r="H676" s="258" t="n">
        <x:f>IF(AB676&lt;($E$16-$D$16)/($F$16-$D$16),$D$16+SQRT(AB676*($F$16-$D$16)*($E$16-$D$16)),$F$16-SQRT((1-AB676)*($F$16-$D$16)*($F$16-$E$16)))</x:f>
        <x:v>0.02552547841251</x:v>
      </x:c>
      <x:c r="I676" s="262" t="n">
        <x:f>'Historical Inputs'!$N$9*(1+D676)^5</x:f>
        <x:v>603165.9516975718</x:v>
      </x:c>
      <x:c r="J676" s="262" t="n">
        <x:f>I676*(1+H676)*('Terminal Value'!$E$10+E676)*(1-'Assumptions'!$E$15)*(1-H676/'Terminal Value'!$E$12)</x:f>
        <x:v>165485.4041815106</x:v>
      </x:c>
      <x:c r="K676" s="264" t="n">
        <x:f>((SUM((('Historical Inputs'!$N$9*(1+(D676))^1)*(('Assumptions'!E37+(E676))*(1-'Assumptions'!E42-(0))+'Assumptions'!E47-'Assumptions'!E52*(F676)+'Assumptions'!E57-'Assumptions'!E62*(1)-'Assumptions'!E67-(0))+('Working Capital'!$E$6))*'DCF'!E12/(1+(G676))^'DCF'!E13,(('Historical Inputs'!$N$9*(1+(D676))^2)*(('Assumptions'!F37+(E676))*(1-'Assumptions'!F42-(0))+'Assumptions'!F47-'Assumptions'!F52*(F676)+'Assumptions'!F57-'Assumptions'!F62*(1)-'Assumptions'!F67-(0))+(('Historical Inputs'!$N$9*(1+(D676))^1)*('Assumptions'!E67+(0))))*'DCF'!F12/(1+(G676))^'DCF'!F13,(('Historical Inputs'!$N$9*(1+(D676))^3)*(('Assumptions'!G37+(E676))*(1-'Assumptions'!G42-(0))+'Assumptions'!G47-'Assumptions'!G52*(F676)+'Assumptions'!G57-'Assumptions'!G62*(1)-'Assumptions'!G67-(0))+(('Historical Inputs'!$N$9*(1+(D676))^2)*('Assumptions'!F67+(0))))*'DCF'!G12/(1+(G676))^'DCF'!G13,(('Historical Inputs'!$N$9*(1+(D676))^4)*(('Assumptions'!H37+(E676))*(1-'Assumptions'!H42-(0))+'Assumptions'!H47-'Assumptions'!H52*(F676)+'Assumptions'!H57-'Assumptions'!H62*(1)-'Assumptions'!H67-(0))+(('Historical Inputs'!$N$9*(1+(D676))^3)*('Assumptions'!G67+(0))))*'DCF'!H12/(1+(G676))^'DCF'!H13,(('Historical Inputs'!$N$9*(1+(D676))^5)*(('Assumptions'!I37+(E676))*(1-'Assumptions'!I42-(0))+'Assumptions'!I47-'Assumptions'!I52*(F676)+'Assumptions'!I57-'Assumptions'!I62*(1)-'Assumptions'!I67-(0))+(('Historical Inputs'!$N$9*(1+(D676))^4)*('Assumptions'!H67+(0))))*'DCF'!I12/(1+(G676))^'DCF'!I13)+('Historical Inputs'!$N$9*(1+(D676))^5)*(1+(H676))*('Terminal Value'!$E$10+(E676))*(1-'Assumptions'!$E$15-(0))*(1-(H676)/('Terminal Value'!$E$12))/((G676)-(H676))/(1+(G676))^'DCF'!$E$19)+'Equity Bridge'!$E$17)/'Equity Bridge'!$E$20</x:f>
        <x:v>230.67135689522627</x:v>
      </x:c>
      <x:c r="X676" s="255" t="n">
        <x:v>0.22694651143800093</x:v>
      </x:c>
      <x:c r="Y676" s="255" t="n">
        <x:v>0.22231437506566787</x:v>
      </x:c>
      <x:c r="Z676" s="255" t="n">
        <x:v>0.6437558639325407</x:v>
      </x:c>
      <x:c r="AA676" s="255" t="n">
        <x:v>0.7155721594810992</x:v>
      </x:c>
      <x:c r="AB676" s="255" t="n">
        <x:v>0.1526545584355702</x:v>
      </x:c>
    </x:row>
    <x:row r="677" ht="24" customHeight="1">
      <x:c r="C677" s="256" t="n">
        <x:f>646</x:f>
        <x:v>646</x:v>
      </x:c>
      <x:c r="D677" s="258" t="n">
        <x:f>IF(X677&lt;($E$12-$D$12)/($F$12-$D$12),$D$12+SQRT(X677*($F$12-$D$12)*($E$12-$D$12)),$F$12-SQRT((1-X677)*($F$12-$D$12)*($F$12-$E$12)))</x:f>
        <x:v>0.12608162759253494</x:v>
      </x:c>
      <x:c r="E677" s="258" t="n">
        <x:f>IF(Y677&lt;($E$13-$D$13)/($F$13-$D$13),$D$13+SQRT(Y677*($F$13-$D$13)*($E$13-$D$13)),$F$13-SQRT((1-Y677)*($F$13-$D$13)*($F$13-$E$13)))</x:f>
        <x:v>-0.04425765217482044</x:v>
      </x:c>
      <x:c r="F677" s="260" t="n">
        <x:f>IF(Z677&lt;($E$14-$D$14)/($F$14-$D$14),$D$14+SQRT(Z677*($F$14-$D$14)*($E$14-$D$14)),$F$14-SQRT((1-Z677)*($F$14-$D$14)*($F$14-$E$14)))</x:f>
        <x:v>0.9829760316480141</x:v>
      </x:c>
      <x:c r="G677" s="258" t="n">
        <x:f>IF(AA677&lt;($E$15-$D$15)/($F$15-$D$15),$D$15+SQRT(AA677*($F$15-$D$15)*($E$15-$D$15)),$F$15-SQRT((1-AA677)*($F$15-$D$15)*($F$15-$E$15)))</x:f>
        <x:v>0.09226512964458208</x:v>
      </x:c>
      <x:c r="H677" s="258" t="n">
        <x:f>IF(AB677&lt;($E$16-$D$16)/($F$16-$D$16),$D$16+SQRT(AB677*($F$16-$D$16)*($E$16-$D$16)),$F$16-SQRT((1-AB677)*($F$16-$D$16)*($F$16-$E$16)))</x:f>
        <x:v>0.0325424510407517</x:v>
      </x:c>
      <x:c r="I677" s="262" t="n">
        <x:f>'Historical Inputs'!$N$9*(1+D677)^5</x:f>
        <x:v>600864.8380152691</x:v>
      </x:c>
      <x:c r="J677" s="262" t="n">
        <x:f>I677*(1+H677)*('Terminal Value'!$E$10+E677)*(1-'Assumptions'!$E$15)*(1-H677/'Terminal Value'!$E$12)</x:f>
        <x:v>147837.63103491624</x:v>
      </x:c>
      <x:c r="K677" s="264" t="n">
        <x:f>((SUM((('Historical Inputs'!$N$9*(1+(D677))^1)*(('Assumptions'!E37+(E677))*(1-'Assumptions'!E42-(0))+'Assumptions'!E47-'Assumptions'!E52*(F677)+'Assumptions'!E57-'Assumptions'!E62*(1)-'Assumptions'!E67-(0))+('Working Capital'!$E$6))*'DCF'!E12/(1+(G677))^'DCF'!E13,(('Historical Inputs'!$N$9*(1+(D677))^2)*(('Assumptions'!F37+(E677))*(1-'Assumptions'!F42-(0))+'Assumptions'!F47-'Assumptions'!F52*(F677)+'Assumptions'!F57-'Assumptions'!F62*(1)-'Assumptions'!F67-(0))+(('Historical Inputs'!$N$9*(1+(D677))^1)*('Assumptions'!E67+(0))))*'DCF'!F12/(1+(G677))^'DCF'!F13,(('Historical Inputs'!$N$9*(1+(D677))^3)*(('Assumptions'!G37+(E677))*(1-'Assumptions'!G42-(0))+'Assumptions'!G47-'Assumptions'!G52*(F677)+'Assumptions'!G57-'Assumptions'!G62*(1)-'Assumptions'!G67-(0))+(('Historical Inputs'!$N$9*(1+(D677))^2)*('Assumptions'!F67+(0))))*'DCF'!G12/(1+(G677))^'DCF'!G13,(('Historical Inputs'!$N$9*(1+(D677))^4)*(('Assumptions'!H37+(E677))*(1-'Assumptions'!H42-(0))+'Assumptions'!H47-'Assumptions'!H52*(F677)+'Assumptions'!H57-'Assumptions'!H62*(1)-'Assumptions'!H67-(0))+(('Historical Inputs'!$N$9*(1+(D677))^3)*('Assumptions'!G67+(0))))*'DCF'!H12/(1+(G677))^'DCF'!H13,(('Historical Inputs'!$N$9*(1+(D677))^5)*(('Assumptions'!I37+(E677))*(1-'Assumptions'!I42-(0))+'Assumptions'!I47-'Assumptions'!I52*(F677)+'Assumptions'!I57-'Assumptions'!I62*(1)-'Assumptions'!I67-(0))+(('Historical Inputs'!$N$9*(1+(D677))^4)*('Assumptions'!H67+(0))))*'DCF'!I12/(1+(G677))^'DCF'!I13)+('Historical Inputs'!$N$9*(1+(D677))^5)*(1+(H677))*('Terminal Value'!$E$10+(E677))*(1-'Assumptions'!$E$15-(0))*(1-(H677)/('Terminal Value'!$E$12))/((G677)-(H677))/(1+(G677))^'DCF'!$E$19)+'Equity Bridge'!$E$17)/'Equity Bridge'!$E$20</x:f>
        <x:v>264.7697866800133</x:v>
      </x:c>
      <x:c r="X677" s="255" t="n">
        <x:v>0.21549094874493468</x:v>
      </x:c>
      <x:c r="Y677" s="255" t="n">
        <x:v>0.006594911709068896</x:v>
      </x:c>
      <x:c r="Z677" s="255" t="n">
        <x:v>0.3368119046257835</x:v>
      </x:c>
      <x:c r="AA677" s="255" t="n">
        <x:v>0.18502500335516237</x:v>
      </x:c>
      <x:c r="AB677" s="255" t="n">
        <x:v>0.7219248176020732</x:v>
      </x:c>
    </x:row>
    <x:row r="678" ht="24" customHeight="1">
      <x:c r="C678" s="256" t="n">
        <x:f>647</x:f>
        <x:v>647</x:v>
      </x:c>
      <x:c r="D678" s="258" t="n">
        <x:f>IF(X678&lt;($E$12-$D$12)/($F$12-$D$12),$D$12+SQRT(X678*($F$12-$D$12)*($E$12-$D$12)),$F$12-SQRT((1-X678)*($F$12-$D$12)*($F$12-$E$12)))</x:f>
        <x:v>0.15745287256273183</x:v>
      </x:c>
      <x:c r="E678" s="258" t="n">
        <x:f>IF(Y678&lt;($E$13-$D$13)/($F$13-$D$13),$D$13+SQRT(Y678*($F$13-$D$13)*($E$13-$D$13)),$F$13-SQRT((1-Y678)*($F$13-$D$13)*($F$13-$E$13)))</x:f>
        <x:v>0.013816222700232167</x:v>
      </x:c>
      <x:c r="F678" s="260" t="n">
        <x:f>IF(Z678&lt;($E$14-$D$14)/($F$14-$D$14),$D$14+SQRT(Z678*($F$14-$D$14)*($E$14-$D$14)),$F$14-SQRT((1-Z678)*($F$14-$D$14)*($F$14-$E$14)))</x:f>
        <x:v>1.0145706612732375</x:v>
      </x:c>
      <x:c r="G678" s="258" t="n">
        <x:f>IF(AA678&lt;($E$15-$D$15)/($F$15-$D$15),$D$15+SQRT(AA678*($F$15-$D$15)*($E$15-$D$15)),$F$15-SQRT((1-AA678)*($F$15-$D$15)*($F$15-$E$15)))</x:f>
        <x:v>0.10028242628283988</x:v>
      </x:c>
      <x:c r="H678" s="258" t="n">
        <x:f>IF(AB678&lt;($E$16-$D$16)/($F$16-$D$16),$D$16+SQRT(AB678*($F$16-$D$16)*($E$16-$D$16)),$F$16-SQRT((1-AB678)*($F$16-$D$16)*($F$16-$E$16)))</x:f>
        <x:v>0.024554967371211336</x:v>
      </x:c>
      <x:c r="I678" s="262" t="n">
        <x:f>'Historical Inputs'!$N$9*(1+D678)^5</x:f>
        <x:v>689356.7166609139</x:v>
      </x:c>
      <x:c r="J678" s="262" t="n">
        <x:f>I678*(1+H678)*('Terminal Value'!$E$10+E678)*(1-'Assumptions'!$E$15)*(1-H678/'Terminal Value'!$E$12)</x:f>
        <x:v>205110.4817909061</x:v>
      </x:c>
      <x:c r="K678" s="264" t="n">
        <x:f>((SUM((('Historical Inputs'!$N$9*(1+(D678))^1)*(('Assumptions'!E37+(E678))*(1-'Assumptions'!E42-(0))+'Assumptions'!E47-'Assumptions'!E52*(F678)+'Assumptions'!E57-'Assumptions'!E62*(1)-'Assumptions'!E67-(0))+('Working Capital'!$E$6))*'DCF'!E12/(1+(G678))^'DCF'!E13,(('Historical Inputs'!$N$9*(1+(D678))^2)*(('Assumptions'!F37+(E678))*(1-'Assumptions'!F42-(0))+'Assumptions'!F47-'Assumptions'!F52*(F678)+'Assumptions'!F57-'Assumptions'!F62*(1)-'Assumptions'!F67-(0))+(('Historical Inputs'!$N$9*(1+(D678))^1)*('Assumptions'!E67+(0))))*'DCF'!F12/(1+(G678))^'DCF'!F13,(('Historical Inputs'!$N$9*(1+(D678))^3)*(('Assumptions'!G37+(E678))*(1-'Assumptions'!G42-(0))+'Assumptions'!G47-'Assumptions'!G52*(F678)+'Assumptions'!G57-'Assumptions'!G62*(1)-'Assumptions'!G67-(0))+(('Historical Inputs'!$N$9*(1+(D678))^2)*('Assumptions'!F67+(0))))*'DCF'!G12/(1+(G678))^'DCF'!G13,(('Historical Inputs'!$N$9*(1+(D678))^4)*(('Assumptions'!H37+(E678))*(1-'Assumptions'!H42-(0))+'Assumptions'!H47-'Assumptions'!H52*(F678)+'Assumptions'!H57-'Assumptions'!H62*(1)-'Assumptions'!H67-(0))+(('Historical Inputs'!$N$9*(1+(D678))^3)*('Assumptions'!G67+(0))))*'DCF'!H12/(1+(G678))^'DCF'!H13,(('Historical Inputs'!$N$9*(1+(D678))^5)*(('Assumptions'!I37+(E678))*(1-'Assumptions'!I42-(0))+'Assumptions'!I47-'Assumptions'!I52*(F678)+'Assumptions'!I57-'Assumptions'!I62*(1)-'Assumptions'!I67-(0))+(('Historical Inputs'!$N$9*(1+(D678))^4)*('Assumptions'!H67+(0))))*'DCF'!I12/(1+(G678))^'DCF'!I13)+('Historical Inputs'!$N$9*(1+(D678))^5)*(1+(H678))*('Terminal Value'!$E$10+(E678))*(1-'Assumptions'!$E$15-(0))*(1-(H678)/('Terminal Value'!$E$12))/((G678)-(H678))/(1+(G678))^'DCF'!$E$19)+'Equity Bridge'!$E$17)/'Equity Bridge'!$E$20</x:f>
        <x:v>291.3680396993173</x:v>
      </x:c>
      <x:c r="X678" s="255" t="n">
        <x:v>0.7436125791059008</x:v>
      </x:c>
      <x:c r="Y678" s="255" t="n">
        <x:v>0.7381468520641612</x:v>
      </x:c>
      <x:c r="Z678" s="255" t="n">
        <x:v>0.5087994334193657</x:v>
      </x:c>
      <x:c r="AA678" s="255" t="n">
        <x:v>0.6326073368849549</x:v>
      </x:c>
      <x:c r="AB678" s="255" t="n">
        <x:v>0.10373863876399969</x:v>
      </x:c>
    </x:row>
    <x:row r="679" ht="24" customHeight="1">
      <x:c r="C679" s="256" t="n">
        <x:f>648</x:f>
        <x:v>648</x:v>
      </x:c>
      <x:c r="D679" s="258" t="n">
        <x:f>IF(X679&lt;($E$12-$D$12)/($F$12-$D$12),$D$12+SQRT(X679*($F$12-$D$12)*($E$12-$D$12)),$F$12-SQRT((1-X679)*($F$12-$D$12)*($F$12-$E$12)))</x:f>
        <x:v>0.1135018788382719</x:v>
      </x:c>
      <x:c r="E679" s="258" t="n">
        <x:f>IF(Y679&lt;($E$13-$D$13)/($F$13-$D$13),$D$13+SQRT(Y679*($F$13-$D$13)*($E$13-$D$13)),$F$13-SQRT((1-Y679)*($F$13-$D$13)*($F$13-$E$13)))</x:f>
        <x:v>-0.0024266854613529676</x:v>
      </x:c>
      <x:c r="F679" s="260" t="n">
        <x:f>IF(Z679&lt;($E$14-$D$14)/($F$14-$D$14),$D$14+SQRT(Z679*($F$14-$D$14)*($E$14-$D$14)),$F$14-SQRT((1-Z679)*($F$14-$D$14)*($F$14-$E$14)))</x:f>
        <x:v>1.0185853165147578</x:v>
      </x:c>
      <x:c r="G679" s="258" t="n">
        <x:f>IF(AA679&lt;($E$15-$D$15)/($F$15-$D$15),$D$15+SQRT(AA679*($F$15-$D$15)*($E$15-$D$15)),$F$15-SQRT((1-AA679)*($F$15-$D$15)*($F$15-$E$15)))</x:f>
        <x:v>0.0983124914593066</x:v>
      </x:c>
      <x:c r="H679" s="258" t="n">
        <x:f>IF(AB679&lt;($E$16-$D$16)/($F$16-$D$16),$D$16+SQRT(AB679*($F$16-$D$16)*($E$16-$D$16)),$F$16-SQRT((1-AB679)*($F$16-$D$16)*($F$16-$E$16)))</x:f>
        <x:v>0.029884675382365587</x:v>
      </x:c>
      <x:c r="I679" s="262" t="n">
        <x:f>'Historical Inputs'!$N$9*(1+D679)^5</x:f>
        <x:v>568044.2875605709</x:v>
      </x:c>
      <x:c r="J679" s="262" t="n">
        <x:f>I679*(1+H679)*('Terminal Value'!$E$10+E679)*(1-'Assumptions'!$E$15)*(1-H679/'Terminal Value'!$E$12)</x:f>
        <x:v>158267.39303139647</x:v>
      </x:c>
      <x:c r="K679" s="264" t="n">
        <x:f>((SUM((('Historical Inputs'!$N$9*(1+(D679))^1)*(('Assumptions'!E37+(E679))*(1-'Assumptions'!E42-(0))+'Assumptions'!E47-'Assumptions'!E52*(F679)+'Assumptions'!E57-'Assumptions'!E62*(1)-'Assumptions'!E67-(0))+('Working Capital'!$E$6))*'DCF'!E12/(1+(G679))^'DCF'!E13,(('Historical Inputs'!$N$9*(1+(D679))^2)*(('Assumptions'!F37+(E679))*(1-'Assumptions'!F42-(0))+'Assumptions'!F47-'Assumptions'!F52*(F679)+'Assumptions'!F57-'Assumptions'!F62*(1)-'Assumptions'!F67-(0))+(('Historical Inputs'!$N$9*(1+(D679))^1)*('Assumptions'!E67+(0))))*'DCF'!F12/(1+(G679))^'DCF'!F13,(('Historical Inputs'!$N$9*(1+(D679))^3)*(('Assumptions'!G37+(E679))*(1-'Assumptions'!G42-(0))+'Assumptions'!G47-'Assumptions'!G52*(F679)+'Assumptions'!G57-'Assumptions'!G62*(1)-'Assumptions'!G67-(0))+(('Historical Inputs'!$N$9*(1+(D679))^2)*('Assumptions'!F67+(0))))*'DCF'!G12/(1+(G679))^'DCF'!G13,(('Historical Inputs'!$N$9*(1+(D679))^4)*(('Assumptions'!H37+(E679))*(1-'Assumptions'!H42-(0))+'Assumptions'!H47-'Assumptions'!H52*(F679)+'Assumptions'!H57-'Assumptions'!H62*(1)-'Assumptions'!H67-(0))+(('Historical Inputs'!$N$9*(1+(D679))^3)*('Assumptions'!G67+(0))))*'DCF'!H12/(1+(G679))^'DCF'!H13,(('Historical Inputs'!$N$9*(1+(D679))^5)*(('Assumptions'!I37+(E679))*(1-'Assumptions'!I42-(0))+'Assumptions'!I47-'Assumptions'!I52*(F679)+'Assumptions'!I57-'Assumptions'!I62*(1)-'Assumptions'!I67-(0))+(('Historical Inputs'!$N$9*(1+(D679))^4)*('Assumptions'!H67+(0))))*'DCF'!I12/(1+(G679))^'DCF'!I13)+('Historical Inputs'!$N$9*(1+(D679))^5)*(1+(H679))*('Terminal Value'!$E$10+(E679))*(1-'Assumptions'!$E$15-(0))*(1-(H679)/('Terminal Value'!$E$12))/((G679)-(H679))/(1+(G679))^'DCF'!$E$19)+'Equity Bridge'!$E$17)/'Equity Bridge'!$E$20</x:f>
        <x:v>248.35614201107614</x:v>
      </x:c>
      <x:c r="X679" s="255" t="n">
        <x:v>0.08197084708900237</x:v>
      </x:c>
      <x:c r="Y679" s="255" t="n">
        <x:v>0.45264405123860896</x:v>
      </x:c>
      <x:c r="Z679" s="255" t="n">
        <x:v>0.5298387516564206</x:v>
      </x:c>
      <x:c r="AA679" s="255" t="n">
        <x:v>0.5114089755724327</x:v>
      </x:c>
      <x:c r="AB679" s="255" t="n">
        <x:v>0.48853403707372134</x:v>
      </x:c>
    </x:row>
    <x:row r="680" ht="24" customHeight="1">
      <x:c r="C680" s="256" t="n">
        <x:f>649</x:f>
        <x:v>649</x:v>
      </x:c>
      <x:c r="D680" s="258" t="n">
        <x:f>IF(X680&lt;($E$12-$D$12)/($F$12-$D$12),$D$12+SQRT(X680*($F$12-$D$12)*($E$12-$D$12)),$F$12-SQRT((1-X680)*($F$12-$D$12)*($F$12-$E$12)))</x:f>
        <x:v>0.1803485529220531</x:v>
      </x:c>
      <x:c r="E680" s="258" t="n">
        <x:f>IF(Y680&lt;($E$13-$D$13)/($F$13-$D$13),$D$13+SQRT(Y680*($F$13-$D$13)*($E$13-$D$13)),$F$13-SQRT((1-Y680)*($F$13-$D$13)*($F$13-$E$13)))</x:f>
        <x:v>0.014790029111636287</x:v>
      </x:c>
      <x:c r="F680" s="260" t="n">
        <x:f>IF(Z680&lt;($E$14-$D$14)/($F$14-$D$14),$D$14+SQRT(Z680*($F$14-$D$14)*($E$14-$D$14)),$F$14-SQRT((1-Z680)*($F$14-$D$14)*($F$14-$E$14)))</x:f>
        <x:v>1.0708287070111093</x:v>
      </x:c>
      <x:c r="G680" s="258" t="n">
        <x:f>IF(AA680&lt;($E$15-$D$15)/($F$15-$D$15),$D$15+SQRT(AA680*($F$15-$D$15)*($E$15-$D$15)),$F$15-SQRT((1-AA680)*($F$15-$D$15)*($F$15-$E$15)))</x:f>
        <x:v>0.09635403124050083</x:v>
      </x:c>
      <x:c r="H680" s="258" t="n">
        <x:f>IF(AB680&lt;($E$16-$D$16)/($F$16-$D$16),$D$16+SQRT(AB680*($F$16-$D$16)*($E$16-$D$16)),$F$16-SQRT((1-AB680)*($F$16-$D$16)*($F$16-$E$16)))</x:f>
        <x:v>0.033018935294335666</x:v>
      </x:c>
      <x:c r="I680" s="262" t="n">
        <x:f>'Historical Inputs'!$N$9*(1+D680)^5</x:f>
        <x:v>760289.137492661</x:v>
      </x:c>
      <x:c r="J680" s="262" t="n">
        <x:f>I680*(1+H680)*('Terminal Value'!$E$10+E680)*(1-'Assumptions'!$E$15)*(1-H680/'Terminal Value'!$E$12)</x:f>
        <x:v>217591.8342281979</x:v>
      </x:c>
      <x:c r="K680" s="264" t="n">
        <x:f>((SUM((('Historical Inputs'!$N$9*(1+(D680))^1)*(('Assumptions'!E37+(E680))*(1-'Assumptions'!E42-(0))+'Assumptions'!E47-'Assumptions'!E52*(F680)+'Assumptions'!E57-'Assumptions'!E62*(1)-'Assumptions'!E67-(0))+('Working Capital'!$E$6))*'DCF'!E12/(1+(G680))^'DCF'!E13,(('Historical Inputs'!$N$9*(1+(D680))^2)*(('Assumptions'!F37+(E680))*(1-'Assumptions'!F42-(0))+'Assumptions'!F47-'Assumptions'!F52*(F680)+'Assumptions'!F57-'Assumptions'!F62*(1)-'Assumptions'!F67-(0))+(('Historical Inputs'!$N$9*(1+(D680))^1)*('Assumptions'!E67+(0))))*'DCF'!F12/(1+(G680))^'DCF'!F13,(('Historical Inputs'!$N$9*(1+(D680))^3)*(('Assumptions'!G37+(E680))*(1-'Assumptions'!G42-(0))+'Assumptions'!G47-'Assumptions'!G52*(F680)+'Assumptions'!G57-'Assumptions'!G62*(1)-'Assumptions'!G67-(0))+(('Historical Inputs'!$N$9*(1+(D680))^2)*('Assumptions'!F67+(0))))*'DCF'!G12/(1+(G680))^'DCF'!G13,(('Historical Inputs'!$N$9*(1+(D680))^4)*(('Assumptions'!H37+(E680))*(1-'Assumptions'!H42-(0))+'Assumptions'!H47-'Assumptions'!H52*(F680)+'Assumptions'!H57-'Assumptions'!H62*(1)-'Assumptions'!H67-(0))+(('Historical Inputs'!$N$9*(1+(D680))^3)*('Assumptions'!G67+(0))))*'DCF'!H12/(1+(G680))^'DCF'!H13,(('Historical Inputs'!$N$9*(1+(D680))^5)*(('Assumptions'!I37+(E680))*(1-'Assumptions'!I42-(0))+'Assumptions'!I47-'Assumptions'!I52*(F680)+'Assumptions'!I57-'Assumptions'!I62*(1)-'Assumptions'!I67-(0))+(('Historical Inputs'!$N$9*(1+(D680))^4)*('Assumptions'!H67+(0))))*'DCF'!I12/(1+(G680))^'DCF'!I13)+('Historical Inputs'!$N$9*(1+(D680))^5)*(1+(H680))*('Terminal Value'!$E$10+(E680))*(1-'Assumptions'!$E$15-(0))*(1-(H680)/('Terminal Value'!$E$12))/((G680)-(H680))/(1+(G680))^'DCF'!$E$19)+'Equity Bridge'!$E$17)/'Equity Bridge'!$E$20</x:f>
        <x:v>359.9095807805932</x:v>
      </x:c>
      <x:c r="X680" s="255" t="n">
        <x:v>0.966674286110871</x:v>
      </x:c>
      <x:c r="Y680" s="255" t="n">
        <x:v>0.7520515900081159</x:v>
      </x:c>
      <x:c r="Z680" s="255" t="n">
        <x:v>0.7616396723939736</x:v>
      </x:c>
      <x:c r="AA680" s="255" t="n">
        <x:v>0.38800191581109</x:v>
      </x:c>
      <x:c r="AB680" s="255" t="n">
        <x:v>0.756323677876639</x:v>
      </x:c>
    </x:row>
    <x:row r="681" ht="24" customHeight="1">
      <x:c r="C681" s="256" t="n">
        <x:f>650</x:f>
        <x:v>650</x:v>
      </x:c>
      <x:c r="D681" s="258" t="n">
        <x:f>IF(X681&lt;($E$12-$D$12)/($F$12-$D$12),$D$12+SQRT(X681*($F$12-$D$12)*($E$12-$D$12)),$F$12-SQRT((1-X681)*($F$12-$D$12)*($F$12-$E$12)))</x:f>
        <x:v>0.10420814526896881</x:v>
      </x:c>
      <x:c r="E681" s="258" t="n">
        <x:f>IF(Y681&lt;($E$13-$D$13)/($F$13-$D$13),$D$13+SQRT(Y681*($F$13-$D$13)*($E$13-$D$13)),$F$13-SQRT((1-Y681)*($F$13-$D$13)*($F$13-$E$13)))</x:f>
        <x:v>0.015208977184345746</x:v>
      </x:c>
      <x:c r="F681" s="260" t="n">
        <x:f>IF(Z681&lt;($E$14-$D$14)/($F$14-$D$14),$D$14+SQRT(Z681*($F$14-$D$14)*($E$14-$D$14)),$F$14-SQRT((1-Z681)*($F$14-$D$14)*($F$14-$E$14)))</x:f>
        <x:v>0.9284456598392389</x:v>
      </x:c>
      <x:c r="G681" s="258" t="n">
        <x:f>IF(AA681&lt;($E$15-$D$15)/($F$15-$D$15),$D$15+SQRT(AA681*($F$15-$D$15)*($E$15-$D$15)),$F$15-SQRT((1-AA681)*($F$15-$D$15)*($F$15-$E$15)))</x:f>
        <x:v>0.1045734731043493</x:v>
      </x:c>
      <x:c r="H681" s="258" t="n">
        <x:f>IF(AB681&lt;($E$16-$D$16)/($F$16-$D$16),$D$16+SQRT(AB681*($F$16-$D$16)*($E$16-$D$16)),$F$16-SQRT((1-AB681)*($F$16-$D$16)*($F$16-$E$16)))</x:f>
        <x:v>0.03136491375566611</x:v>
      </x:c>
      <x:c r="I681" s="262" t="n">
        <x:f>'Historical Inputs'!$N$9*(1+D681)^5</x:f>
        <x:v>544731.0839052723</x:v>
      </x:c>
      <x:c r="J681" s="262" t="n">
        <x:f>I681*(1+H681)*('Terminal Value'!$E$10+E681)*(1-'Assumptions'!$E$15)*(1-H681/'Terminal Value'!$E$12)</x:f>
        <x:v>157350.8800354652</x:v>
      </x:c>
      <x:c r="K681" s="264" t="n">
        <x:f>((SUM((('Historical Inputs'!$N$9*(1+(D681))^1)*(('Assumptions'!E37+(E681))*(1-'Assumptions'!E42-(0))+'Assumptions'!E47-'Assumptions'!E52*(F681)+'Assumptions'!E57-'Assumptions'!E62*(1)-'Assumptions'!E67-(0))+('Working Capital'!$E$6))*'DCF'!E12/(1+(G681))^'DCF'!E13,(('Historical Inputs'!$N$9*(1+(D681))^2)*(('Assumptions'!F37+(E681))*(1-'Assumptions'!F42-(0))+'Assumptions'!F47-'Assumptions'!F52*(F681)+'Assumptions'!F57-'Assumptions'!F62*(1)-'Assumptions'!F67-(0))+(('Historical Inputs'!$N$9*(1+(D681))^1)*('Assumptions'!E67+(0))))*'DCF'!F12/(1+(G681))^'DCF'!F13,(('Historical Inputs'!$N$9*(1+(D681))^3)*(('Assumptions'!G37+(E681))*(1-'Assumptions'!G42-(0))+'Assumptions'!G47-'Assumptions'!G52*(F681)+'Assumptions'!G57-'Assumptions'!G62*(1)-'Assumptions'!G67-(0))+(('Historical Inputs'!$N$9*(1+(D681))^2)*('Assumptions'!F67+(0))))*'DCF'!G12/(1+(G681))^'DCF'!G13,(('Historical Inputs'!$N$9*(1+(D681))^4)*(('Assumptions'!H37+(E681))*(1-'Assumptions'!H42-(0))+'Assumptions'!H47-'Assumptions'!H52*(F681)+'Assumptions'!H57-'Assumptions'!H62*(1)-'Assumptions'!H67-(0))+(('Historical Inputs'!$N$9*(1+(D681))^3)*('Assumptions'!G67+(0))))*'DCF'!H12/(1+(G681))^'DCF'!H13,(('Historical Inputs'!$N$9*(1+(D681))^5)*(('Assumptions'!I37+(E681))*(1-'Assumptions'!I42-(0))+'Assumptions'!I47-'Assumptions'!I52*(F681)+'Assumptions'!I57-'Assumptions'!I62*(1)-'Assumptions'!I67-(0))+(('Historical Inputs'!$N$9*(1+(D681))^4)*('Assumptions'!H67+(0))))*'DCF'!I12/(1+(G681))^'DCF'!I13)+('Historical Inputs'!$N$9*(1+(D681))^5)*(1+(H681))*('Terminal Value'!$E$10+(E681))*(1-'Assumptions'!$E$15-(0))*(1-(H681)/('Terminal Value'!$E$12))/((G681)-(H681))/(1+(G681))^'DCF'!$E$19)+'Equity Bridge'!$E$17)/'Equity Bridge'!$E$20</x:f>
        <x:v>235.42416607354093</x:v>
      </x:c>
      <x:c r="X681" s="255" t="n">
        <x:v>0.023985420932376877</x:v>
      </x:c>
      <x:c r="Y681" s="255" t="n">
        <x:v>0.757916946288125</x:v>
      </x:c>
      <x:c r="Z681" s="255" t="n">
        <x:v>0.11721374376406801</x:v>
      </x:c>
      <x:c r="AA681" s="255" t="n">
        <x:v>0.8369073105037745</x:v>
      </x:c>
      <x:c r="AB681" s="255" t="n">
        <x:v>0.6271764277645779</x:v>
      </x:c>
    </x:row>
    <x:row r="682" ht="24" customHeight="1">
      <x:c r="C682" s="256" t="n">
        <x:f>651</x:f>
        <x:v>651</x:v>
      </x:c>
      <x:c r="D682" s="258" t="n">
        <x:f>IF(X682&lt;($E$12-$D$12)/($F$12-$D$12),$D$12+SQRT(X682*($F$12-$D$12)*($E$12-$D$12)),$F$12-SQRT((1-X682)*($F$12-$D$12)*($F$12-$E$12)))</x:f>
        <x:v>0.155428482128617</x:v>
      </x:c>
      <x:c r="E682" s="258" t="n">
        <x:f>IF(Y682&lt;($E$13-$D$13)/($F$13-$D$13),$D$13+SQRT(Y682*($F$13-$D$13)*($E$13-$D$13)),$F$13-SQRT((1-Y682)*($F$13-$D$13)*($F$13-$E$13)))</x:f>
        <x:v>-0.006813466882428204</x:v>
      </x:c>
      <x:c r="F682" s="260" t="n">
        <x:f>IF(Z682&lt;($E$14-$D$14)/($F$14-$D$14),$D$14+SQRT(Z682*($F$14-$D$14)*($E$14-$D$14)),$F$14-SQRT((1-Z682)*($F$14-$D$14)*($F$14-$E$14)))</x:f>
        <x:v>0.8932342921809142</x:v>
      </x:c>
      <x:c r="G682" s="258" t="n">
        <x:f>IF(AA682&lt;($E$15-$D$15)/($F$15-$D$15),$D$15+SQRT(AA682*($F$15-$D$15)*($E$15-$D$15)),$F$15-SQRT((1-AA682)*($F$15-$D$15)*($F$15-$E$15)))</x:f>
        <x:v>0.09916464694811719</x:v>
      </x:c>
      <x:c r="H682" s="258" t="n">
        <x:f>IF(AB682&lt;($E$16-$D$16)/($F$16-$D$16),$D$16+SQRT(AB682*($F$16-$D$16)*($E$16-$D$16)),$F$16-SQRT((1-AB682)*($F$16-$D$16)*($F$16-$E$16)))</x:f>
        <x:v>0.026623994019023538</x:v>
      </x:c>
      <x:c r="I682" s="262" t="n">
        <x:f>'Historical Inputs'!$N$9*(1+D682)^5</x:f>
        <x:v>683349.3269027005</x:v>
      </x:c>
      <x:c r="J682" s="262" t="n">
        <x:f>I682*(1+H682)*('Terminal Value'!$E$10+E682)*(1-'Assumptions'!$E$15)*(1-H682/'Terminal Value'!$E$12)</x:f>
        <x:v>191294.19939547076</x:v>
      </x:c>
      <x:c r="K682" s="264" t="n">
        <x:f>((SUM((('Historical Inputs'!$N$9*(1+(D682))^1)*(('Assumptions'!E37+(E682))*(1-'Assumptions'!E42-(0))+'Assumptions'!E47-'Assumptions'!E52*(F682)+'Assumptions'!E57-'Assumptions'!E62*(1)-'Assumptions'!E67-(0))+('Working Capital'!$E$6))*'DCF'!E12/(1+(G682))^'DCF'!E13,(('Historical Inputs'!$N$9*(1+(D682))^2)*(('Assumptions'!F37+(E682))*(1-'Assumptions'!F42-(0))+'Assumptions'!F47-'Assumptions'!F52*(F682)+'Assumptions'!F57-'Assumptions'!F62*(1)-'Assumptions'!F67-(0))+(('Historical Inputs'!$N$9*(1+(D682))^1)*('Assumptions'!E67+(0))))*'DCF'!F12/(1+(G682))^'DCF'!F13,(('Historical Inputs'!$N$9*(1+(D682))^3)*(('Assumptions'!G37+(E682))*(1-'Assumptions'!G42-(0))+'Assumptions'!G47-'Assumptions'!G52*(F682)+'Assumptions'!G57-'Assumptions'!G62*(1)-'Assumptions'!G67-(0))+(('Historical Inputs'!$N$9*(1+(D682))^2)*('Assumptions'!F67+(0))))*'DCF'!G12/(1+(G682))^'DCF'!G13,(('Historical Inputs'!$N$9*(1+(D682))^4)*(('Assumptions'!H37+(E682))*(1-'Assumptions'!H42-(0))+'Assumptions'!H47-'Assumptions'!H52*(F682)+'Assumptions'!H57-'Assumptions'!H62*(1)-'Assumptions'!H67-(0))+(('Historical Inputs'!$N$9*(1+(D682))^3)*('Assumptions'!G67+(0))))*'DCF'!H12/(1+(G682))^'DCF'!H13,(('Historical Inputs'!$N$9*(1+(D682))^5)*(('Assumptions'!I37+(E682))*(1-'Assumptions'!I42-(0))+'Assumptions'!I47-'Assumptions'!I52*(F682)+'Assumptions'!I57-'Assumptions'!I62*(1)-'Assumptions'!I67-(0))+(('Historical Inputs'!$N$9*(1+(D682))^4)*('Assumptions'!H67+(0))))*'DCF'!I12/(1+(G682))^'DCF'!I13)+('Historical Inputs'!$N$9*(1+(D682))^5)*(1+(H682))*('Terminal Value'!$E$10+(E682))*(1-'Assumptions'!$E$15-(0))*(1-(H682)/('Terminal Value'!$E$12))/((G682)-(H682))/(1+(G682))^'DCF'!$E$19)+'Equity Bridge'!$E$17)/'Equity Bridge'!$E$20</x:f>
        <x:v>289.71350984219845</x:v>
      </x:c>
      <x:c r="X682" s="255" t="n">
        <x:v>0.7138003168718356</x:v>
      </x:c>
      <x:c r="Y682" s="255" t="n">
        <x:v>0.3730153285430251</x:v>
      </x:c>
      <x:c r="Z682" s="255" t="n">
        <x:v>0.03560388610256504</x:v>
      </x:c>
      <x:c r="AA682" s="255" t="n">
        <x:v>0.5659537444309128</x:v>
      </x:c>
      <x:c r="AB682" s="255" t="n">
        <x:v>0.21938648382029813</x:v>
      </x:c>
    </x:row>
    <x:row r="683" ht="24" customHeight="1">
      <x:c r="C683" s="256" t="n">
        <x:f>652</x:f>
        <x:v>652</x:v>
      </x:c>
      <x:c r="D683" s="258" t="n">
        <x:f>IF(X683&lt;($E$12-$D$12)/($F$12-$D$12),$D$12+SQRT(X683*($F$12-$D$12)*($E$12-$D$12)),$F$12-SQRT((1-X683)*($F$12-$D$12)*($F$12-$E$12)))</x:f>
        <x:v>0.12134473168261944</x:v>
      </x:c>
      <x:c r="E683" s="258" t="n">
        <x:f>IF(Y683&lt;($E$13-$D$13)/($F$13-$D$13),$D$13+SQRT(Y683*($F$13-$D$13)*($E$13-$D$13)),$F$13-SQRT((1-Y683)*($F$13-$D$13)*($F$13-$E$13)))</x:f>
        <x:v>-0.0049063706142472505</x:v>
      </x:c>
      <x:c r="F683" s="260" t="n">
        <x:f>IF(Z683&lt;($E$14-$D$14)/($F$14-$D$14),$D$14+SQRT(Z683*($F$14-$D$14)*($E$14-$D$14)),$F$14-SQRT((1-Z683)*($F$14-$D$14)*($F$14-$E$14)))</x:f>
        <x:v>1.0239307698725997</x:v>
      </x:c>
      <x:c r="G683" s="258" t="n">
        <x:f>IF(AA683&lt;($E$15-$D$15)/($F$15-$D$15),$D$15+SQRT(AA683*($F$15-$D$15)*($E$15-$D$15)),$F$15-SQRT((1-AA683)*($F$15-$D$15)*($F$15-$E$15)))</x:f>
        <x:v>0.09304438489348142</x:v>
      </x:c>
      <x:c r="H683" s="258" t="n">
        <x:f>IF(AB683&lt;($E$16-$D$16)/($F$16-$D$16),$D$16+SQRT(AB683*($F$16-$D$16)*($E$16-$D$16)),$F$16-SQRT((1-AB683)*($F$16-$D$16)*($F$16-$E$16)))</x:f>
        <x:v>0.029016340739582924</x:v>
      </x:c>
      <x:c r="I683" s="262" t="n">
        <x:f>'Historical Inputs'!$N$9*(1+D683)^5</x:f>
        <x:v>588332.9348985144</x:v>
      </x:c>
      <x:c r="J683" s="262" t="n">
        <x:f>I683*(1+H683)*('Terminal Value'!$E$10+E683)*(1-'Assumptions'!$E$15)*(1-H683/'Terminal Value'!$E$12)</x:f>
        <x:v>163591.2451290391</x:v>
      </x:c>
      <x:c r="K683" s="264" t="n">
        <x:f>((SUM((('Historical Inputs'!$N$9*(1+(D683))^1)*(('Assumptions'!E37+(E683))*(1-'Assumptions'!E42-(0))+'Assumptions'!E47-'Assumptions'!E52*(F683)+'Assumptions'!E57-'Assumptions'!E62*(1)-'Assumptions'!E67-(0))+('Working Capital'!$E$6))*'DCF'!E12/(1+(G683))^'DCF'!E13,(('Historical Inputs'!$N$9*(1+(D683))^2)*(('Assumptions'!F37+(E683))*(1-'Assumptions'!F42-(0))+'Assumptions'!F47-'Assumptions'!F52*(F683)+'Assumptions'!F57-'Assumptions'!F62*(1)-'Assumptions'!F67-(0))+(('Historical Inputs'!$N$9*(1+(D683))^1)*('Assumptions'!E67+(0))))*'DCF'!F12/(1+(G683))^'DCF'!F13,(('Historical Inputs'!$N$9*(1+(D683))^3)*(('Assumptions'!G37+(E683))*(1-'Assumptions'!G42-(0))+'Assumptions'!G47-'Assumptions'!G52*(F683)+'Assumptions'!G57-'Assumptions'!G62*(1)-'Assumptions'!G67-(0))+(('Historical Inputs'!$N$9*(1+(D683))^2)*('Assumptions'!F67+(0))))*'DCF'!G12/(1+(G683))^'DCF'!G13,(('Historical Inputs'!$N$9*(1+(D683))^4)*(('Assumptions'!H37+(E683))*(1-'Assumptions'!H42-(0))+'Assumptions'!H47-'Assumptions'!H52*(F683)+'Assumptions'!H57-'Assumptions'!H62*(1)-'Assumptions'!H67-(0))+(('Historical Inputs'!$N$9*(1+(D683))^3)*('Assumptions'!G67+(0))))*'DCF'!H12/(1+(G683))^'DCF'!H13,(('Historical Inputs'!$N$9*(1+(D683))^5)*(('Assumptions'!I37+(E683))*(1-'Assumptions'!I42-(0))+'Assumptions'!I47-'Assumptions'!I52*(F683)+'Assumptions'!I57-'Assumptions'!I62*(1)-'Assumptions'!I67-(0))+(('Historical Inputs'!$N$9*(1+(D683))^4)*('Assumptions'!H67+(0))))*'DCF'!I12/(1+(G683))^'DCF'!I13)+('Historical Inputs'!$N$9*(1+(D683))^5)*(1+(H683))*('Terminal Value'!$E$10+(E683))*(1-'Assumptions'!$E$15-(0))*(1-(H683)/('Terminal Value'!$E$12))/((G683)-(H683))/(1+(G683))^'DCF'!$E$19)+'Equity Bridge'!$E$17)/'Equity Bridge'!$E$20</x:f>
        <x:v>275.4406328968354</x:v>
      </x:c>
      <x:c r="X683" s="255" t="n">
        <x:v>0.1577838889972828</x:v>
      </x:c>
      <x:c r="Y683" s="255" t="n">
        <x:v>0.40668708223592476</x:v>
      </x:c>
      <x:c r="Z683" s="255" t="n">
        <x:v>0.5571375171763512</x:v>
      </x:c>
      <x:c r="AA683" s="255" t="n">
        <x:v>0.21797672234149823</x:v>
      </x:c>
      <x:c r="AB683" s="255" t="n">
        <x:v>0.4064720016613139</x:v>
      </x:c>
    </x:row>
    <x:row r="684" ht="24" customHeight="1">
      <x:c r="C684" s="256" t="n">
        <x:f>653</x:f>
        <x:v>653</x:v>
      </x:c>
      <x:c r="D684" s="258" t="n">
        <x:f>IF(X684&lt;($E$12-$D$12)/($F$12-$D$12),$D$12+SQRT(X684*($F$12-$D$12)*($E$12-$D$12)),$F$12-SQRT((1-X684)*($F$12-$D$12)*($F$12-$E$12)))</x:f>
        <x:v>0.14655992122079126</x:v>
      </x:c>
      <x:c r="E684" s="258" t="n">
        <x:f>IF(Y684&lt;($E$13-$D$13)/($F$13-$D$13),$D$13+SQRT(Y684*($F$13-$D$13)*($E$13-$D$13)),$F$13-SQRT((1-Y684)*($F$13-$D$13)*($F$13-$E$13)))</x:f>
        <x:v>-0.03548031414027236</x:v>
      </x:c>
      <x:c r="F684" s="260" t="n">
        <x:f>IF(Z684&lt;($E$14-$D$14)/($F$14-$D$14),$D$14+SQRT(Z684*($F$14-$D$14)*($E$14-$D$14)),$F$14-SQRT((1-Z684)*($F$14-$D$14)*($F$14-$E$14)))</x:f>
        <x:v>0.9625616379620147</x:v>
      </x:c>
      <x:c r="G684" s="258" t="n">
        <x:f>IF(AA684&lt;($E$15-$D$15)/($F$15-$D$15),$D$15+SQRT(AA684*($F$15-$D$15)*($E$15-$D$15)),$F$15-SQRT((1-AA684)*($F$15-$D$15)*($F$15-$E$15)))</x:f>
        <x:v>0.09834685119842217</x:v>
      </x:c>
      <x:c r="H684" s="258" t="n">
        <x:f>IF(AB684&lt;($E$16-$D$16)/($F$16-$D$16),$D$16+SQRT(AB684*($F$16-$D$16)*($E$16-$D$16)),$F$16-SQRT((1-AB684)*($F$16-$D$16)*($F$16-$E$16)))</x:f>
        <x:v>0.028714092508393456</x:v>
      </x:c>
      <x:c r="I684" s="262" t="n">
        <x:f>'Historical Inputs'!$N$9*(1+D684)^5</x:f>
        <x:v>657523.3940100886</x:v>
      </x:c>
      <x:c r="J684" s="262" t="n">
        <x:f>I684*(1+H684)*('Terminal Value'!$E$10+E684)*(1-'Assumptions'!$E$15)*(1-H684/'Terminal Value'!$E$12)</x:f>
        <x:v>168930.67218457063</x:v>
      </x:c>
      <x:c r="K684" s="264" t="n">
        <x:f>((SUM((('Historical Inputs'!$N$9*(1+(D684))^1)*(('Assumptions'!E37+(E684))*(1-'Assumptions'!E42-(0))+'Assumptions'!E47-'Assumptions'!E52*(F684)+'Assumptions'!E57-'Assumptions'!E62*(1)-'Assumptions'!E67-(0))+('Working Capital'!$E$6))*'DCF'!E12/(1+(G684))^'DCF'!E13,(('Historical Inputs'!$N$9*(1+(D684))^2)*(('Assumptions'!F37+(E684))*(1-'Assumptions'!F42-(0))+'Assumptions'!F47-'Assumptions'!F52*(F684)+'Assumptions'!F57-'Assumptions'!F62*(1)-'Assumptions'!F67-(0))+(('Historical Inputs'!$N$9*(1+(D684))^1)*('Assumptions'!E67+(0))))*'DCF'!F12/(1+(G684))^'DCF'!F13,(('Historical Inputs'!$N$9*(1+(D684))^3)*(('Assumptions'!G37+(E684))*(1-'Assumptions'!G42-(0))+'Assumptions'!G47-'Assumptions'!G52*(F684)+'Assumptions'!G57-'Assumptions'!G62*(1)-'Assumptions'!G67-(0))+(('Historical Inputs'!$N$9*(1+(D684))^2)*('Assumptions'!F67+(0))))*'DCF'!G12/(1+(G684))^'DCF'!G13,(('Historical Inputs'!$N$9*(1+(D684))^4)*(('Assumptions'!H37+(E684))*(1-'Assumptions'!H42-(0))+'Assumptions'!H47-'Assumptions'!H52*(F684)+'Assumptions'!H57-'Assumptions'!H62*(1)-'Assumptions'!H67-(0))+(('Historical Inputs'!$N$9*(1+(D684))^3)*('Assumptions'!G67+(0))))*'DCF'!H12/(1+(G684))^'DCF'!H13,(('Historical Inputs'!$N$9*(1+(D684))^5)*(('Assumptions'!I37+(E684))*(1-'Assumptions'!I42-(0))+'Assumptions'!I47-'Assumptions'!I52*(F684)+'Assumptions'!I57-'Assumptions'!I62*(1)-'Assumptions'!I67-(0))+(('Historical Inputs'!$N$9*(1+(D684))^4)*('Assumptions'!H67+(0))))*'DCF'!I12/(1+(G684))^'DCF'!I13)+('Historical Inputs'!$N$9*(1+(D684))^5)*(1+(H684))*('Terminal Value'!$E$10+(E684))*(1-'Assumptions'!$E$15-(0))*(1-(H684)/('Terminal Value'!$E$12))/((G684)-(H684))/(1+(G684))^'DCF'!$E$19)+'Equity Bridge'!$E$17)/'Equity Bridge'!$E$20</x:f>
        <x:v>260.3489820312517</x:v>
      </x:c>
      <x:c r="X684" s="255" t="n">
        <x:v>0.5638761590123307</x:v>
      </x:c>
      <x:c r="Y684" s="255" t="n">
        <x:v>0.04216425549303493</x:v>
      </x:c>
      <x:c r="Z684" s="255" t="n">
        <x:v>0.24133566363222214</x:v>
      </x:c>
      <x:c r="AA684" s="255" t="n">
        <x:v>0.5136707165417633</x:v>
      </x:c>
      <x:c r="AB684" s="255" t="n">
        <x:v>0.379677041224195</x:v>
      </x:c>
    </x:row>
    <x:row r="685" ht="24" customHeight="1">
      <x:c r="C685" s="256" t="n">
        <x:f>654</x:f>
        <x:v>654</x:v>
      </x:c>
      <x:c r="D685" s="258" t="n">
        <x:f>IF(X685&lt;($E$12-$D$12)/($F$12-$D$12),$D$12+SQRT(X685*($F$12-$D$12)*($E$12-$D$12)),$F$12-SQRT((1-X685)*($F$12-$D$12)*($F$12-$E$12)))</x:f>
        <x:v>0.16258566706070726</x:v>
      </x:c>
      <x:c r="E685" s="258" t="n">
        <x:f>IF(Y685&lt;($E$13-$D$13)/($F$13-$D$13),$D$13+SQRT(Y685*($F$13-$D$13)*($E$13-$D$13)),$F$13-SQRT((1-Y685)*($F$13-$D$13)*($F$13-$E$13)))</x:f>
        <x:v>-0.022142804091874687</x:v>
      </x:c>
      <x:c r="F685" s="260" t="n">
        <x:f>IF(Z685&lt;($E$14-$D$14)/($F$14-$D$14),$D$14+SQRT(Z685*($F$14-$D$14)*($E$14-$D$14)),$F$14-SQRT((1-Z685)*($F$14-$D$14)*($F$14-$E$14)))</x:f>
        <x:v>1.1970365805720373</x:v>
      </x:c>
      <x:c r="G685" s="258" t="n">
        <x:f>IF(AA685&lt;($E$15-$D$15)/($F$15-$D$15),$D$15+SQRT(AA685*($F$15-$D$15)*($E$15-$D$15)),$F$15-SQRT((1-AA685)*($F$15-$D$15)*($F$15-$E$15)))</x:f>
        <x:v>0.09204725080024027</x:v>
      </x:c>
      <x:c r="H685" s="258" t="n">
        <x:f>IF(AB685&lt;($E$16-$D$16)/($F$16-$D$16),$D$16+SQRT(AB685*($F$16-$D$16)*($E$16-$D$16)),$F$16-SQRT((1-AB685)*($F$16-$D$16)*($F$16-$E$16)))</x:f>
        <x:v>0.02784521589333513</x:v>
      </x:c>
      <x:c r="I685" s="262" t="n">
        <x:f>'Historical Inputs'!$N$9*(1+D685)^5</x:f>
        <x:v>704777.8528618806</x:v>
      </x:c>
      <x:c r="J685" s="262" t="n">
        <x:f>I685*(1+H685)*('Terminal Value'!$E$10+E685)*(1-'Assumptions'!$E$15)*(1-H685/'Terminal Value'!$E$12)</x:f>
        <x:v>188489.32177242916</x:v>
      </x:c>
      <x:c r="K685" s="264" t="n">
        <x:f>((SUM((('Historical Inputs'!$N$9*(1+(D685))^1)*(('Assumptions'!E37+(E685))*(1-'Assumptions'!E42-(0))+'Assumptions'!E47-'Assumptions'!E52*(F685)+'Assumptions'!E57-'Assumptions'!E62*(1)-'Assumptions'!E67-(0))+('Working Capital'!$E$6))*'DCF'!E12/(1+(G685))^'DCF'!E13,(('Historical Inputs'!$N$9*(1+(D685))^2)*(('Assumptions'!F37+(E685))*(1-'Assumptions'!F42-(0))+'Assumptions'!F47-'Assumptions'!F52*(F685)+'Assumptions'!F57-'Assumptions'!F62*(1)-'Assumptions'!F67-(0))+(('Historical Inputs'!$N$9*(1+(D685))^1)*('Assumptions'!E67+(0))))*'DCF'!F12/(1+(G685))^'DCF'!F13,(('Historical Inputs'!$N$9*(1+(D685))^3)*(('Assumptions'!G37+(E685))*(1-'Assumptions'!G42-(0))+'Assumptions'!G47-'Assumptions'!G52*(F685)+'Assumptions'!G57-'Assumptions'!G62*(1)-'Assumptions'!G67-(0))+(('Historical Inputs'!$N$9*(1+(D685))^2)*('Assumptions'!F67+(0))))*'DCF'!G12/(1+(G685))^'DCF'!G13,(('Historical Inputs'!$N$9*(1+(D685))^4)*(('Assumptions'!H37+(E685))*(1-'Assumptions'!H42-(0))+'Assumptions'!H47-'Assumptions'!H52*(F685)+'Assumptions'!H57-'Assumptions'!H62*(1)-'Assumptions'!H67-(0))+(('Historical Inputs'!$N$9*(1+(D685))^3)*('Assumptions'!G67+(0))))*'DCF'!H12/(1+(G685))^'DCF'!H13,(('Historical Inputs'!$N$9*(1+(D685))^5)*(('Assumptions'!I37+(E685))*(1-'Assumptions'!I42-(0))+'Assumptions'!I47-'Assumptions'!I52*(F685)+'Assumptions'!I57-'Assumptions'!I62*(1)-'Assumptions'!I67-(0))+(('Historical Inputs'!$N$9*(1+(D685))^4)*('Assumptions'!H67+(0))))*'DCF'!I12/(1+(G685))^'DCF'!I13)+('Historical Inputs'!$N$9*(1+(D685))^5)*(1+(H685))*('Terminal Value'!$E$10+(E685))*(1-'Assumptions'!$E$15-(0))*(1-(H685)/('Terminal Value'!$E$12))/((G685)-(H685))/(1+(G685))^'DCF'!$E$19)+'Equity Bridge'!$E$17)/'Equity Bridge'!$E$20</x:f>
        <x:v>301.93425342782973</x:v>
      </x:c>
      <x:c r="X685" s="255" t="n">
        <x:v>0.8118535993716071</x:v>
      </x:c>
      <x:c r="Y685" s="255" t="n">
        <x:v>0.15520467277273475</x:v>
      </x:c>
      <x:c r="Z685" s="255" t="n">
        <x:v>0.9998745449327711</x:v>
      </x:c>
      <x:c r="AA685" s="255" t="n">
        <x:v>0.17629452937594992</x:v>
      </x:c>
      <x:c r="AB685" s="255" t="n">
        <x:v>0.3077370620651908</x:v>
      </x:c>
    </x:row>
    <x:row r="686" ht="24" customHeight="1">
      <x:c r="C686" s="256" t="n">
        <x:f>655</x:f>
        <x:v>655</x:v>
      </x:c>
      <x:c r="D686" s="258" t="n">
        <x:f>IF(X686&lt;($E$12-$D$12)/($F$12-$D$12),$D$12+SQRT(X686*($F$12-$D$12)*($E$12-$D$12)),$F$12-SQRT((1-X686)*($F$12-$D$12)*($F$12-$E$12)))</x:f>
        <x:v>0.1779282182067624</x:v>
      </x:c>
      <x:c r="E686" s="258" t="n">
        <x:f>IF(Y686&lt;($E$13-$D$13)/($F$13-$D$13),$D$13+SQRT(Y686*($F$13-$D$13)*($E$13-$D$13)),$F$13-SQRT((1-Y686)*($F$13-$D$13)*($F$13-$E$13)))</x:f>
        <x:v>-0.03942727115774817</x:v>
      </x:c>
      <x:c r="F686" s="260" t="n">
        <x:f>IF(Z686&lt;($E$14-$D$14)/($F$14-$D$14),$D$14+SQRT(Z686*($F$14-$D$14)*($E$14-$D$14)),$F$14-SQRT((1-Z686)*($F$14-$D$14)*($F$14-$E$14)))</x:f>
        <x:v>1.1114640257149675</x:v>
      </x:c>
      <x:c r="G686" s="258" t="n">
        <x:f>IF(AA686&lt;($E$15-$D$15)/($F$15-$D$15),$D$15+SQRT(AA686*($F$15-$D$15)*($E$15-$D$15)),$F$15-SQRT((1-AA686)*($F$15-$D$15)*($F$15-$E$15)))</x:f>
        <x:v>0.0982090423626508</x:v>
      </x:c>
      <x:c r="H686" s="258" t="n">
        <x:f>IF(AB686&lt;($E$16-$D$16)/($F$16-$D$16),$D$16+SQRT(AB686*($F$16-$D$16)*($E$16-$D$16)),$F$16-SQRT((1-AB686)*($F$16-$D$16)*($F$16-$E$16)))</x:f>
        <x:v>0.03636752390656804</x:v>
      </x:c>
      <x:c r="I686" s="262" t="n">
        <x:f>'Historical Inputs'!$N$9*(1+D686)^5</x:f>
        <x:v>752526.078516343</x:v>
      </x:c>
      <x:c r="J686" s="262" t="n">
        <x:f>I686*(1+H686)*('Terminal Value'!$E$10+E686)*(1-'Assumptions'!$E$15)*(1-H686/'Terminal Value'!$E$12)</x:f>
        <x:v>184059.28063448015</x:v>
      </x:c>
      <x:c r="K686" s="264" t="n">
        <x:f>((SUM((('Historical Inputs'!$N$9*(1+(D686))^1)*(('Assumptions'!E37+(E686))*(1-'Assumptions'!E42-(0))+'Assumptions'!E47-'Assumptions'!E52*(F686)+'Assumptions'!E57-'Assumptions'!E62*(1)-'Assumptions'!E67-(0))+('Working Capital'!$E$6))*'DCF'!E12/(1+(G686))^'DCF'!E13,(('Historical Inputs'!$N$9*(1+(D686))^2)*(('Assumptions'!F37+(E686))*(1-'Assumptions'!F42-(0))+'Assumptions'!F47-'Assumptions'!F52*(F686)+'Assumptions'!F57-'Assumptions'!F62*(1)-'Assumptions'!F67-(0))+(('Historical Inputs'!$N$9*(1+(D686))^1)*('Assumptions'!E67+(0))))*'DCF'!F12/(1+(G686))^'DCF'!F13,(('Historical Inputs'!$N$9*(1+(D686))^3)*(('Assumptions'!G37+(E686))*(1-'Assumptions'!G42-(0))+'Assumptions'!G47-'Assumptions'!G52*(F686)+'Assumptions'!G57-'Assumptions'!G62*(1)-'Assumptions'!G67-(0))+(('Historical Inputs'!$N$9*(1+(D686))^2)*('Assumptions'!F67+(0))))*'DCF'!G12/(1+(G686))^'DCF'!G13,(('Historical Inputs'!$N$9*(1+(D686))^4)*(('Assumptions'!H37+(E686))*(1-'Assumptions'!H42-(0))+'Assumptions'!H47-'Assumptions'!H52*(F686)+'Assumptions'!H57-'Assumptions'!H62*(1)-'Assumptions'!H67-(0))+(('Historical Inputs'!$N$9*(1+(D686))^3)*('Assumptions'!G67+(0))))*'DCF'!H12/(1+(G686))^'DCF'!H13,(('Historical Inputs'!$N$9*(1+(D686))^5)*(('Assumptions'!I37+(E686))*(1-'Assumptions'!I42-(0))+'Assumptions'!I47-'Assumptions'!I52*(F686)+'Assumptions'!I57-'Assumptions'!I62*(1)-'Assumptions'!I67-(0))+(('Historical Inputs'!$N$9*(1+(D686))^4)*('Assumptions'!H67+(0))))*'DCF'!I12/(1+(G686))^'DCF'!I13)+('Historical Inputs'!$N$9*(1+(D686))^5)*(1+(H686))*('Terminal Value'!$E$10+(E686))*(1-'Assumptions'!$E$15-(0))*(1-(H686)/('Terminal Value'!$E$12))/((G686)-(H686))/(1+(G686))^'DCF'!$E$19)+'Equity Bridge'!$E$17)/'Equity Bridge'!$E$20</x:f>
        <x:v>302.09289410776773</x:v>
      </x:c>
      <x:c r="X686" s="255" t="n">
        <x:v>0.9530055559202181</x:v>
      </x:c>
      <x:c r="Y686" s="255" t="n">
        <x:v>0.02235651903435676</x:v>
      </x:c>
      <x:c r="Z686" s="255" t="n">
        <x:v>0.8880197322485724</x:v>
      </x:c>
      <x:c r="AA686" s="255" t="n">
        <x:v>0.504567724795484</x:v>
      </x:c>
      <x:c r="AB686" s="255" t="n">
        <x:v>0.9340255871532265</x:v>
      </x:c>
    </x:row>
    <x:row r="687" ht="24" customHeight="1">
      <x:c r="C687" s="256" t="n">
        <x:f>656</x:f>
        <x:v>656</x:v>
      </x:c>
      <x:c r="D687" s="258" t="n">
        <x:f>IF(X687&lt;($E$12-$D$12)/($F$12-$D$12),$D$12+SQRT(X687*($F$12-$D$12)*($E$12-$D$12)),$F$12-SQRT((1-X687)*($F$12-$D$12)*($F$12-$E$12)))</x:f>
        <x:v>0.1303901580036742</x:v>
      </x:c>
      <x:c r="E687" s="258" t="n">
        <x:f>IF(Y687&lt;($E$13-$D$13)/($F$13-$D$13),$D$13+SQRT(Y687*($F$13-$D$13)*($E$13-$D$13)),$F$13-SQRT((1-Y687)*($F$13-$D$13)*($F$13-$E$13)))</x:f>
        <x:v>-0.009204497755138909</x:v>
      </x:c>
      <x:c r="F687" s="260" t="n">
        <x:f>IF(Z687&lt;($E$14-$D$14)/($F$14-$D$14),$D$14+SQRT(Z687*($F$14-$D$14)*($E$14-$D$14)),$F$14-SQRT((1-Z687)*($F$14-$D$14)*($F$14-$E$14)))</x:f>
        <x:v>1.071960242635987</x:v>
      </x:c>
      <x:c r="G687" s="258" t="n">
        <x:f>IF(AA687&lt;($E$15-$D$15)/($F$15-$D$15),$D$15+SQRT(AA687*($F$15-$D$15)*($E$15-$D$15)),$F$15-SQRT((1-AA687)*($F$15-$D$15)*($F$15-$E$15)))</x:f>
        <x:v>0.09311644199291841</x:v>
      </x:c>
      <x:c r="H687" s="258" t="n">
        <x:f>IF(AB687&lt;($E$16-$D$16)/($F$16-$D$16),$D$16+SQRT(AB687*($F$16-$D$16)*($E$16-$D$16)),$F$16-SQRT((1-AB687)*($F$16-$D$16)*($F$16-$E$16)))</x:f>
        <x:v>0.029815170418626302</x:v>
      </x:c>
      <x:c r="I687" s="262" t="n">
        <x:f>'Historical Inputs'!$N$9*(1+D687)^5</x:f>
        <x:v>612448.0607459975</x:v>
      </x:c>
      <x:c r="J687" s="262" t="n">
        <x:f>I687*(1+H687)*('Terminal Value'!$E$10+E687)*(1-'Assumptions'!$E$15)*(1-H687/'Terminal Value'!$E$12)</x:f>
        <x:v>167787.24422565853</x:v>
      </x:c>
      <x:c r="K687" s="264" t="n">
        <x:f>((SUM((('Historical Inputs'!$N$9*(1+(D687))^1)*(('Assumptions'!E37+(E687))*(1-'Assumptions'!E42-(0))+'Assumptions'!E47-'Assumptions'!E52*(F687)+'Assumptions'!E57-'Assumptions'!E62*(1)-'Assumptions'!E67-(0))+('Working Capital'!$E$6))*'DCF'!E12/(1+(G687))^'DCF'!E13,(('Historical Inputs'!$N$9*(1+(D687))^2)*(('Assumptions'!F37+(E687))*(1-'Assumptions'!F42-(0))+'Assumptions'!F47-'Assumptions'!F52*(F687)+'Assumptions'!F57-'Assumptions'!F62*(1)-'Assumptions'!F67-(0))+(('Historical Inputs'!$N$9*(1+(D687))^1)*('Assumptions'!E67+(0))))*'DCF'!F12/(1+(G687))^'DCF'!F13,(('Historical Inputs'!$N$9*(1+(D687))^3)*(('Assumptions'!G37+(E687))*(1-'Assumptions'!G42-(0))+'Assumptions'!G47-'Assumptions'!G52*(F687)+'Assumptions'!G57-'Assumptions'!G62*(1)-'Assumptions'!G67-(0))+(('Historical Inputs'!$N$9*(1+(D687))^2)*('Assumptions'!F67+(0))))*'DCF'!G12/(1+(G687))^'DCF'!G13,(('Historical Inputs'!$N$9*(1+(D687))^4)*(('Assumptions'!H37+(E687))*(1-'Assumptions'!H42-(0))+'Assumptions'!H47-'Assumptions'!H52*(F687)+'Assumptions'!H57-'Assumptions'!H62*(1)-'Assumptions'!H67-(0))+(('Historical Inputs'!$N$9*(1+(D687))^3)*('Assumptions'!G67+(0))))*'DCF'!H12/(1+(G687))^'DCF'!H13,(('Historical Inputs'!$N$9*(1+(D687))^5)*(('Assumptions'!I37+(E687))*(1-'Assumptions'!I42-(0))+'Assumptions'!I47-'Assumptions'!I52*(F687)+'Assumptions'!I57-'Assumptions'!I62*(1)-'Assumptions'!I67-(0))+(('Historical Inputs'!$N$9*(1+(D687))^4)*('Assumptions'!H67+(0))))*'DCF'!I12/(1+(G687))^'DCF'!I13)+('Historical Inputs'!$N$9*(1+(D687))^5)*(1+(H687))*('Terminal Value'!$E$10+(E687))*(1-'Assumptions'!$E$15-(0))*(1-(H687)/('Terminal Value'!$E$12))/((G687)-(H687))/(1+(G687))^'DCF'!$E$19)+'Equity Bridge'!$E$17)/'Equity Bridge'!$E$20</x:f>
        <x:v>281.444772224865</x:v>
      </x:c>
      <x:c r="X687" s="255" t="n">
        <x:v>0.27577396047708713</x:v>
      </x:c>
      <x:c r="Y687" s="255" t="n">
        <x:v>0.33285460068209327</x:v>
      </x:c>
      <x:c r="Z687" s="255" t="n">
        <x:v>0.7657974362023527</x:v>
      </x:c>
      <x:c r="AA687" s="255" t="n">
        <x:v>0.2211600590076367</x:v>
      </x:c>
      <x:c r="AB687" s="255" t="n">
        <x:v>0.48168785173338446</x:v>
      </x:c>
    </x:row>
    <x:row r="688" ht="24" customHeight="1">
      <x:c r="C688" s="256" t="n">
        <x:f>657</x:f>
        <x:v>657</x:v>
      </x:c>
      <x:c r="D688" s="258" t="n">
        <x:f>IF(X688&lt;($E$12-$D$12)/($F$12-$D$12),$D$12+SQRT(X688*($F$12-$D$12)*($E$12-$D$12)),$F$12-SQRT((1-X688)*($F$12-$D$12)*($F$12-$E$12)))</x:f>
        <x:v>0.14050745770576234</x:v>
      </x:c>
      <x:c r="E688" s="258" t="n">
        <x:f>IF(Y688&lt;($E$13-$D$13)/($F$13-$D$13),$D$13+SQRT(Y688*($F$13-$D$13)*($E$13-$D$13)),$F$13-SQRT((1-Y688)*($F$13-$D$13)*($F$13-$E$13)))</x:f>
        <x:v>0.03548996192259027</x:v>
      </x:c>
      <x:c r="F688" s="260" t="n">
        <x:f>IF(Z688&lt;($E$14-$D$14)/($F$14-$D$14),$D$14+SQRT(Z688*($F$14-$D$14)*($E$14-$D$14)),$F$14-SQRT((1-Z688)*($F$14-$D$14)*($F$14-$E$14)))</x:f>
        <x:v>0.9789480123427241</x:v>
      </x:c>
      <x:c r="G688" s="258" t="n">
        <x:f>IF(AA688&lt;($E$15-$D$15)/($F$15-$D$15),$D$15+SQRT(AA688*($F$15-$D$15)*($E$15-$D$15)),$F$15-SQRT((1-AA688)*($F$15-$D$15)*($F$15-$E$15)))</x:f>
        <x:v>0.09227585011986446</x:v>
      </x:c>
      <x:c r="H688" s="258" t="n">
        <x:f>IF(AB688&lt;($E$16-$D$16)/($F$16-$D$16),$D$16+SQRT(AB688*($F$16-$D$16)*($E$16-$D$16)),$F$16-SQRT((1-AB688)*($F$16-$D$16)*($F$16-$E$16)))</x:f>
        <x:v>0.024710164719347952</x:v>
      </x:c>
      <x:c r="I688" s="262" t="n">
        <x:f>'Historical Inputs'!$N$9*(1+D688)^5</x:f>
        <x:v>640350.9721574557</x:v>
      </x:c>
      <x:c r="J688" s="262" t="n">
        <x:f>I688*(1+H688)*('Terminal Value'!$E$10+E688)*(1-'Assumptions'!$E$15)*(1-H688/'Terminal Value'!$E$12)</x:f>
        <x:v>200361.36910430164</x:v>
      </x:c>
      <x:c r="K688" s="264" t="n">
        <x:f>((SUM((('Historical Inputs'!$N$9*(1+(D688))^1)*(('Assumptions'!E37+(E688))*(1-'Assumptions'!E42-(0))+'Assumptions'!E47-'Assumptions'!E52*(F688)+'Assumptions'!E57-'Assumptions'!E62*(1)-'Assumptions'!E67-(0))+('Working Capital'!$E$6))*'DCF'!E12/(1+(G688))^'DCF'!E13,(('Historical Inputs'!$N$9*(1+(D688))^2)*(('Assumptions'!F37+(E688))*(1-'Assumptions'!F42-(0))+'Assumptions'!F47-'Assumptions'!F52*(F688)+'Assumptions'!F57-'Assumptions'!F62*(1)-'Assumptions'!F67-(0))+(('Historical Inputs'!$N$9*(1+(D688))^1)*('Assumptions'!E67+(0))))*'DCF'!F12/(1+(G688))^'DCF'!F13,(('Historical Inputs'!$N$9*(1+(D688))^3)*(('Assumptions'!G37+(E688))*(1-'Assumptions'!G42-(0))+'Assumptions'!G47-'Assumptions'!G52*(F688)+'Assumptions'!G57-'Assumptions'!G62*(1)-'Assumptions'!G67-(0))+(('Historical Inputs'!$N$9*(1+(D688))^2)*('Assumptions'!F67+(0))))*'DCF'!G12/(1+(G688))^'DCF'!G13,(('Historical Inputs'!$N$9*(1+(D688))^4)*(('Assumptions'!H37+(E688))*(1-'Assumptions'!H42-(0))+'Assumptions'!H47-'Assumptions'!H52*(F688)+'Assumptions'!H57-'Assumptions'!H62*(1)-'Assumptions'!H67-(0))+(('Historical Inputs'!$N$9*(1+(D688))^3)*('Assumptions'!G67+(0))))*'DCF'!H12/(1+(G688))^'DCF'!H13,(('Historical Inputs'!$N$9*(1+(D688))^5)*(('Assumptions'!I37+(E688))*(1-'Assumptions'!I42-(0))+'Assumptions'!I47-'Assumptions'!I52*(F688)+'Assumptions'!I57-'Assumptions'!I62*(1)-'Assumptions'!I67-(0))+(('Historical Inputs'!$N$9*(1+(D688))^4)*('Assumptions'!H67+(0))))*'DCF'!I12/(1+(G688))^'DCF'!I13)+('Historical Inputs'!$N$9*(1+(D688))^5)*(1+(H688))*('Terminal Value'!$E$10+(E688))*(1-'Assumptions'!$E$15-(0))*(1-(H688)/('Terminal Value'!$E$12))/((G688)-(H688))/(1+(G688))^'DCF'!$E$19)+'Equity Bridge'!$E$17)/'Equity Bridge'!$E$20</x:f>
        <x:v>327.03421310883647</x:v>
      </x:c>
      <x:c r="X688" s="255" t="n">
        <x:v>0.4465207381644224</x:v>
      </x:c>
      <x:c r="Y688" s="255" t="n">
        <x:v>0.9578917589984239</x:v>
      </x:c>
      <x:c r="Z688" s="255" t="n">
        <x:v>0.31671599785027293</x:v>
      </x:c>
      <x:c r="AA688" s="255" t="n">
        <x:v>0.18546002216459812</x:v>
      </x:c>
      <x:c r="AB688" s="255" t="n">
        <x:v>0.11092825841695098</x:v>
      </x:c>
    </x:row>
    <x:row r="689" ht="24" customHeight="1">
      <x:c r="C689" s="256" t="n">
        <x:f>658</x:f>
        <x:v>658</x:v>
      </x:c>
      <x:c r="D689" s="258" t="n">
        <x:f>IF(X689&lt;($E$12-$D$12)/($F$12-$D$12),$D$12+SQRT(X689*($F$12-$D$12)*($E$12-$D$12)),$F$12-SQRT((1-X689)*($F$12-$D$12)*($F$12-$E$12)))</x:f>
        <x:v>0.13476763832251296</x:v>
      </x:c>
      <x:c r="E689" s="258" t="n">
        <x:f>IF(Y689&lt;($E$13-$D$13)/($F$13-$D$13),$D$13+SQRT(Y689*($F$13-$D$13)*($E$13-$D$13)),$F$13-SQRT((1-Y689)*($F$13-$D$13)*($F$13-$E$13)))</x:f>
        <x:v>0.013071317014898769</x:v>
      </x:c>
      <x:c r="F689" s="260" t="n">
        <x:f>IF(Z689&lt;($E$14-$D$14)/($F$14-$D$14),$D$14+SQRT(Z689*($F$14-$D$14)*($E$14-$D$14)),$F$14-SQRT((1-Z689)*($F$14-$D$14)*($F$14-$E$14)))</x:f>
        <x:v>1.0401102008960568</x:v>
      </x:c>
      <x:c r="G689" s="258" t="n">
        <x:f>IF(AA689&lt;($E$15-$D$15)/($F$15-$D$15),$D$15+SQRT(AA689*($F$15-$D$15)*($E$15-$D$15)),$F$15-SQRT((1-AA689)*($F$15-$D$15)*($F$15-$E$15)))</x:f>
        <x:v>0.09597948488858796</x:v>
      </x:c>
      <x:c r="H689" s="258" t="n">
        <x:f>IF(AB689&lt;($E$16-$D$16)/($F$16-$D$16),$D$16+SQRT(AB689*($F$16-$D$16)*($E$16-$D$16)),$F$16-SQRT((1-AB689)*($F$16-$D$16)*($F$16-$E$16)))</x:f>
        <x:v>0.02657988812929885</x:v>
      </x:c>
      <x:c r="I689" s="262" t="n">
        <x:f>'Historical Inputs'!$N$9*(1+D689)^5</x:f>
        <x:v>624398.909201029</x:v>
      </x:c>
      <x:c r="J689" s="262" t="n">
        <x:f>I689*(1+H689)*('Terminal Value'!$E$10+E689)*(1-'Assumptions'!$E$15)*(1-H689/'Terminal Value'!$E$12)</x:f>
        <x:v>183670.48808644613</x:v>
      </x:c>
      <x:c r="K689" s="264" t="n">
        <x:f>((SUM((('Historical Inputs'!$N$9*(1+(D689))^1)*(('Assumptions'!E37+(E689))*(1-'Assumptions'!E42-(0))+'Assumptions'!E47-'Assumptions'!E52*(F689)+'Assumptions'!E57-'Assumptions'!E62*(1)-'Assumptions'!E67-(0))+('Working Capital'!$E$6))*'DCF'!E12/(1+(G689))^'DCF'!E13,(('Historical Inputs'!$N$9*(1+(D689))^2)*(('Assumptions'!F37+(E689))*(1-'Assumptions'!F42-(0))+'Assumptions'!F47-'Assumptions'!F52*(F689)+'Assumptions'!F57-'Assumptions'!F62*(1)-'Assumptions'!F67-(0))+(('Historical Inputs'!$N$9*(1+(D689))^1)*('Assumptions'!E67+(0))))*'DCF'!F12/(1+(G689))^'DCF'!F13,(('Historical Inputs'!$N$9*(1+(D689))^3)*(('Assumptions'!G37+(E689))*(1-'Assumptions'!G42-(0))+'Assumptions'!G47-'Assumptions'!G52*(F689)+'Assumptions'!G57-'Assumptions'!G62*(1)-'Assumptions'!G67-(0))+(('Historical Inputs'!$N$9*(1+(D689))^2)*('Assumptions'!F67+(0))))*'DCF'!G12/(1+(G689))^'DCF'!G13,(('Historical Inputs'!$N$9*(1+(D689))^4)*(('Assumptions'!H37+(E689))*(1-'Assumptions'!H42-(0))+'Assumptions'!H47-'Assumptions'!H52*(F689)+'Assumptions'!H57-'Assumptions'!H62*(1)-'Assumptions'!H67-(0))+(('Historical Inputs'!$N$9*(1+(D689))^3)*('Assumptions'!G67+(0))))*'DCF'!H12/(1+(G689))^'DCF'!H13,(('Historical Inputs'!$N$9*(1+(D689))^5)*(('Assumptions'!I37+(E689))*(1-'Assumptions'!I42-(0))+'Assumptions'!I47-'Assumptions'!I52*(F689)+'Assumptions'!I57-'Assumptions'!I62*(1)-'Assumptions'!I67-(0))+(('Historical Inputs'!$N$9*(1+(D689))^4)*('Assumptions'!H67+(0))))*'DCF'!I12/(1+(G689))^'DCF'!I13)+('Historical Inputs'!$N$9*(1+(D689))^5)*(1+(H689))*('Terminal Value'!$E$10+(E689))*(1-'Assumptions'!$E$15-(0))*(1-(H689)/('Terminal Value'!$E$12))/((G689)-(H689))/(1+(G689))^'DCF'!$E$19)+'Equity Bridge'!$E$17)/'Equity Bridge'!$E$20</x:f>
        <x:v>285.0168644819337</x:v>
      </x:c>
      <x:c r="X689" s="255" t="n">
        <x:v>0.344626256383162</x:v>
      </x:c>
      <x:c r="Y689" s="255" t="n">
        <x:v>0.727254474597179</x:v>
      </x:c>
      <x:c r="Z689" s="255" t="n">
        <x:v>0.634789316321438</x:v>
      </x:c>
      <x:c r="AA689" s="255" t="n">
        <x:v>0.36631753183900084</x:v>
      </x:c>
      <x:c r="AB689" s="255" t="n">
        <x:v>0.21647463897043973</x:v>
      </x:c>
    </x:row>
    <x:row r="690" ht="24" customHeight="1">
      <x:c r="C690" s="256" t="n">
        <x:f>659</x:f>
        <x:v>659</x:v>
      </x:c>
      <x:c r="D690" s="258" t="n">
        <x:f>IF(X690&lt;($E$12-$D$12)/($F$12-$D$12),$D$12+SQRT(X690*($F$12-$D$12)*($E$12-$D$12)),$F$12-SQRT((1-X690)*($F$12-$D$12)*($F$12-$E$12)))</x:f>
        <x:v>0.1351035808445256</x:v>
      </x:c>
      <x:c r="E690" s="258" t="n">
        <x:f>IF(Y690&lt;($E$13-$D$13)/($F$13-$D$13),$D$13+SQRT(Y690*($F$13-$D$13)*($E$13-$D$13)),$F$13-SQRT((1-Y690)*($F$13-$D$13)*($F$13-$E$13)))</x:f>
        <x:v>-0.01298622411905355</x:v>
      </x:c>
      <x:c r="F690" s="260" t="n">
        <x:f>IF(Z690&lt;($E$14-$D$14)/($F$14-$D$14),$D$14+SQRT(Z690*($F$14-$D$14)*($E$14-$D$14)),$F$14-SQRT((1-Z690)*($F$14-$D$14)*($F$14-$E$14)))</x:f>
        <x:v>0.9384881436747683</x:v>
      </x:c>
      <x:c r="G690" s="258" t="n">
        <x:f>IF(AA690&lt;($E$15-$D$15)/($F$15-$D$15),$D$15+SQRT(AA690*($F$15-$D$15)*($E$15-$D$15)),$F$15-SQRT((1-AA690)*($F$15-$D$15)*($F$15-$E$15)))</x:f>
        <x:v>0.09815024281626772</x:v>
      </x:c>
      <x:c r="H690" s="258" t="n">
        <x:f>IF(AB690&lt;($E$16-$D$16)/($F$16-$D$16),$D$16+SQRT(AB690*($F$16-$D$16)*($E$16-$D$16)),$F$16-SQRT((1-AB690)*($F$16-$D$16)*($F$16-$E$16)))</x:f>
        <x:v>0.025017198808209844</x:v>
      </x:c>
      <x:c r="I690" s="262" t="n">
        <x:f>'Historical Inputs'!$N$9*(1+D690)^5</x:f>
        <x:v>625323.7081296376</x:v>
      </x:c>
      <x:c r="J690" s="262" t="n">
        <x:f>I690*(1+H690)*('Terminal Value'!$E$10+E690)*(1-'Assumptions'!$E$15)*(1-H690/'Terminal Value'!$E$12)</x:f>
        <x:v>173627.226181276</x:v>
      </x:c>
      <x:c r="K690" s="264" t="n">
        <x:f>((SUM((('Historical Inputs'!$N$9*(1+(D690))^1)*(('Assumptions'!E37+(E690))*(1-'Assumptions'!E42-(0))+'Assumptions'!E47-'Assumptions'!E52*(F690)+'Assumptions'!E57-'Assumptions'!E62*(1)-'Assumptions'!E67-(0))+('Working Capital'!$E$6))*'DCF'!E12/(1+(G690))^'DCF'!E13,(('Historical Inputs'!$N$9*(1+(D690))^2)*(('Assumptions'!F37+(E690))*(1-'Assumptions'!F42-(0))+'Assumptions'!F47-'Assumptions'!F52*(F690)+'Assumptions'!F57-'Assumptions'!F62*(1)-'Assumptions'!F67-(0))+(('Historical Inputs'!$N$9*(1+(D690))^1)*('Assumptions'!E67+(0))))*'DCF'!F12/(1+(G690))^'DCF'!F13,(('Historical Inputs'!$N$9*(1+(D690))^3)*(('Assumptions'!G37+(E690))*(1-'Assumptions'!G42-(0))+'Assumptions'!G47-'Assumptions'!G52*(F690)+'Assumptions'!G57-'Assumptions'!G62*(1)-'Assumptions'!G67-(0))+(('Historical Inputs'!$N$9*(1+(D690))^2)*('Assumptions'!F67+(0))))*'DCF'!G12/(1+(G690))^'DCF'!G13,(('Historical Inputs'!$N$9*(1+(D690))^4)*(('Assumptions'!H37+(E690))*(1-'Assumptions'!H42-(0))+'Assumptions'!H47-'Assumptions'!H52*(F690)+'Assumptions'!H57-'Assumptions'!H62*(1)-'Assumptions'!H67-(0))+(('Historical Inputs'!$N$9*(1+(D690))^3)*('Assumptions'!G67+(0))))*'DCF'!H12/(1+(G690))^'DCF'!H13,(('Historical Inputs'!$N$9*(1+(D690))^5)*(('Assumptions'!I37+(E690))*(1-'Assumptions'!I42-(0))+'Assumptions'!I47-'Assumptions'!I52*(F690)+'Assumptions'!I57-'Assumptions'!I62*(1)-'Assumptions'!I67-(0))+(('Historical Inputs'!$N$9*(1+(D690))^4)*('Assumptions'!H67+(0))))*'DCF'!I12/(1+(G690))^'DCF'!I13)+('Historical Inputs'!$N$9*(1+(D690))^5)*(1+(H690))*('Terminal Value'!$E$10+(E690))*(1-'Assumptions'!$E$15-(0))*(1-(H690)/('Terminal Value'!$E$12))/((G690)-(H690))/(1+(G690))^'DCF'!$E$19)+'Equity Bridge'!$E$17)/'Equity Bridge'!$E$20</x:f>
        <x:v>260.22371144702413</x:v>
      </x:c>
      <x:c r="X690" s="255" t="n">
        <x:v>0.3502269003372287</x:v>
      </x:c>
      <x:c r="Y690" s="255" t="n">
        <x:v>0.27400392099298665</x:v>
      </x:c>
      <x:c r="Z690" s="255" t="n">
        <x:v>0.14914574420964666</x:v>
      </x:c>
      <x:c r="AA690" s="255" t="n">
        <x:v>0.500658018379425</x:v>
      </x:c>
      <x:c r="AB690" s="255" t="n">
        <x:v>0.12586141940551154</x:v>
      </x:c>
    </x:row>
    <x:row r="691" ht="24" customHeight="1">
      <x:c r="C691" s="256" t="n">
        <x:f>660</x:f>
        <x:v>660</x:v>
      </x:c>
      <x:c r="D691" s="258" t="n">
        <x:f>IF(X691&lt;($E$12-$D$12)/($F$12-$D$12),$D$12+SQRT(X691*($F$12-$D$12)*($E$12-$D$12)),$F$12-SQRT((1-X691)*($F$12-$D$12)*($F$12-$E$12)))</x:f>
        <x:v>0.15196080250471605</x:v>
      </x:c>
      <x:c r="E691" s="258" t="n">
        <x:f>IF(Y691&lt;($E$13-$D$13)/($F$13-$D$13),$D$13+SQRT(Y691*($F$13-$D$13)*($E$13-$D$13)),$F$13-SQRT((1-Y691)*($F$13-$D$13)*($F$13-$E$13)))</x:f>
        <x:v>-0.01548897603298216</x:v>
      </x:c>
      <x:c r="F691" s="260" t="n">
        <x:f>IF(Z691&lt;($E$14-$D$14)/($F$14-$D$14),$D$14+SQRT(Z691*($F$14-$D$14)*($E$14-$D$14)),$F$14-SQRT((1-Z691)*($F$14-$D$14)*($F$14-$E$14)))</x:f>
        <x:v>1.0632114105090145</x:v>
      </x:c>
      <x:c r="G691" s="258" t="n">
        <x:f>IF(AA691&lt;($E$15-$D$15)/($F$15-$D$15),$D$15+SQRT(AA691*($F$15-$D$15)*($E$15-$D$15)),$F$15-SQRT((1-AA691)*($F$15-$D$15)*($F$15-$E$15)))</x:f>
        <x:v>0.10071443146837608</x:v>
      </x:c>
      <x:c r="H691" s="258" t="n">
        <x:f>IF(AB691&lt;($E$16-$D$16)/($F$16-$D$16),$D$16+SQRT(AB691*($F$16-$D$16)*($E$16-$D$16)),$F$16-SQRT((1-AB691)*($F$16-$D$16)*($F$16-$E$16)))</x:f>
        <x:v>0.031954152650566905</x:v>
      </x:c>
      <x:c r="I691" s="262" t="n">
        <x:f>'Historical Inputs'!$N$9*(1+D691)^5</x:f>
        <x:v>673156.3307142119</x:v>
      </x:c>
      <x:c r="J691" s="262" t="n">
        <x:f>I691*(1+H691)*('Terminal Value'!$E$10+E691)*(1-'Assumptions'!$E$15)*(1-H691/'Terminal Value'!$E$12)</x:f>
        <x:v>179544.83214680466</x:v>
      </x:c>
      <x:c r="K691" s="264" t="n">
        <x:f>((SUM((('Historical Inputs'!$N$9*(1+(D691))^1)*(('Assumptions'!E37+(E691))*(1-'Assumptions'!E42-(0))+'Assumptions'!E47-'Assumptions'!E52*(F691)+'Assumptions'!E57-'Assumptions'!E62*(1)-'Assumptions'!E67-(0))+('Working Capital'!$E$6))*'DCF'!E12/(1+(G691))^'DCF'!E13,(('Historical Inputs'!$N$9*(1+(D691))^2)*(('Assumptions'!F37+(E691))*(1-'Assumptions'!F42-(0))+'Assumptions'!F47-'Assumptions'!F52*(F691)+'Assumptions'!F57-'Assumptions'!F62*(1)-'Assumptions'!F67-(0))+(('Historical Inputs'!$N$9*(1+(D691))^1)*('Assumptions'!E67+(0))))*'DCF'!F12/(1+(G691))^'DCF'!F13,(('Historical Inputs'!$N$9*(1+(D691))^3)*(('Assumptions'!G37+(E691))*(1-'Assumptions'!G42-(0))+'Assumptions'!G47-'Assumptions'!G52*(F691)+'Assumptions'!G57-'Assumptions'!G62*(1)-'Assumptions'!G67-(0))+(('Historical Inputs'!$N$9*(1+(D691))^2)*('Assumptions'!F67+(0))))*'DCF'!G12/(1+(G691))^'DCF'!G13,(('Historical Inputs'!$N$9*(1+(D691))^4)*(('Assumptions'!H37+(E691))*(1-'Assumptions'!H42-(0))+'Assumptions'!H47-'Assumptions'!H52*(F691)+'Assumptions'!H57-'Assumptions'!H62*(1)-'Assumptions'!H67-(0))+(('Historical Inputs'!$N$9*(1+(D691))^3)*('Assumptions'!G67+(0))))*'DCF'!H12/(1+(G691))^'DCF'!H13,(('Historical Inputs'!$N$9*(1+(D691))^5)*(('Assumptions'!I37+(E691))*(1-'Assumptions'!I42-(0))+'Assumptions'!I47-'Assumptions'!I52*(F691)+'Assumptions'!I57-'Assumptions'!I62*(1)-'Assumptions'!I67-(0))+(('Historical Inputs'!$N$9*(1+(D691))^4)*('Assumptions'!H67+(0))))*'DCF'!I12/(1+(G691))^'DCF'!I13)+('Historical Inputs'!$N$9*(1+(D691))^5)*(1+(H691))*('Terminal Value'!$E$10+(E691))*(1-'Assumptions'!$E$15-(0))*(1-(H691)/('Terminal Value'!$E$12))/((G691)-(H691))/(1+(G691))^'DCF'!$E$19)+'Equity Bridge'!$E$17)/'Equity Bridge'!$E$20</x:f>
        <x:v>272.263311531877</x:v>
      </x:c>
      <x:c r="X691" s="255" t="n">
        <x:v>0.6589244539527352</x:v>
      </x:c>
      <x:c r="Y691" s="255" t="n">
        <x:v>0.23820215505041598</x:v>
      </x:c>
      <x:c r="Z691" s="255" t="n">
        <x:v>0.7326983112152381</x:v>
      </x:c>
      <x:c r="AA691" s="255" t="n">
        <x:v>0.6568801538391785</x:v>
      </x:c>
      <x:c r="AB691" s="255" t="n">
        <x:v>0.6763217021481023</x:v>
      </x:c>
    </x:row>
    <x:row r="692" ht="24" customHeight="1">
      <x:c r="C692" s="256" t="n">
        <x:f>661</x:f>
        <x:v>661</x:v>
      </x:c>
      <x:c r="D692" s="258" t="n">
        <x:f>IF(X692&lt;($E$12-$D$12)/($F$12-$D$12),$D$12+SQRT(X692*($F$12-$D$12)*($E$12-$D$12)),$F$12-SQRT((1-X692)*($F$12-$D$12)*($F$12-$E$12)))</x:f>
        <x:v>0.17469305068724075</x:v>
      </x:c>
      <x:c r="E692" s="258" t="n">
        <x:f>IF(Y692&lt;($E$13-$D$13)/($F$13-$D$13),$D$13+SQRT(Y692*($F$13-$D$13)*($E$13-$D$13)),$F$13-SQRT((1-Y692)*($F$13-$D$13)*($F$13-$E$13)))</x:f>
        <x:v>-0.0158023071724053</x:v>
      </x:c>
      <x:c r="F692" s="260" t="n">
        <x:f>IF(Z692&lt;($E$14-$D$14)/($F$14-$D$14),$D$14+SQRT(Z692*($F$14-$D$14)*($E$14-$D$14)),$F$14-SQRT((1-Z692)*($F$14-$D$14)*($F$14-$E$14)))</x:f>
        <x:v>1.0254508176560901</x:v>
      </x:c>
      <x:c r="G692" s="258" t="n">
        <x:f>IF(AA692&lt;($E$15-$D$15)/($F$15-$D$15),$D$15+SQRT(AA692*($F$15-$D$15)*($E$15-$D$15)),$F$15-SQRT((1-AA692)*($F$15-$D$15)*($F$15-$E$15)))</x:f>
        <x:v>0.10655944076172122</x:v>
      </x:c>
      <x:c r="H692" s="258" t="n">
        <x:f>IF(AB692&lt;($E$16-$D$16)/($F$16-$D$16),$D$16+SQRT(AB692*($F$16-$D$16)*($E$16-$D$16)),$F$16-SQRT((1-AB692)*($F$16-$D$16)*($F$16-$E$16)))</x:f>
        <x:v>0.03546825371349359</x:v>
      </x:c>
      <x:c r="I692" s="262" t="n">
        <x:f>'Historical Inputs'!$N$9*(1+D692)^5</x:f>
        <x:v>742248.6624277582</x:v>
      </x:c>
      <x:c r="J692" s="262" t="n">
        <x:f>I692*(1+H692)*('Terminal Value'!$E$10+E692)*(1-'Assumptions'!$E$15)*(1-H692/'Terminal Value'!$E$12)</x:f>
        <x:v>194334.83822361924</x:v>
      </x:c>
      <x:c r="K692" s="264" t="n">
        <x:f>((SUM((('Historical Inputs'!$N$9*(1+(D692))^1)*(('Assumptions'!E37+(E692))*(1-'Assumptions'!E42-(0))+'Assumptions'!E47-'Assumptions'!E52*(F692)+'Assumptions'!E57-'Assumptions'!E62*(1)-'Assumptions'!E67-(0))+('Working Capital'!$E$6))*'DCF'!E12/(1+(G692))^'DCF'!E13,(('Historical Inputs'!$N$9*(1+(D692))^2)*(('Assumptions'!F37+(E692))*(1-'Assumptions'!F42-(0))+'Assumptions'!F47-'Assumptions'!F52*(F692)+'Assumptions'!F57-'Assumptions'!F62*(1)-'Assumptions'!F67-(0))+(('Historical Inputs'!$N$9*(1+(D692))^1)*('Assumptions'!E67+(0))))*'DCF'!F12/(1+(G692))^'DCF'!F13,(('Historical Inputs'!$N$9*(1+(D692))^3)*(('Assumptions'!G37+(E692))*(1-'Assumptions'!G42-(0))+'Assumptions'!G47-'Assumptions'!G52*(F692)+'Assumptions'!G57-'Assumptions'!G62*(1)-'Assumptions'!G67-(0))+(('Historical Inputs'!$N$9*(1+(D692))^2)*('Assumptions'!F67+(0))))*'DCF'!G12/(1+(G692))^'DCF'!G13,(('Historical Inputs'!$N$9*(1+(D692))^4)*(('Assumptions'!H37+(E692))*(1-'Assumptions'!H42-(0))+'Assumptions'!H47-'Assumptions'!H52*(F692)+'Assumptions'!H57-'Assumptions'!H62*(1)-'Assumptions'!H67-(0))+(('Historical Inputs'!$N$9*(1+(D692))^3)*('Assumptions'!G67+(0))))*'DCF'!H12/(1+(G692))^'DCF'!H13,(('Historical Inputs'!$N$9*(1+(D692))^5)*(('Assumptions'!I37+(E692))*(1-'Assumptions'!I42-(0))+'Assumptions'!I47-'Assumptions'!I52*(F692)+'Assumptions'!I57-'Assumptions'!I62*(1)-'Assumptions'!I67-(0))+(('Historical Inputs'!$N$9*(1+(D692))^4)*('Assumptions'!H67+(0))))*'DCF'!I12/(1+(G692))^'DCF'!I13)+('Historical Inputs'!$N$9*(1+(D692))^5)*(1+(H692))*('Terminal Value'!$E$10+(E692))*(1-'Assumptions'!$E$15-(0))*(1-(H692)/('Terminal Value'!$E$12))/((G692)-(H692))/(1+(G692))^'DCF'!$E$19)+'Equity Bridge'!$E$17)/'Equity Bridge'!$E$20</x:f>
        <x:v>282.36831398435714</x:v>
      </x:c>
      <x:c r="X692" s="255" t="n">
        <x:v>0.9310757951114368</x:v>
      </x:c>
      <x:c r="Y692" s="255" t="n">
        <x:v>0.23389643894610446</x:v>
      </x:c>
      <x:c r="Z692" s="255" t="n">
        <x:v>0.5647511849010362</x:v>
      </x:c>
      <x:c r="AA692" s="255" t="n">
        <x:v>0.9037586215381739</x:v>
      </x:c>
      <x:c r="AB692" s="255" t="n">
        <x:v>0.8973163779736769</x:v>
      </x:c>
    </x:row>
    <x:row r="693" ht="24" customHeight="1">
      <x:c r="C693" s="256" t="n">
        <x:f>662</x:f>
        <x:v>662</x:v>
      </x:c>
      <x:c r="D693" s="258" t="n">
        <x:f>IF(X693&lt;($E$12-$D$12)/($F$12-$D$12),$D$12+SQRT(X693*($F$12-$D$12)*($E$12-$D$12)),$F$12-SQRT((1-X693)*($F$12-$D$12)*($F$12-$E$12)))</x:f>
        <x:v>0.11911880385824192</x:v>
      </x:c>
      <x:c r="E693" s="258" t="n">
        <x:f>IF(Y693&lt;($E$13-$D$13)/($F$13-$D$13),$D$13+SQRT(Y693*($F$13-$D$13)*($E$13-$D$13)),$F$13-SQRT((1-Y693)*($F$13-$D$13)*($F$13-$E$13)))</x:f>
        <x:v>0.001515600944357036</x:v>
      </x:c>
      <x:c r="F693" s="260" t="n">
        <x:f>IF(Z693&lt;($E$14-$D$14)/($F$14-$D$14),$D$14+SQRT(Z693*($F$14-$D$14)*($E$14-$D$14)),$F$14-SQRT((1-Z693)*($F$14-$D$14)*($F$14-$E$14)))</x:f>
        <x:v>1.055483782544338</x:v>
      </x:c>
      <x:c r="G693" s="258" t="n">
        <x:f>IF(AA693&lt;($E$15-$D$15)/($F$15-$D$15),$D$15+SQRT(AA693*($F$15-$D$15)*($E$15-$D$15)),$F$15-SQRT((1-AA693)*($F$15-$D$15)*($F$15-$E$15)))</x:f>
        <x:v>0.09937648127570643</x:v>
      </x:c>
      <x:c r="H693" s="258" t="n">
        <x:f>IF(AB693&lt;($E$16-$D$16)/($F$16-$D$16),$D$16+SQRT(AB693*($F$16-$D$16)*($E$16-$D$16)),$F$16-SQRT((1-AB693)*($F$16-$D$16)*($F$16-$E$16)))</x:f>
        <x:v>0.030136596634644713</x:v>
      </x:c>
      <x:c r="I693" s="262" t="n">
        <x:f>'Historical Inputs'!$N$9*(1+D693)^5</x:f>
        <x:v>582516.7138575906</x:v>
      </x:c>
      <x:c r="J693" s="262" t="n">
        <x:f>I693*(1+H693)*('Terminal Value'!$E$10+E693)*(1-'Assumptions'!$E$15)*(1-H693/'Terminal Value'!$E$12)</x:f>
        <x:v>163706.31933372436</x:v>
      </x:c>
      <x:c r="K693" s="264" t="n">
        <x:f>((SUM((('Historical Inputs'!$N$9*(1+(D693))^1)*(('Assumptions'!E37+(E693))*(1-'Assumptions'!E42-(0))+'Assumptions'!E47-'Assumptions'!E52*(F693)+'Assumptions'!E57-'Assumptions'!E62*(1)-'Assumptions'!E67-(0))+('Working Capital'!$E$6))*'DCF'!E12/(1+(G693))^'DCF'!E13,(('Historical Inputs'!$N$9*(1+(D693))^2)*(('Assumptions'!F37+(E693))*(1-'Assumptions'!F42-(0))+'Assumptions'!F47-'Assumptions'!F52*(F693)+'Assumptions'!F57-'Assumptions'!F62*(1)-'Assumptions'!F67-(0))+(('Historical Inputs'!$N$9*(1+(D693))^1)*('Assumptions'!E67+(0))))*'DCF'!F12/(1+(G693))^'DCF'!F13,(('Historical Inputs'!$N$9*(1+(D693))^3)*(('Assumptions'!G37+(E693))*(1-'Assumptions'!G42-(0))+'Assumptions'!G47-'Assumptions'!G52*(F693)+'Assumptions'!G57-'Assumptions'!G62*(1)-'Assumptions'!G67-(0))+(('Historical Inputs'!$N$9*(1+(D693))^2)*('Assumptions'!F67+(0))))*'DCF'!G12/(1+(G693))^'DCF'!G13,(('Historical Inputs'!$N$9*(1+(D693))^4)*(('Assumptions'!H37+(E693))*(1-'Assumptions'!H42-(0))+'Assumptions'!H47-'Assumptions'!H52*(F693)+'Assumptions'!H57-'Assumptions'!H62*(1)-'Assumptions'!H67-(0))+(('Historical Inputs'!$N$9*(1+(D693))^3)*('Assumptions'!G67+(0))))*'DCF'!H12/(1+(G693))^'DCF'!H13,(('Historical Inputs'!$N$9*(1+(D693))^5)*(('Assumptions'!I37+(E693))*(1-'Assumptions'!I42-(0))+'Assumptions'!I47-'Assumptions'!I52*(F693)+'Assumptions'!I57-'Assumptions'!I62*(1)-'Assumptions'!I67-(0))+(('Historical Inputs'!$N$9*(1+(D693))^4)*('Assumptions'!H67+(0))))*'DCF'!I12/(1+(G693))^'DCF'!I13)+('Historical Inputs'!$N$9*(1+(D693))^5)*(1+(H693))*('Terminal Value'!$E$10+(E693))*(1-'Assumptions'!$E$15-(0))*(1-(H693)/('Terminal Value'!$E$12))/((G693)-(H693))/(1+(G693))^'DCF'!$E$19)+'Equity Bridge'!$E$17)/'Equity Bridge'!$E$20</x:f>
        <x:v>251.1816544610418</x:v>
      </x:c>
      <x:c r="X693" s="255" t="n">
        <x:v>0.13376635397604464</x:v>
      </x:c>
      <x:c r="Y693" s="255" t="n">
        <x:v>0.5298526096426335</x:v>
      </x:c>
      <x:c r="Z693" s="255" t="n">
        <x:v>0.7016437556043967</x:v>
      </x:c>
      <x:c r="AA693" s="255" t="n">
        <x:v>0.5790119704482971</x:v>
      </x:c>
      <x:c r="AB693" s="255" t="n">
        <x:v>0.5135663702614901</x:v>
      </x:c>
    </x:row>
    <x:row r="694" ht="24" customHeight="1">
      <x:c r="C694" s="256" t="n">
        <x:f>663</x:f>
        <x:v>663</x:v>
      </x:c>
      <x:c r="D694" s="258" t="n">
        <x:f>IF(X694&lt;($E$12-$D$12)/($F$12-$D$12),$D$12+SQRT(X694*($F$12-$D$12)*($E$12-$D$12)),$F$12-SQRT((1-X694)*($F$12-$D$12)*($F$12-$E$12)))</x:f>
        <x:v>0.13901205436702582</x:v>
      </x:c>
      <x:c r="E694" s="258" t="n">
        <x:f>IF(Y694&lt;($E$13-$D$13)/($F$13-$D$13),$D$13+SQRT(Y694*($F$13-$D$13)*($E$13-$D$13)),$F$13-SQRT((1-Y694)*($F$13-$D$13)*($F$13-$E$13)))</x:f>
        <x:v>0.007831730798975353</x:v>
      </x:c>
      <x:c r="F694" s="260" t="n">
        <x:f>IF(Z694&lt;($E$14-$D$14)/($F$14-$D$14),$D$14+SQRT(Z694*($F$14-$D$14)*($E$14-$D$14)),$F$14-SQRT((1-Z694)*($F$14-$D$14)*($F$14-$E$14)))</x:f>
        <x:v>1.0575292266856953</x:v>
      </x:c>
      <x:c r="G694" s="258" t="n">
        <x:f>IF(AA694&lt;($E$15-$D$15)/($F$15-$D$15),$D$15+SQRT(AA694*($F$15-$D$15)*($E$15-$D$15)),$F$15-SQRT((1-AA694)*($F$15-$D$15)*($F$15-$E$15)))</x:f>
        <x:v>0.10236109592011312</x:v>
      </x:c>
      <x:c r="H694" s="258" t="n">
        <x:f>IF(AB694&lt;($E$16-$D$16)/($F$16-$D$16),$D$16+SQRT(AB694*($F$16-$D$16)*($E$16-$D$16)),$F$16-SQRT((1-AB694)*($F$16-$D$16)*($F$16-$E$16)))</x:f>
        <x:v>0.03276684720982129</x:v>
      </x:c>
      <x:c r="I694" s="262" t="n">
        <x:f>'Historical Inputs'!$N$9*(1+D694)^5</x:f>
        <x:v>636163.9098526158</x:v>
      </x:c>
      <x:c r="J694" s="262" t="n">
        <x:f>I694*(1+H694)*('Terminal Value'!$E$10+E694)*(1-'Assumptions'!$E$15)*(1-H694/'Terminal Value'!$E$12)</x:f>
        <x:v>179239.90167693637</x:v>
      </x:c>
      <x:c r="K694" s="264" t="n">
        <x:f>((SUM((('Historical Inputs'!$N$9*(1+(D694))^1)*(('Assumptions'!E37+(E694))*(1-'Assumptions'!E42-(0))+'Assumptions'!E47-'Assumptions'!E52*(F694)+'Assumptions'!E57-'Assumptions'!E62*(1)-'Assumptions'!E67-(0))+('Working Capital'!$E$6))*'DCF'!E12/(1+(G694))^'DCF'!E13,(('Historical Inputs'!$N$9*(1+(D694))^2)*(('Assumptions'!F37+(E694))*(1-'Assumptions'!F42-(0))+'Assumptions'!F47-'Assumptions'!F52*(F694)+'Assumptions'!F57-'Assumptions'!F62*(1)-'Assumptions'!F67-(0))+(('Historical Inputs'!$N$9*(1+(D694))^1)*('Assumptions'!E67+(0))))*'DCF'!F12/(1+(G694))^'DCF'!F13,(('Historical Inputs'!$N$9*(1+(D694))^3)*(('Assumptions'!G37+(E694))*(1-'Assumptions'!G42-(0))+'Assumptions'!G47-'Assumptions'!G52*(F694)+'Assumptions'!G57-'Assumptions'!G62*(1)-'Assumptions'!G67-(0))+(('Historical Inputs'!$N$9*(1+(D694))^2)*('Assumptions'!F67+(0))))*'DCF'!G12/(1+(G694))^'DCF'!G13,(('Historical Inputs'!$N$9*(1+(D694))^4)*(('Assumptions'!H37+(E694))*(1-'Assumptions'!H42-(0))+'Assumptions'!H47-'Assumptions'!H52*(F694)+'Assumptions'!H57-'Assumptions'!H62*(1)-'Assumptions'!H67-(0))+(('Historical Inputs'!$N$9*(1+(D694))^3)*('Assumptions'!G67+(0))))*'DCF'!H12/(1+(G694))^'DCF'!H13,(('Historical Inputs'!$N$9*(1+(D694))^5)*(('Assumptions'!I37+(E694))*(1-'Assumptions'!I42-(0))+'Assumptions'!I47-'Assumptions'!I52*(F694)+'Assumptions'!I57-'Assumptions'!I62*(1)-'Assumptions'!I67-(0))+(('Historical Inputs'!$N$9*(1+(D694))^4)*('Assumptions'!H67+(0))))*'DCF'!I12/(1+(G694))^'DCF'!I13)+('Historical Inputs'!$N$9*(1+(D694))^5)*(1+(H694))*('Terminal Value'!$E$10+(E694))*(1-'Assumptions'!$E$15-(0))*(1-(H694)/('Terminal Value'!$E$12))/((G694)-(H694))/(1+(G694))^'DCF'!$E$19)+'Equity Bridge'!$E$17)/'Equity Bridge'!$E$20</x:f>
        <x:v>270.4545332122737</x:v>
      </x:c>
      <x:c r="X694" s="255" t="n">
        <x:v>0.41870460056501635</x:v>
      </x:c>
      <x:c r="Y694" s="255" t="n">
        <x:v>0.6443674145179832</x:v>
      </x:c>
      <x:c r="Z694" s="255" t="n">
        <x:v>0.7100296964460567</x:v>
      </x:c>
      <x:c r="AA694" s="255" t="n">
        <x:v>0.7417939235447147</x:v>
      </x:c>
      <x:c r="AB694" s="255" t="n">
        <x:v>0.7384075035696495</x:v>
      </x:c>
    </x:row>
    <x:row r="695" ht="24" customHeight="1">
      <x:c r="C695" s="256" t="n">
        <x:f>664</x:f>
        <x:v>664</x:v>
      </x:c>
      <x:c r="D695" s="258" t="n">
        <x:f>IF(X695&lt;($E$12-$D$12)/($F$12-$D$12),$D$12+SQRT(X695*($F$12-$D$12)*($E$12-$D$12)),$F$12-SQRT((1-X695)*($F$12-$D$12)*($F$12-$E$12)))</x:f>
        <x:v>0.1483923496463131</x:v>
      </x:c>
      <x:c r="E695" s="258" t="n">
        <x:f>IF(Y695&lt;($E$13-$D$13)/($F$13-$D$13),$D$13+SQRT(Y695*($F$13-$D$13)*($E$13-$D$13)),$F$13-SQRT((1-Y695)*($F$13-$D$13)*($F$13-$E$13)))</x:f>
        <x:v>0.0037531995934340437</x:v>
      </x:c>
      <x:c r="F695" s="260" t="n">
        <x:f>IF(Z695&lt;($E$14-$D$14)/($F$14-$D$14),$D$14+SQRT(Z695*($F$14-$D$14)*($E$14-$D$14)),$F$14-SQRT((1-Z695)*($F$14-$D$14)*($F$14-$E$14)))</x:f>
        <x:v>1.1373377294765885</x:v>
      </x:c>
      <x:c r="G695" s="258" t="n">
        <x:f>IF(AA695&lt;($E$15-$D$15)/($F$15-$D$15),$D$15+SQRT(AA695*($F$15-$D$15)*($E$15-$D$15)),$F$15-SQRT((1-AA695)*($F$15-$D$15)*($F$15-$E$15)))</x:f>
        <x:v>0.1011183728372727</x:v>
      </x:c>
      <x:c r="H695" s="258" t="n">
        <x:f>IF(AB695&lt;($E$16-$D$16)/($F$16-$D$16),$D$16+SQRT(AB695*($F$16-$D$16)*($E$16-$D$16)),$F$16-SQRT((1-AB695)*($F$16-$D$16)*($F$16-$E$16)))</x:f>
        <x:v>0.025912032272703528</x:v>
      </x:c>
      <x:c r="I695" s="262" t="n">
        <x:f>'Historical Inputs'!$N$9*(1+D695)^5</x:f>
        <x:v>662794.4745555046</x:v>
      </x:c>
      <x:c r="J695" s="262" t="n">
        <x:f>I695*(1+H695)*('Terminal Value'!$E$10+E695)*(1-'Assumptions'!$E$15)*(1-H695/'Terminal Value'!$E$12)</x:f>
        <x:v>191176.15662737755</x:v>
      </x:c>
      <x:c r="K695" s="264" t="n">
        <x:f>((SUM((('Historical Inputs'!$N$9*(1+(D695))^1)*(('Assumptions'!E37+(E695))*(1-'Assumptions'!E42-(0))+'Assumptions'!E47-'Assumptions'!E52*(F695)+'Assumptions'!E57-'Assumptions'!E62*(1)-'Assumptions'!E67-(0))+('Working Capital'!$E$6))*'DCF'!E12/(1+(G695))^'DCF'!E13,(('Historical Inputs'!$N$9*(1+(D695))^2)*(('Assumptions'!F37+(E695))*(1-'Assumptions'!F42-(0))+'Assumptions'!F47-'Assumptions'!F52*(F695)+'Assumptions'!F57-'Assumptions'!F62*(1)-'Assumptions'!F67-(0))+(('Historical Inputs'!$N$9*(1+(D695))^1)*('Assumptions'!E67+(0))))*'DCF'!F12/(1+(G695))^'DCF'!F13,(('Historical Inputs'!$N$9*(1+(D695))^3)*(('Assumptions'!G37+(E695))*(1-'Assumptions'!G42-(0))+'Assumptions'!G47-'Assumptions'!G52*(F695)+'Assumptions'!G57-'Assumptions'!G62*(1)-'Assumptions'!G67-(0))+(('Historical Inputs'!$N$9*(1+(D695))^2)*('Assumptions'!F67+(0))))*'DCF'!G12/(1+(G695))^'DCF'!G13,(('Historical Inputs'!$N$9*(1+(D695))^4)*(('Assumptions'!H37+(E695))*(1-'Assumptions'!H42-(0))+'Assumptions'!H47-'Assumptions'!H52*(F695)+'Assumptions'!H57-'Assumptions'!H62*(1)-'Assumptions'!H67-(0))+(('Historical Inputs'!$N$9*(1+(D695))^3)*('Assumptions'!G67+(0))))*'DCF'!H12/(1+(G695))^'DCF'!H13,(('Historical Inputs'!$N$9*(1+(D695))^5)*(('Assumptions'!I37+(E695))*(1-'Assumptions'!I42-(0))+'Assumptions'!I47-'Assumptions'!I52*(F695)+'Assumptions'!I57-'Assumptions'!I62*(1)-'Assumptions'!I67-(0))+(('Historical Inputs'!$N$9*(1+(D695))^4)*('Assumptions'!H67+(0))))*'DCF'!I12/(1+(G695))^'DCF'!I13)+('Historical Inputs'!$N$9*(1+(D695))^5)*(1+(H695))*('Terminal Value'!$E$10+(E695))*(1-'Assumptions'!$E$15-(0))*(1-(H695)/('Terminal Value'!$E$12))/((G695)-(H695))/(1+(G695))^'DCF'!$E$19)+'Equity Bridge'!$E$17)/'Equity Bridge'!$E$20</x:f>
        <x:v>264.5967810858307</x:v>
      </x:c>
      <x:c r="X695" s="255" t="n">
        <x:v>0.5974322380408159</x:v>
      </x:c>
      <x:c r="Y695" s="255" t="n">
        <x:v>0.5722466904310501</x:v>
      </x:c>
      <x:c r="Z695" s="255" t="n">
        <x:v>0.9439062836121541</x:v>
      </x:c>
      <x:c r="AA695" s="255" t="n">
        <x:v>0.6788257805909673</x:v>
      </x:c>
      <x:c r="AB695" s="255" t="n">
        <x:v>0.1747606279674403</x:v>
      </x:c>
    </x:row>
    <x:row r="696" ht="24" customHeight="1">
      <x:c r="C696" s="256" t="n">
        <x:f>665</x:f>
        <x:v>665</x:v>
      </x:c>
      <x:c r="D696" s="258" t="n">
        <x:f>IF(X696&lt;($E$12-$D$12)/($F$12-$D$12),$D$12+SQRT(X696*($F$12-$D$12)*($E$12-$D$12)),$F$12-SQRT((1-X696)*($F$12-$D$12)*($F$12-$E$12)))</x:f>
        <x:v>0.13096442869787495</x:v>
      </x:c>
      <x:c r="E696" s="258" t="n">
        <x:f>IF(Y696&lt;($E$13-$D$13)/($F$13-$D$13),$D$13+SQRT(Y696*($F$13-$D$13)*($E$13-$D$13)),$F$13-SQRT((1-Y696)*($F$13-$D$13)*($F$13-$E$13)))</x:f>
        <x:v>0.0005226675867541428</x:v>
      </x:c>
      <x:c r="F696" s="260" t="n">
        <x:f>IF(Z696&lt;($E$14-$D$14)/($F$14-$D$14),$D$14+SQRT(Z696*($F$14-$D$14)*($E$14-$D$14)),$F$14-SQRT((1-Z696)*($F$14-$D$14)*($F$14-$E$14)))</x:f>
        <x:v>0.9782394859290917</x:v>
      </x:c>
      <x:c r="G696" s="258" t="n">
        <x:f>IF(AA696&lt;($E$15-$D$15)/($F$15-$D$15),$D$15+SQRT(AA696*($F$15-$D$15)*($E$15-$D$15)),$F$15-SQRT((1-AA696)*($F$15-$D$15)*($F$15-$E$15)))</x:f>
        <x:v>0.10202552901844045</x:v>
      </x:c>
      <x:c r="H696" s="258" t="n">
        <x:f>IF(AB696&lt;($E$16-$D$16)/($F$16-$D$16),$D$16+SQRT(AB696*($F$16-$D$16)*($E$16-$D$16)),$F$16-SQRT((1-AB696)*($F$16-$D$16)*($F$16-$E$16)))</x:f>
        <x:v>0.03694278328328682</x:v>
      </x:c>
      <x:c r="I696" s="262" t="n">
        <x:f>'Historical Inputs'!$N$9*(1+D696)^5</x:f>
        <x:v>614005.3483368232</x:v>
      </x:c>
      <x:c r="J696" s="262" t="n">
        <x:f>I696*(1+H696)*('Terminal Value'!$E$10+E696)*(1-'Assumptions'!$E$15)*(1-H696/'Terminal Value'!$E$12)</x:f>
        <x:v>166323.67171984178</x:v>
      </x:c>
      <x:c r="K696" s="264" t="n">
        <x:f>((SUM((('Historical Inputs'!$N$9*(1+(D696))^1)*(('Assumptions'!E37+(E696))*(1-'Assumptions'!E42-(0))+'Assumptions'!E47-'Assumptions'!E52*(F696)+'Assumptions'!E57-'Assumptions'!E62*(1)-'Assumptions'!E67-(0))+('Working Capital'!$E$6))*'DCF'!E12/(1+(G696))^'DCF'!E13,(('Historical Inputs'!$N$9*(1+(D696))^2)*(('Assumptions'!F37+(E696))*(1-'Assumptions'!F42-(0))+'Assumptions'!F47-'Assumptions'!F52*(F696)+'Assumptions'!F57-'Assumptions'!F62*(1)-'Assumptions'!F67-(0))+(('Historical Inputs'!$N$9*(1+(D696))^1)*('Assumptions'!E67+(0))))*'DCF'!F12/(1+(G696))^'DCF'!F13,(('Historical Inputs'!$N$9*(1+(D696))^3)*(('Assumptions'!G37+(E696))*(1-'Assumptions'!G42-(0))+'Assumptions'!G47-'Assumptions'!G52*(F696)+'Assumptions'!G57-'Assumptions'!G62*(1)-'Assumptions'!G67-(0))+(('Historical Inputs'!$N$9*(1+(D696))^2)*('Assumptions'!F67+(0))))*'DCF'!G12/(1+(G696))^'DCF'!G13,(('Historical Inputs'!$N$9*(1+(D696))^4)*(('Assumptions'!H37+(E696))*(1-'Assumptions'!H42-(0))+'Assumptions'!H47-'Assumptions'!H52*(F696)+'Assumptions'!H57-'Assumptions'!H62*(1)-'Assumptions'!H67-(0))+(('Historical Inputs'!$N$9*(1+(D696))^3)*('Assumptions'!G67+(0))))*'DCF'!H12/(1+(G696))^'DCF'!H13,(('Historical Inputs'!$N$9*(1+(D696))^5)*(('Assumptions'!I37+(E696))*(1-'Assumptions'!I42-(0))+'Assumptions'!I47-'Assumptions'!I52*(F696)+'Assumptions'!I57-'Assumptions'!I62*(1)-'Assumptions'!I67-(0))+(('Historical Inputs'!$N$9*(1+(D696))^4)*('Assumptions'!H67+(0))))*'DCF'!I12/(1+(G696))^'DCF'!I13)+('Historical Inputs'!$N$9*(1+(D696))^5)*(1+(H696))*('Terminal Value'!$E$10+(E696))*(1-'Assumptions'!$E$15-(0))*(1-(H696)/('Terminal Value'!$E$12))/((G696)-(H696))/(1+(G696))^'DCF'!$E$19)+'Equity Bridge'!$E$17)/'Equity Bridge'!$E$20</x:f>
        <x:v>271.1866394550611</x:v>
      </x:c>
      <x:c r="X696" s="255" t="n">
        <x:v>0.284369706599359</x:v>
      </x:c>
      <x:c r="Y696" s="255" t="n">
        <x:v>0.5103987154538342</x:v>
      </x:c>
      <x:c r="Z696" s="255" t="n">
        <x:v>0.31324506193062307</x:v>
      </x:c>
      <x:c r="AA696" s="255" t="n">
        <x:v>0.7254673904775629</x:v>
      </x:c>
      <x:c r="AB696" s="255" t="n">
        <x:v>0.9532671297352474</x:v>
      </x:c>
    </x:row>
    <x:row r="697" ht="24" customHeight="1">
      <x:c r="C697" s="256" t="n">
        <x:f>666</x:f>
        <x:v>666</x:v>
      </x:c>
      <x:c r="D697" s="258" t="n">
        <x:f>IF(X697&lt;($E$12-$D$12)/($F$12-$D$12),$D$12+SQRT(X697*($F$12-$D$12)*($E$12-$D$12)),$F$12-SQRT((1-X697)*($F$12-$D$12)*($F$12-$E$12)))</x:f>
        <x:v>0.1014772200447668</x:v>
      </x:c>
      <x:c r="E697" s="258" t="n">
        <x:f>IF(Y697&lt;($E$13-$D$13)/($F$13-$D$13),$D$13+SQRT(Y697*($F$13-$D$13)*($E$13-$D$13)),$F$13-SQRT((1-Y697)*($F$13-$D$13)*($F$13-$E$13)))</x:f>
        <x:v>0.018491843522989368</x:v>
      </x:c>
      <x:c r="F697" s="260" t="n">
        <x:f>IF(Z697&lt;($E$14-$D$14)/($F$14-$D$14),$D$14+SQRT(Z697*($F$14-$D$14)*($E$14-$D$14)),$F$14-SQRT((1-Z697)*($F$14-$D$14)*($F$14-$E$14)))</x:f>
        <x:v>1.014773876064086</x:v>
      </x:c>
      <x:c r="G697" s="258" t="n">
        <x:f>IF(AA697&lt;($E$15-$D$15)/($F$15-$D$15),$D$15+SQRT(AA697*($F$15-$D$15)*($E$15-$D$15)),$F$15-SQRT((1-AA697)*($F$15-$D$15)*($F$15-$E$15)))</x:f>
        <x:v>0.08886567846859329</x:v>
      </x:c>
      <x:c r="H697" s="258" t="n">
        <x:f>IF(AB697&lt;($E$16-$D$16)/($F$16-$D$16),$D$16+SQRT(AB697*($F$16-$D$16)*($E$16-$D$16)),$F$16-SQRT((1-AB697)*($F$16-$D$16)*($F$16-$E$16)))</x:f>
        <x:v>0.037733148572358786</x:v>
      </x:c>
      <x:c r="I697" s="262" t="n">
        <x:f>'Historical Inputs'!$N$9*(1+D697)^5</x:f>
        <x:v>538028.1824484131</x:v>
      </x:c>
      <x:c r="J697" s="262" t="n">
        <x:f>I697*(1+H697)*('Terminal Value'!$E$10+E697)*(1-'Assumptions'!$E$15)*(1-H697/'Terminal Value'!$E$12)</x:f>
        <x:v>151658.76440339818</x:v>
      </x:c>
      <x:c r="K697" s="264" t="n">
        <x:f>((SUM((('Historical Inputs'!$N$9*(1+(D697))^1)*(('Assumptions'!E37+(E697))*(1-'Assumptions'!E42-(0))+'Assumptions'!E47-'Assumptions'!E52*(F697)+'Assumptions'!E57-'Assumptions'!E62*(1)-'Assumptions'!E67-(0))+('Working Capital'!$E$6))*'DCF'!E12/(1+(G697))^'DCF'!E13,(('Historical Inputs'!$N$9*(1+(D697))^2)*(('Assumptions'!F37+(E697))*(1-'Assumptions'!F42-(0))+'Assumptions'!F47-'Assumptions'!F52*(F697)+'Assumptions'!F57-'Assumptions'!F62*(1)-'Assumptions'!F67-(0))+(('Historical Inputs'!$N$9*(1+(D697))^1)*('Assumptions'!E67+(0))))*'DCF'!F12/(1+(G697))^'DCF'!F13,(('Historical Inputs'!$N$9*(1+(D697))^3)*(('Assumptions'!G37+(E697))*(1-'Assumptions'!G42-(0))+'Assumptions'!G47-'Assumptions'!G52*(F697)+'Assumptions'!G57-'Assumptions'!G62*(1)-'Assumptions'!G67-(0))+(('Historical Inputs'!$N$9*(1+(D697))^2)*('Assumptions'!F67+(0))))*'DCF'!G12/(1+(G697))^'DCF'!G13,(('Historical Inputs'!$N$9*(1+(D697))^4)*(('Assumptions'!H37+(E697))*(1-'Assumptions'!H42-(0))+'Assumptions'!H47-'Assumptions'!H52*(F697)+'Assumptions'!H57-'Assumptions'!H62*(1)-'Assumptions'!H67-(0))+(('Historical Inputs'!$N$9*(1+(D697))^3)*('Assumptions'!G67+(0))))*'DCF'!H12/(1+(G697))^'DCF'!H13,(('Historical Inputs'!$N$9*(1+(D697))^5)*(('Assumptions'!I37+(E697))*(1-'Assumptions'!I42-(0))+'Assumptions'!I47-'Assumptions'!I52*(F697)+'Assumptions'!I57-'Assumptions'!I62*(1)-'Assumptions'!I67-(0))+(('Historical Inputs'!$N$9*(1+(D697))^4)*('Assumptions'!H67+(0))))*'DCF'!I12/(1+(G697))^'DCF'!I13)+('Historical Inputs'!$N$9*(1+(D697))^5)*(1+(H697))*('Terminal Value'!$E$10+(E697))*(1-'Assumptions'!$E$15-(0))*(1-(H697)/('Terminal Value'!$E$12))/((G697)-(H697))/(1+(G697))^'DCF'!$E$19)+'Equity Bridge'!$E$17)/'Equity Bridge'!$E$20</x:f>
        <x:v>318.689136442312</x:v>
      </x:c>
      <x:c r="X697" s="255" t="n">
        <x:v>0.013514331750974717</x:v>
      </x:c>
      <x:c r="Y697" s="255" t="n">
        <x:v>0.8014472150840426</x:v>
      </x:c>
      <x:c r="Z697" s="255" t="n">
        <x:v>0.5098754715953919</x:v>
      </x:c>
      <x:c r="AA697" s="255" t="n">
        <x:v>0.07284258928607235</x:v>
      </x:c>
      <x:c r="AB697" s="255" t="n">
        <x:v>0.9743069230250049</x:v>
      </x:c>
    </x:row>
    <x:row r="698" ht="24" customHeight="1">
      <x:c r="C698" s="256" t="n">
        <x:f>667</x:f>
        <x:v>667</x:v>
      </x:c>
      <x:c r="D698" s="258" t="n">
        <x:f>IF(X698&lt;($E$12-$D$12)/($F$12-$D$12),$D$12+SQRT(X698*($F$12-$D$12)*($E$12-$D$12)),$F$12-SQRT((1-X698)*($F$12-$D$12)*($F$12-$E$12)))</x:f>
        <x:v>0.14555850302578954</x:v>
      </x:c>
      <x:c r="E698" s="258" t="n">
        <x:f>IF(Y698&lt;($E$13-$D$13)/($F$13-$D$13),$D$13+SQRT(Y698*($F$13-$D$13)*($E$13-$D$13)),$F$13-SQRT((1-Y698)*($F$13-$D$13)*($F$13-$E$13)))</x:f>
        <x:v>-0.006224678547307856</x:v>
      </x:c>
      <x:c r="F698" s="260" t="n">
        <x:f>IF(Z698&lt;($E$14-$D$14)/($F$14-$D$14),$D$14+SQRT(Z698*($F$14-$D$14)*($E$14-$D$14)),$F$14-SQRT((1-Z698)*($F$14-$D$14)*($F$14-$E$14)))</x:f>
        <x:v>1.1286833623821741</x:v>
      </x:c>
      <x:c r="G698" s="258" t="n">
        <x:f>IF(AA698&lt;($E$15-$D$15)/($F$15-$D$15),$D$15+SQRT(AA698*($F$15-$D$15)*($E$15-$D$15)),$F$15-SQRT((1-AA698)*($F$15-$D$15)*($F$15-$E$15)))</x:f>
        <x:v>0.0857152038882458</x:v>
      </x:c>
      <x:c r="H698" s="258" t="n">
        <x:f>IF(AB698&lt;($E$16-$D$16)/($F$16-$D$16),$D$16+SQRT(AB698*($F$16-$D$16)*($E$16-$D$16)),$F$16-SQRT((1-AB698)*($F$16-$D$16)*($F$16-$E$16)))</x:f>
        <x:v>0.023526819787204983</x:v>
      </x:c>
      <x:c r="I698" s="262" t="n">
        <x:f>'Historical Inputs'!$N$9*(1+D698)^5</x:f>
        <x:v>654656.9642797534</x:v>
      </x:c>
      <x:c r="J698" s="262" t="n">
        <x:f>I698*(1+H698)*('Terminal Value'!$E$10+E698)*(1-'Assumptions'!$E$15)*(1-H698/'Terminal Value'!$E$12)</x:f>
        <x:v>186251.68805419613</x:v>
      </x:c>
      <x:c r="K698" s="264" t="n">
        <x:f>((SUM((('Historical Inputs'!$N$9*(1+(D698))^1)*(('Assumptions'!E37+(E698))*(1-'Assumptions'!E42-(0))+'Assumptions'!E47-'Assumptions'!E52*(F698)+'Assumptions'!E57-'Assumptions'!E62*(1)-'Assumptions'!E67-(0))+('Working Capital'!$E$6))*'DCF'!E12/(1+(G698))^'DCF'!E13,(('Historical Inputs'!$N$9*(1+(D698))^2)*(('Assumptions'!F37+(E698))*(1-'Assumptions'!F42-(0))+'Assumptions'!F47-'Assumptions'!F52*(F698)+'Assumptions'!F57-'Assumptions'!F62*(1)-'Assumptions'!F67-(0))+(('Historical Inputs'!$N$9*(1+(D698))^1)*('Assumptions'!E67+(0))))*'DCF'!F12/(1+(G698))^'DCF'!F13,(('Historical Inputs'!$N$9*(1+(D698))^3)*(('Assumptions'!G37+(E698))*(1-'Assumptions'!G42-(0))+'Assumptions'!G47-'Assumptions'!G52*(F698)+'Assumptions'!G57-'Assumptions'!G62*(1)-'Assumptions'!G67-(0))+(('Historical Inputs'!$N$9*(1+(D698))^2)*('Assumptions'!F67+(0))))*'DCF'!G12/(1+(G698))^'DCF'!G13,(('Historical Inputs'!$N$9*(1+(D698))^4)*(('Assumptions'!H37+(E698))*(1-'Assumptions'!H42-(0))+'Assumptions'!H47-'Assumptions'!H52*(F698)+'Assumptions'!H57-'Assumptions'!H62*(1)-'Assumptions'!H67-(0))+(('Historical Inputs'!$N$9*(1+(D698))^3)*('Assumptions'!G67+(0))))*'DCF'!H12/(1+(G698))^'DCF'!H13,(('Historical Inputs'!$N$9*(1+(D698))^5)*(('Assumptions'!I37+(E698))*(1-'Assumptions'!I42-(0))+'Assumptions'!I47-'Assumptions'!I52*(F698)+'Assumptions'!I57-'Assumptions'!I62*(1)-'Assumptions'!I67-(0))+(('Historical Inputs'!$N$9*(1+(D698))^4)*('Assumptions'!H67+(0))))*'DCF'!I12/(1+(G698))^'DCF'!I13)+('Historical Inputs'!$N$9*(1+(D698))^5)*(1+(H698))*('Terminal Value'!$E$10+(E698))*(1-'Assumptions'!$E$15-(0))*(1-(H698)/('Terminal Value'!$E$12))/((G698)-(H698))/(1+(G698))^'DCF'!$E$19)+'Equity Bridge'!$E$17)/'Equity Bridge'!$E$20</x:f>
        <x:v>320.7828471788169</x:v>
      </x:c>
      <x:c r="X698" s="255" t="n">
        <x:v>0.5449702608520992</x:v>
      </x:c>
      <x:c r="Y698" s="255" t="n">
        <x:v>0.3832557536573058</x:v>
      </x:c>
      <x:c r="Z698" s="255" t="n">
        <x:v>0.9273419599841102</x:v>
      </x:c>
      <x:c r="AA698" s="255" t="n">
        <x:v>0.014732829340085352</x:v>
      </x:c>
      <x:c r="AB698" s="255" t="n">
        <x:v>0.062192289057103056</x:v>
      </x:c>
    </x:row>
    <x:row r="699" ht="24" customHeight="1">
      <x:c r="C699" s="256" t="n">
        <x:f>668</x:f>
        <x:v>668</x:v>
      </x:c>
      <x:c r="D699" s="258" t="n">
        <x:f>IF(X699&lt;($E$12-$D$12)/($F$12-$D$12),$D$12+SQRT(X699*($F$12-$D$12)*($E$12-$D$12)),$F$12-SQRT((1-X699)*($F$12-$D$12)*($F$12-$E$12)))</x:f>
        <x:v>0.1812627120373204</x:v>
      </x:c>
      <x:c r="E699" s="258" t="n">
        <x:f>IF(Y699&lt;($E$13-$D$13)/($F$13-$D$13),$D$13+SQRT(Y699*($F$13-$D$13)*($E$13-$D$13)),$F$13-SQRT((1-Y699)*($F$13-$D$13)*($F$13-$E$13)))</x:f>
        <x:v>-0.02177631942428202</x:v>
      </x:c>
      <x:c r="F699" s="260" t="n">
        <x:f>IF(Z699&lt;($E$14-$D$14)/($F$14-$D$14),$D$14+SQRT(Z699*($F$14-$D$14)*($E$14-$D$14)),$F$14-SQRT((1-Z699)*($F$14-$D$14)*($F$14-$E$14)))</x:f>
        <x:v>0.9485478406670936</x:v>
      </x:c>
      <x:c r="G699" s="258" t="n">
        <x:f>IF(AA699&lt;($E$15-$D$15)/($F$15-$D$15),$D$15+SQRT(AA699*($F$15-$D$15)*($E$15-$D$15)),$F$15-SQRT((1-AA699)*($F$15-$D$15)*($F$15-$E$15)))</x:f>
        <x:v>0.10299364054056606</x:v>
      </x:c>
      <x:c r="H699" s="258" t="n">
        <x:f>IF(AB699&lt;($E$16-$D$16)/($F$16-$D$16),$D$16+SQRT(AB699*($F$16-$D$16)*($E$16-$D$16)),$F$16-SQRT((1-AB699)*($F$16-$D$16)*($F$16-$E$16)))</x:f>
        <x:v>0.030254298856519958</x:v>
      </x:c>
      <x:c r="I699" s="262" t="n">
        <x:f>'Historical Inputs'!$N$9*(1+D699)^5</x:f>
        <x:v>763237.8539850279</x:v>
      </x:c>
      <x:c r="J699" s="262" t="n">
        <x:f>I699*(1+H699)*('Terminal Value'!$E$10+E699)*(1-'Assumptions'!$E$15)*(1-H699/'Terminal Value'!$E$12)</x:f>
        <x:v>201935.10726077066</x:v>
      </x:c>
      <x:c r="K699" s="264" t="n">
        <x:f>((SUM((('Historical Inputs'!$N$9*(1+(D699))^1)*(('Assumptions'!E37+(E699))*(1-'Assumptions'!E42-(0))+'Assumptions'!E47-'Assumptions'!E52*(F699)+'Assumptions'!E57-'Assumptions'!E62*(1)-'Assumptions'!E67-(0))+('Working Capital'!$E$6))*'DCF'!E12/(1+(G699))^'DCF'!E13,(('Historical Inputs'!$N$9*(1+(D699))^2)*(('Assumptions'!F37+(E699))*(1-'Assumptions'!F42-(0))+'Assumptions'!F47-'Assumptions'!F52*(F699)+'Assumptions'!F57-'Assumptions'!F62*(1)-'Assumptions'!F67-(0))+(('Historical Inputs'!$N$9*(1+(D699))^1)*('Assumptions'!E67+(0))))*'DCF'!F12/(1+(G699))^'DCF'!F13,(('Historical Inputs'!$N$9*(1+(D699))^3)*(('Assumptions'!G37+(E699))*(1-'Assumptions'!G42-(0))+'Assumptions'!G47-'Assumptions'!G52*(F699)+'Assumptions'!G57-'Assumptions'!G62*(1)-'Assumptions'!G67-(0))+(('Historical Inputs'!$N$9*(1+(D699))^2)*('Assumptions'!F67+(0))))*'DCF'!G12/(1+(G699))^'DCF'!G13,(('Historical Inputs'!$N$9*(1+(D699))^4)*(('Assumptions'!H37+(E699))*(1-'Assumptions'!H42-(0))+'Assumptions'!H47-'Assumptions'!H52*(F699)+'Assumptions'!H57-'Assumptions'!H62*(1)-'Assumptions'!H67-(0))+(('Historical Inputs'!$N$9*(1+(D699))^3)*('Assumptions'!G67+(0))))*'DCF'!H12/(1+(G699))^'DCF'!H13,(('Historical Inputs'!$N$9*(1+(D699))^5)*(('Assumptions'!I37+(E699))*(1-'Assumptions'!I42-(0))+'Assumptions'!I47-'Assumptions'!I52*(F699)+'Assumptions'!I57-'Assumptions'!I62*(1)-'Assumptions'!I67-(0))+(('Historical Inputs'!$N$9*(1+(D699))^4)*('Assumptions'!H67+(0))))*'DCF'!I12/(1+(G699))^'DCF'!I13)+('Historical Inputs'!$N$9*(1+(D699))^5)*(1+(H699))*('Terminal Value'!$E$10+(E699))*(1-'Assumptions'!$E$15-(0))*(1-(H699)/('Terminal Value'!$E$12))/((G699)-(H699))/(1+(G699))^'DCF'!$E$19)+'Equity Bridge'!$E$17)/'Equity Bridge'!$E$20</x:f>
        <x:v>295.14624014141947</x:v>
      </x:c>
      <x:c r="X699" s="255" t="n">
        <x:v>0.9712273065383616</x:v>
      </x:c>
      <x:c r="Y699" s="255" t="n">
        <x:v>0.15931522904803208</x:v>
      </x:c>
      <x:c r="Z699" s="255" t="n">
        <x:v>0.18498432190755965</x:v>
      </x:c>
      <x:c r="AA699" s="255" t="n">
        <x:v>0.7712086570324075</x:v>
      </x:c>
      <x:c r="AB699" s="255" t="n">
        <x:v>0.525106546109859</x:v>
      </x:c>
    </x:row>
    <x:row r="700" ht="24" customHeight="1">
      <x:c r="C700" s="256" t="n">
        <x:f>669</x:f>
        <x:v>669</x:v>
      </x:c>
      <x:c r="D700" s="258" t="n">
        <x:f>IF(X700&lt;($E$12-$D$12)/($F$12-$D$12),$D$12+SQRT(X700*($F$12-$D$12)*($E$12-$D$12)),$F$12-SQRT((1-X700)*($F$12-$D$12)*($F$12-$E$12)))</x:f>
        <x:v>0.12186162964944475</x:v>
      </x:c>
      <x:c r="E700" s="258" t="n">
        <x:f>IF(Y700&lt;($E$13-$D$13)/($F$13-$D$13),$D$13+SQRT(Y700*($F$13-$D$13)*($E$13-$D$13)),$F$13-SQRT((1-Y700)*($F$13-$D$13)*($F$13-$E$13)))</x:f>
        <x:v>0.021136423759339766</x:v>
      </x:c>
      <x:c r="F700" s="260" t="n">
        <x:f>IF(Z700&lt;($E$14-$D$14)/($F$14-$D$14),$D$14+SQRT(Z700*($F$14-$D$14)*($E$14-$D$14)),$F$14-SQRT((1-Z700)*($F$14-$D$14)*($F$14-$E$14)))</x:f>
        <x:v>1.1770226919107378</x:v>
      </x:c>
      <x:c r="G700" s="258" t="n">
        <x:f>IF(AA700&lt;($E$15-$D$15)/($F$15-$D$15),$D$15+SQRT(AA700*($F$15-$D$15)*($E$15-$D$15)),$F$15-SQRT((1-AA700)*($F$15-$D$15)*($F$15-$E$15)))</x:f>
        <x:v>0.09286613919160286</x:v>
      </x:c>
      <x:c r="H700" s="258" t="n">
        <x:f>IF(AB700&lt;($E$16-$D$16)/($F$16-$D$16),$D$16+SQRT(AB700*($F$16-$D$16)*($E$16-$D$16)),$F$16-SQRT((1-AB700)*($F$16-$D$16)*($F$16-$E$16)))</x:f>
        <x:v>0.029821166837463796</x:v>
      </x:c>
      <x:c r="I700" s="262" t="n">
        <x:f>'Historical Inputs'!$N$9*(1+D700)^5</x:f>
        <x:v>589690.1829572195</x:v>
      </x:c>
      <x:c r="J700" s="262" t="n">
        <x:f>I700*(1+H700)*('Terminal Value'!$E$10+E700)*(1-'Assumptions'!$E$15)*(1-H700/'Terminal Value'!$E$12)</x:f>
        <x:v>174090.08990056065</x:v>
      </x:c>
      <x:c r="K700" s="264" t="n">
        <x:f>((SUM((('Historical Inputs'!$N$9*(1+(D700))^1)*(('Assumptions'!E37+(E700))*(1-'Assumptions'!E42-(0))+'Assumptions'!E47-'Assumptions'!E52*(F700)+'Assumptions'!E57-'Assumptions'!E62*(1)-'Assumptions'!E67-(0))+('Working Capital'!$E$6))*'DCF'!E12/(1+(G700))^'DCF'!E13,(('Historical Inputs'!$N$9*(1+(D700))^2)*(('Assumptions'!F37+(E700))*(1-'Assumptions'!F42-(0))+'Assumptions'!F47-'Assumptions'!F52*(F700)+'Assumptions'!F57-'Assumptions'!F62*(1)-'Assumptions'!F67-(0))+(('Historical Inputs'!$N$9*(1+(D700))^1)*('Assumptions'!E67+(0))))*'DCF'!F12/(1+(G700))^'DCF'!F13,(('Historical Inputs'!$N$9*(1+(D700))^3)*(('Assumptions'!G37+(E700))*(1-'Assumptions'!G42-(0))+'Assumptions'!G47-'Assumptions'!G52*(F700)+'Assumptions'!G57-'Assumptions'!G62*(1)-'Assumptions'!G67-(0))+(('Historical Inputs'!$N$9*(1+(D700))^2)*('Assumptions'!F67+(0))))*'DCF'!G12/(1+(G700))^'DCF'!G13,(('Historical Inputs'!$N$9*(1+(D700))^4)*(('Assumptions'!H37+(E700))*(1-'Assumptions'!H42-(0))+'Assumptions'!H47-'Assumptions'!H52*(F700)+'Assumptions'!H57-'Assumptions'!H62*(1)-'Assumptions'!H67-(0))+(('Historical Inputs'!$N$9*(1+(D700))^3)*('Assumptions'!G67+(0))))*'DCF'!H12/(1+(G700))^'DCF'!H13,(('Historical Inputs'!$N$9*(1+(D700))^5)*(('Assumptions'!I37+(E700))*(1-'Assumptions'!I42-(0))+'Assumptions'!I47-'Assumptions'!I52*(F700)+'Assumptions'!I57-'Assumptions'!I62*(1)-'Assumptions'!I67-(0))+(('Historical Inputs'!$N$9*(1+(D700))^4)*('Assumptions'!H67+(0))))*'DCF'!I12/(1+(G700))^'DCF'!I13)+('Historical Inputs'!$N$9*(1+(D700))^5)*(1+(H700))*('Terminal Value'!$E$10+(E700))*(1-'Assumptions'!$E$15-(0))*(1-(H700)/('Terminal Value'!$E$12))/((G700)-(H700))/(1+(G700))^'DCF'!$E$19)+'Equity Bridge'!$E$17)/'Equity Bridge'!$E$20</x:f>
        <x:v>289.72047169845587</x:v>
      </x:c>
      <x:c r="X700" s="255" t="n">
        <x:v>0.1636447177459589</x:v>
      </x:c>
      <x:c r="Y700" s="255" t="n">
        <x:v>0.8333787933199188</x:v>
      </x:c>
      <x:c r="Z700" s="255" t="n">
        <x:v>0.9924577616138733</x:v>
      </x:c>
      <x:c r="AA700" s="255" t="n">
        <x:v>0.21020133368657934</x:v>
      </x:c>
      <x:c r="AB700" s="255" t="n">
        <x:v>0.4822765902464934</x:v>
      </x:c>
    </x:row>
    <x:row r="701" ht="24" customHeight="1">
      <x:c r="C701" s="256" t="n">
        <x:f>670</x:f>
        <x:v>670</x:v>
      </x:c>
      <x:c r="D701" s="258" t="n">
        <x:f>IF(X701&lt;($E$12-$D$12)/($F$12-$D$12),$D$12+SQRT(X701*($F$12-$D$12)*($E$12-$D$12)),$F$12-SQRT((1-X701)*($F$12-$D$12)*($F$12-$E$12)))</x:f>
        <x:v>0.15120895452979252</x:v>
      </x:c>
      <x:c r="E701" s="258" t="n">
        <x:f>IF(Y701&lt;($E$13-$D$13)/($F$13-$D$13),$D$13+SQRT(Y701*($F$13-$D$13)*($E$13-$D$13)),$F$13-SQRT((1-Y701)*($F$13-$D$13)*($F$13-$E$13)))</x:f>
        <x:v>0.0007165370493669027</x:v>
      </x:c>
      <x:c r="F701" s="260" t="n">
        <x:f>IF(Z701&lt;($E$14-$D$14)/($F$14-$D$14),$D$14+SQRT(Z701*($F$14-$D$14)*($E$14-$D$14)),$F$14-SQRT((1-Z701)*($F$14-$D$14)*($F$14-$E$14)))</x:f>
        <x:v>1.1723720534793143</x:v>
      </x:c>
      <x:c r="G701" s="258" t="n">
        <x:f>IF(AA701&lt;($E$15-$D$15)/($F$15-$D$15),$D$15+SQRT(AA701*($F$15-$D$15)*($E$15-$D$15)),$F$15-SQRT((1-AA701)*($F$15-$D$15)*($F$15-$E$15)))</x:f>
        <x:v>0.09281113867795576</x:v>
      </x:c>
      <x:c r="H701" s="258" t="n">
        <x:f>IF(AB701&lt;($E$16-$D$16)/($F$16-$D$16),$D$16+SQRT(AB701*($F$16-$D$16)*($E$16-$D$16)),$F$16-SQRT((1-AB701)*($F$16-$D$16)*($F$16-$E$16)))</x:f>
        <x:v>0.03144571447159539</x:v>
      </x:c>
      <x:c r="I701" s="262" t="n">
        <x:f>'Historical Inputs'!$N$9*(1+D701)^5</x:f>
        <x:v>670962.458280459</x:v>
      </x:c>
      <x:c r="J701" s="262" t="n">
        <x:f>I701*(1+H701)*('Terminal Value'!$E$10+E701)*(1-'Assumptions'!$E$15)*(1-H701/'Terminal Value'!$E$12)</x:f>
        <x:v>186974.18672949317</x:v>
      </x:c>
      <x:c r="K701" s="264" t="n">
        <x:f>((SUM((('Historical Inputs'!$N$9*(1+(D701))^1)*(('Assumptions'!E37+(E701))*(1-'Assumptions'!E42-(0))+'Assumptions'!E47-'Assumptions'!E52*(F701)+'Assumptions'!E57-'Assumptions'!E62*(1)-'Assumptions'!E67-(0))+('Working Capital'!$E$6))*'DCF'!E12/(1+(G701))^'DCF'!E13,(('Historical Inputs'!$N$9*(1+(D701))^2)*(('Assumptions'!F37+(E701))*(1-'Assumptions'!F42-(0))+'Assumptions'!F47-'Assumptions'!F52*(F701)+'Assumptions'!F57-'Assumptions'!F62*(1)-'Assumptions'!F67-(0))+(('Historical Inputs'!$N$9*(1+(D701))^1)*('Assumptions'!E67+(0))))*'DCF'!F12/(1+(G701))^'DCF'!F13,(('Historical Inputs'!$N$9*(1+(D701))^3)*(('Assumptions'!G37+(E701))*(1-'Assumptions'!G42-(0))+'Assumptions'!G47-'Assumptions'!G52*(F701)+'Assumptions'!G57-'Assumptions'!G62*(1)-'Assumptions'!G67-(0))+(('Historical Inputs'!$N$9*(1+(D701))^2)*('Assumptions'!F67+(0))))*'DCF'!G12/(1+(G701))^'DCF'!G13,(('Historical Inputs'!$N$9*(1+(D701))^4)*(('Assumptions'!H37+(E701))*(1-'Assumptions'!H42-(0))+'Assumptions'!H47-'Assumptions'!H52*(F701)+'Assumptions'!H57-'Assumptions'!H62*(1)-'Assumptions'!H67-(0))+(('Historical Inputs'!$N$9*(1+(D701))^3)*('Assumptions'!G67+(0))))*'DCF'!H12/(1+(G701))^'DCF'!H13,(('Historical Inputs'!$N$9*(1+(D701))^5)*(('Assumptions'!I37+(E701))*(1-'Assumptions'!I42-(0))+'Assumptions'!I47-'Assumptions'!I52*(F701)+'Assumptions'!I57-'Assumptions'!I62*(1)-'Assumptions'!I67-(0))+(('Historical Inputs'!$N$9*(1+(D701))^4)*('Assumptions'!H67+(0))))*'DCF'!I12/(1+(G701))^'DCF'!I13)+('Historical Inputs'!$N$9*(1+(D701))^5)*(1+(H701))*('Terminal Value'!$E$10+(E701))*(1-'Assumptions'!$E$15-(0))*(1-(H701)/('Terminal Value'!$E$12))/((G701)-(H701))/(1+(G701))^'DCF'!$E$19)+'Equity Bridge'!$E$17)/'Equity Bridge'!$E$20</x:f>
        <x:v>315.66064635054124</x:v>
      </x:c>
      <x:c r="X701" s="255" t="n">
        <x:v>0.6463920073297565</x:v>
      </x:c>
      <x:c r="Y701" s="255" t="n">
        <x:v>0.5142280559187149</x:v>
      </x:c>
      <x:c r="Z701" s="255" t="n">
        <x:v>0.9890956653007161</x:v>
      </x:c>
      <x:c r="AA701" s="255" t="n">
        <x:v>0.20783062341149272</x:v>
      </x:c>
      <x:c r="AB701" s="255" t="n">
        <x:v>0.6341209954926373</x:v>
      </x:c>
    </x:row>
    <x:row r="702" ht="24" customHeight="1">
      <x:c r="C702" s="256" t="n">
        <x:f>671</x:f>
        <x:v>671</x:v>
      </x:c>
      <x:c r="D702" s="258" t="n">
        <x:f>IF(X702&lt;($E$12-$D$12)/($F$12-$D$12),$D$12+SQRT(X702*($F$12-$D$12)*($E$12-$D$12)),$F$12-SQRT((1-X702)*($F$12-$D$12)*($F$12-$E$12)))</x:f>
        <x:v>0.13626327355283546</x:v>
      </x:c>
      <x:c r="E702" s="258" t="n">
        <x:f>IF(Y702&lt;($E$13-$D$13)/($F$13-$D$13),$D$13+SQRT(Y702*($F$13-$D$13)*($E$13-$D$13)),$F$13-SQRT((1-Y702)*($F$13-$D$13)*($F$13-$E$13)))</x:f>
        <x:v>-0.01039727928487097</x:v>
      </x:c>
      <x:c r="F702" s="260" t="n">
        <x:f>IF(Z702&lt;($E$14-$D$14)/($F$14-$D$14),$D$14+SQRT(Z702*($F$14-$D$14)*($E$14-$D$14)),$F$14-SQRT((1-Z702)*($F$14-$D$14)*($F$14-$E$14)))</x:f>
        <x:v>1.0387438466379288</x:v>
      </x:c>
      <x:c r="G702" s="258" t="n">
        <x:f>IF(AA702&lt;($E$15-$D$15)/($F$15-$D$15),$D$15+SQRT(AA702*($F$15-$D$15)*($E$15-$D$15)),$F$15-SQRT((1-AA702)*($F$15-$D$15)*($F$15-$E$15)))</x:f>
        <x:v>0.09994094130836116</x:v>
      </x:c>
      <x:c r="H702" s="258" t="n">
        <x:f>IF(AB702&lt;($E$16-$D$16)/($F$16-$D$16),$D$16+SQRT(AB702*($F$16-$D$16)*($E$16-$D$16)),$F$16-SQRT((1-AB702)*($F$16-$D$16)*($F$16-$E$16)))</x:f>
        <x:v>0.02957510439332843</x:v>
      </x:c>
      <x:c r="I702" s="262" t="n">
        <x:f>'Historical Inputs'!$N$9*(1+D702)^5</x:f>
        <x:v>628524.5906603638</x:v>
      </x:c>
      <x:c r="J702" s="262" t="n">
        <x:f>I702*(1+H702)*('Terminal Value'!$E$10+E702)*(1-'Assumptions'!$E$15)*(1-H702/'Terminal Value'!$E$12)</x:f>
        <x:v>171868.11566359404</x:v>
      </x:c>
      <x:c r="K702" s="264" t="n">
        <x:f>((SUM((('Historical Inputs'!$N$9*(1+(D702))^1)*(('Assumptions'!E37+(E702))*(1-'Assumptions'!E42-(0))+'Assumptions'!E47-'Assumptions'!E52*(F702)+'Assumptions'!E57-'Assumptions'!E62*(1)-'Assumptions'!E67-(0))+('Working Capital'!$E$6))*'DCF'!E12/(1+(G702))^'DCF'!E13,(('Historical Inputs'!$N$9*(1+(D702))^2)*(('Assumptions'!F37+(E702))*(1-'Assumptions'!F42-(0))+'Assumptions'!F47-'Assumptions'!F52*(F702)+'Assumptions'!F57-'Assumptions'!F62*(1)-'Assumptions'!F67-(0))+(('Historical Inputs'!$N$9*(1+(D702))^1)*('Assumptions'!E67+(0))))*'DCF'!F12/(1+(G702))^'DCF'!F13,(('Historical Inputs'!$N$9*(1+(D702))^3)*(('Assumptions'!G37+(E702))*(1-'Assumptions'!G42-(0))+'Assumptions'!G47-'Assumptions'!G52*(F702)+'Assumptions'!G57-'Assumptions'!G62*(1)-'Assumptions'!G67-(0))+(('Historical Inputs'!$N$9*(1+(D702))^2)*('Assumptions'!F67+(0))))*'DCF'!G12/(1+(G702))^'DCF'!G13,(('Historical Inputs'!$N$9*(1+(D702))^4)*(('Assumptions'!H37+(E702))*(1-'Assumptions'!H42-(0))+'Assumptions'!H47-'Assumptions'!H52*(F702)+'Assumptions'!H57-'Assumptions'!H62*(1)-'Assumptions'!H67-(0))+(('Historical Inputs'!$N$9*(1+(D702))^3)*('Assumptions'!G67+(0))))*'DCF'!H12/(1+(G702))^'DCF'!H13,(('Historical Inputs'!$N$9*(1+(D702))^5)*(('Assumptions'!I37+(E702))*(1-'Assumptions'!I42-(0))+'Assumptions'!I47-'Assumptions'!I52*(F702)+'Assumptions'!I57-'Assumptions'!I62*(1)-'Assumptions'!I67-(0))+(('Historical Inputs'!$N$9*(1+(D702))^4)*('Assumptions'!H67+(0))))*'DCF'!I12/(1+(G702))^'DCF'!I13)+('Historical Inputs'!$N$9*(1+(D702))^5)*(1+(H702))*('Terminal Value'!$E$10+(E702))*(1-'Assumptions'!$E$15-(0))*(1-(H702)/('Terminal Value'!$E$12))/((G702)-(H702))/(1+(G702))^'DCF'!$E$19)+'Equity Bridge'!$E$17)/'Equity Bridge'!$E$20</x:f>
        <x:v>258.734189446114</x:v>
      </x:c>
      <x:c r="X702" s="255" t="n">
        <x:v>0.3699075375174008</x:v>
      </x:c>
      <x:c r="Y702" s="255" t="n">
        <x:v>0.31367509760810197</x:v>
      </x:c>
      <x:c r="Z702" s="255" t="n">
        <x:v>0.6285207571838317</x:v>
      </x:c>
      <x:c r="AA702" s="255" t="n">
        <x:v>0.6128335576231911</x:v>
      </x:c>
      <x:c r="AB702" s="255" t="n">
        <x:v>0.45841312071568696</x:v>
      </x:c>
    </x:row>
    <x:row r="703" ht="24" customHeight="1">
      <x:c r="C703" s="256" t="n">
        <x:f>672</x:f>
        <x:v>672</x:v>
      </x:c>
      <x:c r="D703" s="258" t="n">
        <x:f>IF(X703&lt;($E$12-$D$12)/($F$12-$D$12),$D$12+SQRT(X703*($F$12-$D$12)*($E$12-$D$12)),$F$12-SQRT((1-X703)*($F$12-$D$12)*($F$12-$E$12)))</x:f>
        <x:v>0.13832757850629146</x:v>
      </x:c>
      <x:c r="E703" s="258" t="n">
        <x:f>IF(Y703&lt;($E$13-$D$13)/($F$13-$D$13),$D$13+SQRT(Y703*($F$13-$D$13)*($E$13-$D$13)),$F$13-SQRT((1-Y703)*($F$13-$D$13)*($F$13-$E$13)))</x:f>
        <x:v>0.010949741023885885</x:v>
      </x:c>
      <x:c r="F703" s="260" t="n">
        <x:f>IF(Z703&lt;($E$14-$D$14)/($F$14-$D$14),$D$14+SQRT(Z703*($F$14-$D$14)*($E$14-$D$14)),$F$14-SQRT((1-Z703)*($F$14-$D$14)*($F$14-$E$14)))</x:f>
        <x:v>0.8841254804937729</x:v>
      </x:c>
      <x:c r="G703" s="258" t="n">
        <x:f>IF(AA703&lt;($E$15-$D$15)/($F$15-$D$15),$D$15+SQRT(AA703*($F$15-$D$15)*($E$15-$D$15)),$F$15-SQRT((1-AA703)*($F$15-$D$15)*($F$15-$E$15)))</x:f>
        <x:v>0.10027385862328009</x:v>
      </x:c>
      <x:c r="H703" s="258" t="n">
        <x:f>IF(AB703&lt;($E$16-$D$16)/($F$16-$D$16),$D$16+SQRT(AB703*($F$16-$D$16)*($E$16-$D$16)),$F$16-SQRT((1-AB703)*($F$16-$D$16)*($F$16-$E$16)))</x:f>
        <x:v>0.028642727728975817</x:v>
      </x:c>
      <x:c r="I703" s="262" t="n">
        <x:f>'Historical Inputs'!$N$9*(1+D703)^5</x:f>
        <x:v>634254.7298363494</x:v>
      </x:c>
      <x:c r="J703" s="262" t="n">
        <x:f>I703*(1+H703)*('Terminal Value'!$E$10+E703)*(1-'Assumptions'!$E$15)*(1-H703/'Terminal Value'!$E$12)</x:f>
        <x:v>183772.07428199064</x:v>
      </x:c>
      <x:c r="K703" s="264" t="n">
        <x:f>((SUM((('Historical Inputs'!$N$9*(1+(D703))^1)*(('Assumptions'!E37+(E703))*(1-'Assumptions'!E42-(0))+'Assumptions'!E47-'Assumptions'!E52*(F703)+'Assumptions'!E57-'Assumptions'!E62*(1)-'Assumptions'!E67-(0))+('Working Capital'!$E$6))*'DCF'!E12/(1+(G703))^'DCF'!E13,(('Historical Inputs'!$N$9*(1+(D703))^2)*(('Assumptions'!F37+(E703))*(1-'Assumptions'!F42-(0))+'Assumptions'!F47-'Assumptions'!F52*(F703)+'Assumptions'!F57-'Assumptions'!F62*(1)-'Assumptions'!F67-(0))+(('Historical Inputs'!$N$9*(1+(D703))^1)*('Assumptions'!E67+(0))))*'DCF'!F12/(1+(G703))^'DCF'!F13,(('Historical Inputs'!$N$9*(1+(D703))^3)*(('Assumptions'!G37+(E703))*(1-'Assumptions'!G42-(0))+'Assumptions'!G47-'Assumptions'!G52*(F703)+'Assumptions'!G57-'Assumptions'!G62*(1)-'Assumptions'!G67-(0))+(('Historical Inputs'!$N$9*(1+(D703))^2)*('Assumptions'!F67+(0))))*'DCF'!G12/(1+(G703))^'DCF'!G13,(('Historical Inputs'!$N$9*(1+(D703))^4)*(('Assumptions'!H37+(E703))*(1-'Assumptions'!H42-(0))+'Assumptions'!H47-'Assumptions'!H52*(F703)+'Assumptions'!H57-'Assumptions'!H62*(1)-'Assumptions'!H67-(0))+(('Historical Inputs'!$N$9*(1+(D703))^3)*('Assumptions'!G67+(0))))*'DCF'!H12/(1+(G703))^'DCF'!H13,(('Historical Inputs'!$N$9*(1+(D703))^5)*(('Assumptions'!I37+(E703))*(1-'Assumptions'!I42-(0))+'Assumptions'!I47-'Assumptions'!I52*(F703)+'Assumptions'!I57-'Assumptions'!I62*(1)-'Assumptions'!I67-(0))+(('Historical Inputs'!$N$9*(1+(D703))^4)*('Assumptions'!H67+(0))))*'DCF'!I12/(1+(G703))^'DCF'!I13)+('Historical Inputs'!$N$9*(1+(D703))^5)*(1+(H703))*('Terminal Value'!$E$10+(E703))*(1-'Assumptions'!$E$15-(0))*(1-(H703)/('Terminal Value'!$E$12))/((G703)-(H703))/(1+(G703))^'DCF'!$E$19)+'Equity Bridge'!$E$17)/'Equity Bridge'!$E$20</x:f>
        <x:v>283.2029800157449</x:v>
      </x:c>
      <x:c r="X703" s="255" t="n">
        <x:v>0.406271015893239</x:v>
      </x:c>
      <x:c r="Y703" s="255" t="n">
        <x:v>0.6950154547796837</x:v>
      </x:c>
      <x:c r="Z703" s="255" t="n">
        <x:v>0.022181874646302502</x:v>
      </x:c>
      <x:c r="AA703" s="255" t="n">
        <x:v>0.6321175627483832</x:v>
      </x:c>
      <x:c r="AB703" s="255" t="n">
        <x:v>0.37348371298603755</x:v>
      </x:c>
    </x:row>
    <x:row r="704" ht="24" customHeight="1">
      <x:c r="C704" s="256" t="n">
        <x:f>673</x:f>
        <x:v>673</x:v>
      </x:c>
      <x:c r="D704" s="258" t="n">
        <x:f>IF(X704&lt;($E$12-$D$12)/($F$12-$D$12),$D$12+SQRT(X704*($F$12-$D$12)*($E$12-$D$12)),$F$12-SQRT((1-X704)*($F$12-$D$12)*($F$12-$E$12)))</x:f>
        <x:v>0.1642487724900543</x:v>
      </x:c>
      <x:c r="E704" s="258" t="n">
        <x:f>IF(Y704&lt;($E$13-$D$13)/($F$13-$D$13),$D$13+SQRT(Y704*($F$13-$D$13)*($E$13-$D$13)),$F$13-SQRT((1-Y704)*($F$13-$D$13)*($F$13-$E$13)))</x:f>
        <x:v>0.022148063548895192</x:v>
      </x:c>
      <x:c r="F704" s="260" t="n">
        <x:f>IF(Z704&lt;($E$14-$D$14)/($F$14-$D$14),$D$14+SQRT(Z704*($F$14-$D$14)*($E$14-$D$14)),$F$14-SQRT((1-Z704)*($F$14-$D$14)*($F$14-$E$14)))</x:f>
        <x:v>0.946648851881209</x:v>
      </x:c>
      <x:c r="G704" s="258" t="n">
        <x:f>IF(AA704&lt;($E$15-$D$15)/($F$15-$D$15),$D$15+SQRT(AA704*($F$15-$D$15)*($E$15-$D$15)),$F$15-SQRT((1-AA704)*($F$15-$D$15)*($F$15-$E$15)))</x:f>
        <x:v>0.10676080881434538</x:v>
      </x:c>
      <x:c r="H704" s="258" t="n">
        <x:f>IF(AB704&lt;($E$16-$D$16)/($F$16-$D$16),$D$16+SQRT(AB704*($F$16-$D$16)*($E$16-$D$16)),$F$16-SQRT((1-AB704)*($F$16-$D$16)*($F$16-$E$16)))</x:f>
        <x:v>0.02677282043150015</x:v>
      </x:c>
      <x:c r="I704" s="262" t="n">
        <x:f>'Historical Inputs'!$N$9*(1+D704)^5</x:f>
        <x:v>709833.3003709015</x:v>
      </x:c>
      <x:c r="J704" s="262" t="n">
        <x:f>I704*(1+H704)*('Terminal Value'!$E$10+E704)*(1-'Assumptions'!$E$15)*(1-H704/'Terminal Value'!$E$12)</x:f>
        <x:v>213192.32245220078</x:v>
      </x:c>
      <x:c r="K704" s="264" t="n">
        <x:f>((SUM((('Historical Inputs'!$N$9*(1+(D704))^1)*(('Assumptions'!E37+(E704))*(1-'Assumptions'!E42-(0))+'Assumptions'!E47-'Assumptions'!E52*(F704)+'Assumptions'!E57-'Assumptions'!E62*(1)-'Assumptions'!E67-(0))+('Working Capital'!$E$6))*'DCF'!E12/(1+(G704))^'DCF'!E13,(('Historical Inputs'!$N$9*(1+(D704))^2)*(('Assumptions'!F37+(E704))*(1-'Assumptions'!F42-(0))+'Assumptions'!F47-'Assumptions'!F52*(F704)+'Assumptions'!F57-'Assumptions'!F62*(1)-'Assumptions'!F67-(0))+(('Historical Inputs'!$N$9*(1+(D704))^1)*('Assumptions'!E67+(0))))*'DCF'!F12/(1+(G704))^'DCF'!F13,(('Historical Inputs'!$N$9*(1+(D704))^3)*(('Assumptions'!G37+(E704))*(1-'Assumptions'!G42-(0))+'Assumptions'!G47-'Assumptions'!G52*(F704)+'Assumptions'!G57-'Assumptions'!G62*(1)-'Assumptions'!G67-(0))+(('Historical Inputs'!$N$9*(1+(D704))^2)*('Assumptions'!F67+(0))))*'DCF'!G12/(1+(G704))^'DCF'!G13,(('Historical Inputs'!$N$9*(1+(D704))^4)*(('Assumptions'!H37+(E704))*(1-'Assumptions'!H42-(0))+'Assumptions'!H47-'Assumptions'!H52*(F704)+'Assumptions'!H57-'Assumptions'!H62*(1)-'Assumptions'!H67-(0))+(('Historical Inputs'!$N$9*(1+(D704))^3)*('Assumptions'!G67+(0))))*'DCF'!H12/(1+(G704))^'DCF'!H13,(('Historical Inputs'!$N$9*(1+(D704))^5)*(('Assumptions'!I37+(E704))*(1-'Assumptions'!I42-(0))+'Assumptions'!I47-'Assumptions'!I52*(F704)+'Assumptions'!I57-'Assumptions'!I62*(1)-'Assumptions'!I67-(0))+(('Historical Inputs'!$N$9*(1+(D704))^4)*('Assumptions'!H67+(0))))*'DCF'!I12/(1+(G704))^'DCF'!I13)+('Historical Inputs'!$N$9*(1+(D704))^5)*(1+(H704))*('Terminal Value'!$E$10+(E704))*(1-'Assumptions'!$E$15-(0))*(1-(H704)/('Terminal Value'!$E$12))/((G704)-(H704))/(1+(G704))^'DCF'!$E$19)+'Equity Bridge'!$E$17)/'Equity Bridge'!$E$20</x:f>
        <x:v>287.96706891121954</x:v>
      </x:c>
      <x:c r="X704" s="255" t="n">
        <x:v>0.8317042940920555</x:v>
      </x:c>
      <x:c r="Y704" s="255" t="n">
        <x:v>0.8448539271847239</x:v>
      </x:c>
      <x:c r="Z704" s="255" t="n">
        <x:v>0.1779238203801119</x:v>
      </x:c>
      <x:c r="AA704" s="255" t="n">
        <x:v>0.9095582402763789</x:v>
      </x:c>
      <x:c r="AB704" s="255" t="n">
        <x:v>0.2293554829867297</x:v>
      </x:c>
    </x:row>
    <x:row r="705" ht="24" customHeight="1">
      <x:c r="C705" s="256" t="n">
        <x:f>674</x:f>
        <x:v>674</x:v>
      </x:c>
      <x:c r="D705" s="258" t="n">
        <x:f>IF(X705&lt;($E$12-$D$12)/($F$12-$D$12),$D$12+SQRT(X705*($F$12-$D$12)*($E$12-$D$12)),$F$12-SQRT((1-X705)*($F$12-$D$12)*($F$12-$E$12)))</x:f>
        <x:v>0.18466248353385734</x:v>
      </x:c>
      <x:c r="E705" s="258" t="n">
        <x:f>IF(Y705&lt;($E$13-$D$13)/($F$13-$D$13),$D$13+SQRT(Y705*($F$13-$D$13)*($E$13-$D$13)),$F$13-SQRT((1-Y705)*($F$13-$D$13)*($F$13-$E$13)))</x:f>
        <x:v>-0.011132938104619794</x:v>
      </x:c>
      <x:c r="F705" s="260" t="n">
        <x:f>IF(Z705&lt;($E$14-$D$14)/($F$14-$D$14),$D$14+SQRT(Z705*($F$14-$D$14)*($E$14-$D$14)),$F$14-SQRT((1-Z705)*($F$14-$D$14)*($F$14-$E$14)))</x:f>
        <x:v>1.0560380279138186</x:v>
      </x:c>
      <x:c r="G705" s="258" t="n">
        <x:f>IF(AA705&lt;($E$15-$D$15)/($F$15-$D$15),$D$15+SQRT(AA705*($F$15-$D$15)*($E$15-$D$15)),$F$15-SQRT((1-AA705)*($F$15-$D$15)*($F$15-$E$15)))</x:f>
        <x:v>0.10106129703854935</x:v>
      </x:c>
      <x:c r="H705" s="258" t="n">
        <x:f>IF(AB705&lt;($E$16-$D$16)/($F$16-$D$16),$D$16+SQRT(AB705*($F$16-$D$16)*($E$16-$D$16)),$F$16-SQRT((1-AB705)*($F$16-$D$16)*($F$16-$E$16)))</x:f>
        <x:v>0.036174658823161454</x:v>
      </x:c>
      <x:c r="I705" s="262" t="n">
        <x:f>'Historical Inputs'!$N$9*(1+D705)^5</x:f>
        <x:v>774284.5653492365</x:v>
      </x:c>
      <x:c r="J705" s="262" t="n">
        <x:f>I705*(1+H705)*('Terminal Value'!$E$10+E705)*(1-'Assumptions'!$E$15)*(1-H705/'Terminal Value'!$E$12)</x:f>
        <x:v>204444.67344866408</x:v>
      </x:c>
      <x:c r="K705" s="264" t="n">
        <x:f>((SUM((('Historical Inputs'!$N$9*(1+(D705))^1)*(('Assumptions'!E37+(E705))*(1-'Assumptions'!E42-(0))+'Assumptions'!E47-'Assumptions'!E52*(F705)+'Assumptions'!E57-'Assumptions'!E62*(1)-'Assumptions'!E67-(0))+('Working Capital'!$E$6))*'DCF'!E12/(1+(G705))^'DCF'!E13,(('Historical Inputs'!$N$9*(1+(D705))^2)*(('Assumptions'!F37+(E705))*(1-'Assumptions'!F42-(0))+'Assumptions'!F47-'Assumptions'!F52*(F705)+'Assumptions'!F57-'Assumptions'!F62*(1)-'Assumptions'!F67-(0))+(('Historical Inputs'!$N$9*(1+(D705))^1)*('Assumptions'!E67+(0))))*'DCF'!F12/(1+(G705))^'DCF'!F13,(('Historical Inputs'!$N$9*(1+(D705))^3)*(('Assumptions'!G37+(E705))*(1-'Assumptions'!G42-(0))+'Assumptions'!G47-'Assumptions'!G52*(F705)+'Assumptions'!G57-'Assumptions'!G62*(1)-'Assumptions'!G67-(0))+(('Historical Inputs'!$N$9*(1+(D705))^2)*('Assumptions'!F67+(0))))*'DCF'!G12/(1+(G705))^'DCF'!G13,(('Historical Inputs'!$N$9*(1+(D705))^4)*(('Assumptions'!H37+(E705))*(1-'Assumptions'!H42-(0))+'Assumptions'!H47-'Assumptions'!H52*(F705)+'Assumptions'!H57-'Assumptions'!H62*(1)-'Assumptions'!H67-(0))+(('Historical Inputs'!$N$9*(1+(D705))^3)*('Assumptions'!G67+(0))))*'DCF'!H12/(1+(G705))^'DCF'!H13,(('Historical Inputs'!$N$9*(1+(D705))^5)*(('Assumptions'!I37+(E705))*(1-'Assumptions'!I42-(0))+'Assumptions'!I47-'Assumptions'!I52*(F705)+'Assumptions'!I57-'Assumptions'!I62*(1)-'Assumptions'!I67-(0))+(('Historical Inputs'!$N$9*(1+(D705))^4)*('Assumptions'!H67+(0))))*'DCF'!I12/(1+(G705))^'DCF'!I13)+('Historical Inputs'!$N$9*(1+(D705))^5)*(1+(H705))*('Terminal Value'!$E$10+(E705))*(1-'Assumptions'!$E$15-(0))*(1-(H705)/('Terminal Value'!$E$12))/((G705)-(H705))/(1+(G705))^'DCF'!$E$19)+'Equity Bridge'!$E$17)/'Equity Bridge'!$E$20</x:f>
        <x:v>324.8415615567791</x:v>
      </x:c>
      <x:c r="X705" s="255" t="n">
        <x:v>0.9852267823087815</x:v>
      </x:c>
      <x:c r="Y705" s="255" t="n">
        <x:v>0.30212970007586315</x:v>
      </x:c>
      <x:c r="Z705" s="255" t="n">
        <x:v>0.7039278656151075</x:v>
      </x:c>
      <x:c r="AA705" s="255" t="n">
        <x:v>0.6757689189320909</x:v>
      </x:c>
      <x:c r="AB705" s="255" t="n">
        <x:v>0.9268338244039174</x:v>
      </x:c>
    </x:row>
    <x:row r="706" ht="24" customHeight="1">
      <x:c r="C706" s="256" t="n">
        <x:f>675</x:f>
        <x:v>675</x:v>
      </x:c>
      <x:c r="D706" s="258" t="n">
        <x:f>IF(X706&lt;($E$12-$D$12)/($F$12-$D$12),$D$12+SQRT(X706*($F$12-$D$12)*($E$12-$D$12)),$F$12-SQRT((1-X706)*($F$12-$D$12)*($F$12-$E$12)))</x:f>
        <x:v>0.11272972943931914</x:v>
      </x:c>
      <x:c r="E706" s="258" t="n">
        <x:f>IF(Y706&lt;($E$13-$D$13)/($F$13-$D$13),$D$13+SQRT(Y706*($F$13-$D$13)*($E$13-$D$13)),$F$13-SQRT((1-Y706)*($F$13-$D$13)*($F$13-$E$13)))</x:f>
        <x:v>0.021455534055023682</x:v>
      </x:c>
      <x:c r="F706" s="260" t="n">
        <x:f>IF(Z706&lt;($E$14-$D$14)/($F$14-$D$14),$D$14+SQRT(Z706*($F$14-$D$14)*($E$14-$D$14)),$F$14-SQRT((1-Z706)*($F$14-$D$14)*($F$14-$E$14)))</x:f>
        <x:v>0.9893827597708997</x:v>
      </x:c>
      <x:c r="G706" s="258" t="n">
        <x:f>IF(AA706&lt;($E$15-$D$15)/($F$15-$D$15),$D$15+SQRT(AA706*($F$15-$D$15)*($E$15-$D$15)),$F$15-SQRT((1-AA706)*($F$15-$D$15)*($F$15-$E$15)))</x:f>
        <x:v>0.09012181142771812</x:v>
      </x:c>
      <x:c r="H706" s="258" t="n">
        <x:f>IF(AB706&lt;($E$16-$D$16)/($F$16-$D$16),$D$16+SQRT(AB706*($F$16-$D$16)*($E$16-$D$16)),$F$16-SQRT((1-AB706)*($F$16-$D$16)*($F$16-$E$16)))</x:f>
        <x:v>0.029440091949094867</x:v>
      </x:c>
      <x:c r="I706" s="262" t="n">
        <x:f>'Historical Inputs'!$N$9*(1+D706)^5</x:f>
        <x:v>566077.4872493948</x:v>
      </x:c>
      <x:c r="J706" s="262" t="n">
        <x:f>I706*(1+H706)*('Terminal Value'!$E$10+E706)*(1-'Assumptions'!$E$15)*(1-H706/'Terminal Value'!$E$12)</x:f>
        <x:v>167558.192504315</x:v>
      </x:c>
      <x:c r="K706" s="264" t="n">
        <x:f>((SUM((('Historical Inputs'!$N$9*(1+(D706))^1)*(('Assumptions'!E37+(E706))*(1-'Assumptions'!E42-(0))+'Assumptions'!E47-'Assumptions'!E52*(F706)+'Assumptions'!E57-'Assumptions'!E62*(1)-'Assumptions'!E67-(0))+('Working Capital'!$E$6))*'DCF'!E12/(1+(G706))^'DCF'!E13,(('Historical Inputs'!$N$9*(1+(D706))^2)*(('Assumptions'!F37+(E706))*(1-'Assumptions'!F42-(0))+'Assumptions'!F47-'Assumptions'!F52*(F706)+'Assumptions'!F57-'Assumptions'!F62*(1)-'Assumptions'!F67-(0))+(('Historical Inputs'!$N$9*(1+(D706))^1)*('Assumptions'!E67+(0))))*'DCF'!F12/(1+(G706))^'DCF'!F13,(('Historical Inputs'!$N$9*(1+(D706))^3)*(('Assumptions'!G37+(E706))*(1-'Assumptions'!G42-(0))+'Assumptions'!G47-'Assumptions'!G52*(F706)+'Assumptions'!G57-'Assumptions'!G62*(1)-'Assumptions'!G67-(0))+(('Historical Inputs'!$N$9*(1+(D706))^2)*('Assumptions'!F67+(0))))*'DCF'!G12/(1+(G706))^'DCF'!G13,(('Historical Inputs'!$N$9*(1+(D706))^4)*(('Assumptions'!H37+(E706))*(1-'Assumptions'!H42-(0))+'Assumptions'!H47-'Assumptions'!H52*(F706)+'Assumptions'!H57-'Assumptions'!H62*(1)-'Assumptions'!H67-(0))+(('Historical Inputs'!$N$9*(1+(D706))^3)*('Assumptions'!G67+(0))))*'DCF'!H12/(1+(G706))^'DCF'!H13,(('Historical Inputs'!$N$9*(1+(D706))^5)*(('Assumptions'!I37+(E706))*(1-'Assumptions'!I42-(0))+'Assumptions'!I47-'Assumptions'!I52*(F706)+'Assumptions'!I57-'Assumptions'!I62*(1)-'Assumptions'!I67-(0))+(('Historical Inputs'!$N$9*(1+(D706))^4)*('Assumptions'!H67+(0))))*'DCF'!I12/(1+(G706))^'DCF'!I13)+('Historical Inputs'!$N$9*(1+(D706))^5)*(1+(H706))*('Terminal Value'!$E$10+(E706))*(1-'Assumptions'!$E$15-(0))*(1-(H706)/('Terminal Value'!$E$12))/((G706)-(H706))/(1+(G706))^'DCF'!$E$19)+'Equity Bridge'!$E$17)/'Equity Bridge'!$E$20</x:f>
        <x:v>302.8217713086642</x:v>
      </x:c>
      <x:c r="X706" s="255" t="n">
        <x:v>0.0758372683583165</x:v>
      </x:c>
      <x:c r="Y706" s="255" t="n">
        <x:v>0.8370426927832174</x:v>
      </x:c>
      <x:c r="Z706" s="255" t="n">
        <x:v>0.3700486423114733</x:v>
      </x:c>
      <x:c r="AA706" s="255" t="n">
        <x:v>0.1083122984621685</x:v>
      </x:c>
      <x:c r="AB706" s="255" t="n">
        <x:v>0.4455766800368286</x:v>
      </x:c>
    </x:row>
    <x:row r="707" ht="24" customHeight="1">
      <x:c r="C707" s="256" t="n">
        <x:f>676</x:f>
        <x:v>676</x:v>
      </x:c>
      <x:c r="D707" s="258" t="n">
        <x:f>IF(X707&lt;($E$12-$D$12)/($F$12-$D$12),$D$12+SQRT(X707*($F$12-$D$12)*($E$12-$D$12)),$F$12-SQRT((1-X707)*($F$12-$D$12)*($F$12-$E$12)))</x:f>
        <x:v>0.14456355493720402</x:v>
      </x:c>
      <x:c r="E707" s="258" t="n">
        <x:f>IF(Y707&lt;($E$13-$D$13)/($F$13-$D$13),$D$13+SQRT(Y707*($F$13-$D$13)*($E$13-$D$13)),$F$13-SQRT((1-Y707)*($F$13-$D$13)*($F$13-$E$13)))</x:f>
        <x:v>-0.012281099879775943</x:v>
      </x:c>
      <x:c r="F707" s="260" t="n">
        <x:f>IF(Z707&lt;($E$14-$D$14)/($F$14-$D$14),$D$14+SQRT(Z707*($F$14-$D$14)*($E$14-$D$14)),$F$14-SQRT((1-Z707)*($F$14-$D$14)*($F$14-$E$14)))</x:f>
        <x:v>0.9889840370512779</x:v>
      </x:c>
      <x:c r="G707" s="258" t="n">
        <x:f>IF(AA707&lt;($E$15-$D$15)/($F$15-$D$15),$D$15+SQRT(AA707*($F$15-$D$15)*($E$15-$D$15)),$F$15-SQRT((1-AA707)*($F$15-$D$15)*($F$15-$E$15)))</x:f>
        <x:v>0.09384866074462027</x:v>
      </x:c>
      <x:c r="H707" s="258" t="n">
        <x:f>IF(AB707&lt;($E$16-$D$16)/($F$16-$D$16),$D$16+SQRT(AB707*($F$16-$D$16)*($E$16-$D$16)),$F$16-SQRT((1-AB707)*($F$16-$D$16)*($F$16-$E$16)))</x:f>
        <x:v>0.03595188461904937</x:v>
      </x:c>
      <x:c r="I707" s="262" t="n">
        <x:f>'Historical Inputs'!$N$9*(1+D707)^5</x:f>
        <x:v>651818.9632231314</x:v>
      </x:c>
      <x:c r="J707" s="262" t="n">
        <x:f>I707*(1+H707)*('Terminal Value'!$E$10+E707)*(1-'Assumptions'!$E$15)*(1-H707/'Terminal Value'!$E$12)</x:f>
        <x:v>171796.68715148163</x:v>
      </x:c>
      <x:c r="K707" s="264" t="n">
        <x:f>((SUM((('Historical Inputs'!$N$9*(1+(D707))^1)*(('Assumptions'!E37+(E707))*(1-'Assumptions'!E42-(0))+'Assumptions'!E47-'Assumptions'!E52*(F707)+'Assumptions'!E57-'Assumptions'!E62*(1)-'Assumptions'!E67-(0))+('Working Capital'!$E$6))*'DCF'!E12/(1+(G707))^'DCF'!E13,(('Historical Inputs'!$N$9*(1+(D707))^2)*(('Assumptions'!F37+(E707))*(1-'Assumptions'!F42-(0))+'Assumptions'!F47-'Assumptions'!F52*(F707)+'Assumptions'!F57-'Assumptions'!F62*(1)-'Assumptions'!F67-(0))+(('Historical Inputs'!$N$9*(1+(D707))^1)*('Assumptions'!E67+(0))))*'DCF'!F12/(1+(G707))^'DCF'!F13,(('Historical Inputs'!$N$9*(1+(D707))^3)*(('Assumptions'!G37+(E707))*(1-'Assumptions'!G42-(0))+'Assumptions'!G47-'Assumptions'!G52*(F707)+'Assumptions'!G57-'Assumptions'!G62*(1)-'Assumptions'!G67-(0))+(('Historical Inputs'!$N$9*(1+(D707))^2)*('Assumptions'!F67+(0))))*'DCF'!G12/(1+(G707))^'DCF'!G13,(('Historical Inputs'!$N$9*(1+(D707))^4)*(('Assumptions'!H37+(E707))*(1-'Assumptions'!H42-(0))+'Assumptions'!H47-'Assumptions'!H52*(F707)+'Assumptions'!H57-'Assumptions'!H62*(1)-'Assumptions'!H67-(0))+(('Historical Inputs'!$N$9*(1+(D707))^3)*('Assumptions'!G67+(0))))*'DCF'!H12/(1+(G707))^'DCF'!H13,(('Historical Inputs'!$N$9*(1+(D707))^5)*(('Assumptions'!I37+(E707))*(1-'Assumptions'!I42-(0))+'Assumptions'!I47-'Assumptions'!I52*(F707)+'Assumptions'!I57-'Assumptions'!I62*(1)-'Assumptions'!I67-(0))+(('Historical Inputs'!$N$9*(1+(D707))^4)*('Assumptions'!H67+(0))))*'DCF'!I12/(1+(G707))^'DCF'!I13)+('Historical Inputs'!$N$9*(1+(D707))^5)*(1+(H707))*('Terminal Value'!$E$10+(E707))*(1-'Assumptions'!$E$15-(0))*(1-(H707)/('Terminal Value'!$E$12))/((G707)-(H707))/(1+(G707))^'DCF'!$E$19)+'Equity Bridge'!$E$17)/'Equity Bridge'!$E$20</x:f>
        <x:v>315.4050401529383</x:v>
      </x:c>
      <x:c r="X707" s="255" t="n">
        <x:v>0.5257892564688286</x:v>
      </x:c>
      <x:c r="Y707" s="255" t="n">
        <x:v>0.2845430852558877</x:v>
      </x:c>
      <x:c r="Z707" s="255" t="n">
        <x:v>0.3679345248584951</x:v>
      </x:c>
      <x:c r="AA707" s="255" t="n">
        <x:v>0.25481667967802946</x:v>
      </x:c>
      <x:c r="AB707" s="255" t="n">
        <x:v>0.9180638093125547</x:v>
      </x:c>
    </x:row>
    <x:row r="708" ht="24" customHeight="1">
      <x:c r="C708" s="256" t="n">
        <x:f>677</x:f>
        <x:v>677</x:v>
      </x:c>
      <x:c r="D708" s="258" t="n">
        <x:f>IF(X708&lt;($E$12-$D$12)/($F$12-$D$12),$D$12+SQRT(X708*($F$12-$D$12)*($E$12-$D$12)),$F$12-SQRT((1-X708)*($F$12-$D$12)*($F$12-$E$12)))</x:f>
        <x:v>0.14874901678528116</x:v>
      </x:c>
      <x:c r="E708" s="258" t="n">
        <x:f>IF(Y708&lt;($E$13-$D$13)/($F$13-$D$13),$D$13+SQRT(Y708*($F$13-$D$13)*($E$13-$D$13)),$F$13-SQRT((1-Y708)*($F$13-$D$13)*($F$13-$E$13)))</x:f>
        <x:v>0.0030117510800932654</x:v>
      </x:c>
      <x:c r="F708" s="260" t="n">
        <x:f>IF(Z708&lt;($E$14-$D$14)/($F$14-$D$14),$D$14+SQRT(Z708*($F$14-$D$14)*($E$14-$D$14)),$F$14-SQRT((1-Z708)*($F$14-$D$14)*($F$14-$E$14)))</x:f>
        <x:v>0.9423606350348336</x:v>
      </x:c>
      <x:c r="G708" s="258" t="n">
        <x:f>IF(AA708&lt;($E$15-$D$15)/($F$15-$D$15),$D$15+SQRT(AA708*($F$15-$D$15)*($E$15-$D$15)),$F$15-SQRT((1-AA708)*($F$15-$D$15)*($F$15-$E$15)))</x:f>
        <x:v>0.08997805096735652</x:v>
      </x:c>
      <x:c r="H708" s="258" t="n">
        <x:f>IF(AB708&lt;($E$16-$D$16)/($F$16-$D$16),$D$16+SQRT(AB708*($F$16-$D$16)*($E$16-$D$16)),$F$16-SQRT((1-AB708)*($F$16-$D$16)*($F$16-$E$16)))</x:f>
        <x:v>0.030306624880534608</x:v>
      </x:c>
      <x:c r="I708" s="262" t="n">
        <x:f>'Historical Inputs'!$N$9*(1+D708)^5</x:f>
        <x:v>663824.3660154478</x:v>
      </x:c>
      <x:c r="J708" s="262" t="n">
        <x:f>I708*(1+H708)*('Terminal Value'!$E$10+E708)*(1-'Assumptions'!$E$15)*(1-H708/'Terminal Value'!$E$12)</x:f>
        <x:v>187095.03828204962</x:v>
      </x:c>
      <x:c r="K708" s="264" t="n">
        <x:f>((SUM((('Historical Inputs'!$N$9*(1+(D708))^1)*(('Assumptions'!E37+(E708))*(1-'Assumptions'!E42-(0))+'Assumptions'!E47-'Assumptions'!E52*(F708)+'Assumptions'!E57-'Assumptions'!E62*(1)-'Assumptions'!E67-(0))+('Working Capital'!$E$6))*'DCF'!E12/(1+(G708))^'DCF'!E13,(('Historical Inputs'!$N$9*(1+(D708))^2)*(('Assumptions'!F37+(E708))*(1-'Assumptions'!F42-(0))+'Assumptions'!F47-'Assumptions'!F52*(F708)+'Assumptions'!F57-'Assumptions'!F62*(1)-'Assumptions'!F67-(0))+(('Historical Inputs'!$N$9*(1+(D708))^1)*('Assumptions'!E67+(0))))*'DCF'!F12/(1+(G708))^'DCF'!F13,(('Historical Inputs'!$N$9*(1+(D708))^3)*(('Assumptions'!G37+(E708))*(1-'Assumptions'!G42-(0))+'Assumptions'!G47-'Assumptions'!G52*(F708)+'Assumptions'!G57-'Assumptions'!G62*(1)-'Assumptions'!G67-(0))+(('Historical Inputs'!$N$9*(1+(D708))^2)*('Assumptions'!F67+(0))))*'DCF'!G12/(1+(G708))^'DCF'!G13,(('Historical Inputs'!$N$9*(1+(D708))^4)*(('Assumptions'!H37+(E708))*(1-'Assumptions'!H42-(0))+'Assumptions'!H47-'Assumptions'!H52*(F708)+'Assumptions'!H57-'Assumptions'!H62*(1)-'Assumptions'!H67-(0))+(('Historical Inputs'!$N$9*(1+(D708))^3)*('Assumptions'!G67+(0))))*'DCF'!H12/(1+(G708))^'DCF'!H13,(('Historical Inputs'!$N$9*(1+(D708))^5)*(('Assumptions'!I37+(E708))*(1-'Assumptions'!I42-(0))+'Assumptions'!I47-'Assumptions'!I52*(F708)+'Assumptions'!I57-'Assumptions'!I62*(1)-'Assumptions'!I67-(0))+(('Historical Inputs'!$N$9*(1+(D708))^4)*('Assumptions'!H67+(0))))*'DCF'!I12/(1+(G708))^'DCF'!I13)+('Historical Inputs'!$N$9*(1+(D708))^5)*(1+(H708))*('Terminal Value'!$E$10+(E708))*(1-'Assumptions'!$E$15-(0))*(1-(H708)/('Terminal Value'!$E$12))/((G708)-(H708))/(1+(G708))^'DCF'!$E$19)+'Equity Bridge'!$E$17)/'Equity Bridge'!$E$20</x:f>
        <x:v>342.4459565448327</x:v>
      </x:c>
      <x:c r="X708" s="255" t="n">
        <x:v>0.6038074974580477</x:v>
      </x:c>
      <x:c r="Y708" s="255" t="n">
        <x:v>0.5584208926881767</x:v>
      </x:c>
      <x:c r="Z708" s="255" t="n">
        <x:v>0.16248546483881388</x:v>
      </x:c>
      <x:c r="AA708" s="255" t="n">
        <x:v>0.1038975349040484</x:v>
      </x:c>
      <x:c r="AB708" s="255" t="n">
        <x:v>0.5301923939666463</x:v>
      </x:c>
    </x:row>
    <x:row r="709" ht="24" customHeight="1">
      <x:c r="C709" s="256" t="n">
        <x:f>678</x:f>
        <x:v>678</x:v>
      </x:c>
      <x:c r="D709" s="258" t="n">
        <x:f>IF(X709&lt;($E$12-$D$12)/($F$12-$D$12),$D$12+SQRT(X709*($F$12-$D$12)*($E$12-$D$12)),$F$12-SQRT((1-X709)*($F$12-$D$12)*($F$12-$E$12)))</x:f>
        <x:v>0.13139596113617188</x:v>
      </x:c>
      <x:c r="E709" s="258" t="n">
        <x:f>IF(Y709&lt;($E$13-$D$13)/($F$13-$D$13),$D$13+SQRT(Y709*($F$13-$D$13)*($E$13-$D$13)),$F$13-SQRT((1-Y709)*($F$13-$D$13)*($F$13-$E$13)))</x:f>
        <x:v>0.006932667308344277</x:v>
      </x:c>
      <x:c r="F709" s="260" t="n">
        <x:f>IF(Z709&lt;($E$14-$D$14)/($F$14-$D$14),$D$14+SQRT(Z709*($F$14-$D$14)*($E$14-$D$14)),$F$14-SQRT((1-Z709)*($F$14-$D$14)*($F$14-$E$14)))</x:f>
        <x:v>1.067275406092041</x:v>
      </x:c>
      <x:c r="G709" s="258" t="n">
        <x:f>IF(AA709&lt;($E$15-$D$15)/($F$15-$D$15),$D$15+SQRT(AA709*($F$15-$D$15)*($E$15-$D$15)),$F$15-SQRT((1-AA709)*($F$15-$D$15)*($F$15-$E$15)))</x:f>
        <x:v>0.10073659962941585</x:v>
      </x:c>
      <x:c r="H709" s="258" t="n">
        <x:f>IF(AB709&lt;($E$16-$D$16)/($F$16-$D$16),$D$16+SQRT(AB709*($F$16-$D$16)*($E$16-$D$16)),$F$16-SQRT((1-AB709)*($F$16-$D$16)*($F$16-$E$16)))</x:f>
        <x:v>0.027133166961254597</x:v>
      </x:c>
      <x:c r="I709" s="262" t="n">
        <x:f>'Historical Inputs'!$N$9*(1+D709)^5</x:f>
        <x:v>615177.6464880415</x:v>
      </x:c>
      <x:c r="J709" s="262" t="n">
        <x:f>I709*(1+H709)*('Terminal Value'!$E$10+E709)*(1-'Assumptions'!$E$15)*(1-H709/'Terminal Value'!$E$12)</x:f>
        <x:v>177795.80980184875</x:v>
      </x:c>
      <x:c r="K709" s="264" t="n">
        <x:f>((SUM((('Historical Inputs'!$N$9*(1+(D709))^1)*(('Assumptions'!E37+(E709))*(1-'Assumptions'!E42-(0))+'Assumptions'!E47-'Assumptions'!E52*(F709)+'Assumptions'!E57-'Assumptions'!E62*(1)-'Assumptions'!E67-(0))+('Working Capital'!$E$6))*'DCF'!E12/(1+(G709))^'DCF'!E13,(('Historical Inputs'!$N$9*(1+(D709))^2)*(('Assumptions'!F37+(E709))*(1-'Assumptions'!F42-(0))+'Assumptions'!F47-'Assumptions'!F52*(F709)+'Assumptions'!F57-'Assumptions'!F62*(1)-'Assumptions'!F67-(0))+(('Historical Inputs'!$N$9*(1+(D709))^1)*('Assumptions'!E67+(0))))*'DCF'!F12/(1+(G709))^'DCF'!F13,(('Historical Inputs'!$N$9*(1+(D709))^3)*(('Assumptions'!G37+(E709))*(1-'Assumptions'!G42-(0))+'Assumptions'!G47-'Assumptions'!G52*(F709)+'Assumptions'!G57-'Assumptions'!G62*(1)-'Assumptions'!G67-(0))+(('Historical Inputs'!$N$9*(1+(D709))^2)*('Assumptions'!F67+(0))))*'DCF'!G12/(1+(G709))^'DCF'!G13,(('Historical Inputs'!$N$9*(1+(D709))^4)*(('Assumptions'!H37+(E709))*(1-'Assumptions'!H42-(0))+'Assumptions'!H47-'Assumptions'!H52*(F709)+'Assumptions'!H57-'Assumptions'!H62*(1)-'Assumptions'!H67-(0))+(('Historical Inputs'!$N$9*(1+(D709))^3)*('Assumptions'!G67+(0))))*'DCF'!H12/(1+(G709))^'DCF'!H13,(('Historical Inputs'!$N$9*(1+(D709))^5)*(('Assumptions'!I37+(E709))*(1-'Assumptions'!I42-(0))+'Assumptions'!I47-'Assumptions'!I52*(F709)+'Assumptions'!I57-'Assumptions'!I62*(1)-'Assumptions'!I67-(0))+(('Historical Inputs'!$N$9*(1+(D709))^4)*('Assumptions'!H67+(0))))*'DCF'!I12/(1+(G709))^'DCF'!I13)+('Historical Inputs'!$N$9*(1+(D709))^5)*(1+(H709))*('Terminal Value'!$E$10+(E709))*(1-'Assumptions'!$E$15-(0))*(1-(H709)/('Terminal Value'!$E$12))/((G709)-(H709))/(1+(G709))^'DCF'!$E$19)+'Equity Bridge'!$E$17)/'Equity Bridge'!$E$20</x:f>
        <x:v>256.5133599018879</x:v>
      </x:c>
      <x:c r="X709" s="255" t="n">
        <x:v>0.29091573834011974</x:v>
      </x:c>
      <x:c r="Y709" s="255" t="n">
        <x:v>0.6290409709652485</x:v>
      </x:c>
      <x:c r="Z709" s="255" t="n">
        <x:v>0.7483454595995341</x:v>
      </x:c>
      <x:c r="AA709" s="255" t="n">
        <x:v>0.6581033292926923</x:v>
      </x:c>
      <x:c r="AB709" s="255" t="n">
        <x:v>0.25441035448567095</x:v>
      </x:c>
    </x:row>
    <x:row r="710" ht="24" customHeight="1">
      <x:c r="C710" s="256" t="n">
        <x:f>679</x:f>
        <x:v>679</x:v>
      </x:c>
      <x:c r="D710" s="258" t="n">
        <x:f>IF(X710&lt;($E$12-$D$12)/($F$12-$D$12),$D$12+SQRT(X710*($F$12-$D$12)*($E$12-$D$12)),$F$12-SQRT((1-X710)*($F$12-$D$12)*($F$12-$E$12)))</x:f>
        <x:v>0.12015150577289685</x:v>
      </x:c>
      <x:c r="E710" s="258" t="n">
        <x:f>IF(Y710&lt;($E$13-$D$13)/($F$13-$D$13),$D$13+SQRT(Y710*($F$13-$D$13)*($E$13-$D$13)),$F$13-SQRT((1-Y710)*($F$13-$D$13)*($F$13-$E$13)))</x:f>
        <x:v>0.01232849097857823</x:v>
      </x:c>
      <x:c r="F710" s="260" t="n">
        <x:f>IF(Z710&lt;($E$14-$D$14)/($F$14-$D$14),$D$14+SQRT(Z710*($F$14-$D$14)*($E$14-$D$14)),$F$14-SQRT((1-Z710)*($F$14-$D$14)*($F$14-$E$14)))</x:f>
        <x:v>0.9620280292056762</x:v>
      </x:c>
      <x:c r="G710" s="258" t="n">
        <x:f>IF(AA710&lt;($E$15-$D$15)/($F$15-$D$15),$D$15+SQRT(AA710*($F$15-$D$15)*($E$15-$D$15)),$F$15-SQRT((1-AA710)*($F$15-$D$15)*($F$15-$E$15)))</x:f>
        <x:v>0.1058473906100297</x:v>
      </x:c>
      <x:c r="H710" s="258" t="n">
        <x:f>IF(AB710&lt;($E$16-$D$16)/($F$16-$D$16),$D$16+SQRT(AB710*($F$16-$D$16)*($E$16-$D$16)),$F$16-SQRT((1-AB710)*($F$16-$D$16)*($F$16-$E$16)))</x:f>
        <x:v>0.0348521398823696</x:v>
      </x:c>
      <x:c r="I710" s="262" t="n">
        <x:f>'Historical Inputs'!$N$9*(1+D710)^5</x:f>
        <x:v>585209.3563927956</x:v>
      </x:c>
      <x:c r="J710" s="262" t="n">
        <x:f>I710*(1+H710)*('Terminal Value'!$E$10+E710)*(1-'Assumptions'!$E$15)*(1-H710/'Terminal Value'!$E$12)</x:f>
        <x:v>164955.13889580185</x:v>
      </x:c>
      <x:c r="K710" s="264" t="n">
        <x:f>((SUM((('Historical Inputs'!$N$9*(1+(D710))^1)*(('Assumptions'!E37+(E710))*(1-'Assumptions'!E42-(0))+'Assumptions'!E47-'Assumptions'!E52*(F710)+'Assumptions'!E57-'Assumptions'!E62*(1)-'Assumptions'!E67-(0))+('Working Capital'!$E$6))*'DCF'!E12/(1+(G710))^'DCF'!E13,(('Historical Inputs'!$N$9*(1+(D710))^2)*(('Assumptions'!F37+(E710))*(1-'Assumptions'!F42-(0))+'Assumptions'!F47-'Assumptions'!F52*(F710)+'Assumptions'!F57-'Assumptions'!F62*(1)-'Assumptions'!F67-(0))+(('Historical Inputs'!$N$9*(1+(D710))^1)*('Assumptions'!E67+(0))))*'DCF'!F12/(1+(G710))^'DCF'!F13,(('Historical Inputs'!$N$9*(1+(D710))^3)*(('Assumptions'!G37+(E710))*(1-'Assumptions'!G42-(0))+'Assumptions'!G47-'Assumptions'!G52*(F710)+'Assumptions'!G57-'Assumptions'!G62*(1)-'Assumptions'!G67-(0))+(('Historical Inputs'!$N$9*(1+(D710))^2)*('Assumptions'!F67+(0))))*'DCF'!G12/(1+(G710))^'DCF'!G13,(('Historical Inputs'!$N$9*(1+(D710))^4)*(('Assumptions'!H37+(E710))*(1-'Assumptions'!H42-(0))+'Assumptions'!H47-'Assumptions'!H52*(F710)+'Assumptions'!H57-'Assumptions'!H62*(1)-'Assumptions'!H67-(0))+(('Historical Inputs'!$N$9*(1+(D710))^3)*('Assumptions'!G67+(0))))*'DCF'!H12/(1+(G710))^'DCF'!H13,(('Historical Inputs'!$N$9*(1+(D710))^5)*(('Assumptions'!I37+(E710))*(1-'Assumptions'!I42-(0))+'Assumptions'!I47-'Assumptions'!I52*(F710)+'Assumptions'!I57-'Assumptions'!I62*(1)-'Assumptions'!I67-(0))+(('Historical Inputs'!$N$9*(1+(D710))^4)*('Assumptions'!H67+(0))))*'DCF'!I12/(1+(G710))^'DCF'!I13)+('Historical Inputs'!$N$9*(1+(D710))^5)*(1+(H710))*('Terminal Value'!$E$10+(E710))*(1-'Assumptions'!$E$15-(0))*(1-(H710)/('Terminal Value'!$E$12))/((G710)-(H710))/(1+(G710))^'DCF'!$E$19)+'Equity Bridge'!$E$17)/'Equity Bridge'!$E$20</x:f>
        <x:v>249.12401744354827</x:v>
      </x:c>
      <x:c r="X710" s="255" t="n">
        <x:v>0.14466265335336126</x:v>
      </x:c>
      <x:c r="Y710" s="255" t="n">
        <x:v>0.7161714816097876</x:v>
      </x:c>
      <x:c r="Z710" s="255" t="n">
        <x:v>0.2390529395753873</x:v>
      </x:c>
      <x:c r="AA710" s="255" t="n">
        <x:v>0.8818054710189533</x:v>
      </x:c>
      <x:c r="AB710" s="255" t="n">
        <x:v>0.8674976810465517</x:v>
      </x:c>
    </x:row>
    <x:row r="711" ht="24" customHeight="1">
      <x:c r="C711" s="256" t="n">
        <x:f>680</x:f>
        <x:v>680</x:v>
      </x:c>
      <x:c r="D711" s="258" t="n">
        <x:f>IF(X711&lt;($E$12-$D$12)/($F$12-$D$12),$D$12+SQRT(X711*($F$12-$D$12)*($E$12-$D$12)),$F$12-SQRT((1-X711)*($F$12-$D$12)*($F$12-$E$12)))</x:f>
        <x:v>0.12580634271194122</x:v>
      </x:c>
      <x:c r="E711" s="258" t="n">
        <x:f>IF(Y711&lt;($E$13-$D$13)/($F$13-$D$13),$D$13+SQRT(Y711*($F$13-$D$13)*($E$13-$D$13)),$F$13-SQRT((1-Y711)*($F$13-$D$13)*($F$13-$E$13)))</x:f>
        <x:v>-0.016285089879526787</x:v>
      </x:c>
      <x:c r="F711" s="260" t="n">
        <x:f>IF(Z711&lt;($E$14-$D$14)/($F$14-$D$14),$D$14+SQRT(Z711*($F$14-$D$14)*($E$14-$D$14)),$F$14-SQRT((1-Z711)*($F$14-$D$14)*($F$14-$E$14)))</x:f>
        <x:v>0.9628367036397518</x:v>
      </x:c>
      <x:c r="G711" s="258" t="n">
        <x:f>IF(AA711&lt;($E$15-$D$15)/($F$15-$D$15),$D$15+SQRT(AA711*($F$15-$D$15)*($E$15-$D$15)),$F$15-SQRT((1-AA711)*($F$15-$D$15)*($F$15-$E$15)))</x:f>
        <x:v>0.10199949530292918</x:v>
      </x:c>
      <x:c r="H711" s="258" t="n">
        <x:f>IF(AB711&lt;($E$16-$D$16)/($F$16-$D$16),$D$16+SQRT(AB711*($F$16-$D$16)*($E$16-$D$16)),$F$16-SQRT((1-AB711)*($F$16-$D$16)*($F$16-$E$16)))</x:f>
        <x:v>0.03718836676410597</x:v>
      </x:c>
      <x:c r="I711" s="262" t="n">
        <x:f>'Historical Inputs'!$N$9*(1+D711)^5</x:f>
        <x:v>600130.7520118179</x:v>
      </x:c>
      <x:c r="J711" s="262" t="n">
        <x:f>I711*(1+H711)*('Terminal Value'!$E$10+E711)*(1-'Assumptions'!$E$15)*(1-H711/'Terminal Value'!$E$12)</x:f>
        <x:v>155545.55964892913</x:v>
      </x:c>
      <x:c r="K711" s="264" t="n">
        <x:f>((SUM((('Historical Inputs'!$N$9*(1+(D711))^1)*(('Assumptions'!E37+(E711))*(1-'Assumptions'!E42-(0))+'Assumptions'!E47-'Assumptions'!E52*(F711)+'Assumptions'!E57-'Assumptions'!E62*(1)-'Assumptions'!E67-(0))+('Working Capital'!$E$6))*'DCF'!E12/(1+(G711))^'DCF'!E13,(('Historical Inputs'!$N$9*(1+(D711))^2)*(('Assumptions'!F37+(E711))*(1-'Assumptions'!F42-(0))+'Assumptions'!F47-'Assumptions'!F52*(F711)+'Assumptions'!F57-'Assumptions'!F62*(1)-'Assumptions'!F67-(0))+(('Historical Inputs'!$N$9*(1+(D711))^1)*('Assumptions'!E67+(0))))*'DCF'!F12/(1+(G711))^'DCF'!F13,(('Historical Inputs'!$N$9*(1+(D711))^3)*(('Assumptions'!G37+(E711))*(1-'Assumptions'!G42-(0))+'Assumptions'!G47-'Assumptions'!G52*(F711)+'Assumptions'!G57-'Assumptions'!G62*(1)-'Assumptions'!G67-(0))+(('Historical Inputs'!$N$9*(1+(D711))^2)*('Assumptions'!F67+(0))))*'DCF'!G12/(1+(G711))^'DCF'!G13,(('Historical Inputs'!$N$9*(1+(D711))^4)*(('Assumptions'!H37+(E711))*(1-'Assumptions'!H42-(0))+'Assumptions'!H47-'Assumptions'!H52*(F711)+'Assumptions'!H57-'Assumptions'!H62*(1)-'Assumptions'!H67-(0))+(('Historical Inputs'!$N$9*(1+(D711))^3)*('Assumptions'!G67+(0))))*'DCF'!H12/(1+(G711))^'DCF'!H13,(('Historical Inputs'!$N$9*(1+(D711))^5)*(('Assumptions'!I37+(E711))*(1-'Assumptions'!I42-(0))+'Assumptions'!I47-'Assumptions'!I52*(F711)+'Assumptions'!I57-'Assumptions'!I62*(1)-'Assumptions'!I67-(0))+(('Historical Inputs'!$N$9*(1+(D711))^4)*('Assumptions'!H67+(0))))*'DCF'!I12/(1+(G711))^'DCF'!I13)+('Historical Inputs'!$N$9*(1+(D711))^5)*(1+(H711))*('Terminal Value'!$E$10+(E711))*(1-'Assumptions'!$E$15-(0))*(1-(H711)/('Terminal Value'!$E$12))/((G711)-(H711))/(1+(G711))^'DCF'!$E$19)+'Equity Bridge'!$E$17)/'Equity Bridge'!$E$20</x:f>
        <x:v>254.796966969588</x:v>
      </x:c>
      <x:c r="X711" s="255" t="n">
        <x:v>0.21189165802644694</x:v>
      </x:c>
      <x:c r="Y711" s="255" t="n">
        <x:v>0.2273390328863174</x:v>
      </x:c>
      <x:c r="Z711" s="255" t="n">
        <x:v>0.24251660358638472</x:v>
      </x:c>
      <x:c r="AA711" s="255" t="n">
        <x:v>0.7241798372918681</x:v>
      </x:c>
      <x:c r="AB711" s="255" t="n">
        <x:v>0.9604735927340804</x:v>
      </x:c>
    </x:row>
    <x:row r="712" ht="24" customHeight="1">
      <x:c r="C712" s="256" t="n">
        <x:f>681</x:f>
        <x:v>681</x:v>
      </x:c>
      <x:c r="D712" s="258" t="n">
        <x:f>IF(X712&lt;($E$12-$D$12)/($F$12-$D$12),$D$12+SQRT(X712*($F$12-$D$12)*($E$12-$D$12)),$F$12-SQRT((1-X712)*($F$12-$D$12)*($F$12-$E$12)))</x:f>
        <x:v>0.16733434636307443</x:v>
      </x:c>
      <x:c r="E712" s="258" t="n">
        <x:f>IF(Y712&lt;($E$13-$D$13)/($F$13-$D$13),$D$13+SQRT(Y712*($F$13-$D$13)*($E$13-$D$13)),$F$13-SQRT((1-Y712)*($F$13-$D$13)*($F$13-$E$13)))</x:f>
        <x:v>0.03171939407004397</x:v>
      </x:c>
      <x:c r="F712" s="260" t="n">
        <x:f>IF(Z712&lt;($E$14-$D$14)/($F$14-$D$14),$D$14+SQRT(Z712*($F$14-$D$14)*($E$14-$D$14)),$F$14-SQRT((1-Z712)*($F$14-$D$14)*($F$14-$E$14)))</x:f>
        <x:v>0.9527039673626002</x:v>
      </x:c>
      <x:c r="G712" s="258" t="n">
        <x:f>IF(AA712&lt;($E$15-$D$15)/($F$15-$D$15),$D$15+SQRT(AA712*($F$15-$D$15)*($E$15-$D$15)),$F$15-SQRT((1-AA712)*($F$15-$D$15)*($F$15-$E$15)))</x:f>
        <x:v>0.10254509623995443</x:v>
      </x:c>
      <x:c r="H712" s="258" t="n">
        <x:f>IF(AB712&lt;($E$16-$D$16)/($F$16-$D$16),$D$16+SQRT(AB712*($F$16-$D$16)*($E$16-$D$16)),$F$16-SQRT((1-AB712)*($F$16-$D$16)*($F$16-$E$16)))</x:f>
        <x:v>0.029219019865776262</x:v>
      </x:c>
      <x:c r="I712" s="262" t="n">
        <x:f>'Historical Inputs'!$N$9*(1+D712)^5</x:f>
        <x:v>719289.5412492233</x:v>
      </x:c>
      <x:c r="J712" s="262" t="n">
        <x:f>I712*(1+H712)*('Terminal Value'!$E$10+E712)*(1-'Assumptions'!$E$15)*(1-H712/'Terminal Value'!$E$12)</x:f>
        <x:v>218329.59076769045</x:v>
      </x:c>
      <x:c r="K712" s="264" t="n">
        <x:f>((SUM((('Historical Inputs'!$N$9*(1+(D712))^1)*(('Assumptions'!E37+(E712))*(1-'Assumptions'!E42-(0))+'Assumptions'!E47-'Assumptions'!E52*(F712)+'Assumptions'!E57-'Assumptions'!E62*(1)-'Assumptions'!E67-(0))+('Working Capital'!$E$6))*'DCF'!E12/(1+(G712))^'DCF'!E13,(('Historical Inputs'!$N$9*(1+(D712))^2)*(('Assumptions'!F37+(E712))*(1-'Assumptions'!F42-(0))+'Assumptions'!F47-'Assumptions'!F52*(F712)+'Assumptions'!F57-'Assumptions'!F62*(1)-'Assumptions'!F67-(0))+(('Historical Inputs'!$N$9*(1+(D712))^1)*('Assumptions'!E67+(0))))*'DCF'!F12/(1+(G712))^'DCF'!F13,(('Historical Inputs'!$N$9*(1+(D712))^3)*(('Assumptions'!G37+(E712))*(1-'Assumptions'!G42-(0))+'Assumptions'!G47-'Assumptions'!G52*(F712)+'Assumptions'!G57-'Assumptions'!G62*(1)-'Assumptions'!G67-(0))+(('Historical Inputs'!$N$9*(1+(D712))^2)*('Assumptions'!F67+(0))))*'DCF'!G12/(1+(G712))^'DCF'!G13,(('Historical Inputs'!$N$9*(1+(D712))^4)*(('Assumptions'!H37+(E712))*(1-'Assumptions'!H42-(0))+'Assumptions'!H47-'Assumptions'!H52*(F712)+'Assumptions'!H57-'Assumptions'!H62*(1)-'Assumptions'!H67-(0))+(('Historical Inputs'!$N$9*(1+(D712))^3)*('Assumptions'!G67+(0))))*'DCF'!H12/(1+(G712))^'DCF'!H13,(('Historical Inputs'!$N$9*(1+(D712))^5)*(('Assumptions'!I37+(E712))*(1-'Assumptions'!I42-(0))+'Assumptions'!I47-'Assumptions'!I52*(F712)+'Assumptions'!I57-'Assumptions'!I62*(1)-'Assumptions'!I67-(0))+(('Historical Inputs'!$N$9*(1+(D712))^4)*('Assumptions'!H67+(0))))*'DCF'!I12/(1+(G712))^'DCF'!I13)+('Historical Inputs'!$N$9*(1+(D712))^5)*(1+(H712))*('Terminal Value'!$E$10+(E712))*(1-'Assumptions'!$E$15-(0))*(1-(H712)/('Terminal Value'!$E$12))/((G712)-(H712))/(1+(G712))^'DCF'!$E$19)+'Equity Bridge'!$E$17)/'Equity Bridge'!$E$20</x:f>
        <x:v>321.4605321683331</x:v>
      </x:c>
      <x:c r="X712" s="255" t="n">
        <x:v>0.8656029793681723</x:v>
      </x:c>
      <x:c r="Y712" s="255" t="n">
        <x:v>0.9331638893667312</x:v>
      </x:c>
      <x:c r="Z712" s="255" t="n">
        <x:v>0.20091628403843909</x:v>
      </x:c>
      <x:c r="AA712" s="255" t="n">
        <x:v>0.7505337532738441</x:v>
      </x:c>
      <x:c r="AB712" s="255" t="n">
        <x:v>0.42495163642788714</x:v>
      </x:c>
    </x:row>
    <x:row r="713" ht="24" customHeight="1">
      <x:c r="C713" s="256" t="n">
        <x:f>682</x:f>
        <x:v>682</x:v>
      </x:c>
      <x:c r="D713" s="258" t="n">
        <x:f>IF(X713&lt;($E$12-$D$12)/($F$12-$D$12),$D$12+SQRT(X713*($F$12-$D$12)*($E$12-$D$12)),$F$12-SQRT((1-X713)*($F$12-$D$12)*($F$12-$E$12)))</x:f>
        <x:v>0.13771292169529975</x:v>
      </x:c>
      <x:c r="E713" s="258" t="n">
        <x:f>IF(Y713&lt;($E$13-$D$13)/($F$13-$D$13),$D$13+SQRT(Y713*($F$13-$D$13)*($E$13-$D$13)),$F$13-SQRT((1-Y713)*($F$13-$D$13)*($F$13-$E$13)))</x:f>
        <x:v>-0.003163172728788674</x:v>
      </x:c>
      <x:c r="F713" s="260" t="n">
        <x:f>IF(Z713&lt;($E$14-$D$14)/($F$14-$D$14),$D$14+SQRT(Z713*($F$14-$D$14)*($E$14-$D$14)),$F$14-SQRT((1-Z713)*($F$14-$D$14)*($F$14-$E$14)))</x:f>
        <x:v>1.0400004490156274</x:v>
      </x:c>
      <x:c r="G713" s="258" t="n">
        <x:f>IF(AA713&lt;($E$15-$D$15)/($F$15-$D$15),$D$15+SQRT(AA713*($F$15-$D$15)*($E$15-$D$15)),$F$15-SQRT((1-AA713)*($F$15-$D$15)*($F$15-$E$15)))</x:f>
        <x:v>0.09194950982026333</x:v>
      </x:c>
      <x:c r="H713" s="258" t="n">
        <x:f>IF(AB713&lt;($E$16-$D$16)/($F$16-$D$16),$D$16+SQRT(AB713*($F$16-$D$16)*($E$16-$D$16)),$F$16-SQRT((1-AB713)*($F$16-$D$16)*($F$16-$E$16)))</x:f>
        <x:v>0.031192245475439404</x:v>
      </x:c>
      <x:c r="I713" s="262" t="n">
        <x:f>'Historical Inputs'!$N$9*(1+D713)^5</x:f>
        <x:v>632544.2019761594</x:v>
      </x:c>
      <x:c r="J713" s="262" t="n">
        <x:f>I713*(1+H713)*('Terminal Value'!$E$10+E713)*(1-'Assumptions'!$E$15)*(1-H713/'Terminal Value'!$E$12)</x:f>
        <x:v>174781.2619816998</x:v>
      </x:c>
      <x:c r="K713" s="264" t="n">
        <x:f>((SUM((('Historical Inputs'!$N$9*(1+(D713))^1)*(('Assumptions'!E37+(E713))*(1-'Assumptions'!E42-(0))+'Assumptions'!E47-'Assumptions'!E52*(F713)+'Assumptions'!E57-'Assumptions'!E62*(1)-'Assumptions'!E67-(0))+('Working Capital'!$E$6))*'DCF'!E12/(1+(G713))^'DCF'!E13,(('Historical Inputs'!$N$9*(1+(D713))^2)*(('Assumptions'!F37+(E713))*(1-'Assumptions'!F42-(0))+'Assumptions'!F47-'Assumptions'!F52*(F713)+'Assumptions'!F57-'Assumptions'!F62*(1)-'Assumptions'!F67-(0))+(('Historical Inputs'!$N$9*(1+(D713))^1)*('Assumptions'!E67+(0))))*'DCF'!F12/(1+(G713))^'DCF'!F13,(('Historical Inputs'!$N$9*(1+(D713))^3)*(('Assumptions'!G37+(E713))*(1-'Assumptions'!G42-(0))+'Assumptions'!G47-'Assumptions'!G52*(F713)+'Assumptions'!G57-'Assumptions'!G62*(1)-'Assumptions'!G67-(0))+(('Historical Inputs'!$N$9*(1+(D713))^2)*('Assumptions'!F67+(0))))*'DCF'!G12/(1+(G713))^'DCF'!G13,(('Historical Inputs'!$N$9*(1+(D713))^4)*(('Assumptions'!H37+(E713))*(1-'Assumptions'!H42-(0))+'Assumptions'!H47-'Assumptions'!H52*(F713)+'Assumptions'!H57-'Assumptions'!H62*(1)-'Assumptions'!H67-(0))+(('Historical Inputs'!$N$9*(1+(D713))^3)*('Assumptions'!G67+(0))))*'DCF'!H12/(1+(G713))^'DCF'!H13,(('Historical Inputs'!$N$9*(1+(D713))^5)*(('Assumptions'!I37+(E713))*(1-'Assumptions'!I42-(0))+'Assumptions'!I47-'Assumptions'!I52*(F713)+'Assumptions'!I57-'Assumptions'!I62*(1)-'Assumptions'!I67-(0))+(('Historical Inputs'!$N$9*(1+(D713))^4)*('Assumptions'!H67+(0))))*'DCF'!I12/(1+(G713))^'DCF'!I13)+('Historical Inputs'!$N$9*(1+(D713))^5)*(1+(H713))*('Terminal Value'!$E$10+(E713))*(1-'Assumptions'!$E$15-(0))*(1-(H713)/('Terminal Value'!$E$12))/((G713)-(H713))/(1+(G713))^'DCF'!$E$19)+'Equity Bridge'!$E$17)/'Equity Bridge'!$E$20</x:f>
        <x:v>307.24074093537166</x:v>
      </x:c>
      <x:c r="X713" s="255" t="n">
        <x:v>0.39526540663682086</x:v>
      </x:c>
      <x:c r="Y713" s="255" t="n">
        <x:v>0.43873767776665706</x:v>
      </x:c>
      <x:c r="Z713" s="255" t="n">
        <x:v>0.6342877669257023</x:v>
      </x:c>
      <x:c r="AA713" s="255" t="n">
        <x:v>0.17244657080854664</x:v>
      </x:c>
      <x:c r="AB713" s="255" t="n">
        <x:v>0.6121173011754116</x:v>
      </x:c>
    </x:row>
    <x:row r="714" ht="24" customHeight="1">
      <x:c r="C714" s="256" t="n">
        <x:f>683</x:f>
        <x:v>683</x:v>
      </x:c>
      <x:c r="D714" s="258" t="n">
        <x:f>IF(X714&lt;($E$12-$D$12)/($F$12-$D$12),$D$12+SQRT(X714*($F$12-$D$12)*($E$12-$D$12)),$F$12-SQRT((1-X714)*($F$12-$D$12)*($F$12-$E$12)))</x:f>
        <x:v>0.11687311597383261</x:v>
      </x:c>
      <x:c r="E714" s="258" t="n">
        <x:f>IF(Y714&lt;($E$13-$D$13)/($F$13-$D$13),$D$13+SQRT(Y714*($F$13-$D$13)*($E$13-$D$13)),$F$13-SQRT((1-Y714)*($F$13-$D$13)*($F$13-$E$13)))</x:f>
        <x:v>-0.02330828123550797</x:v>
      </x:c>
      <x:c r="F714" s="260" t="n">
        <x:f>IF(Z714&lt;($E$14-$D$14)/($F$14-$D$14),$D$14+SQRT(Z714*($F$14-$D$14)*($E$14-$D$14)),$F$14-SQRT((1-Z714)*($F$14-$D$14)*($F$14-$E$14)))</x:f>
        <x:v>1.0538738132268264</x:v>
      </x:c>
      <x:c r="G714" s="258" t="n">
        <x:f>IF(AA714&lt;($E$15-$D$15)/($F$15-$D$15),$D$15+SQRT(AA714*($F$15-$D$15)*($E$15-$D$15)),$F$15-SQRT((1-AA714)*($F$15-$D$15)*($F$15-$E$15)))</x:f>
        <x:v>0.0999500224012691</x:v>
      </x:c>
      <x:c r="H714" s="258" t="n">
        <x:f>IF(AB714&lt;($E$16-$D$16)/($F$16-$D$16),$D$16+SQRT(AB714*($F$16-$D$16)*($E$16-$D$16)),$F$16-SQRT((1-AB714)*($F$16-$D$16)*($F$16-$E$16)))</x:f>
        <x:v>0.026844585451447182</x:v>
      </x:c>
      <x:c r="I714" s="262" t="n">
        <x:f>'Historical Inputs'!$N$9*(1+D714)^5</x:f>
        <x:v>576695.5658866335</x:v>
      </x:c>
      <x:c r="J714" s="262" t="n">
        <x:f>I714*(1+H714)*('Terminal Value'!$E$10+E714)*(1-'Assumptions'!$E$15)*(1-H714/'Terminal Value'!$E$12)</x:f>
        <x:v>154501.77390135304</x:v>
      </x:c>
      <x:c r="K714" s="264" t="n">
        <x:f>((SUM((('Historical Inputs'!$N$9*(1+(D714))^1)*(('Assumptions'!E37+(E714))*(1-'Assumptions'!E42-(0))+'Assumptions'!E47-'Assumptions'!E52*(F714)+'Assumptions'!E57-'Assumptions'!E62*(1)-'Assumptions'!E67-(0))+('Working Capital'!$E$6))*'DCF'!E12/(1+(G714))^'DCF'!E13,(('Historical Inputs'!$N$9*(1+(D714))^2)*(('Assumptions'!F37+(E714))*(1-'Assumptions'!F42-(0))+'Assumptions'!F47-'Assumptions'!F52*(F714)+'Assumptions'!F57-'Assumptions'!F62*(1)-'Assumptions'!F67-(0))+(('Historical Inputs'!$N$9*(1+(D714))^1)*('Assumptions'!E67+(0))))*'DCF'!F12/(1+(G714))^'DCF'!F13,(('Historical Inputs'!$N$9*(1+(D714))^3)*(('Assumptions'!G37+(E714))*(1-'Assumptions'!G42-(0))+'Assumptions'!G47-'Assumptions'!G52*(F714)+'Assumptions'!G57-'Assumptions'!G62*(1)-'Assumptions'!G67-(0))+(('Historical Inputs'!$N$9*(1+(D714))^2)*('Assumptions'!F67+(0))))*'DCF'!G12/(1+(G714))^'DCF'!G13,(('Historical Inputs'!$N$9*(1+(D714))^4)*(('Assumptions'!H37+(E714))*(1-'Assumptions'!H42-(0))+'Assumptions'!H47-'Assumptions'!H52*(F714)+'Assumptions'!H57-'Assumptions'!H62*(1)-'Assumptions'!H67-(0))+(('Historical Inputs'!$N$9*(1+(D714))^3)*('Assumptions'!G67+(0))))*'DCF'!H12/(1+(G714))^'DCF'!H13,(('Historical Inputs'!$N$9*(1+(D714))^5)*(('Assumptions'!I37+(E714))*(1-'Assumptions'!I42-(0))+'Assumptions'!I47-'Assumptions'!I52*(F714)+'Assumptions'!I57-'Assumptions'!I62*(1)-'Assumptions'!I67-(0))+(('Historical Inputs'!$N$9*(1+(D714))^4)*('Assumptions'!H67+(0))))*'DCF'!I12/(1+(G714))^'DCF'!I13)+('Historical Inputs'!$N$9*(1+(D714))^5)*(1+(H714))*('Terminal Value'!$E$10+(E714))*(1-'Assumptions'!$E$15-(0))*(1-(H714)/('Terminal Value'!$E$12))/((G714)-(H714))/(1+(G714))^'DCF'!$E$19)+'Equity Bridge'!$E$17)/'Equity Bridge'!$E$20</x:f>
        <x:v>224.16615241372173</x:v>
      </x:c>
      <x:c r="X714" s="255" t="n">
        <x:v>0.1115439805593168</x:v>
      </x:c>
      <x:c r="Y714" s="255" t="n">
        <x:v>0.1424895701205472</x:v>
      </x:c>
      <x:c r="Z714" s="255" t="n">
        <x:v>0.6949591077018799</x:v>
      </x:c>
      <x:c r="AA714" s="255" t="n">
        <x:v>0.613366108728605</x:v>
      </x:c>
      <x:c r="AB714" s="255" t="n">
        <x:v>0.23424175001081227</x:v>
      </x:c>
    </x:row>
    <x:row r="715" ht="24" customHeight="1">
      <x:c r="C715" s="256" t="n">
        <x:f>684</x:f>
        <x:v>684</x:v>
      </x:c>
      <x:c r="D715" s="258" t="n">
        <x:f>IF(X715&lt;($E$12-$D$12)/($F$12-$D$12),$D$12+SQRT(X715*($F$12-$D$12)*($E$12-$D$12)),$F$12-SQRT((1-X715)*($F$12-$D$12)*($F$12-$E$12)))</x:f>
        <x:v>0.11215536937677081</x:v>
      </x:c>
      <x:c r="E715" s="258" t="n">
        <x:f>IF(Y715&lt;($E$13-$D$13)/($F$13-$D$13),$D$13+SQRT(Y715*($F$13-$D$13)*($E$13-$D$13)),$F$13-SQRT((1-Y715)*($F$13-$D$13)*($F$13-$E$13)))</x:f>
        <x:v>0.005405016283128436</x:v>
      </x:c>
      <x:c r="F715" s="260" t="n">
        <x:f>IF(Z715&lt;($E$14-$D$14)/($F$14-$D$14),$D$14+SQRT(Z715*($F$14-$D$14)*($E$14-$D$14)),$F$14-SQRT((1-Z715)*($F$14-$D$14)*($F$14-$E$14)))</x:f>
        <x:v>1.135582900306726</x:v>
      </x:c>
      <x:c r="G715" s="258" t="n">
        <x:f>IF(AA715&lt;($E$15-$D$15)/($F$15-$D$15),$D$15+SQRT(AA715*($F$15-$D$15)*($E$15-$D$15)),$F$15-SQRT((1-AA715)*($F$15-$D$15)*($F$15-$E$15)))</x:f>
        <x:v>0.08807704893893017</x:v>
      </x:c>
      <x:c r="H715" s="258" t="n">
        <x:f>IF(AB715&lt;($E$16-$D$16)/($F$16-$D$16),$D$16+SQRT(AB715*($F$16-$D$16)*($E$16-$D$16)),$F$16-SQRT((1-AB715)*($F$16-$D$16)*($F$16-$E$16)))</x:f>
        <x:v>0.030314868861576708</x:v>
      </x:c>
      <x:c r="I715" s="262" t="n">
        <x:f>'Historical Inputs'!$N$9*(1+D715)^5</x:f>
        <x:v>564618.0276109009</x:v>
      </x:c>
      <x:c r="J715" s="262" t="n">
        <x:f>I715*(1+H715)*('Terminal Value'!$E$10+E715)*(1-'Assumptions'!$E$15)*(1-H715/'Terminal Value'!$E$12)</x:f>
        <x:v>160072.8236166063</x:v>
      </x:c>
      <x:c r="K715" s="264" t="n">
        <x:f>((SUM((('Historical Inputs'!$N$9*(1+(D715))^1)*(('Assumptions'!E37+(E715))*(1-'Assumptions'!E42-(0))+'Assumptions'!E47-'Assumptions'!E52*(F715)+'Assumptions'!E57-'Assumptions'!E62*(1)-'Assumptions'!E67-(0))+('Working Capital'!$E$6))*'DCF'!E12/(1+(G715))^'DCF'!E13,(('Historical Inputs'!$N$9*(1+(D715))^2)*(('Assumptions'!F37+(E715))*(1-'Assumptions'!F42-(0))+'Assumptions'!F47-'Assumptions'!F52*(F715)+'Assumptions'!F57-'Assumptions'!F62*(1)-'Assumptions'!F67-(0))+(('Historical Inputs'!$N$9*(1+(D715))^1)*('Assumptions'!E67+(0))))*'DCF'!F12/(1+(G715))^'DCF'!F13,(('Historical Inputs'!$N$9*(1+(D715))^3)*(('Assumptions'!G37+(E715))*(1-'Assumptions'!G42-(0))+'Assumptions'!G47-'Assumptions'!G52*(F715)+'Assumptions'!G57-'Assumptions'!G62*(1)-'Assumptions'!G67-(0))+(('Historical Inputs'!$N$9*(1+(D715))^2)*('Assumptions'!F67+(0))))*'DCF'!G12/(1+(G715))^'DCF'!G13,(('Historical Inputs'!$N$9*(1+(D715))^4)*(('Assumptions'!H37+(E715))*(1-'Assumptions'!H42-(0))+'Assumptions'!H47-'Assumptions'!H52*(F715)+'Assumptions'!H57-'Assumptions'!H62*(1)-'Assumptions'!H67-(0))+(('Historical Inputs'!$N$9*(1+(D715))^3)*('Assumptions'!G67+(0))))*'DCF'!H12/(1+(G715))^'DCF'!H13,(('Historical Inputs'!$N$9*(1+(D715))^5)*(('Assumptions'!I37+(E715))*(1-'Assumptions'!I42-(0))+'Assumptions'!I47-'Assumptions'!I52*(F715)+'Assumptions'!I57-'Assumptions'!I62*(1)-'Assumptions'!I67-(0))+(('Historical Inputs'!$N$9*(1+(D715))^4)*('Assumptions'!H67+(0))))*'DCF'!I12/(1+(G715))^'DCF'!I13)+('Historical Inputs'!$N$9*(1+(D715))^5)*(1+(H715))*('Terminal Value'!$E$10+(E715))*(1-'Assumptions'!$E$15-(0))*(1-(H715)/('Terminal Value'!$E$12))/((G715)-(H715))/(1+(G715))^'DCF'!$E$19)+'Equity Bridge'!$E$17)/'Equity Bridge'!$E$20</x:f>
        <x:v>294.28367939774694</x:v>
      </x:c>
      <x:c r="X715" s="255" t="n">
        <x:v>0.07142950802951142</x:v>
      </x:c>
      <x:c r="Y715" s="255" t="n">
        <x:v>0.602257485458392</x:v>
      </x:c>
      <x:c r="Z715" s="255" t="n">
        <x:v>0.94072053238724</x:v>
      </x:c>
      <x:c r="AA715" s="255" t="n">
        <x:v>0.05415734654672921</x:v>
      </x:c>
      <x:c r="AB715" s="255" t="n">
        <x:v>0.5309911741577176</x:v>
      </x:c>
    </x:row>
    <x:row r="716" ht="24" customHeight="1">
      <x:c r="C716" s="256" t="n">
        <x:f>685</x:f>
        <x:v>685</x:v>
      </x:c>
      <x:c r="D716" s="258" t="n">
        <x:f>IF(X716&lt;($E$12-$D$12)/($F$12-$D$12),$D$12+SQRT(X716*($F$12-$D$12)*($E$12-$D$12)),$F$12-SQRT((1-X716)*($F$12-$D$12)*($F$12-$E$12)))</x:f>
        <x:v>0.12090136338892916</x:v>
      </x:c>
      <x:c r="E716" s="258" t="n">
        <x:f>IF(Y716&lt;($E$13-$D$13)/($F$13-$D$13),$D$13+SQRT(Y716*($F$13-$D$13)*($E$13-$D$13)),$F$13-SQRT((1-Y716)*($F$13-$D$13)*($F$13-$E$13)))</x:f>
        <x:v>-0.006993943728191357</x:v>
      </x:c>
      <x:c r="F716" s="260" t="n">
        <x:f>IF(Z716&lt;($E$14-$D$14)/($F$14-$D$14),$D$14+SQRT(Z716*($F$14-$D$14)*($E$14-$D$14)),$F$14-SQRT((1-Z716)*($F$14-$D$14)*($F$14-$E$14)))</x:f>
        <x:v>1.0834208078641516</x:v>
      </x:c>
      <x:c r="G716" s="258" t="n">
        <x:f>IF(AA716&lt;($E$15-$D$15)/($F$15-$D$15),$D$15+SQRT(AA716*($F$15-$D$15)*($E$15-$D$15)),$F$15-SQRT((1-AA716)*($F$15-$D$15)*($F$15-$E$15)))</x:f>
        <x:v>0.10873739210420463</x:v>
      </x:c>
      <x:c r="H716" s="258" t="n">
        <x:f>IF(AB716&lt;($E$16-$D$16)/($F$16-$D$16),$D$16+SQRT(AB716*($F$16-$D$16)*($E$16-$D$16)),$F$16-SQRT((1-AB716)*($F$16-$D$16)*($F$16-$E$16)))</x:f>
        <x:v>0.02752179024026046</x:v>
      </x:c>
      <x:c r="I716" s="262" t="n">
        <x:f>'Historical Inputs'!$N$9*(1+D716)^5</x:f>
        <x:v>587170.7500225196</x:v>
      </x:c>
      <x:c r="J716" s="262" t="n">
        <x:f>I716*(1+H716)*('Terminal Value'!$E$10+E716)*(1-'Assumptions'!$E$15)*(1-H716/'Terminal Value'!$E$12)</x:f>
        <x:v>163587.05108083095</x:v>
      </x:c>
      <x:c r="K716" s="264" t="n">
        <x:f>((SUM((('Historical Inputs'!$N$9*(1+(D716))^1)*(('Assumptions'!E37+(E716))*(1-'Assumptions'!E42-(0))+'Assumptions'!E47-'Assumptions'!E52*(F716)+'Assumptions'!E57-'Assumptions'!E62*(1)-'Assumptions'!E67-(0))+('Working Capital'!$E$6))*'DCF'!E12/(1+(G716))^'DCF'!E13,(('Historical Inputs'!$N$9*(1+(D716))^2)*(('Assumptions'!F37+(E716))*(1-'Assumptions'!F42-(0))+'Assumptions'!F47-'Assumptions'!F52*(F716)+'Assumptions'!F57-'Assumptions'!F62*(1)-'Assumptions'!F67-(0))+(('Historical Inputs'!$N$9*(1+(D716))^1)*('Assumptions'!E67+(0))))*'DCF'!F12/(1+(G716))^'DCF'!F13,(('Historical Inputs'!$N$9*(1+(D716))^3)*(('Assumptions'!G37+(E716))*(1-'Assumptions'!G42-(0))+'Assumptions'!G47-'Assumptions'!G52*(F716)+'Assumptions'!G57-'Assumptions'!G62*(1)-'Assumptions'!G67-(0))+(('Historical Inputs'!$N$9*(1+(D716))^2)*('Assumptions'!F67+(0))))*'DCF'!G12/(1+(G716))^'DCF'!G13,(('Historical Inputs'!$N$9*(1+(D716))^4)*(('Assumptions'!H37+(E716))*(1-'Assumptions'!H42-(0))+'Assumptions'!H47-'Assumptions'!H52*(F716)+'Assumptions'!H57-'Assumptions'!H62*(1)-'Assumptions'!H67-(0))+(('Historical Inputs'!$N$9*(1+(D716))^3)*('Assumptions'!G67+(0))))*'DCF'!H12/(1+(G716))^'DCF'!H13,(('Historical Inputs'!$N$9*(1+(D716))^5)*(('Assumptions'!I37+(E716))*(1-'Assumptions'!I42-(0))+'Assumptions'!I47-'Assumptions'!I52*(F716)+'Assumptions'!I57-'Assumptions'!I62*(1)-'Assumptions'!I67-(0))+(('Historical Inputs'!$N$9*(1+(D716))^4)*('Assumptions'!H67+(0))))*'DCF'!I12/(1+(G716))^'DCF'!I13)+('Historical Inputs'!$N$9*(1+(D716))^5)*(1+(H716))*('Terminal Value'!$E$10+(E716))*(1-'Assumptions'!$E$15-(0))*(1-(H716)/('Terminal Value'!$E$12))/((G716)-(H716))/(1+(G716))^'DCF'!$E$19)+'Equity Bridge'!$E$17)/'Equity Bridge'!$E$20</x:f>
        <x:v>210.22224017924663</x:v>
      </x:c>
      <x:c r="X716" s="255" t="n">
        <x:v>0.15284192408894415</x:v>
      </x:c>
      <x:c r="Y716" s="255" t="n">
        <x:v>0.36990417521079433</x:v>
      </x:c>
      <x:c r="Z716" s="255" t="n">
        <x:v>0.8058470280136133</x:v>
      </x:c>
      <x:c r="AA716" s="255" t="n">
        <x:v>0.9569195375385062</x:v>
      </x:c>
      <x:c r="AB716" s="255" t="n">
        <x:v>0.2828866420923878</x:v>
      </x:c>
    </x:row>
    <x:row r="717" ht="24" customHeight="1">
      <x:c r="C717" s="256" t="n">
        <x:f>686</x:f>
        <x:v>686</x:v>
      </x:c>
      <x:c r="D717" s="258" t="n">
        <x:f>IF(X717&lt;($E$12-$D$12)/($F$12-$D$12),$D$12+SQRT(X717*($F$12-$D$12)*($E$12-$D$12)),$F$12-SQRT((1-X717)*($F$12-$D$12)*($F$12-$E$12)))</x:f>
        <x:v>0.15617416035178172</x:v>
      </x:c>
      <x:c r="E717" s="258" t="n">
        <x:f>IF(Y717&lt;($E$13-$D$13)/($F$13-$D$13),$D$13+SQRT(Y717*($F$13-$D$13)*($E$13-$D$13)),$F$13-SQRT((1-Y717)*($F$13-$D$13)*($F$13-$E$13)))</x:f>
        <x:v>-0.001560338702425168</x:v>
      </x:c>
      <x:c r="F717" s="260" t="n">
        <x:f>IF(Z717&lt;($E$14-$D$14)/($F$14-$D$14),$D$14+SQRT(Z717*($F$14-$D$14)*($E$14-$D$14)),$F$14-SQRT((1-Z717)*($F$14-$D$14)*($F$14-$E$14)))</x:f>
        <x:v>0.9613190576589035</x:v>
      </x:c>
      <x:c r="G717" s="258" t="n">
        <x:f>IF(AA717&lt;($E$15-$D$15)/($F$15-$D$15),$D$15+SQRT(AA717*($F$15-$D$15)*($E$15-$D$15)),$F$15-SQRT((1-AA717)*($F$15-$D$15)*($F$15-$E$15)))</x:f>
        <x:v>0.09632447383746479</x:v>
      </x:c>
      <x:c r="H717" s="258" t="n">
        <x:f>IF(AB717&lt;($E$16-$D$16)/($F$16-$D$16),$D$16+SQRT(AB717*($F$16-$D$16)*($E$16-$D$16)),$F$16-SQRT((1-AB717)*($F$16-$D$16)*($F$16-$E$16)))</x:f>
        <x:v>0.02896052911630924</x:v>
      </x:c>
      <x:c r="I717" s="262" t="n">
        <x:f>'Historical Inputs'!$N$9*(1+D717)^5</x:f>
        <x:v>685557.2387363246</x:v>
      </x:c>
      <x:c r="J717" s="262" t="n">
        <x:f>I717*(1+H717)*('Terminal Value'!$E$10+E717)*(1-'Assumptions'!$E$15)*(1-H717/'Terminal Value'!$E$12)</x:f>
        <x:v>192292.05219566208</x:v>
      </x:c>
      <x:c r="K717" s="264" t="n">
        <x:f>((SUM((('Historical Inputs'!$N$9*(1+(D717))^1)*(('Assumptions'!E37+(E717))*(1-'Assumptions'!E42-(0))+'Assumptions'!E47-'Assumptions'!E52*(F717)+'Assumptions'!E57-'Assumptions'!E62*(1)-'Assumptions'!E67-(0))+('Working Capital'!$E$6))*'DCF'!E12/(1+(G717))^'DCF'!E13,(('Historical Inputs'!$N$9*(1+(D717))^2)*(('Assumptions'!F37+(E717))*(1-'Assumptions'!F42-(0))+'Assumptions'!F47-'Assumptions'!F52*(F717)+'Assumptions'!F57-'Assumptions'!F62*(1)-'Assumptions'!F67-(0))+(('Historical Inputs'!$N$9*(1+(D717))^1)*('Assumptions'!E67+(0))))*'DCF'!F12/(1+(G717))^'DCF'!F13,(('Historical Inputs'!$N$9*(1+(D717))^3)*(('Assumptions'!G37+(E717))*(1-'Assumptions'!G42-(0))+'Assumptions'!G47-'Assumptions'!G52*(F717)+'Assumptions'!G57-'Assumptions'!G62*(1)-'Assumptions'!G67-(0))+(('Historical Inputs'!$N$9*(1+(D717))^2)*('Assumptions'!F67+(0))))*'DCF'!G12/(1+(G717))^'DCF'!G13,(('Historical Inputs'!$N$9*(1+(D717))^4)*(('Assumptions'!H37+(E717))*(1-'Assumptions'!H42-(0))+'Assumptions'!H47-'Assumptions'!H52*(F717)+'Assumptions'!H57-'Assumptions'!H62*(1)-'Assumptions'!H67-(0))+(('Historical Inputs'!$N$9*(1+(D717))^3)*('Assumptions'!G67+(0))))*'DCF'!H12/(1+(G717))^'DCF'!H13,(('Historical Inputs'!$N$9*(1+(D717))^5)*(('Assumptions'!I37+(E717))*(1-'Assumptions'!I42-(0))+'Assumptions'!I47-'Assumptions'!I52*(F717)+'Assumptions'!I57-'Assumptions'!I62*(1)-'Assumptions'!I67-(0))+(('Historical Inputs'!$N$9*(1+(D717))^4)*('Assumptions'!H67+(0))))*'DCF'!I12/(1+(G717))^'DCF'!I13)+('Historical Inputs'!$N$9*(1+(D717))^5)*(1+(H717))*('Terminal Value'!$E$10+(E717))*(1-'Assumptions'!$E$15-(0))*(1-(H717)/('Terminal Value'!$E$12))/((G717)-(H717))/(1+(G717))^'DCF'!$E$19)+'Equity Bridge'!$E$17)/'Equity Bridge'!$E$20</x:f>
        <x:v>308.64500027830525</x:v>
      </x:c>
      <x:c r="X717" s="255" t="n">
        <x:v>0.7249722769759365</x:v>
      </x:c>
      <x:c r="Y717" s="255" t="n">
        <x:v>0.4692801573247538</x:v>
      </x:c>
      <x:c r="Z717" s="255" t="n">
        <x:v>0.2360368113917386</x:v>
      </x:c>
      <x:c r="AA717" s="255" t="n">
        <x:v>0.38626802820315387</x:v>
      </x:c>
      <x:c r="AB717" s="255" t="n">
        <x:v>0.4014554102211284</x:v>
      </x:c>
    </x:row>
    <x:row r="718" ht="24" customHeight="1">
      <x:c r="C718" s="256" t="n">
        <x:f>687</x:f>
        <x:v>687</x:v>
      </x:c>
      <x:c r="D718" s="258" t="n">
        <x:f>IF(X718&lt;($E$12-$D$12)/($F$12-$D$12),$D$12+SQRT(X718*($F$12-$D$12)*($E$12-$D$12)),$F$12-SQRT((1-X718)*($F$12-$D$12)*($F$12-$E$12)))</x:f>
        <x:v>0.12811983304600114</x:v>
      </x:c>
      <x:c r="E718" s="258" t="n">
        <x:f>IF(Y718&lt;($E$13-$D$13)/($F$13-$D$13),$D$13+SQRT(Y718*($F$13-$D$13)*($E$13-$D$13)),$F$13-SQRT((1-Y718)*($F$13-$D$13)*($F$13-$E$13)))</x:f>
        <x:v>-0.031581919562192154</x:v>
      </x:c>
      <x:c r="F718" s="260" t="n">
        <x:f>IF(Z718&lt;($E$14-$D$14)/($F$14-$D$14),$D$14+SQRT(Z718*($F$14-$D$14)*($E$14-$D$14)),$F$14-SQRT((1-Z718)*($F$14-$D$14)*($F$14-$E$14)))</x:f>
        <x:v>0.8848820848362059</x:v>
      </x:c>
      <x:c r="G718" s="258" t="n">
        <x:f>IF(AA718&lt;($E$15-$D$15)/($F$15-$D$15),$D$15+SQRT(AA718*($F$15-$D$15)*($E$15-$D$15)),$F$15-SQRT((1-AA718)*($F$15-$D$15)*($F$15-$E$15)))</x:f>
        <x:v>0.09358700203932835</x:v>
      </x:c>
      <x:c r="H718" s="258" t="n">
        <x:f>IF(AB718&lt;($E$16-$D$16)/($F$16-$D$16),$D$16+SQRT(AB718*($F$16-$D$16)*($E$16-$D$16)),$F$16-SQRT((1-AB718)*($F$16-$D$16)*($F$16-$E$16)))</x:f>
        <x:v>0.03465170933127795</x:v>
      </x:c>
      <x:c r="I718" s="262" t="n">
        <x:f>'Historical Inputs'!$N$9*(1+D718)^5</x:f>
        <x:v>606322.3792336478</x:v>
      </x:c>
      <x:c r="J718" s="262" t="n">
        <x:f>I718*(1+H718)*('Terminal Value'!$E$10+E718)*(1-'Assumptions'!$E$15)*(1-H718/'Terminal Value'!$E$12)</x:f>
        <x:v>152861.60464532656</x:v>
      </x:c>
      <x:c r="K718" s="264" t="n">
        <x:f>((SUM((('Historical Inputs'!$N$9*(1+(D718))^1)*(('Assumptions'!E37+(E718))*(1-'Assumptions'!E42-(0))+'Assumptions'!E47-'Assumptions'!E52*(F718)+'Assumptions'!E57-'Assumptions'!E62*(1)-'Assumptions'!E67-(0))+('Working Capital'!$E$6))*'DCF'!E12/(1+(G718))^'DCF'!E13,(('Historical Inputs'!$N$9*(1+(D718))^2)*(('Assumptions'!F37+(E718))*(1-'Assumptions'!F42-(0))+'Assumptions'!F47-'Assumptions'!F52*(F718)+'Assumptions'!F57-'Assumptions'!F62*(1)-'Assumptions'!F67-(0))+(('Historical Inputs'!$N$9*(1+(D718))^1)*('Assumptions'!E67+(0))))*'DCF'!F12/(1+(G718))^'DCF'!F13,(('Historical Inputs'!$N$9*(1+(D718))^3)*(('Assumptions'!G37+(E718))*(1-'Assumptions'!G42-(0))+'Assumptions'!G47-'Assumptions'!G52*(F718)+'Assumptions'!G57-'Assumptions'!G62*(1)-'Assumptions'!G67-(0))+(('Historical Inputs'!$N$9*(1+(D718))^2)*('Assumptions'!F67+(0))))*'DCF'!G12/(1+(G718))^'DCF'!G13,(('Historical Inputs'!$N$9*(1+(D718))^4)*(('Assumptions'!H37+(E718))*(1-'Assumptions'!H42-(0))+'Assumptions'!H47-'Assumptions'!H52*(F718)+'Assumptions'!H57-'Assumptions'!H62*(1)-'Assumptions'!H67-(0))+(('Historical Inputs'!$N$9*(1+(D718))^3)*('Assumptions'!G67+(0))))*'DCF'!H12/(1+(G718))^'DCF'!H13,(('Historical Inputs'!$N$9*(1+(D718))^5)*(('Assumptions'!I37+(E718))*(1-'Assumptions'!I42-(0))+'Assumptions'!I47-'Assumptions'!I52*(F718)+'Assumptions'!I57-'Assumptions'!I62*(1)-'Assumptions'!I67-(0))+(('Historical Inputs'!$N$9*(1+(D718))^4)*('Assumptions'!H67+(0))))*'DCF'!I12/(1+(G718))^'DCF'!I13)+('Historical Inputs'!$N$9*(1+(D718))^5)*(1+(H718))*('Terminal Value'!$E$10+(E718))*(1-'Assumptions'!$E$15-(0))*(1-(H718)/('Terminal Value'!$E$12))/((G718)-(H718))/(1+(G718))^'DCF'!$E$19)+'Equity Bridge'!$E$17)/'Equity Bridge'!$E$20</x:f>
        <x:v>282.6410271664557</x:v>
      </x:c>
      <x:c r="X718" s="255" t="n">
        <x:v>0.24308312123148734</x:v>
      </x:c>
      <x:c r="Y718" s="255" t="n">
        <x:v>0.06784513740271203</x:v>
      </x:c>
      <x:c r="Z718" s="255" t="n">
        <x:v>0.023176377952766947</x:v>
      </x:c>
      <x:c r="AA718" s="255" t="n">
        <x:v>0.24251585728421432</x:v>
      </x:c>
      <x:c r="AB718" s="255" t="n">
        <x:v>0.8569789346143035</x:v>
      </x:c>
    </x:row>
    <x:row r="719" ht="24" customHeight="1">
      <x:c r="C719" s="256" t="n">
        <x:f>688</x:f>
        <x:v>688</x:v>
      </x:c>
      <x:c r="D719" s="258" t="n">
        <x:f>IF(X719&lt;($E$12-$D$12)/($F$12-$D$12),$D$12+SQRT(X719*($F$12-$D$12)*($E$12-$D$12)),$F$12-SQRT((1-X719)*($F$12-$D$12)*($F$12-$E$12)))</x:f>
        <x:v>0.1660921920216032</x:v>
      </x:c>
      <x:c r="E719" s="258" t="n">
        <x:f>IF(Y719&lt;($E$13-$D$13)/($F$13-$D$13),$D$13+SQRT(Y719*($F$13-$D$13)*($E$13-$D$13)),$F$13-SQRT((1-Y719)*($F$13-$D$13)*($F$13-$E$13)))</x:f>
        <x:v>-0.02139725744536096</x:v>
      </x:c>
      <x:c r="F719" s="260" t="n">
        <x:f>IF(Z719&lt;($E$14-$D$14)/($F$14-$D$14),$D$14+SQRT(Z719*($F$14-$D$14)*($E$14-$D$14)),$F$14-SQRT((1-Z719)*($F$14-$D$14)*($F$14-$E$14)))</x:f>
        <x:v>0.9597285290507244</x:v>
      </x:c>
      <x:c r="G719" s="258" t="n">
        <x:f>IF(AA719&lt;($E$15-$D$15)/($F$15-$D$15),$D$15+SQRT(AA719*($F$15-$D$15)*($E$15-$D$15)),$F$15-SQRT((1-AA719)*($F$15-$D$15)*($F$15-$E$15)))</x:f>
        <x:v>0.10335227333238638</x:v>
      </x:c>
      <x:c r="H719" s="258" t="n">
        <x:f>IF(AB719&lt;($E$16-$D$16)/($F$16-$D$16),$D$16+SQRT(AB719*($F$16-$D$16)*($E$16-$D$16)),$F$16-SQRT((1-AB719)*($F$16-$D$16)*($F$16-$E$16)))</x:f>
        <x:v>0.029104379157174544</x:v>
      </x:c>
      <x:c r="I719" s="262" t="n">
        <x:f>'Historical Inputs'!$N$9*(1+D719)^5</x:f>
        <x:v>715470.7159874343</x:v>
      </x:c>
      <x:c r="J719" s="262" t="n">
        <x:f>I719*(1+H719)*('Terminal Value'!$E$10+E719)*(1-'Assumptions'!$E$15)*(1-H719/'Terminal Value'!$E$12)</x:f>
        <x:v>190557.46656622752</x:v>
      </x:c>
      <x:c r="K719" s="264" t="n">
        <x:f>((SUM((('Historical Inputs'!$N$9*(1+(D719))^1)*(('Assumptions'!E37+(E719))*(1-'Assumptions'!E42-(0))+'Assumptions'!E47-'Assumptions'!E52*(F719)+'Assumptions'!E57-'Assumptions'!E62*(1)-'Assumptions'!E67-(0))+('Working Capital'!$E$6))*'DCF'!E12/(1+(G719))^'DCF'!E13,(('Historical Inputs'!$N$9*(1+(D719))^2)*(('Assumptions'!F37+(E719))*(1-'Assumptions'!F42-(0))+'Assumptions'!F47-'Assumptions'!F52*(F719)+'Assumptions'!F57-'Assumptions'!F62*(1)-'Assumptions'!F67-(0))+(('Historical Inputs'!$N$9*(1+(D719))^1)*('Assumptions'!E67+(0))))*'DCF'!F12/(1+(G719))^'DCF'!F13,(('Historical Inputs'!$N$9*(1+(D719))^3)*(('Assumptions'!G37+(E719))*(1-'Assumptions'!G42-(0))+'Assumptions'!G47-'Assumptions'!G52*(F719)+'Assumptions'!G57-'Assumptions'!G62*(1)-'Assumptions'!G67-(0))+(('Historical Inputs'!$N$9*(1+(D719))^2)*('Assumptions'!F67+(0))))*'DCF'!G12/(1+(G719))^'DCF'!G13,(('Historical Inputs'!$N$9*(1+(D719))^4)*(('Assumptions'!H37+(E719))*(1-'Assumptions'!H42-(0))+'Assumptions'!H47-'Assumptions'!H52*(F719)+'Assumptions'!H57-'Assumptions'!H62*(1)-'Assumptions'!H67-(0))+(('Historical Inputs'!$N$9*(1+(D719))^3)*('Assumptions'!G67+(0))))*'DCF'!H12/(1+(G719))^'DCF'!H13,(('Historical Inputs'!$N$9*(1+(D719))^5)*(('Assumptions'!I37+(E719))*(1-'Assumptions'!I42-(0))+'Assumptions'!I47-'Assumptions'!I52*(F719)+'Assumptions'!I57-'Assumptions'!I62*(1)-'Assumptions'!I67-(0))+(('Historical Inputs'!$N$9*(1+(D719))^4)*('Assumptions'!H67+(0))))*'DCF'!I12/(1+(G719))^'DCF'!I13)+('Historical Inputs'!$N$9*(1+(D719))^5)*(1+(H719))*('Terminal Value'!$E$10+(E719))*(1-'Assumptions'!$E$15-(0))*(1-(H719)/('Terminal Value'!$E$12))/((G719)-(H719))/(1+(G719))^'DCF'!$E$19)+'Equity Bridge'!$E$17)/'Equity Bridge'!$E$20</x:f>
        <x:v>273.5698509389807</x:v>
      </x:c>
      <x:c r="X719" s="255" t="n">
        <x:v>0.8524144043390076</x:v>
      </x:c>
      <x:c r="Y719" s="255" t="n">
        <x:v>0.16362337632939183</x:v>
      </x:c>
      <x:c r="Z719" s="255" t="n">
        <x:v>0.22934000166925073</x:v>
      </x:c>
      <x:c r="AA719" s="255" t="n">
        <x:v>0.7870959500099032</x:v>
      </x:c>
      <x:c r="AB719" s="255" t="n">
        <x:v>0.4144485991879716</x:v>
      </x:c>
    </x:row>
    <x:row r="720" ht="24" customHeight="1">
      <x:c r="C720" s="256" t="n">
        <x:f>689</x:f>
        <x:v>689</x:v>
      </x:c>
      <x:c r="D720" s="258" t="n">
        <x:f>IF(X720&lt;($E$12-$D$12)/($F$12-$D$12),$D$12+SQRT(X720*($F$12-$D$12)*($E$12-$D$12)),$F$12-SQRT((1-X720)*($F$12-$D$12)*($F$12-$E$12)))</x:f>
        <x:v>0.1194190220193652</x:v>
      </x:c>
      <x:c r="E720" s="258" t="n">
        <x:f>IF(Y720&lt;($E$13-$D$13)/($F$13-$D$13),$D$13+SQRT(Y720*($F$13-$D$13)*($E$13-$D$13)),$F$13-SQRT((1-Y720)*($F$13-$D$13)*($F$13-$E$13)))</x:f>
        <x:v>0.022078242264681153</x:v>
      </x:c>
      <x:c r="F720" s="260" t="n">
        <x:f>IF(Z720&lt;($E$14-$D$14)/($F$14-$D$14),$D$14+SQRT(Z720*($F$14-$D$14)*($E$14-$D$14)),$F$14-SQRT((1-Z720)*($F$14-$D$14)*($F$14-$E$14)))</x:f>
        <x:v>1.091944885255808</x:v>
      </x:c>
      <x:c r="G720" s="258" t="n">
        <x:f>IF(AA720&lt;($E$15-$D$15)/($F$15-$D$15),$D$15+SQRT(AA720*($F$15-$D$15)*($E$15-$D$15)),$F$15-SQRT((1-AA720)*($F$15-$D$15)*($F$15-$E$15)))</x:f>
        <x:v>0.0884008614409377</x:v>
      </x:c>
      <x:c r="H720" s="258" t="n">
        <x:f>IF(AB720&lt;($E$16-$D$16)/($F$16-$D$16),$D$16+SQRT(AB720*($F$16-$D$16)*($E$16-$D$16)),$F$16-SQRT((1-AB720)*($F$16-$D$16)*($F$16-$E$16)))</x:f>
        <x:v>0.0345563326480423</x:v>
      </x:c>
      <x:c r="I720" s="262" t="n">
        <x:f>'Historical Inputs'!$N$9*(1+D720)^5</x:f>
        <x:v>583298.4715673997</x:v>
      </x:c>
      <x:c r="J720" s="262" t="n">
        <x:f>I720*(1+H720)*('Terminal Value'!$E$10+E720)*(1-'Assumptions'!$E$15)*(1-H720/'Terminal Value'!$E$12)</x:f>
        <x:v>168557.5021615337</x:v>
      </x:c>
      <x:c r="K720" s="264" t="n">
        <x:f>((SUM((('Historical Inputs'!$N$9*(1+(D720))^1)*(('Assumptions'!E37+(E720))*(1-'Assumptions'!E42-(0))+'Assumptions'!E47-'Assumptions'!E52*(F720)+'Assumptions'!E57-'Assumptions'!E62*(1)-'Assumptions'!E67-(0))+('Working Capital'!$E$6))*'DCF'!E12/(1+(G720))^'DCF'!E13,(('Historical Inputs'!$N$9*(1+(D720))^2)*(('Assumptions'!F37+(E720))*(1-'Assumptions'!F42-(0))+'Assumptions'!F47-'Assumptions'!F52*(F720)+'Assumptions'!F57-'Assumptions'!F62*(1)-'Assumptions'!F67-(0))+(('Historical Inputs'!$N$9*(1+(D720))^1)*('Assumptions'!E67+(0))))*'DCF'!F12/(1+(G720))^'DCF'!F13,(('Historical Inputs'!$N$9*(1+(D720))^3)*(('Assumptions'!G37+(E720))*(1-'Assumptions'!G42-(0))+'Assumptions'!G47-'Assumptions'!G52*(F720)+'Assumptions'!G57-'Assumptions'!G62*(1)-'Assumptions'!G67-(0))+(('Historical Inputs'!$N$9*(1+(D720))^2)*('Assumptions'!F67+(0))))*'DCF'!G12/(1+(G720))^'DCF'!G13,(('Historical Inputs'!$N$9*(1+(D720))^4)*(('Assumptions'!H37+(E720))*(1-'Assumptions'!H42-(0))+'Assumptions'!H47-'Assumptions'!H52*(F720)+'Assumptions'!H57-'Assumptions'!H62*(1)-'Assumptions'!H67-(0))+(('Historical Inputs'!$N$9*(1+(D720))^3)*('Assumptions'!G67+(0))))*'DCF'!H12/(1+(G720))^'DCF'!H13,(('Historical Inputs'!$N$9*(1+(D720))^5)*(('Assumptions'!I37+(E720))*(1-'Assumptions'!I42-(0))+'Assumptions'!I47-'Assumptions'!I52*(F720)+'Assumptions'!I57-'Assumptions'!I62*(1)-'Assumptions'!I67-(0))+(('Historical Inputs'!$N$9*(1+(D720))^4)*('Assumptions'!H67+(0))))*'DCF'!I12/(1+(G720))^'DCF'!I13)+('Historical Inputs'!$N$9*(1+(D720))^5)*(1+(H720))*('Terminal Value'!$E$10+(E720))*(1-'Assumptions'!$E$15-(0))*(1-(H720)/('Terminal Value'!$E$12))/((G720)-(H720))/(1+(G720))^'DCF'!$E$19)+'Equity Bridge'!$E$17)/'Equity Bridge'!$E$20</x:f>
        <x:v>333.2329442173989</x:v>
      </x:c>
      <x:c r="X720" s="255" t="n">
        <x:v>0.13689005082292782</x:v>
      </x:c>
      <x:c r="Y720" s="255" t="n">
        <x:v>0.8440750889940324</x:v>
      </x:c>
      <x:c r="Z720" s="255" t="n">
        <x:v>0.8332013168231359</x:v>
      </x:c>
      <x:c r="AA720" s="255" t="n">
        <x:v>0.061495061465065115</x:v>
      </x:c>
      <x:c r="AB720" s="255" t="n">
        <x:v>0.8518324288061493</x:v>
      </x:c>
    </x:row>
    <x:row r="721" ht="24" customHeight="1">
      <x:c r="C721" s="256" t="n">
        <x:f>690</x:f>
        <x:v>690</x:v>
      </x:c>
      <x:c r="D721" s="258" t="n">
        <x:f>IF(X721&lt;($E$12-$D$12)/($F$12-$D$12),$D$12+SQRT(X721*($F$12-$D$12)*($E$12-$D$12)),$F$12-SQRT((1-X721)*($F$12-$D$12)*($F$12-$E$12)))</x:f>
        <x:v>0.1566568381690349</x:v>
      </x:c>
      <x:c r="E721" s="258" t="n">
        <x:f>IF(Y721&lt;($E$13-$D$13)/($F$13-$D$13),$D$13+SQRT(Y721*($F$13-$D$13)*($E$13-$D$13)),$F$13-SQRT((1-Y721)*($F$13-$D$13)*($F$13-$E$13)))</x:f>
        <x:v>0.005523461432510195</x:v>
      </x:c>
      <x:c r="F721" s="260" t="n">
        <x:f>IF(Z721&lt;($E$14-$D$14)/($F$14-$D$14),$D$14+SQRT(Z721*($F$14-$D$14)*($E$14-$D$14)),$F$14-SQRT((1-Z721)*($F$14-$D$14)*($F$14-$E$14)))</x:f>
        <x:v>1.0746995365850966</x:v>
      </x:c>
      <x:c r="G721" s="258" t="n">
        <x:f>IF(AA721&lt;($E$15-$D$15)/($F$15-$D$15),$D$15+SQRT(AA721*($F$15-$D$15)*($E$15-$D$15)),$F$15-SQRT((1-AA721)*($F$15-$D$15)*($F$15-$E$15)))</x:f>
        <x:v>0.09584020750647343</x:v>
      </x:c>
      <x:c r="H721" s="258" t="n">
        <x:f>IF(AB721&lt;($E$16-$D$16)/($F$16-$D$16),$D$16+SQRT(AB721*($F$16-$D$16)*($E$16-$D$16)),$F$16-SQRT((1-AB721)*($F$16-$D$16)*($F$16-$E$16)))</x:f>
        <x:v>0.035355613388094634</x:v>
      </x:c>
      <x:c r="I721" s="262" t="n">
        <x:f>'Historical Inputs'!$N$9*(1+D721)^5</x:f>
        <x:v>686989.4610100245</x:v>
      </x:c>
      <x:c r="J721" s="262" t="n">
        <x:f>I721*(1+H721)*('Terminal Value'!$E$10+E721)*(1-'Assumptions'!$E$15)*(1-H721/'Terminal Value'!$E$12)</x:f>
        <x:v>189960.1580099239</x:v>
      </x:c>
      <x:c r="K721" s="264" t="n">
        <x:f>((SUM((('Historical Inputs'!$N$9*(1+(D721))^1)*(('Assumptions'!E37+(E721))*(1-'Assumptions'!E42-(0))+'Assumptions'!E47-'Assumptions'!E52*(F721)+'Assumptions'!E57-'Assumptions'!E62*(1)-'Assumptions'!E67-(0))+('Working Capital'!$E$6))*'DCF'!E12/(1+(G721))^'DCF'!E13,(('Historical Inputs'!$N$9*(1+(D721))^2)*(('Assumptions'!F37+(E721))*(1-'Assumptions'!F42-(0))+'Assumptions'!F47-'Assumptions'!F52*(F721)+'Assumptions'!F57-'Assumptions'!F62*(1)-'Assumptions'!F67-(0))+(('Historical Inputs'!$N$9*(1+(D721))^1)*('Assumptions'!E67+(0))))*'DCF'!F12/(1+(G721))^'DCF'!F13,(('Historical Inputs'!$N$9*(1+(D721))^3)*(('Assumptions'!G37+(E721))*(1-'Assumptions'!G42-(0))+'Assumptions'!G47-'Assumptions'!G52*(F721)+'Assumptions'!G57-'Assumptions'!G62*(1)-'Assumptions'!G67-(0))+(('Historical Inputs'!$N$9*(1+(D721))^2)*('Assumptions'!F67+(0))))*'DCF'!G12/(1+(G721))^'DCF'!G13,(('Historical Inputs'!$N$9*(1+(D721))^4)*(('Assumptions'!H37+(E721))*(1-'Assumptions'!H42-(0))+'Assumptions'!H47-'Assumptions'!H52*(F721)+'Assumptions'!H57-'Assumptions'!H62*(1)-'Assumptions'!H67-(0))+(('Historical Inputs'!$N$9*(1+(D721))^3)*('Assumptions'!G67+(0))))*'DCF'!H12/(1+(G721))^'DCF'!H13,(('Historical Inputs'!$N$9*(1+(D721))^5)*(('Assumptions'!I37+(E721))*(1-'Assumptions'!I42-(0))+'Assumptions'!I47-'Assumptions'!I52*(F721)+'Assumptions'!I57-'Assumptions'!I62*(1)-'Assumptions'!I67-(0))+(('Historical Inputs'!$N$9*(1+(D721))^4)*('Assumptions'!H67+(0))))*'DCF'!I12/(1+(G721))^'DCF'!I13)+('Historical Inputs'!$N$9*(1+(D721))^5)*(1+(H721))*('Terminal Value'!$E$10+(E721))*(1-'Assumptions'!$E$15-(0))*(1-(H721)/('Terminal Value'!$E$12))/((G721)-(H721))/(1+(G721))^'DCF'!$E$19)+'Equity Bridge'!$E$17)/'Equity Bridge'!$E$20</x:f>
        <x:v>328.2720309394217</x:v>
      </x:c>
      <x:c r="X721" s="255" t="n">
        <x:v>0.7320853112544449</x:v>
      </x:c>
      <x:c r="Y721" s="255" t="n">
        <x:v>0.6043675034109184</x:v>
      </x:c>
      <x:c r="Z721" s="255" t="n">
        <x:v>0.7757113409715778</x:v>
      </x:c>
      <x:c r="AA721" s="255" t="n">
        <x:v>0.3584130904411793</x:v>
      </x:c>
      <x:c r="AB721" s="255" t="n">
        <x:v>0.8921483649957711</x:v>
      </x:c>
    </x:row>
    <x:row r="722" ht="24" customHeight="1">
      <x:c r="C722" s="256" t="n">
        <x:f>691</x:f>
        <x:v>691</x:v>
      </x:c>
      <x:c r="D722" s="258" t="n">
        <x:f>IF(X722&lt;($E$12-$D$12)/($F$12-$D$12),$D$12+SQRT(X722*($F$12-$D$12)*($E$12-$D$12)),$F$12-SQRT((1-X722)*($F$12-$D$12)*($F$12-$E$12)))</x:f>
        <x:v>0.16869606014720734</x:v>
      </x:c>
      <x:c r="E722" s="258" t="n">
        <x:f>IF(Y722&lt;($E$13-$D$13)/($F$13-$D$13),$D$13+SQRT(Y722*($F$13-$D$13)*($E$13-$D$13)),$F$13-SQRT((1-Y722)*($F$13-$D$13)*($F$13-$E$13)))</x:f>
        <x:v>-0.0010029850191756728</x:v>
      </x:c>
      <x:c r="F722" s="260" t="n">
        <x:f>IF(Z722&lt;($E$14-$D$14)/($F$14-$D$14),$D$14+SQRT(Z722*($F$14-$D$14)*($E$14-$D$14)),$F$14-SQRT((1-Z722)*($F$14-$D$14)*($F$14-$E$14)))</x:f>
        <x:v>0.9199750879587693</x:v>
      </x:c>
      <x:c r="G722" s="258" t="n">
        <x:f>IF(AA722&lt;($E$15-$D$15)/($F$15-$D$15),$D$15+SQRT(AA722*($F$15-$D$15)*($E$15-$D$15)),$F$15-SQRT((1-AA722)*($F$15-$D$15)*($F$15-$E$15)))</x:f>
        <x:v>0.09964009802057675</x:v>
      </x:c>
      <x:c r="H722" s="258" t="n">
        <x:f>IF(AB722&lt;($E$16-$D$16)/($F$16-$D$16),$D$16+SQRT(AB722*($F$16-$D$16)*($E$16-$D$16)),$F$16-SQRT((1-AB722)*($F$16-$D$16)*($F$16-$E$16)))</x:f>
        <x:v>0.025532482907377134</x:v>
      </x:c>
      <x:c r="I722" s="262" t="n">
        <x:f>'Historical Inputs'!$N$9*(1+D722)^5</x:f>
        <x:v>723494.6530036817</x:v>
      </x:c>
      <x:c r="J722" s="262" t="n">
        <x:f>I722*(1+H722)*('Terminal Value'!$E$10+E722)*(1-'Assumptions'!$E$15)*(1-H722/'Terminal Value'!$E$12)</x:f>
        <x:v>206599.3568002918</x:v>
      </x:c>
      <x:c r="K722" s="264" t="n">
        <x:f>((SUM((('Historical Inputs'!$N$9*(1+(D722))^1)*(('Assumptions'!E37+(E722))*(1-'Assumptions'!E42-(0))+'Assumptions'!E47-'Assumptions'!E52*(F722)+'Assumptions'!E57-'Assumptions'!E62*(1)-'Assumptions'!E67-(0))+('Working Capital'!$E$6))*'DCF'!E12/(1+(G722))^'DCF'!E13,(('Historical Inputs'!$N$9*(1+(D722))^2)*(('Assumptions'!F37+(E722))*(1-'Assumptions'!F42-(0))+'Assumptions'!F47-'Assumptions'!F52*(F722)+'Assumptions'!F57-'Assumptions'!F62*(1)-'Assumptions'!F67-(0))+(('Historical Inputs'!$N$9*(1+(D722))^1)*('Assumptions'!E67+(0))))*'DCF'!F12/(1+(G722))^'DCF'!F13,(('Historical Inputs'!$N$9*(1+(D722))^3)*(('Assumptions'!G37+(E722))*(1-'Assumptions'!G42-(0))+'Assumptions'!G47-'Assumptions'!G52*(F722)+'Assumptions'!G57-'Assumptions'!G62*(1)-'Assumptions'!G67-(0))+(('Historical Inputs'!$N$9*(1+(D722))^2)*('Assumptions'!F67+(0))))*'DCF'!G12/(1+(G722))^'DCF'!G13,(('Historical Inputs'!$N$9*(1+(D722))^4)*(('Assumptions'!H37+(E722))*(1-'Assumptions'!H42-(0))+'Assumptions'!H47-'Assumptions'!H52*(F722)+'Assumptions'!H57-'Assumptions'!H62*(1)-'Assumptions'!H67-(0))+(('Historical Inputs'!$N$9*(1+(D722))^3)*('Assumptions'!G67+(0))))*'DCF'!H12/(1+(G722))^'DCF'!H13,(('Historical Inputs'!$N$9*(1+(D722))^5)*(('Assumptions'!I37+(E722))*(1-'Assumptions'!I42-(0))+'Assumptions'!I47-'Assumptions'!I52*(F722)+'Assumptions'!I57-'Assumptions'!I62*(1)-'Assumptions'!I67-(0))+(('Historical Inputs'!$N$9*(1+(D722))^4)*('Assumptions'!H67+(0))))*'DCF'!I12/(1+(G722))^'DCF'!I13)+('Historical Inputs'!$N$9*(1+(D722))^5)*(1+(H722))*('Terminal Value'!$E$10+(E722))*(1-'Assumptions'!$E$15-(0))*(1-(H722)/('Terminal Value'!$E$12))/((G722)-(H722))/(1+(G722))^'DCF'!$E$19)+'Equity Bridge'!$E$17)/'Equity Bridge'!$E$20</x:f>
        <x:v>304.21710205822586</x:v>
      </x:c>
      <x:c r="X722" s="255" t="n">
        <x:v>0.8793518322820121</x:v>
      </x:c>
      <x:c r="Y722" s="255" t="n">
        <x:v>0.48014149540622475</x:v>
      </x:c>
      <x:c r="Z722" s="255" t="n">
        <x:v>0.09326691304452384</x:v>
      </x:c>
      <x:c r="AA722" s="255" t="n">
        <x:v>0.5949837236094975</x:v>
      </x:c>
      <x:c r="AB722" s="255" t="n">
        <x:v>0.15304183560210094</x:v>
      </x:c>
    </x:row>
    <x:row r="723" ht="24" customHeight="1">
      <x:c r="C723" s="256" t="n">
        <x:f>692</x:f>
        <x:v>692</x:v>
      </x:c>
      <x:c r="D723" s="258" t="n">
        <x:f>IF(X723&lt;($E$12-$D$12)/($F$12-$D$12),$D$12+SQRT(X723*($F$12-$D$12)*($E$12-$D$12)),$F$12-SQRT((1-X723)*($F$12-$D$12)*($F$12-$E$12)))</x:f>
        <x:v>0.12254263065768384</x:v>
      </x:c>
      <x:c r="E723" s="258" t="n">
        <x:f>IF(Y723&lt;($E$13-$D$13)/($F$13-$D$13),$D$13+SQRT(Y723*($F$13-$D$13)*($E$13-$D$13)),$F$13-SQRT((1-Y723)*($F$13-$D$13)*($F$13-$E$13)))</x:f>
        <x:v>-0.009974770294352384</x:v>
      </x:c>
      <x:c r="F723" s="260" t="n">
        <x:f>IF(Z723&lt;($E$14-$D$14)/($F$14-$D$14),$D$14+SQRT(Z723*($F$14-$D$14)*($E$14-$D$14)),$F$14-SQRT((1-Z723)*($F$14-$D$14)*($F$14-$E$14)))</x:f>
        <x:v>1.1169009909807697</x:v>
      </x:c>
      <x:c r="G723" s="258" t="n">
        <x:f>IF(AA723&lt;($E$15-$D$15)/($F$15-$D$15),$D$15+SQRT(AA723*($F$15-$D$15)*($E$15-$D$15)),$F$15-SQRT((1-AA723)*($F$15-$D$15)*($F$15-$E$15)))</x:f>
        <x:v>0.11097535316659878</x:v>
      </x:c>
      <x:c r="H723" s="258" t="n">
        <x:f>IF(AB723&lt;($E$16-$D$16)/($F$16-$D$16),$D$16+SQRT(AB723*($F$16-$D$16)*($E$16-$D$16)),$F$16-SQRT((1-AB723)*($F$16-$D$16)*($F$16-$E$16)))</x:f>
        <x:v>0.03177226531416016</x:v>
      </x:c>
      <x:c r="I723" s="262" t="n">
        <x:f>'Historical Inputs'!$N$9*(1+D723)^5</x:f>
        <x:v>591482.1483582751</x:v>
      </x:c>
      <x:c r="J723" s="262" t="n">
        <x:f>I723*(1+H723)*('Terminal Value'!$E$10+E723)*(1-'Assumptions'!$E$15)*(1-H723/'Terminal Value'!$E$12)</x:f>
        <x:v>160168.01035774036</x:v>
      </x:c>
      <x:c r="K723" s="264" t="n">
        <x:f>((SUM((('Historical Inputs'!$N$9*(1+(D723))^1)*(('Assumptions'!E37+(E723))*(1-'Assumptions'!E42-(0))+'Assumptions'!E47-'Assumptions'!E52*(F723)+'Assumptions'!E57-'Assumptions'!E62*(1)-'Assumptions'!E67-(0))+('Working Capital'!$E$6))*'DCF'!E12/(1+(G723))^'DCF'!E13,(('Historical Inputs'!$N$9*(1+(D723))^2)*(('Assumptions'!F37+(E723))*(1-'Assumptions'!F42-(0))+'Assumptions'!F47-'Assumptions'!F52*(F723)+'Assumptions'!F57-'Assumptions'!F62*(1)-'Assumptions'!F67-(0))+(('Historical Inputs'!$N$9*(1+(D723))^1)*('Assumptions'!E67+(0))))*'DCF'!F12/(1+(G723))^'DCF'!F13,(('Historical Inputs'!$N$9*(1+(D723))^3)*(('Assumptions'!G37+(E723))*(1-'Assumptions'!G42-(0))+'Assumptions'!G47-'Assumptions'!G52*(F723)+'Assumptions'!G57-'Assumptions'!G62*(1)-'Assumptions'!G67-(0))+(('Historical Inputs'!$N$9*(1+(D723))^2)*('Assumptions'!F67+(0))))*'DCF'!G12/(1+(G723))^'DCF'!G13,(('Historical Inputs'!$N$9*(1+(D723))^4)*(('Assumptions'!H37+(E723))*(1-'Assumptions'!H42-(0))+'Assumptions'!H47-'Assumptions'!H52*(F723)+'Assumptions'!H57-'Assumptions'!H62*(1)-'Assumptions'!H67-(0))+(('Historical Inputs'!$N$9*(1+(D723))^3)*('Assumptions'!G67+(0))))*'DCF'!H12/(1+(G723))^'DCF'!H13,(('Historical Inputs'!$N$9*(1+(D723))^5)*(('Assumptions'!I37+(E723))*(1-'Assumptions'!I42-(0))+'Assumptions'!I47-'Assumptions'!I52*(F723)+'Assumptions'!I57-'Assumptions'!I62*(1)-'Assumptions'!I67-(0))+(('Historical Inputs'!$N$9*(1+(D723))^4)*('Assumptions'!H67+(0))))*'DCF'!I12/(1+(G723))^'DCF'!I13)+('Historical Inputs'!$N$9*(1+(D723))^5)*(1+(H723))*('Terminal Value'!$E$10+(E723))*(1-'Assumptions'!$E$15-(0))*(1-(H723)/('Terminal Value'!$E$12))/((G723)-(H723))/(1+(G723))^'DCF'!$E$19)+'Equity Bridge'!$E$17)/'Equity Bridge'!$E$20</x:f>
        <x:v>206.7527292786105</x:v>
      </x:c>
      <x:c r="X723" s="255" t="n">
        <x:v>0.17152937692780768</x:v>
      </x:c>
      <x:c r="Y723" s="255" t="n">
        <x:v>0.3204038025979713</x:v>
      </x:c>
      <x:c r="Z723" s="255" t="n">
        <x:v>0.9013507814288841</x:v>
      </x:c>
      <x:c r="AA723" s="255" t="n">
        <x:v>0.9895837892910416</x:v>
      </x:c>
      <x:c r="AB723" s="255" t="n">
        <x:v>0.66152190969714</x:v>
      </x:c>
    </x:row>
    <x:row r="724" ht="24" customHeight="1">
      <x:c r="C724" s="256" t="n">
        <x:f>693</x:f>
        <x:v>693</x:v>
      </x:c>
      <x:c r="D724" s="258" t="n">
        <x:f>IF(X724&lt;($E$12-$D$12)/($F$12-$D$12),$D$12+SQRT(X724*($F$12-$D$12)*($E$12-$D$12)),$F$12-SQRT((1-X724)*($F$12-$D$12)*($F$12-$E$12)))</x:f>
        <x:v>0.14510817268501386</x:v>
      </x:c>
      <x:c r="E724" s="258" t="n">
        <x:f>IF(Y724&lt;($E$13-$D$13)/($F$13-$D$13),$D$13+SQRT(Y724*($F$13-$D$13)*($E$13-$D$13)),$F$13-SQRT((1-Y724)*($F$13-$D$13)*($F$13-$E$13)))</x:f>
        <x:v>0.01717099992017701</x:v>
      </x:c>
      <x:c r="F724" s="260" t="n">
        <x:f>IF(Z724&lt;($E$14-$D$14)/($F$14-$D$14),$D$14+SQRT(Z724*($F$14-$D$14)*($E$14-$D$14)),$F$14-SQRT((1-Z724)*($F$14-$D$14)*($F$14-$E$14)))</x:f>
        <x:v>1.094693201659651</x:v>
      </x:c>
      <x:c r="G724" s="258" t="n">
        <x:f>IF(AA724&lt;($E$15-$D$15)/($F$15-$D$15),$D$15+SQRT(AA724*($F$15-$D$15)*($E$15-$D$15)),$F$15-SQRT((1-AA724)*($F$15-$D$15)*($F$15-$E$15)))</x:f>
        <x:v>0.09726298906283977</x:v>
      </x:c>
      <x:c r="H724" s="258" t="n">
        <x:f>IF(AB724&lt;($E$16-$D$16)/($F$16-$D$16),$D$16+SQRT(AB724*($F$16-$D$16)*($E$16-$D$16)),$F$16-SQRT((1-AB724)*($F$16-$D$16)*($F$16-$E$16)))</x:f>
        <x:v>0.030860397035892106</x:v>
      </x:c>
      <x:c r="I724" s="262" t="n">
        <x:f>'Historical Inputs'!$N$9*(1+D724)^5</x:f>
        <x:v>653371.215026383</x:v>
      </x:c>
      <x:c r="J724" s="262" t="n">
        <x:f>I724*(1+H724)*('Terminal Value'!$E$10+E724)*(1-'Assumptions'!$E$15)*(1-H724/'Terminal Value'!$E$12)</x:f>
        <x:v>190098.75003090646</x:v>
      </x:c>
      <x:c r="K724" s="264" t="n">
        <x:f>((SUM((('Historical Inputs'!$N$9*(1+(D724))^1)*(('Assumptions'!E37+(E724))*(1-'Assumptions'!E42-(0))+'Assumptions'!E47-'Assumptions'!E52*(F724)+'Assumptions'!E57-'Assumptions'!E62*(1)-'Assumptions'!E67-(0))+('Working Capital'!$E$6))*'DCF'!E12/(1+(G724))^'DCF'!E13,(('Historical Inputs'!$N$9*(1+(D724))^2)*(('Assumptions'!F37+(E724))*(1-'Assumptions'!F42-(0))+'Assumptions'!F47-'Assumptions'!F52*(F724)+'Assumptions'!F57-'Assumptions'!F62*(1)-'Assumptions'!F67-(0))+(('Historical Inputs'!$N$9*(1+(D724))^1)*('Assumptions'!E67+(0))))*'DCF'!F12/(1+(G724))^'DCF'!F13,(('Historical Inputs'!$N$9*(1+(D724))^3)*(('Assumptions'!G37+(E724))*(1-'Assumptions'!G42-(0))+'Assumptions'!G47-'Assumptions'!G52*(F724)+'Assumptions'!G57-'Assumptions'!G62*(1)-'Assumptions'!G67-(0))+(('Historical Inputs'!$N$9*(1+(D724))^2)*('Assumptions'!F67+(0))))*'DCF'!G12/(1+(G724))^'DCF'!G13,(('Historical Inputs'!$N$9*(1+(D724))^4)*(('Assumptions'!H37+(E724))*(1-'Assumptions'!H42-(0))+'Assumptions'!H47-'Assumptions'!H52*(F724)+'Assumptions'!H57-'Assumptions'!H62*(1)-'Assumptions'!H67-(0))+(('Historical Inputs'!$N$9*(1+(D724))^3)*('Assumptions'!G67+(0))))*'DCF'!H12/(1+(G724))^'DCF'!H13,(('Historical Inputs'!$N$9*(1+(D724))^5)*(('Assumptions'!I37+(E724))*(1-'Assumptions'!I42-(0))+'Assumptions'!I47-'Assumptions'!I52*(F724)+'Assumptions'!I57-'Assumptions'!I62*(1)-'Assumptions'!I67-(0))+(('Historical Inputs'!$N$9*(1+(D724))^4)*('Assumptions'!H67+(0))))*'DCF'!I12/(1+(G724))^'DCF'!I13)+('Historical Inputs'!$N$9*(1+(D724))^5)*(1+(H724))*('Terminal Value'!$E$10+(E724))*(1-'Assumptions'!$E$15-(0))*(1-(H724)/('Terminal Value'!$E$12))/((G724)-(H724))/(1+(G724))^'DCF'!$E$19)+'Equity Bridge'!$E$17)/'Equity Bridge'!$E$20</x:f>
        <x:v>301.47448621897547</x:v>
      </x:c>
      <x:c r="X724" s="255" t="n">
        <x:v>0.5363376652786067</x:v>
      </x:c>
      <x:c r="Y724" s="255" t="n">
        <x:v>0.7844513507517964</x:v>
      </x:c>
      <x:c r="Z724" s="255" t="n">
        <x:v>0.8415782603329294</x:v>
      </x:c>
      <x:c r="AA724" s="255" t="n">
        <x:v>0.44321864270936917</x:v>
      </x:c>
      <x:c r="AB724" s="255" t="n">
        <x:v>0.5823382882923512</x:v>
      </x:c>
    </x:row>
    <x:row r="725" ht="24" customHeight="1">
      <x:c r="C725" s="256" t="n">
        <x:f>694</x:f>
        <x:v>694</x:v>
      </x:c>
      <x:c r="D725" s="258" t="n">
        <x:f>IF(X725&lt;($E$12-$D$12)/($F$12-$D$12),$D$12+SQRT(X725*($F$12-$D$12)*($E$12-$D$12)),$F$12-SQRT((1-X725)*($F$12-$D$12)*($F$12-$E$12)))</x:f>
        <x:v>0.10964913784601017</x:v>
      </x:c>
      <x:c r="E725" s="258" t="n">
        <x:f>IF(Y725&lt;($E$13-$D$13)/($F$13-$D$13),$D$13+SQRT(Y725*($F$13-$D$13)*($E$13-$D$13)),$F$13-SQRT((1-Y725)*($F$13-$D$13)*($F$13-$E$13)))</x:f>
        <x:v>-0.004263820515665942</x:v>
      </x:c>
      <x:c r="F725" s="260" t="n">
        <x:f>IF(Z725&lt;($E$14-$D$14)/($F$14-$D$14),$D$14+SQRT(Z725*($F$14-$D$14)*($E$14-$D$14)),$F$14-SQRT((1-Z725)*($F$14-$D$14)*($F$14-$E$14)))</x:f>
        <x:v>1.1133185679106492</x:v>
      </x:c>
      <x:c r="G725" s="258" t="n">
        <x:f>IF(AA725&lt;($E$15-$D$15)/($F$15-$D$15),$D$15+SQRT(AA725*($F$15-$D$15)*($E$15-$D$15)),$F$15-SQRT((1-AA725)*($F$15-$D$15)*($F$15-$E$15)))</x:f>
        <x:v>0.09231942990326865</x:v>
      </x:c>
      <x:c r="H725" s="258" t="n">
        <x:f>IF(AB725&lt;($E$16-$D$16)/($F$16-$D$16),$D$16+SQRT(AB725*($F$16-$D$16)*($E$16-$D$16)),$F$16-SQRT((1-AB725)*($F$16-$D$16)*($F$16-$E$16)))</x:f>
        <x:v>0.028522756207047785</x:v>
      </x:c>
      <x:c r="I725" s="262" t="n">
        <x:f>'Historical Inputs'!$N$9*(1+D725)^5</x:f>
        <x:v>558284.8288781052</x:v>
      </x:c>
      <x:c r="J725" s="262" t="n">
        <x:f>I725*(1+H725)*('Terminal Value'!$E$10+E725)*(1-'Assumptions'!$E$15)*(1-H725/'Terminal Value'!$E$12)</x:f>
        <x:v>155862.62045873087</x:v>
      </x:c>
      <x:c r="K725" s="264" t="n">
        <x:f>((SUM((('Historical Inputs'!$N$9*(1+(D725))^1)*(('Assumptions'!E37+(E725))*(1-'Assumptions'!E42-(0))+'Assumptions'!E47-'Assumptions'!E52*(F725)+'Assumptions'!E57-'Assumptions'!E62*(1)-'Assumptions'!E67-(0))+('Working Capital'!$E$6))*'DCF'!E12/(1+(G725))^'DCF'!E13,(('Historical Inputs'!$N$9*(1+(D725))^2)*(('Assumptions'!F37+(E725))*(1-'Assumptions'!F42-(0))+'Assumptions'!F47-'Assumptions'!F52*(F725)+'Assumptions'!F57-'Assumptions'!F62*(1)-'Assumptions'!F67-(0))+(('Historical Inputs'!$N$9*(1+(D725))^1)*('Assumptions'!E67+(0))))*'DCF'!F12/(1+(G725))^'DCF'!F13,(('Historical Inputs'!$N$9*(1+(D725))^3)*(('Assumptions'!G37+(E725))*(1-'Assumptions'!G42-(0))+'Assumptions'!G47-'Assumptions'!G52*(F725)+'Assumptions'!G57-'Assumptions'!G62*(1)-'Assumptions'!G67-(0))+(('Historical Inputs'!$N$9*(1+(D725))^2)*('Assumptions'!F67+(0))))*'DCF'!G12/(1+(G725))^'DCF'!G13,(('Historical Inputs'!$N$9*(1+(D725))^4)*(('Assumptions'!H37+(E725))*(1-'Assumptions'!H42-(0))+'Assumptions'!H47-'Assumptions'!H52*(F725)+'Assumptions'!H57-'Assumptions'!H62*(1)-'Assumptions'!H67-(0))+(('Historical Inputs'!$N$9*(1+(D725))^3)*('Assumptions'!G67+(0))))*'DCF'!H12/(1+(G725))^'DCF'!H13,(('Historical Inputs'!$N$9*(1+(D725))^5)*(('Assumptions'!I37+(E725))*(1-'Assumptions'!I42-(0))+'Assumptions'!I47-'Assumptions'!I52*(F725)+'Assumptions'!I57-'Assumptions'!I62*(1)-'Assumptions'!I67-(0))+(('Historical Inputs'!$N$9*(1+(D725))^4)*('Assumptions'!H67+(0))))*'DCF'!I12/(1+(G725))^'DCF'!I13)+('Historical Inputs'!$N$9*(1+(D725))^5)*(1+(H725))*('Terminal Value'!$E$10+(E725))*(1-'Assumptions'!$E$15-(0))*(1-(H725)/('Terminal Value'!$E$12))/((G725)-(H725))/(1+(G725))^'DCF'!$E$19)+'Equity Bridge'!$E$17)/'Equity Bridge'!$E$20</x:f>
        <x:v>259.3170471138213</x:v>
      </x:c>
      <x:c r="X725" s="255" t="n">
        <x:v>0.05374029352231868</x:v>
      </x:c>
      <x:c r="Y725" s="255" t="n">
        <x:v>0.4183596227646439</x:v>
      </x:c>
      <x:c r="Z725" s="255" t="n">
        <x:v>0.8926618475848465</x:v>
      </x:c>
      <x:c r="AA725" s="255" t="n">
        <x:v>0.18723367494048548</x:v>
      </x:c>
      <x:c r="AB725" s="255" t="n">
        <x:v>0.36318686682385803</x:v>
      </x:c>
    </x:row>
    <x:row r="726" ht="24" customHeight="1">
      <x:c r="C726" s="256" t="n">
        <x:f>695</x:f>
        <x:v>695</x:v>
      </x:c>
      <x:c r="D726" s="258" t="n">
        <x:f>IF(X726&lt;($E$12-$D$12)/($F$12-$D$12),$D$12+SQRT(X726*($F$12-$D$12)*($E$12-$D$12)),$F$12-SQRT((1-X726)*($F$12-$D$12)*($F$12-$E$12)))</x:f>
        <x:v>0.14080039306517916</x:v>
      </x:c>
      <x:c r="E726" s="258" t="n">
        <x:f>IF(Y726&lt;($E$13-$D$13)/($F$13-$D$13),$D$13+SQRT(Y726*($F$13-$D$13)*($E$13-$D$13)),$F$13-SQRT((1-Y726)*($F$13-$D$13)*($F$13-$E$13)))</x:f>
        <x:v>0.0007273546474345013</x:v>
      </x:c>
      <x:c r="F726" s="260" t="n">
        <x:f>IF(Z726&lt;($E$14-$D$14)/($F$14-$D$14),$D$14+SQRT(Z726*($F$14-$D$14)*($E$14-$D$14)),$F$14-SQRT((1-Z726)*($F$14-$D$14)*($F$14-$E$14)))</x:f>
        <x:v>0.9542863728705332</x:v>
      </x:c>
      <x:c r="G726" s="258" t="n">
        <x:f>IF(AA726&lt;($E$15-$D$15)/($F$15-$D$15),$D$15+SQRT(AA726*($F$15-$D$15)*($E$15-$D$15)),$F$15-SQRT((1-AA726)*($F$15-$D$15)*($F$15-$E$15)))</x:f>
        <x:v>0.09270998969635512</x:v>
      </x:c>
      <x:c r="H726" s="258" t="n">
        <x:f>IF(AB726&lt;($E$16-$D$16)/($F$16-$D$16),$D$16+SQRT(AB726*($F$16-$D$16)*($E$16-$D$16)),$F$16-SQRT((1-AB726)*($F$16-$D$16)*($F$16-$E$16)))</x:f>
        <x:v>0.020571805094803122</x:v>
      </x:c>
      <x:c r="I726" s="262" t="n">
        <x:f>'Historical Inputs'!$N$9*(1+D726)^5</x:f>
        <x:v>641173.7542661732</x:v>
      </x:c>
      <x:c r="J726" s="262" t="n">
        <x:f>I726*(1+H726)*('Terminal Value'!$E$10+E726)*(1-'Assumptions'!$E$15)*(1-H726/'Terminal Value'!$E$12)</x:f>
        <x:v>188199.71941638266</x:v>
      </x:c>
      <x:c r="K726" s="264" t="n">
        <x:f>((SUM((('Historical Inputs'!$N$9*(1+(D726))^1)*(('Assumptions'!E37+(E726))*(1-'Assumptions'!E42-(0))+'Assumptions'!E47-'Assumptions'!E52*(F726)+'Assumptions'!E57-'Assumptions'!E62*(1)-'Assumptions'!E67-(0))+('Working Capital'!$E$6))*'DCF'!E12/(1+(G726))^'DCF'!E13,(('Historical Inputs'!$N$9*(1+(D726))^2)*(('Assumptions'!F37+(E726))*(1-'Assumptions'!F42-(0))+'Assumptions'!F47-'Assumptions'!F52*(F726)+'Assumptions'!F57-'Assumptions'!F62*(1)-'Assumptions'!F67-(0))+(('Historical Inputs'!$N$9*(1+(D726))^1)*('Assumptions'!E67+(0))))*'DCF'!F12/(1+(G726))^'DCF'!F13,(('Historical Inputs'!$N$9*(1+(D726))^3)*(('Assumptions'!G37+(E726))*(1-'Assumptions'!G42-(0))+'Assumptions'!G47-'Assumptions'!G52*(F726)+'Assumptions'!G57-'Assumptions'!G62*(1)-'Assumptions'!G67-(0))+(('Historical Inputs'!$N$9*(1+(D726))^2)*('Assumptions'!F67+(0))))*'DCF'!G12/(1+(G726))^'DCF'!G13,(('Historical Inputs'!$N$9*(1+(D726))^4)*(('Assumptions'!H37+(E726))*(1-'Assumptions'!H42-(0))+'Assumptions'!H47-'Assumptions'!H52*(F726)+'Assumptions'!H57-'Assumptions'!H62*(1)-'Assumptions'!H67-(0))+(('Historical Inputs'!$N$9*(1+(D726))^3)*('Assumptions'!G67+(0))))*'DCF'!H12/(1+(G726))^'DCF'!H13,(('Historical Inputs'!$N$9*(1+(D726))^5)*(('Assumptions'!I37+(E726))*(1-'Assumptions'!I42-(0))+'Assumptions'!I47-'Assumptions'!I52*(F726)+'Assumptions'!I57-'Assumptions'!I62*(1)-'Assumptions'!I67-(0))+(('Historical Inputs'!$N$9*(1+(D726))^4)*('Assumptions'!H67+(0))))*'DCF'!I12/(1+(G726))^'DCF'!I13)+('Historical Inputs'!$N$9*(1+(D726))^5)*(1+(H726))*('Terminal Value'!$E$10+(E726))*(1-'Assumptions'!$E$15-(0))*(1-(H726)/('Terminal Value'!$E$12))/((G726)-(H726))/(1+(G726))^'DCF'!$E$19)+'Equity Bridge'!$E$17)/'Equity Bridge'!$E$20</x:f>
        <x:v>289.4540499765736</x:v>
      </x:c>
      <x:c r="X726" s="255" t="n">
        <x:v>0.4520744297561907</x:v>
      </x:c>
      <x:c r="Y726" s="255" t="n">
        <x:v>0.5144412839920611</x:v>
      </x:c>
      <x:c r="Z726" s="255" t="n">
        <x:v>0.20715519174270247</x:v>
      </x:c>
      <x:c r="AA726" s="255" t="n">
        <x:v>0.2035058548935229</x:v>
      </x:c>
      <x:c r="AB726" s="255" t="n">
        <x:v>0.001634805332214051</x:v>
      </x:c>
    </x:row>
    <x:row r="727" ht="24" customHeight="1">
      <x:c r="C727" s="256" t="n">
        <x:f>696</x:f>
        <x:v>696</x:v>
      </x:c>
      <x:c r="D727" s="258" t="n">
        <x:f>IF(X727&lt;($E$12-$D$12)/($F$12-$D$12),$D$12+SQRT(X727*($F$12-$D$12)*($E$12-$D$12)),$F$12-SQRT((1-X727)*($F$12-$D$12)*($F$12-$E$12)))</x:f>
        <x:v>0.1345072609860628</x:v>
      </x:c>
      <x:c r="E727" s="258" t="n">
        <x:f>IF(Y727&lt;($E$13-$D$13)/($F$13-$D$13),$D$13+SQRT(Y727*($F$13-$D$13)*($E$13-$D$13)),$F$13-SQRT((1-Y727)*($F$13-$D$13)*($F$13-$E$13)))</x:f>
        <x:v>0.0072536899730432855</x:v>
      </x:c>
      <x:c r="F727" s="260" t="n">
        <x:f>IF(Z727&lt;($E$14-$D$14)/($F$14-$D$14),$D$14+SQRT(Z727*($F$14-$D$14)*($E$14-$D$14)),$F$14-SQRT((1-Z727)*($F$14-$D$14)*($F$14-$E$14)))</x:f>
        <x:v>0.8910418540143026</x:v>
      </x:c>
      <x:c r="G727" s="258" t="n">
        <x:f>IF(AA727&lt;($E$15-$D$15)/($F$15-$D$15),$D$15+SQRT(AA727*($F$15-$D$15)*($E$15-$D$15)),$F$15-SQRT((1-AA727)*($F$15-$D$15)*($F$15-$E$15)))</x:f>
        <x:v>0.10838959396351694</x:v>
      </x:c>
      <x:c r="H727" s="258" t="n">
        <x:f>IF(AB727&lt;($E$16-$D$16)/($F$16-$D$16),$D$16+SQRT(AB727*($F$16-$D$16)*($E$16-$D$16)),$F$16-SQRT((1-AB727)*($F$16-$D$16)*($F$16-$E$16)))</x:f>
        <x:v>0.03422213792525897</x:v>
      </x:c>
      <x:c r="I727" s="262" t="n">
        <x:f>'Historical Inputs'!$N$9*(1+D727)^5</x:f>
        <x:v>623682.8827325571</x:v>
      </x:c>
      <x:c r="J727" s="262" t="n">
        <x:f>I727*(1+H727)*('Terminal Value'!$E$10+E727)*(1-'Assumptions'!$E$15)*(1-H727/'Terminal Value'!$E$12)</x:f>
        <x:v>174192.4022315793</x:v>
      </x:c>
      <x:c r="K727" s="264" t="n">
        <x:f>((SUM((('Historical Inputs'!$N$9*(1+(D727))^1)*(('Assumptions'!E37+(E727))*(1-'Assumptions'!E42-(0))+'Assumptions'!E47-'Assumptions'!E52*(F727)+'Assumptions'!E57-'Assumptions'!E62*(1)-'Assumptions'!E67-(0))+('Working Capital'!$E$6))*'DCF'!E12/(1+(G727))^'DCF'!E13,(('Historical Inputs'!$N$9*(1+(D727))^2)*(('Assumptions'!F37+(E727))*(1-'Assumptions'!F42-(0))+'Assumptions'!F47-'Assumptions'!F52*(F727)+'Assumptions'!F57-'Assumptions'!F62*(1)-'Assumptions'!F67-(0))+(('Historical Inputs'!$N$9*(1+(D727))^1)*('Assumptions'!E67+(0))))*'DCF'!F12/(1+(G727))^'DCF'!F13,(('Historical Inputs'!$N$9*(1+(D727))^3)*(('Assumptions'!G37+(E727))*(1-'Assumptions'!G42-(0))+'Assumptions'!G47-'Assumptions'!G52*(F727)+'Assumptions'!G57-'Assumptions'!G62*(1)-'Assumptions'!G67-(0))+(('Historical Inputs'!$N$9*(1+(D727))^2)*('Assumptions'!F67+(0))))*'DCF'!G12/(1+(G727))^'DCF'!G13,(('Historical Inputs'!$N$9*(1+(D727))^4)*(('Assumptions'!H37+(E727))*(1-'Assumptions'!H42-(0))+'Assumptions'!H47-'Assumptions'!H52*(F727)+'Assumptions'!H57-'Assumptions'!H62*(1)-'Assumptions'!H67-(0))+(('Historical Inputs'!$N$9*(1+(D727))^3)*('Assumptions'!G67+(0))))*'DCF'!H12/(1+(G727))^'DCF'!H13,(('Historical Inputs'!$N$9*(1+(D727))^5)*(('Assumptions'!I37+(E727))*(1-'Assumptions'!I42-(0))+'Assumptions'!I47-'Assumptions'!I52*(F727)+'Assumptions'!I57-'Assumptions'!I62*(1)-'Assumptions'!I67-(0))+(('Historical Inputs'!$N$9*(1+(D727))^4)*('Assumptions'!H67+(0))))*'DCF'!I12/(1+(G727))^'DCF'!I13)+('Historical Inputs'!$N$9*(1+(D727))^5)*(1+(H727))*('Terminal Value'!$E$10+(E727))*(1-'Assumptions'!$E$15-(0))*(1-(H727)/('Terminal Value'!$E$12))/((G727)-(H727))/(1+(G727))^'DCF'!$E$19)+'Equity Bridge'!$E$17)/'Equity Bridge'!$E$20</x:f>
        <x:v>254.6380906768877</x:v>
      </x:c>
      <x:c r="X727" s="255" t="n">
        <x:v>0.340316446151529</x:v>
      </x:c>
      <x:c r="Y727" s="255" t="n">
        <x:v>0.6345505958158599</x:v>
      </x:c>
      <x:c r="Z727" s="255" t="n">
        <x:v>0.032084452970120525</x:v>
      </x:c>
      <x:c r="AA727" s="255" t="n">
        <x:v>0.9498447417500626</x:v>
      </x:c>
      <x:c r="AB727" s="255" t="n">
        <x:v>0.8330815492263467</x:v>
      </x:c>
    </x:row>
    <x:row r="728" ht="24" customHeight="1">
      <x:c r="C728" s="256" t="n">
        <x:f>697</x:f>
        <x:v>697</x:v>
      </x:c>
      <x:c r="D728" s="258" t="n">
        <x:f>IF(X728&lt;($E$12-$D$12)/($F$12-$D$12),$D$12+SQRT(X728*($F$12-$D$12)*($E$12-$D$12)),$F$12-SQRT((1-X728)*($F$12-$D$12)*($F$12-$E$12)))</x:f>
        <x:v>0.1428755910100884</x:v>
      </x:c>
      <x:c r="E728" s="258" t="n">
        <x:f>IF(Y728&lt;($E$13-$D$13)/($F$13-$D$13),$D$13+SQRT(Y728*($F$13-$D$13)*($E$13-$D$13)),$F$13-SQRT((1-Y728)*($F$13-$D$13)*($F$13-$E$13)))</x:f>
        <x:v>-0.012860006252812355</x:v>
      </x:c>
      <x:c r="F728" s="260" t="n">
        <x:f>IF(Z728&lt;($E$14-$D$14)/($F$14-$D$14),$D$14+SQRT(Z728*($F$14-$D$14)*($E$14-$D$14)),$F$14-SQRT((1-Z728)*($F$14-$D$14)*($F$14-$E$14)))</x:f>
        <x:v>0.9508786511618516</x:v>
      </x:c>
      <x:c r="G728" s="258" t="n">
        <x:f>IF(AA728&lt;($E$15-$D$15)/($F$15-$D$15),$D$15+SQRT(AA728*($F$15-$D$15)*($E$15-$D$15)),$F$15-SQRT((1-AA728)*($F$15-$D$15)*($F$15-$E$15)))</x:f>
        <x:v>0.0989046863662391</x:v>
      </x:c>
      <x:c r="H728" s="258" t="n">
        <x:f>IF(AB728&lt;($E$16-$D$16)/($F$16-$D$16),$D$16+SQRT(AB728*($F$16-$D$16)*($E$16-$D$16)),$F$16-SQRT((1-AB728)*($F$16-$D$16)*($F$16-$E$16)))</x:f>
        <x:v>0.025690246803551545</x:v>
      </x:c>
      <x:c r="I728" s="262" t="n">
        <x:f>'Historical Inputs'!$N$9*(1+D728)^5</x:f>
        <x:v>647026.7152951331</x:v>
      </x:c>
      <x:c r="J728" s="262" t="n">
        <x:f>I728*(1+H728)*('Terminal Value'!$E$10+E728)*(1-'Assumptions'!$E$15)*(1-H728/'Terminal Value'!$E$12)</x:f>
        <x:v>179138.17961624693</x:v>
      </x:c>
      <x:c r="K728" s="264" t="n">
        <x:f>((SUM((('Historical Inputs'!$N$9*(1+(D728))^1)*(('Assumptions'!E37+(E728))*(1-'Assumptions'!E42-(0))+'Assumptions'!E47-'Assumptions'!E52*(F728)+'Assumptions'!E57-'Assumptions'!E62*(1)-'Assumptions'!E67-(0))+('Working Capital'!$E$6))*'DCF'!E12/(1+(G728))^'DCF'!E13,(('Historical Inputs'!$N$9*(1+(D728))^2)*(('Assumptions'!F37+(E728))*(1-'Assumptions'!F42-(0))+'Assumptions'!F47-'Assumptions'!F52*(F728)+'Assumptions'!F57-'Assumptions'!F62*(1)-'Assumptions'!F67-(0))+(('Historical Inputs'!$N$9*(1+(D728))^1)*('Assumptions'!E67+(0))))*'DCF'!F12/(1+(G728))^'DCF'!F13,(('Historical Inputs'!$N$9*(1+(D728))^3)*(('Assumptions'!G37+(E728))*(1-'Assumptions'!G42-(0))+'Assumptions'!G47-'Assumptions'!G52*(F728)+'Assumptions'!G57-'Assumptions'!G62*(1)-'Assumptions'!G67-(0))+(('Historical Inputs'!$N$9*(1+(D728))^2)*('Assumptions'!F67+(0))))*'DCF'!G12/(1+(G728))^'DCF'!G13,(('Historical Inputs'!$N$9*(1+(D728))^4)*(('Assumptions'!H37+(E728))*(1-'Assumptions'!H42-(0))+'Assumptions'!H47-'Assumptions'!H52*(F728)+'Assumptions'!H57-'Assumptions'!H62*(1)-'Assumptions'!H67-(0))+(('Historical Inputs'!$N$9*(1+(D728))^3)*('Assumptions'!G67+(0))))*'DCF'!H12/(1+(G728))^'DCF'!H13,(('Historical Inputs'!$N$9*(1+(D728))^5)*(('Assumptions'!I37+(E728))*(1-'Assumptions'!I42-(0))+'Assumptions'!I47-'Assumptions'!I52*(F728)+'Assumptions'!I57-'Assumptions'!I62*(1)-'Assumptions'!I67-(0))+(('Historical Inputs'!$N$9*(1+(D728))^4)*('Assumptions'!H67+(0))))*'DCF'!I12/(1+(G728))^'DCF'!I13)+('Historical Inputs'!$N$9*(1+(D728))^5)*(1+(H728))*('Terminal Value'!$E$10+(E728))*(1-'Assumptions'!$E$15-(0))*(1-(H728)/('Terminal Value'!$E$12))/((G728)-(H728))/(1+(G728))^'DCF'!$E$19)+'Equity Bridge'!$E$17)/'Equity Bridge'!$E$20</x:f>
        <x:v>266.32032746221404</x:v>
      </x:c>
      <x:c r="X728" s="255" t="n">
        <x:v>0.49240048157409466</x:v>
      </x:c>
      <x:c r="Y728" s="255" t="n">
        <x:v>0.27587582710822744</x:v>
      </x:c>
      <x:c r="Z728" s="255" t="n">
        <x:v>0.19383813829018148</x:v>
      </x:c>
      <x:c r="AA728" s="255" t="n">
        <x:v>0.5496562925887148</x:v>
      </x:c>
      <x:c r="AB728" s="255" t="n">
        <x:v>0.161894543426643</x:v>
      </x:c>
    </x:row>
    <x:row r="729" ht="24" customHeight="1">
      <x:c r="C729" s="256" t="n">
        <x:f>698</x:f>
        <x:v>698</x:v>
      </x:c>
      <x:c r="D729" s="258" t="n">
        <x:f>IF(X729&lt;($E$12-$D$12)/($F$12-$D$12),$D$12+SQRT(X729*($F$12-$D$12)*($E$12-$D$12)),$F$12-SQRT((1-X729)*($F$12-$D$12)*($F$12-$E$12)))</x:f>
        <x:v>0.1505334945979022</x:v>
      </x:c>
      <x:c r="E729" s="258" t="n">
        <x:f>IF(Y729&lt;($E$13-$D$13)/($F$13-$D$13),$D$13+SQRT(Y729*($F$13-$D$13)*($E$13-$D$13)),$F$13-SQRT((1-Y729)*($F$13-$D$13)*($F$13-$E$13)))</x:f>
        <x:v>-0.006002774081012303</x:v>
      </x:c>
      <x:c r="F729" s="260" t="n">
        <x:f>IF(Z729&lt;($E$14-$D$14)/($F$14-$D$14),$D$14+SQRT(Z729*($F$14-$D$14)*($E$14-$D$14)),$F$14-SQRT((1-Z729)*($F$14-$D$14)*($F$14-$E$14)))</x:f>
        <x:v>1.04130101474813</x:v>
      </x:c>
      <x:c r="G729" s="258" t="n">
        <x:f>IF(AA729&lt;($E$15-$D$15)/($F$15-$D$15),$D$15+SQRT(AA729*($F$15-$D$15)*($E$15-$D$15)),$F$15-SQRT((1-AA729)*($F$15-$D$15)*($F$15-$E$15)))</x:f>
        <x:v>0.10398039695772417</x:v>
      </x:c>
      <x:c r="H729" s="258" t="n">
        <x:f>IF(AB729&lt;($E$16-$D$16)/($F$16-$D$16),$D$16+SQRT(AB729*($F$16-$D$16)*($E$16-$D$16)),$F$16-SQRT((1-AB729)*($F$16-$D$16)*($F$16-$E$16)))</x:f>
        <x:v>0.029674818824930692</x:v>
      </x:c>
      <x:c r="I729" s="262" t="n">
        <x:f>'Historical Inputs'!$N$9*(1+D729)^5</x:f>
        <x:v>668996.365435009</x:v>
      </x:c>
      <x:c r="J729" s="262" t="n">
        <x:f>I729*(1+H729)*('Terminal Value'!$E$10+E729)*(1-'Assumptions'!$E$15)*(1-H729/'Terminal Value'!$E$12)</x:f>
        <x:v>184908.0698368976</x:v>
      </x:c>
      <x:c r="K729" s="264" t="n">
        <x:f>((SUM((('Historical Inputs'!$N$9*(1+(D729))^1)*(('Assumptions'!E37+(E729))*(1-'Assumptions'!E42-(0))+'Assumptions'!E47-'Assumptions'!E52*(F729)+'Assumptions'!E57-'Assumptions'!E62*(1)-'Assumptions'!E67-(0))+('Working Capital'!$E$6))*'DCF'!E12/(1+(G729))^'DCF'!E13,(('Historical Inputs'!$N$9*(1+(D729))^2)*(('Assumptions'!F37+(E729))*(1-'Assumptions'!F42-(0))+'Assumptions'!F47-'Assumptions'!F52*(F729)+'Assumptions'!F57-'Assumptions'!F62*(1)-'Assumptions'!F67-(0))+(('Historical Inputs'!$N$9*(1+(D729))^1)*('Assumptions'!E67+(0))))*'DCF'!F12/(1+(G729))^'DCF'!F13,(('Historical Inputs'!$N$9*(1+(D729))^3)*(('Assumptions'!G37+(E729))*(1-'Assumptions'!G42-(0))+'Assumptions'!G47-'Assumptions'!G52*(F729)+'Assumptions'!G57-'Assumptions'!G62*(1)-'Assumptions'!G67-(0))+(('Historical Inputs'!$N$9*(1+(D729))^2)*('Assumptions'!F67+(0))))*'DCF'!G12/(1+(G729))^'DCF'!G13,(('Historical Inputs'!$N$9*(1+(D729))^4)*(('Assumptions'!H37+(E729))*(1-'Assumptions'!H42-(0))+'Assumptions'!H47-'Assumptions'!H52*(F729)+'Assumptions'!H57-'Assumptions'!H62*(1)-'Assumptions'!H67-(0))+(('Historical Inputs'!$N$9*(1+(D729))^3)*('Assumptions'!G67+(0))))*'DCF'!H12/(1+(G729))^'DCF'!H13,(('Historical Inputs'!$N$9*(1+(D729))^5)*(('Assumptions'!I37+(E729))*(1-'Assumptions'!I42-(0))+'Assumptions'!I47-'Assumptions'!I52*(F729)+'Assumptions'!I57-'Assumptions'!I62*(1)-'Assumptions'!I67-(0))+(('Historical Inputs'!$N$9*(1+(D729))^4)*('Assumptions'!H67+(0))))*'DCF'!I12/(1+(G729))^'DCF'!I13)+('Historical Inputs'!$N$9*(1+(D729))^5)*(1+(H729))*('Terminal Value'!$E$10+(E729))*(1-'Assumptions'!$E$15-(0))*(1-(H729)/('Terminal Value'!$E$12))/((G729)-(H729))/(1+(G729))^'DCF'!$E$19)+'Equity Bridge'!$E$17)/'Equity Bridge'!$E$20</x:f>
        <x:v>261.5497886374083</x:v>
      </x:c>
      <x:c r="X729" s="255" t="n">
        <x:v>0.6349400442370167</x:v>
      </x:c>
      <x:c r="Y729" s="255" t="n">
        <x:v>0.38715117771328855</x:v>
      </x:c>
      <x:c r="Z729" s="255" t="n">
        <x:v>0.6402090297146689</x:v>
      </x:c>
      <x:c r="AA729" s="255" t="n">
        <x:v>0.8135442374514203</x:v>
      </x:c>
      <x:c r="AB729" s="255" t="n">
        <x:v>0.4680105964761664</x:v>
      </x:c>
    </x:row>
    <x:row r="730" ht="24" customHeight="1">
      <x:c r="C730" s="256" t="n">
        <x:f>699</x:f>
        <x:v>699</x:v>
      </x:c>
      <x:c r="D730" s="258" t="n">
        <x:f>IF(X730&lt;($E$12-$D$12)/($F$12-$D$12),$D$12+SQRT(X730*($F$12-$D$12)*($E$12-$D$12)),$F$12-SQRT((1-X730)*($F$12-$D$12)*($F$12-$E$12)))</x:f>
        <x:v>0.11748793305848812</x:v>
      </x:c>
      <x:c r="E730" s="258" t="n">
        <x:f>IF(Y730&lt;($E$13-$D$13)/($F$13-$D$13),$D$13+SQRT(Y730*($F$13-$D$13)*($E$13-$D$13)),$F$13-SQRT((1-Y730)*($F$13-$D$13)*($F$13-$E$13)))</x:f>
        <x:v>0.006085091174491915</x:v>
      </x:c>
      <x:c r="F730" s="260" t="n">
        <x:f>IF(Z730&lt;($E$14-$D$14)/($F$14-$D$14),$D$14+SQRT(Z730*($F$14-$D$14)*($E$14-$D$14)),$F$14-SQRT((1-Z730)*($F$14-$D$14)*($F$14-$E$14)))</x:f>
        <x:v>1.1178681052136294</x:v>
      </x:c>
      <x:c r="G730" s="258" t="n">
        <x:f>IF(AA730&lt;($E$15-$D$15)/($F$15-$D$15),$D$15+SQRT(AA730*($F$15-$D$15)*($E$15-$D$15)),$F$15-SQRT((1-AA730)*($F$15-$D$15)*($F$15-$E$15)))</x:f>
        <x:v>0.0997985572293431</x:v>
      </x:c>
      <x:c r="H730" s="258" t="n">
        <x:f>IF(AB730&lt;($E$16-$D$16)/($F$16-$D$16),$D$16+SQRT(AB730*($F$16-$D$16)*($E$16-$D$16)),$F$16-SQRT((1-AB730)*($F$16-$D$16)*($F$16-$E$16)))</x:f>
        <x:v>0.028833956431199168</x:v>
      </x:c>
      <x:c r="I730" s="262" t="n">
        <x:f>'Historical Inputs'!$N$9*(1+D730)^5</x:f>
        <x:v>578284.6132717172</x:v>
      </x:c>
      <x:c r="J730" s="262" t="n">
        <x:f>I730*(1+H730)*('Terminal Value'!$E$10+E730)*(1-'Assumptions'!$E$15)*(1-H730/'Terminal Value'!$E$12)</x:f>
        <x:v>165417.54665829043</x:v>
      </x:c>
      <x:c r="K730" s="264" t="n">
        <x:f>((SUM((('Historical Inputs'!$N$9*(1+(D730))^1)*(('Assumptions'!E37+(E730))*(1-'Assumptions'!E42-(0))+'Assumptions'!E47-'Assumptions'!E52*(F730)+'Assumptions'!E57-'Assumptions'!E62*(1)-'Assumptions'!E67-(0))+('Working Capital'!$E$6))*'DCF'!E12/(1+(G730))^'DCF'!E13,(('Historical Inputs'!$N$9*(1+(D730))^2)*(('Assumptions'!F37+(E730))*(1-'Assumptions'!F42-(0))+'Assumptions'!F47-'Assumptions'!F52*(F730)+'Assumptions'!F57-'Assumptions'!F62*(1)-'Assumptions'!F67-(0))+(('Historical Inputs'!$N$9*(1+(D730))^1)*('Assumptions'!E67+(0))))*'DCF'!F12/(1+(G730))^'DCF'!F13,(('Historical Inputs'!$N$9*(1+(D730))^3)*(('Assumptions'!G37+(E730))*(1-'Assumptions'!G42-(0))+'Assumptions'!G47-'Assumptions'!G52*(F730)+'Assumptions'!G57-'Assumptions'!G62*(1)-'Assumptions'!G67-(0))+(('Historical Inputs'!$N$9*(1+(D730))^2)*('Assumptions'!F67+(0))))*'DCF'!G12/(1+(G730))^'DCF'!G13,(('Historical Inputs'!$N$9*(1+(D730))^4)*(('Assumptions'!H37+(E730))*(1-'Assumptions'!H42-(0))+'Assumptions'!H47-'Assumptions'!H52*(F730)+'Assumptions'!H57-'Assumptions'!H62*(1)-'Assumptions'!H67-(0))+(('Historical Inputs'!$N$9*(1+(D730))^3)*('Assumptions'!G67+(0))))*'DCF'!H12/(1+(G730))^'DCF'!H13,(('Historical Inputs'!$N$9*(1+(D730))^5)*(('Assumptions'!I37+(E730))*(1-'Assumptions'!I42-(0))+'Assumptions'!I47-'Assumptions'!I52*(F730)+'Assumptions'!I57-'Assumptions'!I62*(1)-'Assumptions'!I67-(0))+(('Historical Inputs'!$N$9*(1+(D730))^4)*('Assumptions'!H67+(0))))*'DCF'!I12/(1+(G730))^'DCF'!I13)+('Historical Inputs'!$N$9*(1+(D730))^5)*(1+(H730))*('Terminal Value'!$E$10+(E730))*(1-'Assumptions'!$E$15-(0))*(1-(H730)/('Terminal Value'!$E$12))/((G730)-(H730))/(1+(G730))^'DCF'!$E$19)+'Equity Bridge'!$E$17)/'Equity Bridge'!$E$20</x:f>
        <x:v>244.82096748184165</x:v>
      </x:c>
      <x:c r="X730" s="255" t="n">
        <x:v>0.11742741183078775</x:v>
      </x:c>
      <x:c r="Y730" s="255" t="n">
        <x:v>0.6142961565694625</x:v>
      </x:c>
      <x:c r="Z730" s="255" t="n">
        <x:v>0.9036335979828652</x:v>
      </x:c>
      <x:c r="AA730" s="255" t="n">
        <x:v>0.6044356686904983</x:v>
      </x:c>
      <x:c r="AB730" s="255" t="n">
        <x:v>0.3901939311416258</x:v>
      </x:c>
    </x:row>
    <x:row r="731" ht="24" customHeight="1">
      <x:c r="C731" s="256" t="n">
        <x:f>700</x:f>
        <x:v>700</x:v>
      </x:c>
      <x:c r="D731" s="258" t="n">
        <x:f>IF(X731&lt;($E$12-$D$12)/($F$12-$D$12),$D$12+SQRT(X731*($F$12-$D$12)*($E$12-$D$12)),$F$12-SQRT((1-X731)*($F$12-$D$12)*($F$12-$E$12)))</x:f>
        <x:v>0.1289609128987075</x:v>
      </x:c>
      <x:c r="E731" s="258" t="n">
        <x:f>IF(Y731&lt;($E$13-$D$13)/($F$13-$D$13),$D$13+SQRT(Y731*($F$13-$D$13)*($E$13-$D$13)),$F$13-SQRT((1-Y731)*($F$13-$D$13)*($F$13-$E$13)))</x:f>
        <x:v>0.019732554878080136</x:v>
      </x:c>
      <x:c r="F731" s="260" t="n">
        <x:f>IF(Z731&lt;($E$14-$D$14)/($F$14-$D$14),$D$14+SQRT(Z731*($F$14-$D$14)*($E$14-$D$14)),$F$14-SQRT((1-Z731)*($F$14-$D$14)*($F$14-$E$14)))</x:f>
        <x:v>0.914384505864096</x:v>
      </x:c>
      <x:c r="G731" s="258" t="n">
        <x:f>IF(AA731&lt;($E$15-$D$15)/($F$15-$D$15),$D$15+SQRT(AA731*($F$15-$D$15)*($E$15-$D$15)),$F$15-SQRT((1-AA731)*($F$15-$D$15)*($F$15-$E$15)))</x:f>
        <x:v>0.09747923652926903</x:v>
      </x:c>
      <x:c r="H731" s="258" t="n">
        <x:f>IF(AB731&lt;($E$16-$D$16)/($F$16-$D$16),$D$16+SQRT(AB731*($F$16-$D$16)*($E$16-$D$16)),$F$16-SQRT((1-AB731)*($F$16-$D$16)*($F$16-$E$16)))</x:f>
        <x:v>0.028850511705673057</x:v>
      </x:c>
      <x:c r="I731" s="262" t="n">
        <x:f>'Historical Inputs'!$N$9*(1+D731)^5</x:f>
        <x:v>608585.9974608982</x:v>
      </x:c>
      <x:c r="J731" s="262" t="n">
        <x:f>I731*(1+H731)*('Terminal Value'!$E$10+E731)*(1-'Assumptions'!$E$15)*(1-H731/'Terminal Value'!$E$12)</x:f>
        <x:v>179921.26041928533</x:v>
      </x:c>
      <x:c r="K731" s="264" t="n">
        <x:f>((SUM((('Historical Inputs'!$N$9*(1+(D731))^1)*(('Assumptions'!E37+(E731))*(1-'Assumptions'!E42-(0))+'Assumptions'!E47-'Assumptions'!E52*(F731)+'Assumptions'!E57-'Assumptions'!E62*(1)-'Assumptions'!E67-(0))+('Working Capital'!$E$6))*'DCF'!E12/(1+(G731))^'DCF'!E13,(('Historical Inputs'!$N$9*(1+(D731))^2)*(('Assumptions'!F37+(E731))*(1-'Assumptions'!F42-(0))+'Assumptions'!F47-'Assumptions'!F52*(F731)+'Assumptions'!F57-'Assumptions'!F62*(1)-'Assumptions'!F67-(0))+(('Historical Inputs'!$N$9*(1+(D731))^1)*('Assumptions'!E67+(0))))*'DCF'!F12/(1+(G731))^'DCF'!F13,(('Historical Inputs'!$N$9*(1+(D731))^3)*(('Assumptions'!G37+(E731))*(1-'Assumptions'!G42-(0))+'Assumptions'!G47-'Assumptions'!G52*(F731)+'Assumptions'!G57-'Assumptions'!G62*(1)-'Assumptions'!G67-(0))+(('Historical Inputs'!$N$9*(1+(D731))^2)*('Assumptions'!F67+(0))))*'DCF'!G12/(1+(G731))^'DCF'!G13,(('Historical Inputs'!$N$9*(1+(D731))^4)*(('Assumptions'!H37+(E731))*(1-'Assumptions'!H42-(0))+'Assumptions'!H47-'Assumptions'!H52*(F731)+'Assumptions'!H57-'Assumptions'!H62*(1)-'Assumptions'!H67-(0))+(('Historical Inputs'!$N$9*(1+(D731))^3)*('Assumptions'!G67+(0))))*'DCF'!H12/(1+(G731))^'DCF'!H13,(('Historical Inputs'!$N$9*(1+(D731))^5)*(('Assumptions'!I37+(E731))*(1-'Assumptions'!I42-(0))+'Assumptions'!I47-'Assumptions'!I52*(F731)+'Assumptions'!I57-'Assumptions'!I62*(1)-'Assumptions'!I67-(0))+(('Historical Inputs'!$N$9*(1+(D731))^4)*('Assumptions'!H67+(0))))*'DCF'!I12/(1+(G731))^'DCF'!I13)+('Historical Inputs'!$N$9*(1+(D731))^5)*(1+(H731))*('Terminal Value'!$E$10+(E731))*(1-'Assumptions'!$E$15-(0))*(1-(H731)/('Terminal Value'!$E$12))/((G731)-(H731))/(1+(G731))^'DCF'!$E$19)+'Equity Bridge'!$E$17)/'Equity Bridge'!$E$20</x:f>
        <x:v>289.18065490107136</x:v>
      </x:c>
      <x:c r="X731" s="255" t="n">
        <x:v>0.2549535675455332</x:v>
      </x:c>
      <x:c r="Y731" s="255" t="n">
        <x:v>0.8167763531583139</x:v>
      </x:c>
      <x:c r="Z731" s="255" t="n">
        <x:v>0.0789593256259774</x:v>
      </x:c>
      <x:c r="AA731" s="255" t="n">
        <x:v>0.4568958081687776</x:v>
      </x:c>
      <x:c r="AB731" s="255" t="n">
        <x:v>0.3916577872612793</x:v>
      </x:c>
    </x:row>
    <x:row r="732" ht="24" customHeight="1">
      <x:c r="C732" s="256" t="n">
        <x:f>701</x:f>
        <x:v>701</x:v>
      </x:c>
      <x:c r="D732" s="258" t="n">
        <x:f>IF(X732&lt;($E$12-$D$12)/($F$12-$D$12),$D$12+SQRT(X732*($F$12-$D$12)*($E$12-$D$12)),$F$12-SQRT((1-X732)*($F$12-$D$12)*($F$12-$E$12)))</x:f>
        <x:v>0.1479041122486253</x:v>
      </x:c>
      <x:c r="E732" s="258" t="n">
        <x:f>IF(Y732&lt;($E$13-$D$13)/($F$13-$D$13),$D$13+SQRT(Y732*($F$13-$D$13)*($E$13-$D$13)),$F$13-SQRT((1-Y732)*($F$13-$D$13)*($F$13-$E$13)))</x:f>
        <x:v>-0.011212820337386041</x:v>
      </x:c>
      <x:c r="F732" s="260" t="n">
        <x:f>IF(Z732&lt;($E$14-$D$14)/($F$14-$D$14),$D$14+SQRT(Z732*($F$14-$D$14)*($E$14-$D$14)),$F$14-SQRT((1-Z732)*($F$14-$D$14)*($F$14-$E$14)))</x:f>
        <x:v>0.9863909232544602</x:v>
      </x:c>
      <x:c r="G732" s="258" t="n">
        <x:f>IF(AA732&lt;($E$15-$D$15)/($F$15-$D$15),$D$15+SQRT(AA732*($F$15-$D$15)*($E$15-$D$15)),$F$15-SQRT((1-AA732)*($F$15-$D$15)*($F$15-$E$15)))</x:f>
        <x:v>0.09043820219929022</x:v>
      </x:c>
      <x:c r="H732" s="258" t="n">
        <x:f>IF(AB732&lt;($E$16-$D$16)/($F$16-$D$16),$D$16+SQRT(AB732*($F$16-$D$16)*($E$16-$D$16)),$F$16-SQRT((1-AB732)*($F$16-$D$16)*($F$16-$E$16)))</x:f>
        <x:v>0.03506217804824472</x:v>
      </x:c>
      <x:c r="I732" s="262" t="n">
        <x:f>'Historical Inputs'!$N$9*(1+D732)^5</x:f>
        <x:v>661386.7413472024</x:v>
      </x:c>
      <x:c r="J732" s="262" t="n">
        <x:f>I732*(1+H732)*('Terminal Value'!$E$10+E732)*(1-'Assumptions'!$E$15)*(1-H732/'Terminal Value'!$E$12)</x:f>
        <x:v>175595.79274911265</x:v>
      </x:c>
      <x:c r="K732" s="264" t="n">
        <x:f>((SUM((('Historical Inputs'!$N$9*(1+(D732))^1)*(('Assumptions'!E37+(E732))*(1-'Assumptions'!E42-(0))+'Assumptions'!E47-'Assumptions'!E52*(F732)+'Assumptions'!E57-'Assumptions'!E62*(1)-'Assumptions'!E67-(0))+('Working Capital'!$E$6))*'DCF'!E12/(1+(G732))^'DCF'!E13,(('Historical Inputs'!$N$9*(1+(D732))^2)*(('Assumptions'!F37+(E732))*(1-'Assumptions'!F42-(0))+'Assumptions'!F47-'Assumptions'!F52*(F732)+'Assumptions'!F57-'Assumptions'!F62*(1)-'Assumptions'!F67-(0))+(('Historical Inputs'!$N$9*(1+(D732))^1)*('Assumptions'!E67+(0))))*'DCF'!F12/(1+(G732))^'DCF'!F13,(('Historical Inputs'!$N$9*(1+(D732))^3)*(('Assumptions'!G37+(E732))*(1-'Assumptions'!G42-(0))+'Assumptions'!G47-'Assumptions'!G52*(F732)+'Assumptions'!G57-'Assumptions'!G62*(1)-'Assumptions'!G67-(0))+(('Historical Inputs'!$N$9*(1+(D732))^2)*('Assumptions'!F67+(0))))*'DCF'!G12/(1+(G732))^'DCF'!G13,(('Historical Inputs'!$N$9*(1+(D732))^4)*(('Assumptions'!H37+(E732))*(1-'Assumptions'!H42-(0))+'Assumptions'!H47-'Assumptions'!H52*(F732)+'Assumptions'!H57-'Assumptions'!H62*(1)-'Assumptions'!H67-(0))+(('Historical Inputs'!$N$9*(1+(D732))^3)*('Assumptions'!G67+(0))))*'DCF'!H12/(1+(G732))^'DCF'!H13,(('Historical Inputs'!$N$9*(1+(D732))^5)*(('Assumptions'!I37+(E732))*(1-'Assumptions'!I42-(0))+'Assumptions'!I47-'Assumptions'!I52*(F732)+'Assumptions'!I57-'Assumptions'!I62*(1)-'Assumptions'!I67-(0))+(('Historical Inputs'!$N$9*(1+(D732))^4)*('Assumptions'!H67+(0))))*'DCF'!I12/(1+(G732))^'DCF'!I13)+('Historical Inputs'!$N$9*(1+(D732))^5)*(1+(H732))*('Terminal Value'!$E$10+(E732))*(1-'Assumptions'!$E$15-(0))*(1-(H732)/('Terminal Value'!$E$12))/((G732)-(H732))/(1+(G732))^'DCF'!$E$19)+'Equity Bridge'!$E$17)/'Equity Bridge'!$E$20</x:f>
        <x:v>338.9296746282308</x:v>
      </x:c>
      <x:c r="X732" s="255" t="n">
        <x:v>0.5886227185722539</x:v>
      </x:c>
      <x:c r="Y732" s="255" t="n">
        <x:v>0.3008890612359788</x:v>
      </x:c>
      <x:c r="Z732" s="255" t="n">
        <x:v>0.3543330275467441</x:v>
      </x:c>
      <x:c r="AA732" s="255" t="n">
        <x:v>0.1183519225709766</x:v>
      </x:c>
      <x:c r="AB732" s="255" t="n">
        <x:v>0.8780895718638185</x:v>
      </x:c>
    </x:row>
    <x:row r="733" ht="24" customHeight="1">
      <x:c r="C733" s="256" t="n">
        <x:f>702</x:f>
        <x:v>702</x:v>
      </x:c>
      <x:c r="D733" s="258" t="n">
        <x:f>IF(X733&lt;($E$12-$D$12)/($F$12-$D$12),$D$12+SQRT(X733*($F$12-$D$12)*($E$12-$D$12)),$F$12-SQRT((1-X733)*($F$12-$D$12)*($F$12-$E$12)))</x:f>
        <x:v>0.10894884653734101</x:v>
      </x:c>
      <x:c r="E733" s="258" t="n">
        <x:f>IF(Y733&lt;($E$13-$D$13)/($F$13-$D$13),$D$13+SQRT(Y733*($F$13-$D$13)*($E$13-$D$13)),$F$13-SQRT((1-Y733)*($F$13-$D$13)*($F$13-$E$13)))</x:f>
        <x:v>-0.027032407920539254</x:v>
      </x:c>
      <x:c r="F733" s="260" t="n">
        <x:f>IF(Z733&lt;($E$14-$D$14)/($F$14-$D$14),$D$14+SQRT(Z733*($F$14-$D$14)*($E$14-$D$14)),$F$14-SQRT((1-Z733)*($F$14-$D$14)*($F$14-$E$14)))</x:f>
        <x:v>0.9851279730300182</x:v>
      </x:c>
      <x:c r="G733" s="258" t="n">
        <x:f>IF(AA733&lt;($E$15-$D$15)/($F$15-$D$15),$D$15+SQRT(AA733*($F$15-$D$15)*($E$15-$D$15)),$F$15-SQRT((1-AA733)*($F$15-$D$15)*($F$15-$E$15)))</x:f>
        <x:v>0.09007176167141961</x:v>
      </x:c>
      <x:c r="H733" s="258" t="n">
        <x:f>IF(AB733&lt;($E$16-$D$16)/($F$16-$D$16),$D$16+SQRT(AB733*($F$16-$D$16)*($E$16-$D$16)),$F$16-SQRT((1-AB733)*($F$16-$D$16)*($F$16-$E$16)))</x:f>
        <x:v>0.03664419543237684</x:v>
      </x:c>
      <x:c r="I733" s="262" t="n">
        <x:f>'Historical Inputs'!$N$9*(1+D733)^5</x:f>
        <x:v>556525.4040067594</x:v>
      </x:c>
      <x:c r="J733" s="262" t="n">
        <x:f>I733*(1+H733)*('Terminal Value'!$E$10+E733)*(1-'Assumptions'!$E$15)*(1-H733/'Terminal Value'!$E$12)</x:f>
        <x:v>140598.39818698977</x:v>
      </x:c>
      <x:c r="K733" s="264" t="n">
        <x:f>((SUM((('Historical Inputs'!$N$9*(1+(D733))^1)*(('Assumptions'!E37+(E733))*(1-'Assumptions'!E42-(0))+'Assumptions'!E47-'Assumptions'!E52*(F733)+'Assumptions'!E57-'Assumptions'!E62*(1)-'Assumptions'!E67-(0))+('Working Capital'!$E$6))*'DCF'!E12/(1+(G733))^'DCF'!E13,(('Historical Inputs'!$N$9*(1+(D733))^2)*(('Assumptions'!F37+(E733))*(1-'Assumptions'!F42-(0))+'Assumptions'!F47-'Assumptions'!F52*(F733)+'Assumptions'!F57-'Assumptions'!F62*(1)-'Assumptions'!F67-(0))+(('Historical Inputs'!$N$9*(1+(D733))^1)*('Assumptions'!E67+(0))))*'DCF'!F12/(1+(G733))^'DCF'!F13,(('Historical Inputs'!$N$9*(1+(D733))^3)*(('Assumptions'!G37+(E733))*(1-'Assumptions'!G42-(0))+'Assumptions'!G47-'Assumptions'!G52*(F733)+'Assumptions'!G57-'Assumptions'!G62*(1)-'Assumptions'!G67-(0))+(('Historical Inputs'!$N$9*(1+(D733))^2)*('Assumptions'!F67+(0))))*'DCF'!G12/(1+(G733))^'DCF'!G13,(('Historical Inputs'!$N$9*(1+(D733))^4)*(('Assumptions'!H37+(E733))*(1-'Assumptions'!H42-(0))+'Assumptions'!H47-'Assumptions'!H52*(F733)+'Assumptions'!H57-'Assumptions'!H62*(1)-'Assumptions'!H67-(0))+(('Historical Inputs'!$N$9*(1+(D733))^3)*('Assumptions'!G67+(0))))*'DCF'!H12/(1+(G733))^'DCF'!H13,(('Historical Inputs'!$N$9*(1+(D733))^5)*(('Assumptions'!I37+(E733))*(1-'Assumptions'!I42-(0))+'Assumptions'!I47-'Assumptions'!I52*(F733)+'Assumptions'!I57-'Assumptions'!I62*(1)-'Assumptions'!I67-(0))+(('Historical Inputs'!$N$9*(1+(D733))^4)*('Assumptions'!H67+(0))))*'DCF'!I12/(1+(G733))^'DCF'!I13)+('Historical Inputs'!$N$9*(1+(D733))^5)*(1+(H733))*('Terminal Value'!$E$10+(E733))*(1-'Assumptions'!$E$15-(0))*(1-(H733)/('Terminal Value'!$E$12))/((G733)-(H733))/(1+(G733))^'DCF'!$E$19)+'Equity Bridge'!$E$17)/'Equity Bridge'!$E$20</x:f>
        <x:v>281.67424783581725</x:v>
      </x:c>
      <x:c r="X733" s="255" t="n">
        <x:v>0.04924667255393034</x:v>
      </x:c>
      <x:c r="Y733" s="255" t="n">
        <x:v>0.1055020571857016</x:v>
      </x:c>
      <x:c r="Z733" s="255" t="n">
        <x:v>0.34780131609907305</x:v>
      </x:c>
      <x:c r="AA733" s="255" t="n">
        <x:v>0.10676488962438702</x:v>
      </x:c>
      <x:c r="AB733" s="255" t="n">
        <x:v>0.9436928785195977</x:v>
      </x:c>
    </x:row>
    <x:row r="734" ht="24" customHeight="1">
      <x:c r="C734" s="256" t="n">
        <x:f>703</x:f>
        <x:v>703</x:v>
      </x:c>
      <x:c r="D734" s="258" t="n">
        <x:f>IF(X734&lt;($E$12-$D$12)/($F$12-$D$12),$D$12+SQRT(X734*($F$12-$D$12)*($E$12-$D$12)),$F$12-SQRT((1-X734)*($F$12-$D$12)*($F$12-$E$12)))</x:f>
        <x:v>0.14707059198622538</x:v>
      </x:c>
      <x:c r="E734" s="258" t="n">
        <x:f>IF(Y734&lt;($E$13-$D$13)/($F$13-$D$13),$D$13+SQRT(Y734*($F$13-$D$13)*($E$13-$D$13)),$F$13-SQRT((1-Y734)*($F$13-$D$13)*($F$13-$E$13)))</x:f>
        <x:v>-0.022218670427368015</x:v>
      </x:c>
      <x:c r="F734" s="260" t="n">
        <x:f>IF(Z734&lt;($E$14-$D$14)/($F$14-$D$14),$D$14+SQRT(Z734*($F$14-$D$14)*($E$14-$D$14)),$F$14-SQRT((1-Z734)*($F$14-$D$14)*($F$14-$E$14)))</x:f>
        <x:v>1.0993280328546648</x:v>
      </x:c>
      <x:c r="G734" s="258" t="n">
        <x:f>IF(AA734&lt;($E$15-$D$15)/($F$15-$D$15),$D$15+SQRT(AA734*($F$15-$D$15)*($E$15-$D$15)),$F$15-SQRT((1-AA734)*($F$15-$D$15)*($F$15-$E$15)))</x:f>
        <x:v>0.103939937110951</x:v>
      </x:c>
      <x:c r="H734" s="258" t="n">
        <x:f>IF(AB734&lt;($E$16-$D$16)/($F$16-$D$16),$D$16+SQRT(AB734*($F$16-$D$16)*($E$16-$D$16)),$F$16-SQRT((1-AB734)*($F$16-$D$16)*($F$16-$E$16)))</x:f>
        <x:v>0.027586162507285517</x:v>
      </x:c>
      <x:c r="I734" s="262" t="n">
        <x:f>'Historical Inputs'!$N$9*(1+D734)^5</x:f>
        <x:v>658988.9834173499</x:v>
      </x:c>
      <x:c r="J734" s="262" t="n">
        <x:f>I734*(1+H734)*('Terminal Value'!$E$10+E734)*(1-'Assumptions'!$E$15)*(1-H734/'Terminal Value'!$E$12)</x:f>
        <x:v>176428.60576850077</x:v>
      </x:c>
      <x:c r="K734" s="264" t="n">
        <x:f>((SUM((('Historical Inputs'!$N$9*(1+(D734))^1)*(('Assumptions'!E37+(E734))*(1-'Assumptions'!E42-(0))+'Assumptions'!E47-'Assumptions'!E52*(F734)+'Assumptions'!E57-'Assumptions'!E62*(1)-'Assumptions'!E67-(0))+('Working Capital'!$E$6))*'DCF'!E12/(1+(G734))^'DCF'!E13,(('Historical Inputs'!$N$9*(1+(D734))^2)*(('Assumptions'!F37+(E734))*(1-'Assumptions'!F42-(0))+'Assumptions'!F47-'Assumptions'!F52*(F734)+'Assumptions'!F57-'Assumptions'!F62*(1)-'Assumptions'!F67-(0))+(('Historical Inputs'!$N$9*(1+(D734))^1)*('Assumptions'!E67+(0))))*'DCF'!F12/(1+(G734))^'DCF'!F13,(('Historical Inputs'!$N$9*(1+(D734))^3)*(('Assumptions'!G37+(E734))*(1-'Assumptions'!G42-(0))+'Assumptions'!G47-'Assumptions'!G52*(F734)+'Assumptions'!G57-'Assumptions'!G62*(1)-'Assumptions'!G67-(0))+(('Historical Inputs'!$N$9*(1+(D734))^2)*('Assumptions'!F67+(0))))*'DCF'!G12/(1+(G734))^'DCF'!G13,(('Historical Inputs'!$N$9*(1+(D734))^4)*(('Assumptions'!H37+(E734))*(1-'Assumptions'!H42-(0))+'Assumptions'!H47-'Assumptions'!H52*(F734)+'Assumptions'!H57-'Assumptions'!H62*(1)-'Assumptions'!H67-(0))+(('Historical Inputs'!$N$9*(1+(D734))^3)*('Assumptions'!G67+(0))))*'DCF'!H12/(1+(G734))^'DCF'!H13,(('Historical Inputs'!$N$9*(1+(D734))^5)*(('Assumptions'!I37+(E734))*(1-'Assumptions'!I42-(0))+'Assumptions'!I47-'Assumptions'!I52*(F734)+'Assumptions'!I57-'Assumptions'!I62*(1)-'Assumptions'!I67-(0))+(('Historical Inputs'!$N$9*(1+(D734))^4)*('Assumptions'!H67+(0))))*'DCF'!I12/(1+(G734))^'DCF'!I13)+('Historical Inputs'!$N$9*(1+(D734))^5)*(1+(H734))*('Terminal Value'!$E$10+(E734))*(1-'Assumptions'!$E$15-(0))*(1-(H734)/('Terminal Value'!$E$12))/((G734)-(H734))/(1+(G734))^'DCF'!$E$19)+'Equity Bridge'!$E$17)/'Equity Bridge'!$E$20</x:f>
        <x:v>239.05229184460657</x:v>
      </x:c>
      <x:c r="X734" s="255" t="n">
        <x:v>0.5733627397300552</x:v>
      </x:c>
      <x:c r="Y734" s="255" t="n">
        <x:v>0.15436045456463932</x:v>
      </x:c>
      <x:c r="Z734" s="255" t="n">
        <x:v>0.8552165004441223</x:v>
      </x:c>
      <x:c r="AA734" s="255" t="n">
        <x:v>0.8118934393329654</x:v>
      </x:c>
      <x:c r="AB734" s="255" t="n">
        <x:v>0.28774930793472253</x:v>
      </x:c>
    </x:row>
    <x:row r="735" ht="24" customHeight="1">
      <x:c r="C735" s="256" t="n">
        <x:f>704</x:f>
        <x:v>704</x:v>
      </x:c>
      <x:c r="D735" s="258" t="n">
        <x:f>IF(X735&lt;($E$12-$D$12)/($F$12-$D$12),$D$12+SQRT(X735*($F$12-$D$12)*($E$12-$D$12)),$F$12-SQRT((1-X735)*($F$12-$D$12)*($F$12-$E$12)))</x:f>
        <x:v>0.14925184252877546</x:v>
      </x:c>
      <x:c r="E735" s="258" t="n">
        <x:f>IF(Y735&lt;($E$13-$D$13)/($F$13-$D$13),$D$13+SQRT(Y735*($F$13-$D$13)*($E$13-$D$13)),$F$13-SQRT((1-Y735)*($F$13-$D$13)*($F$13-$E$13)))</x:f>
        <x:v>0.03835560181836621</x:v>
      </x:c>
      <x:c r="F735" s="260" t="n">
        <x:f>IF(Z735&lt;($E$14-$D$14)/($F$14-$D$14),$D$14+SQRT(Z735*($F$14-$D$14)*($E$14-$D$14)),$F$14-SQRT((1-Z735)*($F$14-$D$14)*($F$14-$E$14)))</x:f>
        <x:v>1.0015569905746275</x:v>
      </x:c>
      <x:c r="G735" s="258" t="n">
        <x:f>IF(AA735&lt;($E$15-$D$15)/($F$15-$D$15),$D$15+SQRT(AA735*($F$15-$D$15)*($E$15-$D$15)),$F$15-SQRT((1-AA735)*($F$15-$D$15)*($F$15-$E$15)))</x:f>
        <x:v>0.08956269808016946</x:v>
      </x:c>
      <x:c r="H735" s="258" t="n">
        <x:f>IF(AB735&lt;($E$16-$D$16)/($F$16-$D$16),$D$16+SQRT(AB735*($F$16-$D$16)*($E$16-$D$16)),$F$16-SQRT((1-AB735)*($F$16-$D$16)*($F$16-$E$16)))</x:f>
        <x:v>0.032165617539781075</x:v>
      </x:c>
      <x:c r="I735" s="262" t="n">
        <x:f>'Historical Inputs'!$N$9*(1+D735)^5</x:f>
        <x:v>665278.4709246764</x:v>
      </x:c>
      <x:c r="J735" s="262" t="n">
        <x:f>I735*(1+H735)*('Terminal Value'!$E$10+E735)*(1-'Assumptions'!$E$15)*(1-H735/'Terminal Value'!$E$12)</x:f>
        <x:v>202078.6094677584</x:v>
      </x:c>
      <x:c r="K735" s="264" t="n">
        <x:f>((SUM((('Historical Inputs'!$N$9*(1+(D735))^1)*(('Assumptions'!E37+(E735))*(1-'Assumptions'!E42-(0))+'Assumptions'!E47-'Assumptions'!E52*(F735)+'Assumptions'!E57-'Assumptions'!E62*(1)-'Assumptions'!E67-(0))+('Working Capital'!$E$6))*'DCF'!E12/(1+(G735))^'DCF'!E13,(('Historical Inputs'!$N$9*(1+(D735))^2)*(('Assumptions'!F37+(E735))*(1-'Assumptions'!F42-(0))+'Assumptions'!F47-'Assumptions'!F52*(F735)+'Assumptions'!F57-'Assumptions'!F62*(1)-'Assumptions'!F67-(0))+(('Historical Inputs'!$N$9*(1+(D735))^1)*('Assumptions'!E67+(0))))*'DCF'!F12/(1+(G735))^'DCF'!F13,(('Historical Inputs'!$N$9*(1+(D735))^3)*(('Assumptions'!G37+(E735))*(1-'Assumptions'!G42-(0))+'Assumptions'!G47-'Assumptions'!G52*(F735)+'Assumptions'!G57-'Assumptions'!G62*(1)-'Assumptions'!G67-(0))+(('Historical Inputs'!$N$9*(1+(D735))^2)*('Assumptions'!F67+(0))))*'DCF'!G12/(1+(G735))^'DCF'!G13,(('Historical Inputs'!$N$9*(1+(D735))^4)*(('Assumptions'!H37+(E735))*(1-'Assumptions'!H42-(0))+'Assumptions'!H47-'Assumptions'!H52*(F735)+'Assumptions'!H57-'Assumptions'!H62*(1)-'Assumptions'!H67-(0))+(('Historical Inputs'!$N$9*(1+(D735))^3)*('Assumptions'!G67+(0))))*'DCF'!H12/(1+(G735))^'DCF'!H13,(('Historical Inputs'!$N$9*(1+(D735))^5)*(('Assumptions'!I37+(E735))*(1-'Assumptions'!I42-(0))+'Assumptions'!I47-'Assumptions'!I52*(F735)+'Assumptions'!I57-'Assumptions'!I62*(1)-'Assumptions'!I67-(0))+(('Historical Inputs'!$N$9*(1+(D735))^4)*('Assumptions'!H67+(0))))*'DCF'!I12/(1+(G735))^'DCF'!I13)+('Historical Inputs'!$N$9*(1+(D735))^5)*(1+(H735))*('Terminal Value'!$E$10+(E735))*(1-'Assumptions'!$E$15-(0))*(1-(H735)/('Terminal Value'!$E$12))/((G735)-(H735))/(1+(G735))^'DCF'!$E$19)+'Equity Bridge'!$E$17)/'Equity Bridge'!$E$20</x:f>
        <x:v>381.2297248149047</x:v>
      </x:c>
      <x:c r="X735" s="255" t="n">
        <x:v>0.6127088390028144</x:v>
      </x:c>
      <x:c r="Y735" s="255" t="n">
        <x:v>0.9728815981975127</x:v>
      </x:c>
      <x:c r="Z735" s="255" t="n">
        <x:v>0.43743388586002174</x:v>
      </x:c>
      <x:c r="AA735" s="255" t="n">
        <x:v>0.09165846016857093</x:v>
      </x:c>
      <x:c r="AB735" s="255" t="n">
        <x:v>0.6931122573350703</x:v>
      </x:c>
    </x:row>
    <x:row r="736" ht="24" customHeight="1">
      <x:c r="C736" s="256" t="n">
        <x:f>705</x:f>
        <x:v>705</x:v>
      </x:c>
      <x:c r="D736" s="258" t="n">
        <x:f>IF(X736&lt;($E$12-$D$12)/($F$12-$D$12),$D$12+SQRT(X736*($F$12-$D$12)*($E$12-$D$12)),$F$12-SQRT((1-X736)*($F$12-$D$12)*($F$12-$E$12)))</x:f>
        <x:v>0.13080467950716745</x:v>
      </x:c>
      <x:c r="E736" s="258" t="n">
        <x:f>IF(Y736&lt;($E$13-$D$13)/($F$13-$D$13),$D$13+SQRT(Y736*($F$13-$D$13)*($E$13-$D$13)),$F$13-SQRT((1-Y736)*($F$13-$D$13)*($F$13-$E$13)))</x:f>
        <x:v>0.005292693374167594</x:v>
      </x:c>
      <x:c r="F736" s="260" t="n">
        <x:f>IF(Z736&lt;($E$14-$D$14)/($F$14-$D$14),$D$14+SQRT(Z736*($F$14-$D$14)*($E$14-$D$14)),$F$14-SQRT((1-Z736)*($F$14-$D$14)*($F$14-$E$14)))</x:f>
        <x:v>0.9778680193287848</x:v>
      </x:c>
      <x:c r="G736" s="258" t="n">
        <x:f>IF(AA736&lt;($E$15-$D$15)/($F$15-$D$15),$D$15+SQRT(AA736*($F$15-$D$15)*($E$15-$D$15)),$F$15-SQRT((1-AA736)*($F$15-$D$15)*($F$15-$E$15)))</x:f>
        <x:v>0.0998347601935082</x:v>
      </x:c>
      <x:c r="H736" s="258" t="n">
        <x:f>IF(AB736&lt;($E$16-$D$16)/($F$16-$D$16),$D$16+SQRT(AB736*($F$16-$D$16)*($E$16-$D$16)),$F$16-SQRT((1-AB736)*($F$16-$D$16)*($F$16-$E$16)))</x:f>
        <x:v>0.02682578576192897</x:v>
      </x:c>
      <x:c r="I736" s="262" t="n">
        <x:f>'Historical Inputs'!$N$9*(1+D736)^5</x:f>
        <x:v>613571.8282839612</x:v>
      </x:c>
      <x:c r="J736" s="262" t="n">
        <x:f>I736*(1+H736)*('Terminal Value'!$E$10+E736)*(1-'Assumptions'!$E$15)*(1-H736/'Terminal Value'!$E$12)</x:f>
        <x:v>176878.1424420863</x:v>
      </x:c>
      <x:c r="K736" s="264" t="n">
        <x:f>((SUM((('Historical Inputs'!$N$9*(1+(D736))^1)*(('Assumptions'!E37+(E736))*(1-'Assumptions'!E42-(0))+'Assumptions'!E47-'Assumptions'!E52*(F736)+'Assumptions'!E57-'Assumptions'!E62*(1)-'Assumptions'!E67-(0))+('Working Capital'!$E$6))*'DCF'!E12/(1+(G736))^'DCF'!E13,(('Historical Inputs'!$N$9*(1+(D736))^2)*(('Assumptions'!F37+(E736))*(1-'Assumptions'!F42-(0))+'Assumptions'!F47-'Assumptions'!F52*(F736)+'Assumptions'!F57-'Assumptions'!F62*(1)-'Assumptions'!F67-(0))+(('Historical Inputs'!$N$9*(1+(D736))^1)*('Assumptions'!E67+(0))))*'DCF'!F12/(1+(G736))^'DCF'!F13,(('Historical Inputs'!$N$9*(1+(D736))^3)*(('Assumptions'!G37+(E736))*(1-'Assumptions'!G42-(0))+'Assumptions'!G47-'Assumptions'!G52*(F736)+'Assumptions'!G57-'Assumptions'!G62*(1)-'Assumptions'!G67-(0))+(('Historical Inputs'!$N$9*(1+(D736))^2)*('Assumptions'!F67+(0))))*'DCF'!G12/(1+(G736))^'DCF'!G13,(('Historical Inputs'!$N$9*(1+(D736))^4)*(('Assumptions'!H37+(E736))*(1-'Assumptions'!H42-(0))+'Assumptions'!H47-'Assumptions'!H52*(F736)+'Assumptions'!H57-'Assumptions'!H62*(1)-'Assumptions'!H67-(0))+(('Historical Inputs'!$N$9*(1+(D736))^3)*('Assumptions'!G67+(0))))*'DCF'!H12/(1+(G736))^'DCF'!H13,(('Historical Inputs'!$N$9*(1+(D736))^5)*(('Assumptions'!I37+(E736))*(1-'Assumptions'!I42-(0))+'Assumptions'!I47-'Assumptions'!I52*(F736)+'Assumptions'!I57-'Assumptions'!I62*(1)-'Assumptions'!I67-(0))+(('Historical Inputs'!$N$9*(1+(D736))^4)*('Assumptions'!H67+(0))))*'DCF'!I12/(1+(G736))^'DCF'!I13)+('Historical Inputs'!$N$9*(1+(D736))^5)*(1+(H736))*('Terminal Value'!$E$10+(E736))*(1-'Assumptions'!$E$15-(0))*(1-(H736)/('Terminal Value'!$E$12))/((G736)-(H736))/(1+(G736))^'DCF'!$E$19)+'Equity Bridge'!$E$17)/'Equity Bridge'!$E$20</x:f>
        <x:v>263.1038931265791</x:v>
      </x:c>
      <x:c r="X736" s="255" t="n">
        <x:v>0.28196531946756487</x:v>
      </x:c>
      <x:c r="Y736" s="255" t="n">
        <x:v>0.6002513468527604</x:v>
      </x:c>
      <x:c r="Z736" s="255" t="n">
        <x:v>0.3114329593726948</x:v>
      </x:c>
      <x:c r="AA736" s="255" t="n">
        <x:v>0.6065794812089847</x:v>
      </x:c>
      <x:c r="AB736" s="255" t="n">
        <x:v>0.23295675633876123</x:v>
      </x:c>
    </x:row>
    <x:row r="737" ht="24" customHeight="1">
      <x:c r="C737" s="256" t="n">
        <x:f>706</x:f>
        <x:v>706</x:v>
      </x:c>
      <x:c r="D737" s="258" t="n">
        <x:f>IF(X737&lt;($E$12-$D$12)/($F$12-$D$12),$D$12+SQRT(X737*($F$12-$D$12)*($E$12-$D$12)),$F$12-SQRT((1-X737)*($F$12-$D$12)*($F$12-$E$12)))</x:f>
        <x:v>0.16137762660785226</x:v>
      </x:c>
      <x:c r="E737" s="258" t="n">
        <x:f>IF(Y737&lt;($E$13-$D$13)/($F$13-$D$13),$D$13+SQRT(Y737*($F$13-$D$13)*($E$13-$D$13)),$F$13-SQRT((1-Y737)*($F$13-$D$13)*($F$13-$E$13)))</x:f>
        <x:v>0.0022134688785241524</x:v>
      </x:c>
      <x:c r="F737" s="260" t="n">
        <x:f>IF(Z737&lt;($E$14-$D$14)/($F$14-$D$14),$D$14+SQRT(Z737*($F$14-$D$14)*($E$14-$D$14)),$F$14-SQRT((1-Z737)*($F$14-$D$14)*($F$14-$E$14)))</x:f>
        <x:v>1.0928107297879377</x:v>
      </x:c>
      <x:c r="G737" s="258" t="n">
        <x:f>IF(AA737&lt;($E$15-$D$15)/($F$15-$D$15),$D$15+SQRT(AA737*($F$15-$D$15)*($E$15-$D$15)),$F$15-SQRT((1-AA737)*($F$15-$D$15)*($F$15-$E$15)))</x:f>
        <x:v>0.09812425861074851</x:v>
      </x:c>
      <x:c r="H737" s="258" t="n">
        <x:f>IF(AB737&lt;($E$16-$D$16)/($F$16-$D$16),$D$16+SQRT(AB737*($F$16-$D$16)*($E$16-$D$16)),$F$16-SQRT((1-AB737)*($F$16-$D$16)*($F$16-$E$16)))</x:f>
        <x:v>0.029392899464771312</x:v>
      </x:c>
      <x:c r="I737" s="262" t="n">
        <x:f>'Historical Inputs'!$N$9*(1+D737)^5</x:f>
        <x:v>701123.7882979085</x:v>
      </x:c>
      <x:c r="J737" s="262" t="n">
        <x:f>I737*(1+H737)*('Terminal Value'!$E$10+E737)*(1-'Assumptions'!$E$15)*(1-H737/'Terminal Value'!$E$12)</x:f>
        <x:v>198102.32560108582</x:v>
      </x:c>
      <x:c r="K737" s="264" t="n">
        <x:f>((SUM((('Historical Inputs'!$N$9*(1+(D737))^1)*(('Assumptions'!E37+(E737))*(1-'Assumptions'!E42-(0))+'Assumptions'!E47-'Assumptions'!E52*(F737)+'Assumptions'!E57-'Assumptions'!E62*(1)-'Assumptions'!E67-(0))+('Working Capital'!$E$6))*'DCF'!E12/(1+(G737))^'DCF'!E13,(('Historical Inputs'!$N$9*(1+(D737))^2)*(('Assumptions'!F37+(E737))*(1-'Assumptions'!F42-(0))+'Assumptions'!F47-'Assumptions'!F52*(F737)+'Assumptions'!F57-'Assumptions'!F62*(1)-'Assumptions'!F67-(0))+(('Historical Inputs'!$N$9*(1+(D737))^1)*('Assumptions'!E67+(0))))*'DCF'!F12/(1+(G737))^'DCF'!F13,(('Historical Inputs'!$N$9*(1+(D737))^3)*(('Assumptions'!G37+(E737))*(1-'Assumptions'!G42-(0))+'Assumptions'!G47-'Assumptions'!G52*(F737)+'Assumptions'!G57-'Assumptions'!G62*(1)-'Assumptions'!G67-(0))+(('Historical Inputs'!$N$9*(1+(D737))^2)*('Assumptions'!F67+(0))))*'DCF'!G12/(1+(G737))^'DCF'!G13,(('Historical Inputs'!$N$9*(1+(D737))^4)*(('Assumptions'!H37+(E737))*(1-'Assumptions'!H42-(0))+'Assumptions'!H47-'Assumptions'!H52*(F737)+'Assumptions'!H57-'Assumptions'!H62*(1)-'Assumptions'!H67-(0))+(('Historical Inputs'!$N$9*(1+(D737))^3)*('Assumptions'!G67+(0))))*'DCF'!H12/(1+(G737))^'DCF'!H13,(('Historical Inputs'!$N$9*(1+(D737))^5)*(('Assumptions'!I37+(E737))*(1-'Assumptions'!I42-(0))+'Assumptions'!I47-'Assumptions'!I52*(F737)+'Assumptions'!I57-'Assumptions'!I62*(1)-'Assumptions'!I67-(0))+(('Historical Inputs'!$N$9*(1+(D737))^4)*('Assumptions'!H67+(0))))*'DCF'!I12/(1+(G737))^'DCF'!I13)+('Historical Inputs'!$N$9*(1+(D737))^5)*(1+(H737))*('Terminal Value'!$E$10+(E737))*(1-'Assumptions'!$E$15-(0))*(1-(H737)/('Terminal Value'!$E$12))/((G737)-(H737))/(1+(G737))^'DCF'!$E$19)+'Equity Bridge'!$E$17)/'Equity Bridge'!$E$20</x:f>
        <x:v>301.88400635818266</x:v>
      </x:c>
      <x:c r="X737" s="255" t="n">
        <x:v>0.7967408321042964</x:v>
      </x:c>
      <x:c r="Y737" s="255" t="n">
        <x:v>0.5432894886752441</x:v>
      </x:c>
      <x:c r="Z737" s="255" t="n">
        <x:v>0.8358637193057926</x:v>
      </x:c>
      <x:c r="AA737" s="255" t="n">
        <x:v>0.4989265314348551</x:v>
      </x:c>
      <x:c r="AB737" s="255" t="n">
        <x:v>0.44113280177650627</x:v>
      </x:c>
    </x:row>
    <x:row r="738" ht="24" customHeight="1">
      <x:c r="C738" s="256" t="n">
        <x:f>707</x:f>
        <x:v>707</x:v>
      </x:c>
      <x:c r="D738" s="258" t="n">
        <x:f>IF(X738&lt;($E$12-$D$12)/($F$12-$D$12),$D$12+SQRT(X738*($F$12-$D$12)*($E$12-$D$12)),$F$12-SQRT((1-X738)*($F$12-$D$12)*($F$12-$E$12)))</x:f>
        <x:v>0.12171399429904817</x:v>
      </x:c>
      <x:c r="E738" s="258" t="n">
        <x:f>IF(Y738&lt;($E$13-$D$13)/($F$13-$D$13),$D$13+SQRT(Y738*($F$13-$D$13)*($E$13-$D$13)),$F$13-SQRT((1-Y738)*($F$13-$D$13)*($F$13-$E$13)))</x:f>
        <x:v>0.0015453274418836538</x:v>
      </x:c>
      <x:c r="F738" s="260" t="n">
        <x:f>IF(Z738&lt;($E$14-$D$14)/($F$14-$D$14),$D$14+SQRT(Z738*($F$14-$D$14)*($E$14-$D$14)),$F$14-SQRT((1-Z738)*($F$14-$D$14)*($F$14-$E$14)))</x:f>
        <x:v>0.9380645469355857</x:v>
      </x:c>
      <x:c r="G738" s="258" t="n">
        <x:f>IF(AA738&lt;($E$15-$D$15)/($F$15-$D$15),$D$15+SQRT(AA738*($F$15-$D$15)*($E$15-$D$15)),$F$15-SQRT((1-AA738)*($F$15-$D$15)*($F$15-$E$15)))</x:f>
        <x:v>0.08958833534655573</x:v>
      </x:c>
      <x:c r="H738" s="258" t="n">
        <x:f>IF(AB738&lt;($E$16-$D$16)/($F$16-$D$16),$D$16+SQRT(AB738*($F$16-$D$16)*($E$16-$D$16)),$F$16-SQRT((1-AB738)*($F$16-$D$16)*($F$16-$E$16)))</x:f>
        <x:v>0.021732873367013895</x:v>
      </x:c>
      <x:c r="I738" s="262" t="n">
        <x:f>'Historical Inputs'!$N$9*(1+D738)^5</x:f>
        <x:v>589302.2732373562</x:v>
      </x:c>
      <x:c r="J738" s="262" t="n">
        <x:f>I738*(1+H738)*('Terminal Value'!$E$10+E738)*(1-'Assumptions'!$E$15)*(1-H738/'Terminal Value'!$E$12)</x:f>
        <x:v>172401.60928924987</x:v>
      </x:c>
      <x:c r="K738" s="264" t="n">
        <x:f>((SUM((('Historical Inputs'!$N$9*(1+(D738))^1)*(('Assumptions'!E37+(E738))*(1-'Assumptions'!E42-(0))+'Assumptions'!E47-'Assumptions'!E52*(F738)+'Assumptions'!E57-'Assumptions'!E62*(1)-'Assumptions'!E67-(0))+('Working Capital'!$E$6))*'DCF'!E12/(1+(G738))^'DCF'!E13,(('Historical Inputs'!$N$9*(1+(D738))^2)*(('Assumptions'!F37+(E738))*(1-'Assumptions'!F42-(0))+'Assumptions'!F47-'Assumptions'!F52*(F738)+'Assumptions'!F57-'Assumptions'!F62*(1)-'Assumptions'!F67-(0))+(('Historical Inputs'!$N$9*(1+(D738))^1)*('Assumptions'!E67+(0))))*'DCF'!F12/(1+(G738))^'DCF'!F13,(('Historical Inputs'!$N$9*(1+(D738))^3)*(('Assumptions'!G37+(E738))*(1-'Assumptions'!G42-(0))+'Assumptions'!G47-'Assumptions'!G52*(F738)+'Assumptions'!G57-'Assumptions'!G62*(1)-'Assumptions'!G67-(0))+(('Historical Inputs'!$N$9*(1+(D738))^2)*('Assumptions'!F67+(0))))*'DCF'!G12/(1+(G738))^'DCF'!G13,(('Historical Inputs'!$N$9*(1+(D738))^4)*(('Assumptions'!H37+(E738))*(1-'Assumptions'!H42-(0))+'Assumptions'!H47-'Assumptions'!H52*(F738)+'Assumptions'!H57-'Assumptions'!H62*(1)-'Assumptions'!H67-(0))+(('Historical Inputs'!$N$9*(1+(D738))^3)*('Assumptions'!G67+(0))))*'DCF'!H12/(1+(G738))^'DCF'!H13,(('Historical Inputs'!$N$9*(1+(D738))^5)*(('Assumptions'!I37+(E738))*(1-'Assumptions'!I42-(0))+'Assumptions'!I47-'Assumptions'!I52*(F738)+'Assumptions'!I57-'Assumptions'!I62*(1)-'Assumptions'!I67-(0))+(('Historical Inputs'!$N$9*(1+(D738))^4)*('Assumptions'!H67+(0))))*'DCF'!I12/(1+(G738))^'DCF'!I13)+('Historical Inputs'!$N$9*(1+(D738))^5)*(1+(H738))*('Terminal Value'!$E$10+(E738))*(1-'Assumptions'!$E$15-(0))*(1-(H738)/('Terminal Value'!$E$12))/((G738)-(H738))/(1+(G738))^'DCF'!$E$19)+'Equity Bridge'!$E$17)/'Equity Bridge'!$E$20</x:f>
        <x:v>284.60255503324845</x:v>
      </x:c>
      <x:c r="X738" s="255" t="n">
        <x:v>0.1619598564657112</x:v>
      </x:c>
      <x:c r="Y738" s="255" t="n">
        <x:v>0.5304289414571454</x:v>
      </x:c>
      <x:c r="Z738" s="255" t="n">
        <x:v>0.14772122718038083</x:v>
      </x:c>
      <x:c r="AA738" s="255" t="n">
        <x:v>0.09239170278502129</x:v>
      </x:c>
      <x:c r="AB738" s="255" t="n">
        <x:v>0.015014250530530404</x:v>
      </x:c>
    </x:row>
    <x:row r="739" ht="24" customHeight="1">
      <x:c r="C739" s="256" t="n">
        <x:f>708</x:f>
        <x:v>708</x:v>
      </x:c>
      <x:c r="D739" s="258" t="n">
        <x:f>IF(X739&lt;($E$12-$D$12)/($F$12-$D$12),$D$12+SQRT(X739*($F$12-$D$12)*($E$12-$D$12)),$F$12-SQRT((1-X739)*($F$12-$D$12)*($F$12-$E$12)))</x:f>
        <x:v>0.18961274903519207</x:v>
      </x:c>
      <x:c r="E739" s="258" t="n">
        <x:f>IF(Y739&lt;($E$13-$D$13)/($F$13-$D$13),$D$13+SQRT(Y739*($F$13-$D$13)*($E$13-$D$13)),$F$13-SQRT((1-Y739)*($F$13-$D$13)*($F$13-$E$13)))</x:f>
        <x:v>-0.006216191398199719</x:v>
      </x:c>
      <x:c r="F739" s="260" t="n">
        <x:f>IF(Z739&lt;($E$14-$D$14)/($F$14-$D$14),$D$14+SQRT(Z739*($F$14-$D$14)*($E$14-$D$14)),$F$14-SQRT((1-Z739)*($F$14-$D$14)*($F$14-$E$14)))</x:f>
        <x:v>1.0953133414467053</x:v>
      </x:c>
      <x:c r="G739" s="258" t="n">
        <x:f>IF(AA739&lt;($E$15-$D$15)/($F$15-$D$15),$D$15+SQRT(AA739*($F$15-$D$15)*($E$15-$D$15)),$F$15-SQRT((1-AA739)*($F$15-$D$15)*($F$15-$E$15)))</x:f>
        <x:v>0.09088716132772914</x:v>
      </x:c>
      <x:c r="H739" s="258" t="n">
        <x:f>IF(AB739&lt;($E$16-$D$16)/($F$16-$D$16),$D$16+SQRT(AB739*($F$16-$D$16)*($E$16-$D$16)),$F$16-SQRT((1-AB739)*($F$16-$D$16)*($F$16-$E$16)))</x:f>
        <x:v>0.032632281362818434</x:v>
      </x:c>
      <x:c r="I739" s="262" t="n">
        <x:f>'Historical Inputs'!$N$9*(1+D739)^5</x:f>
        <x:v>790597.5701674557</x:v>
      </x:c>
      <x:c r="J739" s="262" t="n">
        <x:f>I739*(1+H739)*('Terminal Value'!$E$10+E739)*(1-'Assumptions'!$E$15)*(1-H739/'Terminal Value'!$E$12)</x:f>
        <x:v>215224.00837510955</x:v>
      </x:c>
      <x:c r="K739" s="264" t="n">
        <x:f>((SUM((('Historical Inputs'!$N$9*(1+(D739))^1)*(('Assumptions'!E37+(E739))*(1-'Assumptions'!E42-(0))+'Assumptions'!E47-'Assumptions'!E52*(F739)+'Assumptions'!E57-'Assumptions'!E62*(1)-'Assumptions'!E67-(0))+('Working Capital'!$E$6))*'DCF'!E12/(1+(G739))^'DCF'!E13,(('Historical Inputs'!$N$9*(1+(D739))^2)*(('Assumptions'!F37+(E739))*(1-'Assumptions'!F42-(0))+'Assumptions'!F47-'Assumptions'!F52*(F739)+'Assumptions'!F57-'Assumptions'!F62*(1)-'Assumptions'!F67-(0))+(('Historical Inputs'!$N$9*(1+(D739))^1)*('Assumptions'!E67+(0))))*'DCF'!F12/(1+(G739))^'DCF'!F13,(('Historical Inputs'!$N$9*(1+(D739))^3)*(('Assumptions'!G37+(E739))*(1-'Assumptions'!G42-(0))+'Assumptions'!G47-'Assumptions'!G52*(F739)+'Assumptions'!G57-'Assumptions'!G62*(1)-'Assumptions'!G67-(0))+(('Historical Inputs'!$N$9*(1+(D739))^2)*('Assumptions'!F67+(0))))*'DCF'!G12/(1+(G739))^'DCF'!G13,(('Historical Inputs'!$N$9*(1+(D739))^4)*(('Assumptions'!H37+(E739))*(1-'Assumptions'!H42-(0))+'Assumptions'!H47-'Assumptions'!H52*(F739)+'Assumptions'!H57-'Assumptions'!H62*(1)-'Assumptions'!H67-(0))+(('Historical Inputs'!$N$9*(1+(D739))^3)*('Assumptions'!G67+(0))))*'DCF'!H12/(1+(G739))^'DCF'!H13,(('Historical Inputs'!$N$9*(1+(D739))^5)*(('Assumptions'!I37+(E739))*(1-'Assumptions'!I42-(0))+'Assumptions'!I47-'Assumptions'!I52*(F739)+'Assumptions'!I57-'Assumptions'!I62*(1)-'Assumptions'!I67-(0))+(('Historical Inputs'!$N$9*(1+(D739))^4)*('Assumptions'!H67+(0))))*'DCF'!I12/(1+(G739))^'DCF'!I13)+('Historical Inputs'!$N$9*(1+(D739))^5)*(1+(H739))*('Terminal Value'!$E$10+(E739))*(1-'Assumptions'!$E$15-(0))*(1-(H739)/('Terminal Value'!$E$12))/((G739)-(H739))/(1+(G739))^'DCF'!$E$19)+'Equity Bridge'!$E$17)/'Equity Bridge'!$E$20</x:f>
        <x:v>386.08671739405145</x:v>
      </x:c>
      <x:c r="X739" s="255" t="n">
        <x:v>0.9973438551651518</x:v>
      </x:c>
      <x:c r="Y739" s="255" t="n">
        <x:v>0.38340437913581604</x:v>
      </x:c>
      <x:c r="Z739" s="255" t="n">
        <x:v>0.8434386217277988</x:v>
      </x:c>
      <x:c r="AA739" s="255" t="n">
        <x:v>0.13336174857760486</x:v>
      </x:c>
      <x:c r="AB739" s="255" t="n">
        <x:v>0.7285836104166372</x:v>
      </x:c>
    </x:row>
    <x:row r="740" ht="24" customHeight="1">
      <x:c r="C740" s="256" t="n">
        <x:f>709</x:f>
        <x:v>709</x:v>
      </x:c>
      <x:c r="D740" s="258" t="n">
        <x:f>IF(X740&lt;($E$12-$D$12)/($F$12-$D$12),$D$12+SQRT(X740*($F$12-$D$12)*($E$12-$D$12)),$F$12-SQRT((1-X740)*($F$12-$D$12)*($F$12-$E$12)))</x:f>
        <x:v>0.10563090050514595</x:v>
      </x:c>
      <x:c r="E740" s="258" t="n">
        <x:f>IF(Y740&lt;($E$13-$D$13)/($F$13-$D$13),$D$13+SQRT(Y740*($F$13-$D$13)*($E$13-$D$13)),$F$13-SQRT((1-Y740)*($F$13-$D$13)*($F$13-$E$13)))</x:f>
        <x:v>0.03399286029258216</x:v>
      </x:c>
      <x:c r="F740" s="260" t="n">
        <x:f>IF(Z740&lt;($E$14-$D$14)/($F$14-$D$14),$D$14+SQRT(Z740*($F$14-$D$14)*($E$14-$D$14)),$F$14-SQRT((1-Z740)*($F$14-$D$14)*($F$14-$E$14)))</x:f>
        <x:v>1.0432062390852668</x:v>
      </x:c>
      <x:c r="G740" s="258" t="n">
        <x:f>IF(AA740&lt;($E$15-$D$15)/($F$15-$D$15),$D$15+SQRT(AA740*($F$15-$D$15)*($E$15-$D$15)),$F$15-SQRT((1-AA740)*($F$15-$D$15)*($F$15-$E$15)))</x:f>
        <x:v>0.0918641051362234</x:v>
      </x:c>
      <x:c r="H740" s="258" t="n">
        <x:f>IF(AB740&lt;($E$16-$D$16)/($F$16-$D$16),$D$16+SQRT(AB740*($F$16-$D$16)*($E$16-$D$16)),$F$16-SQRT((1-AB740)*($F$16-$D$16)*($F$16-$E$16)))</x:f>
        <x:v>0.022272639755014513</x:v>
      </x:c>
      <x:c r="I740" s="262" t="n">
        <x:f>'Historical Inputs'!$N$9*(1+D740)^5</x:f>
        <x:v>548249.5273275818</x:v>
      </x:c>
      <x:c r="J740" s="262" t="n">
        <x:f>I740*(1+H740)*('Terminal Value'!$E$10+E740)*(1-'Assumptions'!$E$15)*(1-H740/'Terminal Value'!$E$12)</x:f>
        <x:v>172918.6634342978</x:v>
      </x:c>
      <x:c r="K740" s="264" t="n">
        <x:f>((SUM((('Historical Inputs'!$N$9*(1+(D740))^1)*(('Assumptions'!E37+(E740))*(1-'Assumptions'!E42-(0))+'Assumptions'!E47-'Assumptions'!E52*(F740)+'Assumptions'!E57-'Assumptions'!E62*(1)-'Assumptions'!E67-(0))+('Working Capital'!$E$6))*'DCF'!E12/(1+(G740))^'DCF'!E13,(('Historical Inputs'!$N$9*(1+(D740))^2)*(('Assumptions'!F37+(E740))*(1-'Assumptions'!F42-(0))+'Assumptions'!F47-'Assumptions'!F52*(F740)+'Assumptions'!F57-'Assumptions'!F62*(1)-'Assumptions'!F67-(0))+(('Historical Inputs'!$N$9*(1+(D740))^1)*('Assumptions'!E67+(0))))*'DCF'!F12/(1+(G740))^'DCF'!F13,(('Historical Inputs'!$N$9*(1+(D740))^3)*(('Assumptions'!G37+(E740))*(1-'Assumptions'!G42-(0))+'Assumptions'!G47-'Assumptions'!G52*(F740)+'Assumptions'!G57-'Assumptions'!G62*(1)-'Assumptions'!G67-(0))+(('Historical Inputs'!$N$9*(1+(D740))^2)*('Assumptions'!F67+(0))))*'DCF'!G12/(1+(G740))^'DCF'!G13,(('Historical Inputs'!$N$9*(1+(D740))^4)*(('Assumptions'!H37+(E740))*(1-'Assumptions'!H42-(0))+'Assumptions'!H47-'Assumptions'!H52*(F740)+'Assumptions'!H57-'Assumptions'!H62*(1)-'Assumptions'!H67-(0))+(('Historical Inputs'!$N$9*(1+(D740))^3)*('Assumptions'!G67+(0))))*'DCF'!H12/(1+(G740))^'DCF'!H13,(('Historical Inputs'!$N$9*(1+(D740))^5)*(('Assumptions'!I37+(E740))*(1-'Assumptions'!I42-(0))+'Assumptions'!I47-'Assumptions'!I52*(F740)+'Assumptions'!I57-'Assumptions'!I62*(1)-'Assumptions'!I67-(0))+(('Historical Inputs'!$N$9*(1+(D740))^4)*('Assumptions'!H67+(0))))*'DCF'!I12/(1+(G740))^'DCF'!I13)+('Historical Inputs'!$N$9*(1+(D740))^5)*(1+(H740))*('Terminal Value'!$E$10+(E740))*(1-'Assumptions'!$E$15-(0))*(1-(H740)/('Terminal Value'!$E$12))/((G740)-(H740))/(1+(G740))^'DCF'!$E$19)+'Equity Bridge'!$E$17)/'Equity Bridge'!$E$20</x:f>
        <x:v>274.1544026365176</x:v>
      </x:c>
      <x:c r="X740" s="255" t="n">
        <x:v>0.030622574712960593</x:v>
      </x:c>
      <x:c r="Y740" s="255" t="n">
        <x:v>0.9487542956774414</x:v>
      </x:c>
      <x:c r="Z740" s="255" t="n">
        <x:v>0.6487959505459067</x:v>
      </x:c>
      <x:c r="AA740" s="255" t="n">
        <x:v>0.16911903799283634</x:v>
      </x:c>
      <x:c r="AB740" s="255" t="n">
        <x:v>0.0258244572803622</x:v>
      </x:c>
    </x:row>
    <x:row r="741" ht="24" customHeight="1">
      <x:c r="C741" s="256" t="n">
        <x:f>710</x:f>
        <x:v>710</x:v>
      </x:c>
      <x:c r="D741" s="258" t="n">
        <x:f>IF(X741&lt;($E$12-$D$12)/($F$12-$D$12),$D$12+SQRT(X741*($F$12-$D$12)*($E$12-$D$12)),$F$12-SQRT((1-X741)*($F$12-$D$12)*($F$12-$E$12)))</x:f>
        <x:v>0.1402893017019407</x:v>
      </x:c>
      <x:c r="E741" s="258" t="n">
        <x:f>IF(Y741&lt;($E$13-$D$13)/($F$13-$D$13),$D$13+SQRT(Y741*($F$13-$D$13)*($E$13-$D$13)),$F$13-SQRT((1-Y741)*($F$13-$D$13)*($F$13-$E$13)))</x:f>
        <x:v>-0.008575103635416768</x:v>
      </x:c>
      <x:c r="F741" s="260" t="n">
        <x:f>IF(Z741&lt;($E$14-$D$14)/($F$14-$D$14),$D$14+SQRT(Z741*($F$14-$D$14)*($E$14-$D$14)),$F$14-SQRT((1-Z741)*($F$14-$D$14)*($F$14-$E$14)))</x:f>
        <x:v>1.003350881420463</x:v>
      </x:c>
      <x:c r="G741" s="258" t="n">
        <x:f>IF(AA741&lt;($E$15-$D$15)/($F$15-$D$15),$D$15+SQRT(AA741*($F$15-$D$15)*($E$15-$D$15)),$F$15-SQRT((1-AA741)*($F$15-$D$15)*($F$15-$E$15)))</x:f>
        <x:v>0.10053351988400924</x:v>
      </x:c>
      <x:c r="H741" s="258" t="n">
        <x:f>IF(AB741&lt;($E$16-$D$16)/($F$16-$D$16),$D$16+SQRT(AB741*($F$16-$D$16)*($E$16-$D$16)),$F$16-SQRT((1-AB741)*($F$16-$D$16)*($F$16-$E$16)))</x:f>
        <x:v>0.03691079608958284</x:v>
      </x:c>
      <x:c r="I741" s="262" t="n">
        <x:f>'Historical Inputs'!$N$9*(1+D741)^5</x:f>
        <x:v>639738.7754716155</x:v>
      </x:c>
      <x:c r="J741" s="262" t="n">
        <x:f>I741*(1+H741)*('Terminal Value'!$E$10+E741)*(1-'Assumptions'!$E$15)*(1-H741/'Terminal Value'!$E$12)</x:f>
        <x:v>169386.08112008765</x:v>
      </x:c>
      <x:c r="K741" s="264" t="n">
        <x:f>((SUM((('Historical Inputs'!$N$9*(1+(D741))^1)*(('Assumptions'!E37+(E741))*(1-'Assumptions'!E42-(0))+'Assumptions'!E47-'Assumptions'!E52*(F741)+'Assumptions'!E57-'Assumptions'!E62*(1)-'Assumptions'!E67-(0))+('Working Capital'!$E$6))*'DCF'!E12/(1+(G741))^'DCF'!E13,(('Historical Inputs'!$N$9*(1+(D741))^2)*(('Assumptions'!F37+(E741))*(1-'Assumptions'!F42-(0))+'Assumptions'!F47-'Assumptions'!F52*(F741)+'Assumptions'!F57-'Assumptions'!F62*(1)-'Assumptions'!F67-(0))+(('Historical Inputs'!$N$9*(1+(D741))^1)*('Assumptions'!E67+(0))))*'DCF'!F12/(1+(G741))^'DCF'!F13,(('Historical Inputs'!$N$9*(1+(D741))^3)*(('Assumptions'!G37+(E741))*(1-'Assumptions'!G42-(0))+'Assumptions'!G47-'Assumptions'!G52*(F741)+'Assumptions'!G57-'Assumptions'!G62*(1)-'Assumptions'!G67-(0))+(('Historical Inputs'!$N$9*(1+(D741))^2)*('Assumptions'!F67+(0))))*'DCF'!G12/(1+(G741))^'DCF'!G13,(('Historical Inputs'!$N$9*(1+(D741))^4)*(('Assumptions'!H37+(E741))*(1-'Assumptions'!H42-(0))+'Assumptions'!H47-'Assumptions'!H52*(F741)+'Assumptions'!H57-'Assumptions'!H62*(1)-'Assumptions'!H67-(0))+(('Historical Inputs'!$N$9*(1+(D741))^3)*('Assumptions'!G67+(0))))*'DCF'!H12/(1+(G741))^'DCF'!H13,(('Historical Inputs'!$N$9*(1+(D741))^5)*(('Assumptions'!I37+(E741))*(1-'Assumptions'!I42-(0))+'Assumptions'!I47-'Assumptions'!I52*(F741)+'Assumptions'!I57-'Assumptions'!I62*(1)-'Assumptions'!I67-(0))+(('Historical Inputs'!$N$9*(1+(D741))^4)*('Assumptions'!H67+(0))))*'DCF'!I12/(1+(G741))^'DCF'!I13)+('Historical Inputs'!$N$9*(1+(D741))^5)*(1+(H741))*('Terminal Value'!$E$10+(E741))*(1-'Assumptions'!$E$15-(0))*(1-(H741)/('Terminal Value'!$E$12))/((G741)-(H741))/(1+(G741))^'DCF'!$E$19)+'Equity Bridge'!$E$17)/'Equity Bridge'!$E$20</x:f>
        <x:v>280.13537634475597</x:v>
      </x:c>
      <x:c r="X741" s="255" t="n">
        <x:v>0.44240707006468394</x:v>
      </x:c>
      <x:c r="Y741" s="255" t="n">
        <x:v>0.3432044077632922</x:v>
      </x:c>
      <x:c r="Z741" s="255" t="n">
        <x:v>0.4475589165984465</x:v>
      </x:c>
      <x:c r="AA741" s="255" t="n">
        <x:v>0.6468163289528741</x:v>
      </x:c>
      <x:c r="AB741" s="255" t="n">
        <x:v>0.9522840959993166</x:v>
      </x:c>
    </x:row>
    <x:row r="742" ht="24" customHeight="1">
      <x:c r="C742" s="256" t="n">
        <x:f>711</x:f>
        <x:v>711</x:v>
      </x:c>
      <x:c r="D742" s="258" t="n">
        <x:f>IF(X742&lt;($E$12-$D$12)/($F$12-$D$12),$D$12+SQRT(X742*($F$12-$D$12)*($E$12-$D$12)),$F$12-SQRT((1-X742)*($F$12-$D$12)*($F$12-$E$12)))</x:f>
        <x:v>0.1204486925067701</x:v>
      </x:c>
      <x:c r="E742" s="258" t="n">
        <x:f>IF(Y742&lt;($E$13-$D$13)/($F$13-$D$13),$D$13+SQRT(Y742*($F$13-$D$13)*($E$13-$D$13)),$F$13-SQRT((1-Y742)*($F$13-$D$13)*($F$13-$E$13)))</x:f>
        <x:v>-0.015797983731509008</x:v>
      </x:c>
      <x:c r="F742" s="260" t="n">
        <x:f>IF(Z742&lt;($E$14-$D$14)/($F$14-$D$14),$D$14+SQRT(Z742*($F$14-$D$14)*($E$14-$D$14)),$F$14-SQRT((1-Z742)*($F$14-$D$14)*($F$14-$E$14)))</x:f>
        <x:v>1.0167458325014014</x:v>
      </x:c>
      <x:c r="G742" s="258" t="n">
        <x:f>IF(AA742&lt;($E$15-$D$15)/($F$15-$D$15),$D$15+SQRT(AA742*($F$15-$D$15)*($E$15-$D$15)),$F$15-SQRT((1-AA742)*($F$15-$D$15)*($F$15-$E$15)))</x:f>
        <x:v>0.10560004856762607</x:v>
      </x:c>
      <x:c r="H742" s="258" t="n">
        <x:f>IF(AB742&lt;($E$16-$D$16)/($F$16-$D$16),$D$16+SQRT(AB742*($F$16-$D$16)*($E$16-$D$16)),$F$16-SQRT((1-AB742)*($F$16-$D$16)*($F$16-$E$16)))</x:f>
        <x:v>0.02877693365399931</x:v>
      </x:c>
      <x:c r="I742" s="262" t="n">
        <x:f>'Historical Inputs'!$N$9*(1+D742)^5</x:f>
        <x:v>585986.0761677255</x:v>
      </x:c>
      <x:c r="J742" s="262" t="n">
        <x:f>I742*(1+H742)*('Terminal Value'!$E$10+E742)*(1-'Assumptions'!$E$15)*(1-H742/'Terminal Value'!$E$12)</x:f>
        <x:v>158631.85996193739</x:v>
      </x:c>
      <x:c r="K742" s="264" t="n">
        <x:f>((SUM((('Historical Inputs'!$N$9*(1+(D742))^1)*(('Assumptions'!E37+(E742))*(1-'Assumptions'!E42-(0))+'Assumptions'!E47-'Assumptions'!E52*(F742)+'Assumptions'!E57-'Assumptions'!E62*(1)-'Assumptions'!E67-(0))+('Working Capital'!$E$6))*'DCF'!E12/(1+(G742))^'DCF'!E13,(('Historical Inputs'!$N$9*(1+(D742))^2)*(('Assumptions'!F37+(E742))*(1-'Assumptions'!F42-(0))+'Assumptions'!F47-'Assumptions'!F52*(F742)+'Assumptions'!F57-'Assumptions'!F62*(1)-'Assumptions'!F67-(0))+(('Historical Inputs'!$N$9*(1+(D742))^1)*('Assumptions'!E67+(0))))*'DCF'!F12/(1+(G742))^'DCF'!F13,(('Historical Inputs'!$N$9*(1+(D742))^3)*(('Assumptions'!G37+(E742))*(1-'Assumptions'!G42-(0))+'Assumptions'!G47-'Assumptions'!G52*(F742)+'Assumptions'!G57-'Assumptions'!G62*(1)-'Assumptions'!G67-(0))+(('Historical Inputs'!$N$9*(1+(D742))^2)*('Assumptions'!F67+(0))))*'DCF'!G12/(1+(G742))^'DCF'!G13,(('Historical Inputs'!$N$9*(1+(D742))^4)*(('Assumptions'!H37+(E742))*(1-'Assumptions'!H42-(0))+'Assumptions'!H47-'Assumptions'!H52*(F742)+'Assumptions'!H57-'Assumptions'!H62*(1)-'Assumptions'!H67-(0))+(('Historical Inputs'!$N$9*(1+(D742))^3)*('Assumptions'!G67+(0))))*'DCF'!H12/(1+(G742))^'DCF'!H13,(('Historical Inputs'!$N$9*(1+(D742))^5)*(('Assumptions'!I37+(E742))*(1-'Assumptions'!I42-(0))+'Assumptions'!I47-'Assumptions'!I52*(F742)+'Assumptions'!I57-'Assumptions'!I62*(1)-'Assumptions'!I67-(0))+(('Historical Inputs'!$N$9*(1+(D742))^4)*('Assumptions'!H67+(0))))*'DCF'!I12/(1+(G742))^'DCF'!I13)+('Historical Inputs'!$N$9*(1+(D742))^5)*(1+(H742))*('Terminal Value'!$E$10+(E742))*(1-'Assumptions'!$E$15-(0))*(1-(H742)/('Terminal Value'!$E$12))/((G742)-(H742))/(1+(G742))^'DCF'!$E$19)+'Equity Bridge'!$E$17)/'Equity Bridge'!$E$20</x:f>
        <x:v>219.2622575725096</x:v>
      </x:c>
      <x:c r="X742" s="255" t="n">
        <x:v>0.1478773908816664</x:v>
      </x:c>
      <x:c r="Y742" s="255" t="n">
        <x:v>0.2339555833660245</x:v>
      </x:c>
      <x:c r="Z742" s="255" t="n">
        <x:v>0.5202558584913657</x:v>
      </x:c>
      <x:c r="AA742" s="255" t="n">
        <x:v>0.873652363085024</x:v>
      </x:c>
      <x:c r="AB742" s="255" t="n">
        <x:v>0.38517282183352863</x:v>
      </x:c>
    </x:row>
    <x:row r="743" ht="24" customHeight="1">
      <x:c r="C743" s="256" t="n">
        <x:f>712</x:f>
        <x:v>712</x:v>
      </x:c>
      <x:c r="D743" s="258" t="n">
        <x:f>IF(X743&lt;($E$12-$D$12)/($F$12-$D$12),$D$12+SQRT(X743*($F$12-$D$12)*($E$12-$D$12)),$F$12-SQRT((1-X743)*($F$12-$D$12)*($F$12-$E$12)))</x:f>
        <x:v>0.1203246816249853</x:v>
      </x:c>
      <x:c r="E743" s="258" t="n">
        <x:f>IF(Y743&lt;($E$13-$D$13)/($F$13-$D$13),$D$13+SQRT(Y743*($F$13-$D$13)*($E$13-$D$13)),$F$13-SQRT((1-Y743)*($F$13-$D$13)*($F$13-$E$13)))</x:f>
        <x:v>-0.00045879490403298584</x:v>
      </x:c>
      <x:c r="F743" s="260" t="n">
        <x:f>IF(Z743&lt;($E$14-$D$14)/($F$14-$D$14),$D$14+SQRT(Z743*($F$14-$D$14)*($E$14-$D$14)),$F$14-SQRT((1-Z743)*($F$14-$D$14)*($F$14-$E$14)))</x:f>
        <x:v>1.0262771821267205</x:v>
      </x:c>
      <x:c r="G743" s="258" t="n">
        <x:f>IF(AA743&lt;($E$15-$D$15)/($F$15-$D$15),$D$15+SQRT(AA743*($F$15-$D$15)*($E$15-$D$15)),$F$15-SQRT((1-AA743)*($F$15-$D$15)*($F$15-$E$15)))</x:f>
        <x:v>0.09694608011885426</x:v>
      </x:c>
      <x:c r="H743" s="258" t="n">
        <x:f>IF(AB743&lt;($E$16-$D$16)/($F$16-$D$16),$D$16+SQRT(AB743*($F$16-$D$16)*($E$16-$D$16)),$F$16-SQRT((1-AB743)*($F$16-$D$16)*($F$16-$E$16)))</x:f>
        <x:v>0.023971879338651976</x:v>
      </x:c>
      <x:c r="I743" s="262" t="n">
        <x:f>'Historical Inputs'!$N$9*(1+D743)^5</x:f>
        <x:v>585661.8642408331</x:v>
      </x:c>
      <x:c r="J743" s="262" t="n">
        <x:f>I743*(1+H743)*('Terminal Value'!$E$10+E743)*(1-'Assumptions'!$E$15)*(1-H743/'Terminal Value'!$E$12)</x:f>
        <x:v>168709.13334983596</x:v>
      </x:c>
      <x:c r="K743" s="264" t="n">
        <x:f>((SUM((('Historical Inputs'!$N$9*(1+(D743))^1)*(('Assumptions'!E37+(E743))*(1-'Assumptions'!E42-(0))+'Assumptions'!E47-'Assumptions'!E52*(F743)+'Assumptions'!E57-'Assumptions'!E62*(1)-'Assumptions'!E67-(0))+('Working Capital'!$E$6))*'DCF'!E12/(1+(G743))^'DCF'!E13,(('Historical Inputs'!$N$9*(1+(D743))^2)*(('Assumptions'!F37+(E743))*(1-'Assumptions'!F42-(0))+'Assumptions'!F47-'Assumptions'!F52*(F743)+'Assumptions'!F57-'Assumptions'!F62*(1)-'Assumptions'!F67-(0))+(('Historical Inputs'!$N$9*(1+(D743))^1)*('Assumptions'!E67+(0))))*'DCF'!F12/(1+(G743))^'DCF'!F13,(('Historical Inputs'!$N$9*(1+(D743))^3)*(('Assumptions'!G37+(E743))*(1-'Assumptions'!G42-(0))+'Assumptions'!G47-'Assumptions'!G52*(F743)+'Assumptions'!G57-'Assumptions'!G62*(1)-'Assumptions'!G67-(0))+(('Historical Inputs'!$N$9*(1+(D743))^2)*('Assumptions'!F67+(0))))*'DCF'!G12/(1+(G743))^'DCF'!G13,(('Historical Inputs'!$N$9*(1+(D743))^4)*(('Assumptions'!H37+(E743))*(1-'Assumptions'!H42-(0))+'Assumptions'!H47-'Assumptions'!H52*(F743)+'Assumptions'!H57-'Assumptions'!H62*(1)-'Assumptions'!H67-(0))+(('Historical Inputs'!$N$9*(1+(D743))^3)*('Assumptions'!G67+(0))))*'DCF'!H12/(1+(G743))^'DCF'!H13,(('Historical Inputs'!$N$9*(1+(D743))^5)*(('Assumptions'!I37+(E743))*(1-'Assumptions'!I42-(0))+'Assumptions'!I47-'Assumptions'!I52*(F743)+'Assumptions'!I57-'Assumptions'!I62*(1)-'Assumptions'!I67-(0))+(('Historical Inputs'!$N$9*(1+(D743))^4)*('Assumptions'!H67+(0))))*'DCF'!I12/(1+(G743))^'DCF'!I13)+('Historical Inputs'!$N$9*(1+(D743))^5)*(1+(H743))*('Terminal Value'!$E$10+(E743))*(1-'Assumptions'!$E$15-(0))*(1-(H743)/('Terminal Value'!$E$12))/((G743)-(H743))/(1+(G743))^'DCF'!$E$19)+'Equity Bridge'!$E$17)/'Equity Bridge'!$E$20</x:f>
        <x:v>250.644599968421</x:v>
      </x:c>
      <x:c r="X743" s="255" t="n">
        <x:v>0.14653164139809982</x:v>
      </x:c>
      <x:c r="Y743" s="255" t="n">
        <x:v>0.4908662004721337</x:v>
      </x:c>
      <x:c r="Z743" s="255" t="n">
        <x:v>0.5688626078595334</x:v>
      </x:c>
      <x:c r="AA743" s="255" t="n">
        <x:v>0.4235503365813462</x:v>
      </x:c>
      <x:c r="AB743" s="255" t="n">
        <x:v>0.07887912740405234</x:v>
      </x:c>
    </x:row>
    <x:row r="744" ht="24" customHeight="1">
      <x:c r="C744" s="256" t="n">
        <x:f>713</x:f>
        <x:v>713</x:v>
      </x:c>
      <x:c r="D744" s="258" t="n">
        <x:f>IF(X744&lt;($E$12-$D$12)/($F$12-$D$12),$D$12+SQRT(X744*($F$12-$D$12)*($E$12-$D$12)),$F$12-SQRT((1-X744)*($F$12-$D$12)*($F$12-$E$12)))</x:f>
        <x:v>0.11577873835391128</x:v>
      </x:c>
      <x:c r="E744" s="258" t="n">
        <x:f>IF(Y744&lt;($E$13-$D$13)/($F$13-$D$13),$D$13+SQRT(Y744*($F$13-$D$13)*($E$13-$D$13)),$F$13-SQRT((1-Y744)*($F$13-$D$13)*($F$13-$E$13)))</x:f>
        <x:v>-0.014206311560307397</x:v>
      </x:c>
      <x:c r="F744" s="260" t="n">
        <x:f>IF(Z744&lt;($E$14-$D$14)/($F$14-$D$14),$D$14+SQRT(Z744*($F$14-$D$14)*($E$14-$D$14)),$F$14-SQRT((1-Z744)*($F$14-$D$14)*($F$14-$E$14)))</x:f>
        <x:v>0.9176547342238516</x:v>
      </x:c>
      <x:c r="G744" s="258" t="n">
        <x:f>IF(AA744&lt;($E$15-$D$15)/($F$15-$D$15),$D$15+SQRT(AA744*($F$15-$D$15)*($E$15-$D$15)),$F$15-SQRT((1-AA744)*($F$15-$D$15)*($F$15-$E$15)))</x:f>
        <x:v>0.09620908470279375</x:v>
      </x:c>
      <x:c r="H744" s="258" t="n">
        <x:f>IF(AB744&lt;($E$16-$D$16)/($F$16-$D$16),$D$16+SQRT(AB744*($F$16-$D$16)*($E$16-$D$16)),$F$16-SQRT((1-AB744)*($F$16-$D$16)*($F$16-$E$16)))</x:f>
        <x:v>0.02962978753290331</x:v>
      </x:c>
      <x:c r="I744" s="262" t="n">
        <x:f>'Historical Inputs'!$N$9*(1+D744)^5</x:f>
        <x:v>573875.6971782151</x:v>
      </x:c>
      <x:c r="J744" s="262" t="n">
        <x:f>I744*(1+H744)*('Terminal Value'!$E$10+E744)*(1-'Assumptions'!$E$15)*(1-H744/'Terminal Value'!$E$12)</x:f>
        <x:v>155348.72972613378</x:v>
      </x:c>
      <x:c r="K744" s="264" t="n">
        <x:f>((SUM((('Historical Inputs'!$N$9*(1+(D744))^1)*(('Assumptions'!E37+(E744))*(1-'Assumptions'!E42-(0))+'Assumptions'!E47-'Assumptions'!E52*(F744)+'Assumptions'!E57-'Assumptions'!E62*(1)-'Assumptions'!E67-(0))+('Working Capital'!$E$6))*'DCF'!E12/(1+(G744))^'DCF'!E13,(('Historical Inputs'!$N$9*(1+(D744))^2)*(('Assumptions'!F37+(E744))*(1-'Assumptions'!F42-(0))+'Assumptions'!F47-'Assumptions'!F52*(F744)+'Assumptions'!F57-'Assumptions'!F62*(1)-'Assumptions'!F67-(0))+(('Historical Inputs'!$N$9*(1+(D744))^1)*('Assumptions'!E67+(0))))*'DCF'!F12/(1+(G744))^'DCF'!F13,(('Historical Inputs'!$N$9*(1+(D744))^3)*(('Assumptions'!G37+(E744))*(1-'Assumptions'!G42-(0))+'Assumptions'!G47-'Assumptions'!G52*(F744)+'Assumptions'!G57-'Assumptions'!G62*(1)-'Assumptions'!G67-(0))+(('Historical Inputs'!$N$9*(1+(D744))^2)*('Assumptions'!F67+(0))))*'DCF'!G12/(1+(G744))^'DCF'!G13,(('Historical Inputs'!$N$9*(1+(D744))^4)*(('Assumptions'!H37+(E744))*(1-'Assumptions'!H42-(0))+'Assumptions'!H47-'Assumptions'!H52*(F744)+'Assumptions'!H57-'Assumptions'!H62*(1)-'Assumptions'!H67-(0))+(('Historical Inputs'!$N$9*(1+(D744))^3)*('Assumptions'!G67+(0))))*'DCF'!H12/(1+(G744))^'DCF'!H13,(('Historical Inputs'!$N$9*(1+(D744))^5)*(('Assumptions'!I37+(E744))*(1-'Assumptions'!I42-(0))+'Assumptions'!I47-'Assumptions'!I52*(F744)+'Assumptions'!I57-'Assumptions'!I62*(1)-'Assumptions'!I67-(0))+(('Historical Inputs'!$N$9*(1+(D744))^4)*('Assumptions'!H67+(0))))*'DCF'!I12/(1+(G744))^'DCF'!I13)+('Historical Inputs'!$N$9*(1+(D744))^5)*(1+(H744))*('Terminal Value'!$E$10+(E744))*(1-'Assumptions'!$E$15-(0))*(1-(H744)/('Terminal Value'!$E$12))/((G744)-(H744))/(1+(G744))^'DCF'!$E$19)+'Equity Bridge'!$E$17)/'Equity Bridge'!$E$20</x:f>
        <x:v>256.32787734882055</x:v>
      </x:c>
      <x:c r="X744" s="255" t="n">
        <x:v>0.10144554307220166</x:v>
      </x:c>
      <x:c r="Y744" s="255" t="n">
        <x:v>0.25623762642355674</x:v>
      </x:c>
      <x:c r="Z744" s="255" t="n">
        <x:v>0.08718405834095233</x:v>
      </x:c>
      <x:c r="AA744" s="255" t="n">
        <x:v>0.37953627225281694</x:v>
      </x:c>
      <x:c r="AB744" s="255" t="n">
        <x:v>0.46366403964430036</x:v>
      </x:c>
    </x:row>
    <x:row r="745" ht="24" customHeight="1">
      <x:c r="C745" s="256" t="n">
        <x:f>714</x:f>
        <x:v>714</x:v>
      </x:c>
      <x:c r="D745" s="258" t="n">
        <x:f>IF(X745&lt;($E$12-$D$12)/($F$12-$D$12),$D$12+SQRT(X745*($F$12-$D$12)*($E$12-$D$12)),$F$12-SQRT((1-X745)*($F$12-$D$12)*($F$12-$E$12)))</x:f>
        <x:v>0.1286780105408093</x:v>
      </x:c>
      <x:c r="E745" s="258" t="n">
        <x:f>IF(Y745&lt;($E$13-$D$13)/($F$13-$D$13),$D$13+SQRT(Y745*($F$13-$D$13)*($E$13-$D$13)),$F$13-SQRT((1-Y745)*($F$13-$D$13)*($F$13-$E$13)))</x:f>
        <x:v>-0.03884371683425054</x:v>
      </x:c>
      <x:c r="F745" s="260" t="n">
        <x:f>IF(Z745&lt;($E$14-$D$14)/($F$14-$D$14),$D$14+SQRT(Z745*($F$14-$D$14)*($E$14-$D$14)),$F$14-SQRT((1-Z745)*($F$14-$D$14)*($F$14-$E$14)))</x:f>
        <x:v>1.0939439566282187</x:v>
      </x:c>
      <x:c r="G745" s="258" t="n">
        <x:f>IF(AA745&lt;($E$15-$D$15)/($F$15-$D$15),$D$15+SQRT(AA745*($F$15-$D$15)*($E$15-$D$15)),$F$15-SQRT((1-AA745)*($F$15-$D$15)*($F$15-$E$15)))</x:f>
        <x:v>0.10319380309803436</x:v>
      </x:c>
      <x:c r="H745" s="258" t="n">
        <x:f>IF(AB745&lt;($E$16-$D$16)/($F$16-$D$16),$D$16+SQRT(AB745*($F$16-$D$16)*($E$16-$D$16)),$F$16-SQRT((1-AB745)*($F$16-$D$16)*($F$16-$E$16)))</x:f>
        <x:v>0.02961371496703994</x:v>
      </x:c>
      <x:c r="I745" s="262" t="n">
        <x:f>'Historical Inputs'!$N$9*(1+D745)^5</x:f>
        <x:v>607823.8623587964</x:v>
      </x:c>
      <x:c r="J745" s="262" t="n">
        <x:f>I745*(1+H745)*('Terminal Value'!$E$10+E745)*(1-'Assumptions'!$E$15)*(1-H745/'Terminal Value'!$E$12)</x:f>
        <x:v>154042.96349474348</x:v>
      </x:c>
      <x:c r="K745" s="264" t="n">
        <x:f>((SUM((('Historical Inputs'!$N$9*(1+(D745))^1)*(('Assumptions'!E37+(E745))*(1-'Assumptions'!E42-(0))+'Assumptions'!E47-'Assumptions'!E52*(F745)+'Assumptions'!E57-'Assumptions'!E62*(1)-'Assumptions'!E67-(0))+('Working Capital'!$E$6))*'DCF'!E12/(1+(G745))^'DCF'!E13,(('Historical Inputs'!$N$9*(1+(D745))^2)*(('Assumptions'!F37+(E745))*(1-'Assumptions'!F42-(0))+'Assumptions'!F47-'Assumptions'!F52*(F745)+'Assumptions'!F57-'Assumptions'!F62*(1)-'Assumptions'!F67-(0))+(('Historical Inputs'!$N$9*(1+(D745))^1)*('Assumptions'!E67+(0))))*'DCF'!F12/(1+(G745))^'DCF'!F13,(('Historical Inputs'!$N$9*(1+(D745))^3)*(('Assumptions'!G37+(E745))*(1-'Assumptions'!G42-(0))+'Assumptions'!G47-'Assumptions'!G52*(F745)+'Assumptions'!G57-'Assumptions'!G62*(1)-'Assumptions'!G67-(0))+(('Historical Inputs'!$N$9*(1+(D745))^2)*('Assumptions'!F67+(0))))*'DCF'!G12/(1+(G745))^'DCF'!G13,(('Historical Inputs'!$N$9*(1+(D745))^4)*(('Assumptions'!H37+(E745))*(1-'Assumptions'!H42-(0))+'Assumptions'!H47-'Assumptions'!H52*(F745)+'Assumptions'!H57-'Assumptions'!H62*(1)-'Assumptions'!H67-(0))+(('Historical Inputs'!$N$9*(1+(D745))^3)*('Assumptions'!G67+(0))))*'DCF'!H12/(1+(G745))^'DCF'!H13,(('Historical Inputs'!$N$9*(1+(D745))^5)*(('Assumptions'!I37+(E745))*(1-'Assumptions'!I42-(0))+'Assumptions'!I47-'Assumptions'!I52*(F745)+'Assumptions'!I57-'Assumptions'!I62*(1)-'Assumptions'!I67-(0))+(('Historical Inputs'!$N$9*(1+(D745))^4)*('Assumptions'!H67+(0))))*'DCF'!I12/(1+(G745))^'DCF'!I13)+('Historical Inputs'!$N$9*(1+(D745))^5)*(1+(H745))*('Terminal Value'!$E$10+(E745))*(1-'Assumptions'!$E$15-(0))*(1-(H745)/('Terminal Value'!$E$12))/((G745)-(H745))/(1+(G745))^'DCF'!$E$19)+'Equity Bridge'!$E$17)/'Equity Bridge'!$E$20</x:f>
        <x:v>215.87358264240316</x:v>
      </x:c>
      <x:c r="X745" s="255" t="n">
        <x:v>0.2509292883061168</x:v>
      </x:c>
      <x:c r="Y745" s="255" t="n">
        <x:v>0.024892530814876968</x:v>
      </x:c>
      <x:c r="Z745" s="255" t="n">
        <x:v>0.8393159380617554</x:v>
      </x:c>
      <x:c r="AA745" s="255" t="n">
        <x:v>0.7801462688187317</x:v>
      </x:c>
      <x:c r="AB745" s="255" t="n">
        <x:v>0.4621175773374391</x:v>
      </x:c>
    </x:row>
    <x:row r="746" ht="24" customHeight="1">
      <x:c r="C746" s="256" t="n">
        <x:f>715</x:f>
        <x:v>715</x:v>
      </x:c>
      <x:c r="D746" s="258" t="n">
        <x:f>IF(X746&lt;($E$12-$D$12)/($F$12-$D$12),$D$12+SQRT(X746*($F$12-$D$12)*($E$12-$D$12)),$F$12-SQRT((1-X746)*($F$12-$D$12)*($F$12-$E$12)))</x:f>
        <x:v>0.1381982491527528</x:v>
      </x:c>
      <x:c r="E746" s="258" t="n">
        <x:f>IF(Y746&lt;($E$13-$D$13)/($F$13-$D$13),$D$13+SQRT(Y746*($F$13-$D$13)*($E$13-$D$13)),$F$13-SQRT((1-Y746)*($F$13-$D$13)*($F$13-$E$13)))</x:f>
        <x:v>-0.014341346050866365</x:v>
      </x:c>
      <x:c r="F746" s="260" t="n">
        <x:f>IF(Z746&lt;($E$14-$D$14)/($F$14-$D$14),$D$14+SQRT(Z746*($F$14-$D$14)*($E$14-$D$14)),$F$14-SQRT((1-Z746)*($F$14-$D$14)*($F$14-$E$14)))</x:f>
        <x:v>1.0469387559847778</x:v>
      </x:c>
      <x:c r="G746" s="258" t="n">
        <x:f>IF(AA746&lt;($E$15-$D$15)/($F$15-$D$15),$D$15+SQRT(AA746*($F$15-$D$15)*($E$15-$D$15)),$F$15-SQRT((1-AA746)*($F$15-$D$15)*($F$15-$E$15)))</x:f>
        <x:v>0.08804905651872129</x:v>
      </x:c>
      <x:c r="H746" s="258" t="n">
        <x:f>IF(AB746&lt;($E$16-$D$16)/($F$16-$D$16),$D$16+SQRT(AB746*($F$16-$D$16)*($E$16-$D$16)),$F$16-SQRT((1-AB746)*($F$16-$D$16)*($F$16-$E$16)))</x:f>
        <x:v>0.03370026087451253</x:v>
      </x:c>
      <x:c r="I746" s="262" t="n">
        <x:f>'Historical Inputs'!$N$9*(1+D746)^5</x:f>
        <x:v>633894.512272715</x:v>
      </x:c>
      <x:c r="J746" s="262" t="n">
        <x:f>I746*(1+H746)*('Terminal Value'!$E$10+E746)*(1-'Assumptions'!$E$15)*(1-H746/'Terminal Value'!$E$12)</x:f>
        <x:v>168099.43676524522</x:v>
      </x:c>
      <x:c r="K746" s="264" t="n">
        <x:f>((SUM((('Historical Inputs'!$N$9*(1+(D746))^1)*(('Assumptions'!E37+(E746))*(1-'Assumptions'!E42-(0))+'Assumptions'!E47-'Assumptions'!E52*(F746)+'Assumptions'!E57-'Assumptions'!E62*(1)-'Assumptions'!E67-(0))+('Working Capital'!$E$6))*'DCF'!E12/(1+(G746))^'DCF'!E13,(('Historical Inputs'!$N$9*(1+(D746))^2)*(('Assumptions'!F37+(E746))*(1-'Assumptions'!F42-(0))+'Assumptions'!F47-'Assumptions'!F52*(F746)+'Assumptions'!F57-'Assumptions'!F62*(1)-'Assumptions'!F67-(0))+(('Historical Inputs'!$N$9*(1+(D746))^1)*('Assumptions'!E67+(0))))*'DCF'!F12/(1+(G746))^'DCF'!F13,(('Historical Inputs'!$N$9*(1+(D746))^3)*(('Assumptions'!G37+(E746))*(1-'Assumptions'!G42-(0))+'Assumptions'!G47-'Assumptions'!G52*(F746)+'Assumptions'!G57-'Assumptions'!G62*(1)-'Assumptions'!G67-(0))+(('Historical Inputs'!$N$9*(1+(D746))^2)*('Assumptions'!F67+(0))))*'DCF'!G12/(1+(G746))^'DCF'!G13,(('Historical Inputs'!$N$9*(1+(D746))^4)*(('Assumptions'!H37+(E746))*(1-'Assumptions'!H42-(0))+'Assumptions'!H47-'Assumptions'!H52*(F746)+'Assumptions'!H57-'Assumptions'!H62*(1)-'Assumptions'!H67-(0))+(('Historical Inputs'!$N$9*(1+(D746))^3)*('Assumptions'!G67+(0))))*'DCF'!H12/(1+(G746))^'DCF'!H13,(('Historical Inputs'!$N$9*(1+(D746))^5)*(('Assumptions'!I37+(E746))*(1-'Assumptions'!I42-(0))+'Assumptions'!I47-'Assumptions'!I52*(F746)+'Assumptions'!I57-'Assumptions'!I62*(1)-'Assumptions'!I67-(0))+(('Historical Inputs'!$N$9*(1+(D746))^4)*('Assumptions'!H67+(0))))*'DCF'!I12/(1+(G746))^'DCF'!I13)+('Historical Inputs'!$N$9*(1+(D746))^5)*(1+(H746))*('Terminal Value'!$E$10+(E746))*(1-'Assumptions'!$E$15-(0))*(1-(H746)/('Terminal Value'!$E$12))/((G746)-(H746))/(1+(G746))^'DCF'!$E$19)+'Equity Bridge'!$E$17)/'Equity Bridge'!$E$20</x:f>
        <x:v>328.9467052852835</x:v>
      </x:c>
      <x:c r="X746" s="255" t="n">
        <x:v>0.4039427827259434</x:v>
      </x:c>
      <x:c r="Y746" s="255" t="n">
        <x:v>0.2543079202928128</x:v>
      </x:c>
      <x:c r="Z746" s="255" t="n">
        <x:v>0.6653179368644655</x:v>
      </x:c>
      <x:c r="AA746" s="255" t="n">
        <x:v>0.05354491177630172</x:v>
      </x:c>
      <x:c r="AB746" s="255" t="n">
        <x:v>0.8015664347540115</x:v>
      </x:c>
    </x:row>
    <x:row r="747" ht="24" customHeight="1">
      <x:c r="C747" s="256" t="n">
        <x:f>716</x:f>
        <x:v>716</x:v>
      </x:c>
      <x:c r="D747" s="258" t="n">
        <x:f>IF(X747&lt;($E$12-$D$12)/($F$12-$D$12),$D$12+SQRT(X747*($F$12-$D$12)*($E$12-$D$12)),$F$12-SQRT((1-X747)*($F$12-$D$12)*($F$12-$E$12)))</x:f>
        <x:v>0.11948093259541037</x:v>
      </x:c>
      <x:c r="E747" s="258" t="n">
        <x:f>IF(Y747&lt;($E$13-$D$13)/($F$13-$D$13),$D$13+SQRT(Y747*($F$13-$D$13)*($E$13-$D$13)),$F$13-SQRT((1-Y747)*($F$13-$D$13)*($F$13-$E$13)))</x:f>
        <x:v>0.018658814793417244</x:v>
      </x:c>
      <x:c r="F747" s="260" t="n">
        <x:f>IF(Z747&lt;($E$14-$D$14)/($F$14-$D$14),$D$14+SQRT(Z747*($F$14-$D$14)*($E$14-$D$14)),$F$14-SQRT((1-Z747)*($F$14-$D$14)*($F$14-$E$14)))</x:f>
        <x:v>0.9994126009956568</x:v>
      </x:c>
      <x:c r="G747" s="258" t="n">
        <x:f>IF(AA747&lt;($E$15-$D$15)/($F$15-$D$15),$D$15+SQRT(AA747*($F$15-$D$15)*($E$15-$D$15)),$F$15-SQRT((1-AA747)*($F$15-$D$15)*($F$15-$E$15)))</x:f>
        <x:v>0.09352606987008753</x:v>
      </x:c>
      <x:c r="H747" s="258" t="n">
        <x:f>IF(AB747&lt;($E$16-$D$16)/($F$16-$D$16),$D$16+SQRT(AB747*($F$16-$D$16)*($E$16-$D$16)),$F$16-SQRT((1-AB747)*($F$16-$D$16)*($F$16-$E$16)))</x:f>
        <x:v>0.027551435289777895</x:v>
      </x:c>
      <x:c r="I747" s="262" t="n">
        <x:f>'Historical Inputs'!$N$9*(1+D747)^5</x:f>
        <x:v>583459.7889041138</x:v>
      </x:c>
      <x:c r="J747" s="262" t="n">
        <x:f>I747*(1+H747)*('Terminal Value'!$E$10+E747)*(1-'Assumptions'!$E$15)*(1-H747/'Terminal Value'!$E$12)</x:f>
        <x:v>173138.76517667997</x:v>
      </x:c>
      <x:c r="K747" s="264" t="n">
        <x:f>((SUM((('Historical Inputs'!$N$9*(1+(D747))^1)*(('Assumptions'!E37+(E747))*(1-'Assumptions'!E42-(0))+'Assumptions'!E47-'Assumptions'!E52*(F747)+'Assumptions'!E57-'Assumptions'!E62*(1)-'Assumptions'!E67-(0))+('Working Capital'!$E$6))*'DCF'!E12/(1+(G747))^'DCF'!E13,(('Historical Inputs'!$N$9*(1+(D747))^2)*(('Assumptions'!F37+(E747))*(1-'Assumptions'!F42-(0))+'Assumptions'!F47-'Assumptions'!F52*(F747)+'Assumptions'!F57-'Assumptions'!F62*(1)-'Assumptions'!F67-(0))+(('Historical Inputs'!$N$9*(1+(D747))^1)*('Assumptions'!E67+(0))))*'DCF'!F12/(1+(G747))^'DCF'!F13,(('Historical Inputs'!$N$9*(1+(D747))^3)*(('Assumptions'!G37+(E747))*(1-'Assumptions'!G42-(0))+'Assumptions'!G47-'Assumptions'!G52*(F747)+'Assumptions'!G57-'Assumptions'!G62*(1)-'Assumptions'!G67-(0))+(('Historical Inputs'!$N$9*(1+(D747))^2)*('Assumptions'!F67+(0))))*'DCF'!G12/(1+(G747))^'DCF'!G13,(('Historical Inputs'!$N$9*(1+(D747))^4)*(('Assumptions'!H37+(E747))*(1-'Assumptions'!H42-(0))+'Assumptions'!H47-'Assumptions'!H52*(F747)+'Assumptions'!H57-'Assumptions'!H62*(1)-'Assumptions'!H67-(0))+(('Historical Inputs'!$N$9*(1+(D747))^3)*('Assumptions'!G67+(0))))*'DCF'!H12/(1+(G747))^'DCF'!H13,(('Historical Inputs'!$N$9*(1+(D747))^5)*(('Assumptions'!I37+(E747))*(1-'Assumptions'!I42-(0))+'Assumptions'!I47-'Assumptions'!I52*(F747)+'Assumptions'!I57-'Assumptions'!I62*(1)-'Assumptions'!I67-(0))+(('Historical Inputs'!$N$9*(1+(D747))^4)*('Assumptions'!H67+(0))))*'DCF'!I12/(1+(G747))^'DCF'!I13)+('Historical Inputs'!$N$9*(1+(D747))^5)*(1+(H747))*('Terminal Value'!$E$10+(E747))*(1-'Assumptions'!$E$15-(0))*(1-(H747)/('Terminal Value'!$E$12))/((G747)-(H747))/(1+(G747))^'DCF'!$E$19)+'Equity Bridge'!$E$17)/'Equity Bridge'!$E$20</x:f>
        <x:v>286.75167765935896</x:v>
      </x:c>
      <x:c r="X747" s="255" t="n">
        <x:v>0.1375386992077976</x:v>
      </x:c>
      <x:c r="Y747" s="255" t="n">
        <x:v>0.8035460219693357</x:v>
      </x:c>
      <x:c r="Z747" s="255" t="n">
        <x:v>0.42522143497690157</x:v>
      </x:c>
      <x:c r="AA747" s="255" t="n">
        <x:v>0.23969505892869403</x:v>
      </x:c>
      <x:c r="AB747" s="255" t="n">
        <x:v>0.2851208746785149</x:v>
      </x:c>
    </x:row>
    <x:row r="748" ht="24" customHeight="1">
      <x:c r="C748" s="256" t="n">
        <x:f>717</x:f>
        <x:v>717</x:v>
      </x:c>
      <x:c r="D748" s="258" t="n">
        <x:f>IF(X748&lt;($E$12-$D$12)/($F$12-$D$12),$D$12+SQRT(X748*($F$12-$D$12)*($E$12-$D$12)),$F$12-SQRT((1-X748)*($F$12-$D$12)*($F$12-$E$12)))</x:f>
        <x:v>0.13062571947725082</x:v>
      </x:c>
      <x:c r="E748" s="258" t="n">
        <x:f>IF(Y748&lt;($E$13-$D$13)/($F$13-$D$13),$D$13+SQRT(Y748*($F$13-$D$13)*($E$13-$D$13)),$F$13-SQRT((1-Y748)*($F$13-$D$13)*($F$13-$E$13)))</x:f>
        <x:v>-0.006787081324811053</x:v>
      </x:c>
      <x:c r="F748" s="260" t="n">
        <x:f>IF(Z748&lt;($E$14-$D$14)/($F$14-$D$14),$D$14+SQRT(Z748*($F$14-$D$14)*($E$14-$D$14)),$F$14-SQRT((1-Z748)*($F$14-$D$14)*($F$14-$E$14)))</x:f>
        <x:v>1.027067162041411</x:v>
      </x:c>
      <x:c r="G748" s="258" t="n">
        <x:f>IF(AA748&lt;($E$15-$D$15)/($F$15-$D$15),$D$15+SQRT(AA748*($F$15-$D$15)*($E$15-$D$15)),$F$15-SQRT((1-AA748)*($F$15-$D$15)*($F$15-$E$15)))</x:f>
        <x:v>0.09041277474697647</x:v>
      </x:c>
      <x:c r="H748" s="258" t="n">
        <x:f>IF(AB748&lt;($E$16-$D$16)/($F$16-$D$16),$D$16+SQRT(AB748*($F$16-$D$16)*($E$16-$D$16)),$F$16-SQRT((1-AB748)*($F$16-$D$16)*($F$16-$E$16)))</x:f>
        <x:v>0.027878316038811697</x:v>
      </x:c>
      <x:c r="I748" s="262" t="n">
        <x:f>'Historical Inputs'!$N$9*(1+D748)^5</x:f>
        <x:v>613086.4655815142</x:v>
      </x:c>
      <x:c r="J748" s="262" t="n">
        <x:f>I748*(1+H748)*('Terminal Value'!$E$10+E748)*(1-'Assumptions'!$E$15)*(1-H748/'Terminal Value'!$E$12)</x:f>
        <x:v>170603.04902144085</x:v>
      </x:c>
      <x:c r="K748" s="264" t="n">
        <x:f>((SUM((('Historical Inputs'!$N$9*(1+(D748))^1)*(('Assumptions'!E37+(E748))*(1-'Assumptions'!E42-(0))+'Assumptions'!E47-'Assumptions'!E52*(F748)+'Assumptions'!E57-'Assumptions'!E62*(1)-'Assumptions'!E67-(0))+('Working Capital'!$E$6))*'DCF'!E12/(1+(G748))^'DCF'!E13,(('Historical Inputs'!$N$9*(1+(D748))^2)*(('Assumptions'!F37+(E748))*(1-'Assumptions'!F42-(0))+'Assumptions'!F47-'Assumptions'!F52*(F748)+'Assumptions'!F57-'Assumptions'!F62*(1)-'Assumptions'!F67-(0))+(('Historical Inputs'!$N$9*(1+(D748))^1)*('Assumptions'!E67+(0))))*'DCF'!F12/(1+(G748))^'DCF'!F13,(('Historical Inputs'!$N$9*(1+(D748))^3)*(('Assumptions'!G37+(E748))*(1-'Assumptions'!G42-(0))+'Assumptions'!G47-'Assumptions'!G52*(F748)+'Assumptions'!G57-'Assumptions'!G62*(1)-'Assumptions'!G67-(0))+(('Historical Inputs'!$N$9*(1+(D748))^2)*('Assumptions'!F67+(0))))*'DCF'!G12/(1+(G748))^'DCF'!G13,(('Historical Inputs'!$N$9*(1+(D748))^4)*(('Assumptions'!H37+(E748))*(1-'Assumptions'!H42-(0))+'Assumptions'!H47-'Assumptions'!H52*(F748)+'Assumptions'!H57-'Assumptions'!H62*(1)-'Assumptions'!H67-(0))+(('Historical Inputs'!$N$9*(1+(D748))^3)*('Assumptions'!G67+(0))))*'DCF'!H12/(1+(G748))^'DCF'!H13,(('Historical Inputs'!$N$9*(1+(D748))^5)*(('Assumptions'!I37+(E748))*(1-'Assumptions'!I42-(0))+'Assumptions'!I47-'Assumptions'!I52*(F748)+'Assumptions'!I57-'Assumptions'!I62*(1)-'Assumptions'!I67-(0))+(('Historical Inputs'!$N$9*(1+(D748))^4)*('Assumptions'!H67+(0))))*'DCF'!I12/(1+(G748))^'DCF'!I13)+('Historical Inputs'!$N$9*(1+(D748))^5)*(1+(H748))*('Terminal Value'!$E$10+(E748))*(1-'Assumptions'!$E$15-(0))*(1-(H748)/('Terminal Value'!$E$12))/((G748)-(H748))/(1+(G748))^'DCF'!$E$19)+'Equity Bridge'!$E$17)/'Equity Bridge'!$E$20</x:f>
        <x:v>294.7890778078924</x:v>
      </x:c>
      <x:c r="X748" s="255" t="n">
        <x:v>0.2792839128292621</x:v>
      </x:c>
      <x:c r="Y748" s="255" t="n">
        <x:v>0.37347126808569875</x:v>
      </x:c>
      <x:c r="Z748" s="255" t="n">
        <x:v>0.5727747650798335</x:v>
      </x:c>
      <x:c r="AA748" s="255" t="n">
        <x:v>0.11752862470163017</x:v>
      </x:c>
      <x:c r="AB748" s="255" t="n">
        <x:v>0.3103393180369882</x:v>
      </x:c>
    </x:row>
    <x:row r="749" ht="24" customHeight="1">
      <x:c r="C749" s="256" t="n">
        <x:f>718</x:f>
        <x:v>718</x:v>
      </x:c>
      <x:c r="D749" s="258" t="n">
        <x:f>IF(X749&lt;($E$12-$D$12)/($F$12-$D$12),$D$12+SQRT(X749*($F$12-$D$12)*($E$12-$D$12)),$F$12-SQRT((1-X749)*($F$12-$D$12)*($F$12-$E$12)))</x:f>
        <x:v>0.1380514602205881</x:v>
      </x:c>
      <x:c r="E749" s="258" t="n">
        <x:f>IF(Y749&lt;($E$13-$D$13)/($F$13-$D$13),$D$13+SQRT(Y749*($F$13-$D$13)*($E$13-$D$13)),$F$13-SQRT((1-Y749)*($F$13-$D$13)*($F$13-$E$13)))</x:f>
        <x:v>0.02876580404195999</x:v>
      </x:c>
      <x:c r="F749" s="260" t="n">
        <x:f>IF(Z749&lt;($E$14-$D$14)/($F$14-$D$14),$D$14+SQRT(Z749*($F$14-$D$14)*($E$14-$D$14)),$F$14-SQRT((1-Z749)*($F$14-$D$14)*($F$14-$E$14)))</x:f>
        <x:v>0.9991447942066837</x:v>
      </x:c>
      <x:c r="G749" s="258" t="n">
        <x:f>IF(AA749&lt;($E$15-$D$15)/($F$15-$D$15),$D$15+SQRT(AA749*($F$15-$D$15)*($E$15-$D$15)),$F$15-SQRT((1-AA749)*($F$15-$D$15)*($F$15-$E$15)))</x:f>
        <x:v>0.09855650940535732</x:v>
      </x:c>
      <x:c r="H749" s="258" t="n">
        <x:f>IF(AB749&lt;($E$16-$D$16)/($F$16-$D$16),$D$16+SQRT(AB749*($F$16-$D$16)*($E$16-$D$16)),$F$16-SQRT((1-AB749)*($F$16-$D$16)*($F$16-$E$16)))</x:f>
        <x:v>0.026415179866228454</x:v>
      </x:c>
      <x:c r="I749" s="262" t="n">
        <x:f>'Historical Inputs'!$N$9*(1+D749)^5</x:f>
        <x:v>633485.8633335709</x:v>
      </x:c>
      <x:c r="J749" s="262" t="n">
        <x:f>I749*(1+H749)*('Terminal Value'!$E$10+E749)*(1-'Assumptions'!$E$15)*(1-H749/'Terminal Value'!$E$12)</x:f>
        <x:v>193576.1599373693</x:v>
      </x:c>
      <x:c r="K749" s="264" t="n">
        <x:f>((SUM((('Historical Inputs'!$N$9*(1+(D749))^1)*(('Assumptions'!E37+(E749))*(1-'Assumptions'!E42-(0))+'Assumptions'!E47-'Assumptions'!E52*(F749)+'Assumptions'!E57-'Assumptions'!E62*(1)-'Assumptions'!E67-(0))+('Working Capital'!$E$6))*'DCF'!E12/(1+(G749))^'DCF'!E13,(('Historical Inputs'!$N$9*(1+(D749))^2)*(('Assumptions'!F37+(E749))*(1-'Assumptions'!F42-(0))+'Assumptions'!F47-'Assumptions'!F52*(F749)+'Assumptions'!F57-'Assumptions'!F62*(1)-'Assumptions'!F67-(0))+(('Historical Inputs'!$N$9*(1+(D749))^1)*('Assumptions'!E67+(0))))*'DCF'!F12/(1+(G749))^'DCF'!F13,(('Historical Inputs'!$N$9*(1+(D749))^3)*(('Assumptions'!G37+(E749))*(1-'Assumptions'!G42-(0))+'Assumptions'!G47-'Assumptions'!G52*(F749)+'Assumptions'!G57-'Assumptions'!G62*(1)-'Assumptions'!G67-(0))+(('Historical Inputs'!$N$9*(1+(D749))^2)*('Assumptions'!F67+(0))))*'DCF'!G12/(1+(G749))^'DCF'!G13,(('Historical Inputs'!$N$9*(1+(D749))^4)*(('Assumptions'!H37+(E749))*(1-'Assumptions'!H42-(0))+'Assumptions'!H47-'Assumptions'!H52*(F749)+'Assumptions'!H57-'Assumptions'!H62*(1)-'Assumptions'!H67-(0))+(('Historical Inputs'!$N$9*(1+(D749))^3)*('Assumptions'!G67+(0))))*'DCF'!H12/(1+(G749))^'DCF'!H13,(('Historical Inputs'!$N$9*(1+(D749))^5)*(('Assumptions'!I37+(E749))*(1-'Assumptions'!I42-(0))+'Assumptions'!I47-'Assumptions'!I52*(F749)+'Assumptions'!I57-'Assumptions'!I62*(1)-'Assumptions'!I67-(0))+(('Historical Inputs'!$N$9*(1+(D749))^4)*('Assumptions'!H67+(0))))*'DCF'!I12/(1+(G749))^'DCF'!I13)+('Historical Inputs'!$N$9*(1+(D749))^5)*(1+(H749))*('Terminal Value'!$E$10+(E749))*(1-'Assumptions'!$E$15-(0))*(1-(H749)/('Terminal Value'!$E$12))/((G749)-(H749))/(1+(G749))^'DCF'!$E$19)+'Equity Bridge'!$E$17)/'Equity Bridge'!$E$20</x:f>
        <x:v>291.5809571090897</x:v>
      </x:c>
      <x:c r="X749" s="255" t="n">
        <x:v>0.40130834221628175</x:v>
      </x:c>
      <x:c r="Y749" s="255" t="n">
        <x:v>0.9098217844031115</x:v>
      </x:c>
      <x:c r="Z749" s="255" t="n">
        <x:v>0.42369846931341004</x:v>
      </x:c>
      <x:c r="AA749" s="255" t="n">
        <x:v>0.5273578463003875</x:v>
      </x:c>
      <x:c r="AB749" s="255" t="n">
        <x:v>0.20577266358031465</x:v>
      </x:c>
    </x:row>
    <x:row r="750" ht="24" customHeight="1">
      <x:c r="C750" s="256" t="n">
        <x:f>719</x:f>
        <x:v>719</x:v>
      </x:c>
      <x:c r="D750" s="258" t="n">
        <x:f>IF(X750&lt;($E$12-$D$12)/($F$12-$D$12),$D$12+SQRT(X750*($F$12-$D$12)*($E$12-$D$12)),$F$12-SQRT((1-X750)*($F$12-$D$12)*($F$12-$E$12)))</x:f>
        <x:v>0.14456924366746368</x:v>
      </x:c>
      <x:c r="E750" s="258" t="n">
        <x:f>IF(Y750&lt;($E$13-$D$13)/($F$13-$D$13),$D$13+SQRT(Y750*($F$13-$D$13)*($E$13-$D$13)),$F$13-SQRT((1-Y750)*($F$13-$D$13)*($F$13-$E$13)))</x:f>
        <x:v>0.003194750700402149</x:v>
      </x:c>
      <x:c r="F750" s="260" t="n">
        <x:f>IF(Z750&lt;($E$14-$D$14)/($F$14-$D$14),$D$14+SQRT(Z750*($F$14-$D$14)*($E$14-$D$14)),$F$14-SQRT((1-Z750)*($F$14-$D$14)*($F$14-$E$14)))</x:f>
        <x:v>0.9845146867794361</x:v>
      </x:c>
      <x:c r="G750" s="258" t="n">
        <x:f>IF(AA750&lt;($E$15-$D$15)/($F$15-$D$15),$D$15+SQRT(AA750*($F$15-$D$15)*($E$15-$D$15)),$F$15-SQRT((1-AA750)*($F$15-$D$15)*($F$15-$E$15)))</x:f>
        <x:v>0.10957730942734785</x:v>
      </x:c>
      <x:c r="H750" s="258" t="n">
        <x:f>IF(AB750&lt;($E$16-$D$16)/($F$16-$D$16),$D$16+SQRT(AB750*($F$16-$D$16)*($E$16-$D$16)),$F$16-SQRT((1-AB750)*($F$16-$D$16)*($F$16-$E$16)))</x:f>
        <x:v>0.029852516079424206</x:v>
      </x:c>
      <x:c r="I750" s="262" t="n">
        <x:f>'Historical Inputs'!$N$9*(1+D750)^5</x:f>
        <x:v>651835.1617955196</x:v>
      </x:c>
      <x:c r="J750" s="262" t="n">
        <x:f>I750*(1+H750)*('Terminal Value'!$E$10+E750)*(1-'Assumptions'!$E$15)*(1-H750/'Terminal Value'!$E$12)</x:f>
        <x:v>184210.0031928994</x:v>
      </x:c>
      <x:c r="K750" s="264" t="n">
        <x:f>((SUM((('Historical Inputs'!$N$9*(1+(D750))^1)*(('Assumptions'!E37+(E750))*(1-'Assumptions'!E42-(0))+'Assumptions'!E47-'Assumptions'!E52*(F750)+'Assumptions'!E57-'Assumptions'!E62*(1)-'Assumptions'!E67-(0))+('Working Capital'!$E$6))*'DCF'!E12/(1+(G750))^'DCF'!E13,(('Historical Inputs'!$N$9*(1+(D750))^2)*(('Assumptions'!F37+(E750))*(1-'Assumptions'!F42-(0))+'Assumptions'!F47-'Assumptions'!F52*(F750)+'Assumptions'!F57-'Assumptions'!F62*(1)-'Assumptions'!F67-(0))+(('Historical Inputs'!$N$9*(1+(D750))^1)*('Assumptions'!E67+(0))))*'DCF'!F12/(1+(G750))^'DCF'!F13,(('Historical Inputs'!$N$9*(1+(D750))^3)*(('Assumptions'!G37+(E750))*(1-'Assumptions'!G42-(0))+'Assumptions'!G47-'Assumptions'!G52*(F750)+'Assumptions'!G57-'Assumptions'!G62*(1)-'Assumptions'!G67-(0))+(('Historical Inputs'!$N$9*(1+(D750))^2)*('Assumptions'!F67+(0))))*'DCF'!G12/(1+(G750))^'DCF'!G13,(('Historical Inputs'!$N$9*(1+(D750))^4)*(('Assumptions'!H37+(E750))*(1-'Assumptions'!H42-(0))+'Assumptions'!H47-'Assumptions'!H52*(F750)+'Assumptions'!H57-'Assumptions'!H62*(1)-'Assumptions'!H67-(0))+(('Historical Inputs'!$N$9*(1+(D750))^3)*('Assumptions'!G67+(0))))*'DCF'!H12/(1+(G750))^'DCF'!H13,(('Historical Inputs'!$N$9*(1+(D750))^5)*(('Assumptions'!I37+(E750))*(1-'Assumptions'!I42-(0))+'Assumptions'!I47-'Assumptions'!I52*(F750)+'Assumptions'!I57-'Assumptions'!I62*(1)-'Assumptions'!I67-(0))+(('Historical Inputs'!$N$9*(1+(D750))^4)*('Assumptions'!H67+(0))))*'DCF'!I12/(1+(G750))^'DCF'!I13)+('Historical Inputs'!$N$9*(1+(D750))^5)*(1+(H750))*('Terminal Value'!$E$10+(E750))*(1-'Assumptions'!$E$15-(0))*(1-(H750)/('Terminal Value'!$E$12))/((G750)-(H750))/(1+(G750))^'DCF'!$E$19)+'Equity Bridge'!$E$17)/'Equity Bridge'!$E$20</x:f>
        <x:v>245.63940510452477</x:v>
      </x:c>
      <x:c r="X750" s="255" t="n">
        <x:v>0.5259000515959134</x:v>
      </x:c>
      <x:c r="Y750" s="255" t="n">
        <x:v>0.561853727600499</x:v>
      </x:c>
      <x:c r="Z750" s="255" t="n">
        <x:v>0.3446514468451395</x:v>
      </x:c>
      <x:c r="AA750" s="255" t="n">
        <x:v>0.9717880097952079</x:v>
      </x:c>
      <x:c r="AB750" s="255" t="n">
        <x:v>0.4853603654765626</x:v>
      </x:c>
    </x:row>
    <x:row r="751" ht="24" customHeight="1">
      <x:c r="C751" s="256" t="n">
        <x:f>720</x:f>
        <x:v>720</x:v>
      </x:c>
      <x:c r="D751" s="258" t="n">
        <x:f>IF(X751&lt;($E$12-$D$12)/($F$12-$D$12),$D$12+SQRT(X751*($F$12-$D$12)*($E$12-$D$12)),$F$12-SQRT((1-X751)*($F$12-$D$12)*($F$12-$E$12)))</x:f>
        <x:v>0.1341327081250115</x:v>
      </x:c>
      <x:c r="E751" s="258" t="n">
        <x:f>IF(Y751&lt;($E$13-$D$13)/($F$13-$D$13),$D$13+SQRT(Y751*($F$13-$D$13)*($E$13-$D$13)),$F$13-SQRT((1-Y751)*($F$13-$D$13)*($F$13-$E$13)))</x:f>
        <x:v>0.03037284196392317</x:v>
      </x:c>
      <x:c r="F751" s="260" t="n">
        <x:f>IF(Z751&lt;($E$14-$D$14)/($F$14-$D$14),$D$14+SQRT(Z751*($F$14-$D$14)*($E$14-$D$14)),$F$14-SQRT((1-Z751)*($F$14-$D$14)*($F$14-$E$14)))</x:f>
        <x:v>1.089564576589182</x:v>
      </x:c>
      <x:c r="G751" s="258" t="n">
        <x:f>IF(AA751&lt;($E$15-$D$15)/($F$15-$D$15),$D$15+SQRT(AA751*($F$15-$D$15)*($E$15-$D$15)),$F$15-SQRT((1-AA751)*($F$15-$D$15)*($F$15-$E$15)))</x:f>
        <x:v>0.08514972221149707</x:v>
      </x:c>
      <x:c r="H751" s="258" t="n">
        <x:f>IF(AB751&lt;($E$16-$D$16)/($F$16-$D$16),$D$16+SQRT(AB751*($F$16-$D$16)*($E$16-$D$16)),$F$16-SQRT((1-AB751)*($F$16-$D$16)*($F$16-$E$16)))</x:f>
        <x:v>0.03453435418806301</x:v>
      </x:c>
      <x:c r="I751" s="262" t="n">
        <x:f>'Historical Inputs'!$N$9*(1+D751)^5</x:f>
        <x:v>622654.0307301886</x:v>
      </x:c>
      <x:c r="J751" s="262" t="n">
        <x:f>I751*(1+H751)*('Terminal Value'!$E$10+E751)*(1-'Assumptions'!$E$15)*(1-H751/'Terminal Value'!$E$12)</x:f>
        <x:v>183486.62350045552</x:v>
      </x:c>
      <x:c r="K751" s="264" t="n">
        <x:f>((SUM((('Historical Inputs'!$N$9*(1+(D751))^1)*(('Assumptions'!E37+(E751))*(1-'Assumptions'!E42-(0))+'Assumptions'!E47-'Assumptions'!E52*(F751)+'Assumptions'!E57-'Assumptions'!E62*(1)-'Assumptions'!E67-(0))+('Working Capital'!$E$6))*'DCF'!E12/(1+(G751))^'DCF'!E13,(('Historical Inputs'!$N$9*(1+(D751))^2)*(('Assumptions'!F37+(E751))*(1-'Assumptions'!F42-(0))+'Assumptions'!F47-'Assumptions'!F52*(F751)+'Assumptions'!F57-'Assumptions'!F62*(1)-'Assumptions'!F67-(0))+(('Historical Inputs'!$N$9*(1+(D751))^1)*('Assumptions'!E67+(0))))*'DCF'!F12/(1+(G751))^'DCF'!F13,(('Historical Inputs'!$N$9*(1+(D751))^3)*(('Assumptions'!G37+(E751))*(1-'Assumptions'!G42-(0))+'Assumptions'!G47-'Assumptions'!G52*(F751)+'Assumptions'!G57-'Assumptions'!G62*(1)-'Assumptions'!G67-(0))+(('Historical Inputs'!$N$9*(1+(D751))^2)*('Assumptions'!F67+(0))))*'DCF'!G12/(1+(G751))^'DCF'!G13,(('Historical Inputs'!$N$9*(1+(D751))^4)*(('Assumptions'!H37+(E751))*(1-'Assumptions'!H42-(0))+'Assumptions'!H47-'Assumptions'!H52*(F751)+'Assumptions'!H57-'Assumptions'!H62*(1)-'Assumptions'!H67-(0))+(('Historical Inputs'!$N$9*(1+(D751))^3)*('Assumptions'!G67+(0))))*'DCF'!H12/(1+(G751))^'DCF'!H13,(('Historical Inputs'!$N$9*(1+(D751))^5)*(('Assumptions'!I37+(E751))*(1-'Assumptions'!I42-(0))+'Assumptions'!I47-'Assumptions'!I52*(F751)+'Assumptions'!I57-'Assumptions'!I62*(1)-'Assumptions'!I67-(0))+(('Historical Inputs'!$N$9*(1+(D751))^4)*('Assumptions'!H67+(0))))*'DCF'!I12/(1+(G751))^'DCF'!I13)+('Historical Inputs'!$N$9*(1+(D751))^5)*(1+(H751))*('Terminal Value'!$E$10+(E751))*(1-'Assumptions'!$E$15-(0))*(1-(H751)/('Terminal Value'!$E$12))/((G751)-(H751))/(1+(G751))^'DCF'!$E$19)+'Equity Bridge'!$E$17)/'Equity Bridge'!$E$20</x:f>
        <x:v>387.2484930570614</x:v>
      </x:c>
      <x:c r="X751" s="255" t="n">
        <x:v>0.3341643460821011</x:v>
      </x:c>
      <x:c r="Y751" s="255" t="n">
        <x:v>0.9229549334853729</x:v>
      </x:c>
      <x:c r="Z751" s="255" t="n">
        <x:v>0.8257716750867617</x:v>
      </x:c>
      <x:c r="AA751" s="255" t="n">
        <x:v>0.008972220353342997</x:v>
      </x:c>
      <x:c r="AB751" s="255" t="n">
        <x:v>0.8506335792922785</x:v>
      </x:c>
    </x:row>
    <x:row r="752" ht="24" customHeight="1">
      <x:c r="C752" s="256" t="n">
        <x:f>721</x:f>
        <x:v>721</x:v>
      </x:c>
      <x:c r="D752" s="258" t="n">
        <x:f>IF(X752&lt;($E$12-$D$12)/($F$12-$D$12),$D$12+SQRT(X752*($F$12-$D$12)*($E$12-$D$12)),$F$12-SQRT((1-X752)*($F$12-$D$12)*($F$12-$E$12)))</x:f>
        <x:v>0.12839796794989275</x:v>
      </x:c>
      <x:c r="E752" s="258" t="n">
        <x:f>IF(Y752&lt;($E$13-$D$13)/($F$13-$D$13),$D$13+SQRT(Y752*($F$13-$D$13)*($E$13-$D$13)),$F$13-SQRT((1-Y752)*($F$13-$D$13)*($F$13-$E$13)))</x:f>
        <x:v>0.030325207938981</x:v>
      </x:c>
      <x:c r="F752" s="260" t="n">
        <x:f>IF(Z752&lt;($E$14-$D$14)/($F$14-$D$14),$D$14+SQRT(Z752*($F$14-$D$14)*($E$14-$D$14)),$F$14-SQRT((1-Z752)*($F$14-$D$14)*($F$14-$E$14)))</x:f>
        <x:v>1.0717643390178888</x:v>
      </x:c>
      <x:c r="G752" s="258" t="n">
        <x:f>IF(AA752&lt;($E$15-$D$15)/($F$15-$D$15),$D$15+SQRT(AA752*($F$15-$D$15)*($E$15-$D$15)),$F$15-SQRT((1-AA752)*($F$15-$D$15)*($F$15-$E$15)))</x:f>
        <x:v>0.09993995671841883</x:v>
      </x:c>
      <x:c r="H752" s="258" t="n">
        <x:f>IF(AB752&lt;($E$16-$D$16)/($F$16-$D$16),$D$16+SQRT(AB752*($F$16-$D$16)*($E$16-$D$16)),$F$16-SQRT((1-AB752)*($F$16-$D$16)*($F$16-$E$16)))</x:f>
        <x:v>0.03427576189480315</x:v>
      </x:c>
      <x:c r="I752" s="262" t="n">
        <x:f>'Historical Inputs'!$N$9*(1+D752)^5</x:f>
        <x:v>607070.1836220847</x:v>
      </x:c>
      <x:c r="J752" s="262" t="n">
        <x:f>I752*(1+H752)*('Terminal Value'!$E$10+E752)*(1-'Assumptions'!$E$15)*(1-H752/'Terminal Value'!$E$12)</x:f>
        <x:v>179109.2683401173</x:v>
      </x:c>
      <x:c r="K752" s="264" t="n">
        <x:f>((SUM((('Historical Inputs'!$N$9*(1+(D752))^1)*(('Assumptions'!E37+(E752))*(1-'Assumptions'!E42-(0))+'Assumptions'!E47-'Assumptions'!E52*(F752)+'Assumptions'!E57-'Assumptions'!E62*(1)-'Assumptions'!E67-(0))+('Working Capital'!$E$6))*'DCF'!E12/(1+(G752))^'DCF'!E13,(('Historical Inputs'!$N$9*(1+(D752))^2)*(('Assumptions'!F37+(E752))*(1-'Assumptions'!F42-(0))+'Assumptions'!F47-'Assumptions'!F52*(F752)+'Assumptions'!F57-'Assumptions'!F62*(1)-'Assumptions'!F67-(0))+(('Historical Inputs'!$N$9*(1+(D752))^1)*('Assumptions'!E67+(0))))*'DCF'!F12/(1+(G752))^'DCF'!F13,(('Historical Inputs'!$N$9*(1+(D752))^3)*(('Assumptions'!G37+(E752))*(1-'Assumptions'!G42-(0))+'Assumptions'!G47-'Assumptions'!G52*(F752)+'Assumptions'!G57-'Assumptions'!G62*(1)-'Assumptions'!G67-(0))+(('Historical Inputs'!$N$9*(1+(D752))^2)*('Assumptions'!F67+(0))))*'DCF'!G12/(1+(G752))^'DCF'!G13,(('Historical Inputs'!$N$9*(1+(D752))^4)*(('Assumptions'!H37+(E752))*(1-'Assumptions'!H42-(0))+'Assumptions'!H47-'Assumptions'!H52*(F752)+'Assumptions'!H57-'Assumptions'!H62*(1)-'Assumptions'!H67-(0))+(('Historical Inputs'!$N$9*(1+(D752))^3)*('Assumptions'!G67+(0))))*'DCF'!H12/(1+(G752))^'DCF'!H13,(('Historical Inputs'!$N$9*(1+(D752))^5)*(('Assumptions'!I37+(E752))*(1-'Assumptions'!I42-(0))+'Assumptions'!I47-'Assumptions'!I52*(F752)+'Assumptions'!I57-'Assumptions'!I62*(1)-'Assumptions'!I67-(0))+(('Historical Inputs'!$N$9*(1+(D752))^4)*('Assumptions'!H67+(0))))*'DCF'!I12/(1+(G752))^'DCF'!I13)+('Historical Inputs'!$N$9*(1+(D752))^5)*(1+(H752))*('Terminal Value'!$E$10+(E752))*(1-'Assumptions'!$E$15-(0))*(1-(H752)/('Terminal Value'!$E$12))/((G752)-(H752))/(1+(G752))^'DCF'!$E$19)+'Equity Bridge'!$E$17)/'Equity Bridge'!$E$20</x:f>
        <x:v>287.8533661507943</x:v>
      </x:c>
      <x:c r="X752" s="255" t="n">
        <x:v>0.24697721889566004</x:v>
      </x:c>
      <x:c r="Y752" s="255" t="n">
        <x:v>0.9225805114711327</x:v>
      </x:c>
      <x:c r="Z752" s="255" t="n">
        <x:v>0.7650802178925868</x:v>
      </x:c>
      <x:c r="AA752" s="255" t="n">
        <x:v>0.6127757953621025</x:v>
      </x:c>
      <x:c r="AB752" s="255" t="n">
        <x:v>0.8361654905750617</x:v>
      </x:c>
    </x:row>
    <x:row r="753" ht="24" customHeight="1">
      <x:c r="C753" s="256" t="n">
        <x:f>722</x:f>
        <x:v>722</x:v>
      </x:c>
      <x:c r="D753" s="258" t="n">
        <x:f>IF(X753&lt;($E$12-$D$12)/($F$12-$D$12),$D$12+SQRT(X753*($F$12-$D$12)*($E$12-$D$12)),$F$12-SQRT((1-X753)*($F$12-$D$12)*($F$12-$E$12)))</x:f>
        <x:v>0.15359633296178468</x:v>
      </x:c>
      <x:c r="E753" s="258" t="n">
        <x:f>IF(Y753&lt;($E$13-$D$13)/($F$13-$D$13),$D$13+SQRT(Y753*($F$13-$D$13)*($E$13-$D$13)),$F$13-SQRT((1-Y753)*($F$13-$D$13)*($F$13-$E$13)))</x:f>
        <x:v>0.03817494394018514</x:v>
      </x:c>
      <x:c r="F753" s="260" t="n">
        <x:f>IF(Z753&lt;($E$14-$D$14)/($F$14-$D$14),$D$14+SQRT(Z753*($F$14-$D$14)*($E$14-$D$14)),$F$14-SQRT((1-Z753)*($F$14-$D$14)*($F$14-$E$14)))</x:f>
        <x:v>1.118699135356545</x:v>
      </x:c>
      <x:c r="G753" s="258" t="n">
        <x:f>IF(AA753&lt;($E$15-$D$15)/($F$15-$D$15),$D$15+SQRT(AA753*($F$15-$D$15)*($E$15-$D$15)),$F$15-SQRT((1-AA753)*($F$15-$D$15)*($F$15-$E$15)))</x:f>
        <x:v>0.09549473516134854</x:v>
      </x:c>
      <x:c r="H753" s="258" t="n">
        <x:f>IF(AB753&lt;($E$16-$D$16)/($F$16-$D$16),$D$16+SQRT(AB753*($F$16-$D$16)*($E$16-$D$16)),$F$16-SQRT((1-AB753)*($F$16-$D$16)*($F$16-$E$16)))</x:f>
        <x:v>0.026558232123938715</x:v>
      </x:c>
      <x:c r="I753" s="262" t="n">
        <x:f>'Historical Inputs'!$N$9*(1+D753)^5</x:f>
        <x:v>677948.5874625918</x:v>
      </x:c>
      <x:c r="J753" s="262" t="n">
        <x:f>I753*(1+H753)*('Terminal Value'!$E$10+E753)*(1-'Assumptions'!$E$15)*(1-H753/'Terminal Value'!$E$12)</x:f>
        <x:v>211563.90421328333</x:v>
      </x:c>
      <x:c r="K753" s="264" t="n">
        <x:f>((SUM((('Historical Inputs'!$N$9*(1+(D753))^1)*(('Assumptions'!E37+(E753))*(1-'Assumptions'!E42-(0))+'Assumptions'!E47-'Assumptions'!E52*(F753)+'Assumptions'!E57-'Assumptions'!E62*(1)-'Assumptions'!E67-(0))+('Working Capital'!$E$6))*'DCF'!E12/(1+(G753))^'DCF'!E13,(('Historical Inputs'!$N$9*(1+(D753))^2)*(('Assumptions'!F37+(E753))*(1-'Assumptions'!F42-(0))+'Assumptions'!F47-'Assumptions'!F52*(F753)+'Assumptions'!F57-'Assumptions'!F62*(1)-'Assumptions'!F67-(0))+(('Historical Inputs'!$N$9*(1+(D753))^1)*('Assumptions'!E67+(0))))*'DCF'!F12/(1+(G753))^'DCF'!F13,(('Historical Inputs'!$N$9*(1+(D753))^3)*(('Assumptions'!G37+(E753))*(1-'Assumptions'!G42-(0))+'Assumptions'!G47-'Assumptions'!G52*(F753)+'Assumptions'!G57-'Assumptions'!G62*(1)-'Assumptions'!G67-(0))+(('Historical Inputs'!$N$9*(1+(D753))^2)*('Assumptions'!F67+(0))))*'DCF'!G12/(1+(G753))^'DCF'!G13,(('Historical Inputs'!$N$9*(1+(D753))^4)*(('Assumptions'!H37+(E753))*(1-'Assumptions'!H42-(0))+'Assumptions'!H47-'Assumptions'!H52*(F753)+'Assumptions'!H57-'Assumptions'!H62*(1)-'Assumptions'!H67-(0))+(('Historical Inputs'!$N$9*(1+(D753))^3)*('Assumptions'!G67+(0))))*'DCF'!H12/(1+(G753))^'DCF'!H13,(('Historical Inputs'!$N$9*(1+(D753))^5)*(('Assumptions'!I37+(E753))*(1-'Assumptions'!I42-(0))+'Assumptions'!I47-'Assumptions'!I52*(F753)+'Assumptions'!I57-'Assumptions'!I62*(1)-'Assumptions'!I67-(0))+(('Historical Inputs'!$N$9*(1+(D753))^4)*('Assumptions'!H67+(0))))*'DCF'!I12/(1+(G753))^'DCF'!I13)+('Historical Inputs'!$N$9*(1+(D753))^5)*(1+(H753))*('Terminal Value'!$E$10+(E753))*(1-'Assumptions'!$E$15-(0))*(1-(H753)/('Terminal Value'!$E$12))/((G753)-(H753))/(1+(G753))^'DCF'!$E$19)+'Equity Bridge'!$E$17)/'Equity Bridge'!$E$20</x:f>
        <x:v>325.9907063683474</x:v>
      </x:c>
      <x:c r="X753" s="255" t="n">
        <x:v>0.6854059517622711</x:v>
      </x:c>
      <x:c r="Y753" s="255" t="n">
        <x:v>0.9720336098364472</x:v>
      </x:c>
      <x:c r="Z753" s="255" t="n">
        <x:v>0.9055738486889515</x:v>
      </x:c>
      <x:c r="AA753" s="255" t="n">
        <x:v>0.3391785690172945</x:v>
      </x:c>
      <x:c r="AB753" s="255" t="n">
        <x:v>0.21505204295730873</x:v>
      </x:c>
    </x:row>
    <x:row r="754" ht="24" customHeight="1">
      <x:c r="C754" s="256" t="n">
        <x:f>723</x:f>
        <x:v>723</x:v>
      </x:c>
      <x:c r="D754" s="258" t="n">
        <x:f>IF(X754&lt;($E$12-$D$12)/($F$12-$D$12),$D$12+SQRT(X754*($F$12-$D$12)*($E$12-$D$12)),$F$12-SQRT((1-X754)*($F$12-$D$12)*($F$12-$E$12)))</x:f>
        <x:v>0.1186997394514621</x:v>
      </x:c>
      <x:c r="E754" s="258" t="n">
        <x:f>IF(Y754&lt;($E$13-$D$13)/($F$13-$D$13),$D$13+SQRT(Y754*($F$13-$D$13)*($E$13-$D$13)),$F$13-SQRT((1-Y754)*($F$13-$D$13)*($F$13-$E$13)))</x:f>
        <x:v>-0.024332165506714878</x:v>
      </x:c>
      <x:c r="F754" s="260" t="n">
        <x:f>IF(Z754&lt;($E$14-$D$14)/($F$14-$D$14),$D$14+SQRT(Z754*($F$14-$D$14)*($E$14-$D$14)),$F$14-SQRT((1-Z754)*($F$14-$D$14)*($F$14-$E$14)))</x:f>
        <x:v>1.0337098241427063</x:v>
      </x:c>
      <x:c r="G754" s="258" t="n">
        <x:f>IF(AA754&lt;($E$15-$D$15)/($F$15-$D$15),$D$15+SQRT(AA754*($F$15-$D$15)*($E$15-$D$15)),$F$15-SQRT((1-AA754)*($F$15-$D$15)*($F$15-$E$15)))</x:f>
        <x:v>0.08771186804480002</x:v>
      </x:c>
      <x:c r="H754" s="258" t="n">
        <x:f>IF(AB754&lt;($E$16-$D$16)/($F$16-$D$16),$D$16+SQRT(AB754*($F$16-$D$16)*($E$16-$D$16)),$F$16-SQRT((1-AB754)*($F$16-$D$16)*($F$16-$E$16)))</x:f>
        <x:v>0.0314347458056665</x:v>
      </x:c>
      <x:c r="I754" s="262" t="n">
        <x:f>'Historical Inputs'!$N$9*(1+D754)^5</x:f>
        <x:v>581426.8864473101</x:v>
      </x:c>
      <x:c r="J754" s="262" t="n">
        <x:f>I754*(1+H754)*('Terminal Value'!$E$10+E754)*(1-'Assumptions'!$E$15)*(1-H754/'Terminal Value'!$E$12)</x:f>
        <x:v>151903.9022268426</x:v>
      </x:c>
      <x:c r="K754" s="264" t="n">
        <x:f>((SUM((('Historical Inputs'!$N$9*(1+(D754))^1)*(('Assumptions'!E37+(E754))*(1-'Assumptions'!E42-(0))+'Assumptions'!E47-'Assumptions'!E52*(F754)+'Assumptions'!E57-'Assumptions'!E62*(1)-'Assumptions'!E67-(0))+('Working Capital'!$E$6))*'DCF'!E12/(1+(G754))^'DCF'!E13,(('Historical Inputs'!$N$9*(1+(D754))^2)*(('Assumptions'!F37+(E754))*(1-'Assumptions'!F42-(0))+'Assumptions'!F47-'Assumptions'!F52*(F754)+'Assumptions'!F57-'Assumptions'!F62*(1)-'Assumptions'!F67-(0))+(('Historical Inputs'!$N$9*(1+(D754))^1)*('Assumptions'!E67+(0))))*'DCF'!F12/(1+(G754))^'DCF'!F13,(('Historical Inputs'!$N$9*(1+(D754))^3)*(('Assumptions'!G37+(E754))*(1-'Assumptions'!G42-(0))+'Assumptions'!G47-'Assumptions'!G52*(F754)+'Assumptions'!G57-'Assumptions'!G62*(1)-'Assumptions'!G67-(0))+(('Historical Inputs'!$N$9*(1+(D754))^2)*('Assumptions'!F67+(0))))*'DCF'!G12/(1+(G754))^'DCF'!G13,(('Historical Inputs'!$N$9*(1+(D754))^4)*(('Assumptions'!H37+(E754))*(1-'Assumptions'!H42-(0))+'Assumptions'!H47-'Assumptions'!H52*(F754)+'Assumptions'!H57-'Assumptions'!H62*(1)-'Assumptions'!H67-(0))+(('Historical Inputs'!$N$9*(1+(D754))^3)*('Assumptions'!G67+(0))))*'DCF'!H12/(1+(G754))^'DCF'!H13,(('Historical Inputs'!$N$9*(1+(D754))^5)*(('Assumptions'!I37+(E754))*(1-'Assumptions'!I42-(0))+'Assumptions'!I47-'Assumptions'!I52*(F754)+'Assumptions'!I57-'Assumptions'!I62*(1)-'Assumptions'!I67-(0))+(('Historical Inputs'!$N$9*(1+(D754))^4)*('Assumptions'!H67+(0))))*'DCF'!I12/(1+(G754))^'DCF'!I13)+('Historical Inputs'!$N$9*(1+(D754))^5)*(1+(H754))*('Terminal Value'!$E$10+(E754))*(1-'Assumptions'!$E$15-(0))*(1-(H754)/('Terminal Value'!$E$12))/((G754)-(H754))/(1+(G754))^'DCF'!$E$19)+'Equity Bridge'!$E$17)/'Equity Bridge'!$E$20</x:f>
        <x:v>289.5928178724185</x:v>
      </x:c>
      <x:c r="X754" s="255" t="n">
        <x:v>0.1294663760332161</x:v>
      </x:c>
      <x:c r="Y754" s="255" t="n">
        <x:v>0.13176754551493552</x:v>
      </x:c>
      <x:c r="Z754" s="255" t="n">
        <x:v>0.6049653916192902</x:v>
      </x:c>
      <x:c r="AA754" s="255" t="n">
        <x:v>0.04644133523501004</x:v>
      </x:c>
      <x:c r="AB754" s="255" t="n">
        <x:v>0.6331821029322621</x:v>
      </x:c>
    </x:row>
    <x:row r="755" ht="24" customHeight="1">
      <x:c r="C755" s="256" t="n">
        <x:f>724</x:f>
        <x:v>724</x:v>
      </x:c>
      <x:c r="D755" s="258" t="n">
        <x:f>IF(X755&lt;($E$12-$D$12)/($F$12-$D$12),$D$12+SQRT(X755*($F$12-$D$12)*($E$12-$D$12)),$F$12-SQRT((1-X755)*($F$12-$D$12)*($F$12-$E$12)))</x:f>
        <x:v>0.13917947331232314</x:v>
      </x:c>
      <x:c r="E755" s="258" t="n">
        <x:f>IF(Y755&lt;($E$13-$D$13)/($F$13-$D$13),$D$13+SQRT(Y755*($F$13-$D$13)*($E$13-$D$13)),$F$13-SQRT((1-Y755)*($F$13-$D$13)*($F$13-$E$13)))</x:f>
        <x:v>0.010017762005591124</x:v>
      </x:c>
      <x:c r="F755" s="260" t="n">
        <x:f>IF(Z755&lt;($E$14-$D$14)/($F$14-$D$14),$D$14+SQRT(Z755*($F$14-$D$14)*($E$14-$D$14)),$F$14-SQRT((1-Z755)*($F$14-$D$14)*($F$14-$E$14)))</x:f>
        <x:v>0.9984068037348781</x:v>
      </x:c>
      <x:c r="G755" s="258" t="n">
        <x:f>IF(AA755&lt;($E$15-$D$15)/($F$15-$D$15),$D$15+SQRT(AA755*($F$15-$D$15)*($E$15-$D$15)),$F$15-SQRT((1-AA755)*($F$15-$D$15)*($F$15-$E$15)))</x:f>
        <x:v>0.0971770526554344</x:v>
      </x:c>
      <x:c r="H755" s="258" t="n">
        <x:f>IF(AB755&lt;($E$16-$D$16)/($F$16-$D$16),$D$16+SQRT(AB755*($F$16-$D$16)*($E$16-$D$16)),$F$16-SQRT((1-AB755)*($F$16-$D$16)*($F$16-$E$16)))</x:f>
        <x:v>0.036402180232183216</x:v>
      </x:c>
      <x:c r="I755" s="262" t="n">
        <x:f>'Historical Inputs'!$N$9*(1+D755)^5</x:f>
        <x:v>636631.583591404</x:v>
      </x:c>
      <x:c r="J755" s="262" t="n">
        <x:f>I755*(1+H755)*('Terminal Value'!$E$10+E755)*(1-'Assumptions'!$E$15)*(1-H755/'Terminal Value'!$E$12)</x:f>
        <x:v>177033.99588317683</x:v>
      </x:c>
      <x:c r="K755" s="264" t="n">
        <x:f>((SUM((('Historical Inputs'!$N$9*(1+(D755))^1)*(('Assumptions'!E37+(E755))*(1-'Assumptions'!E42-(0))+'Assumptions'!E47-'Assumptions'!E52*(F755)+'Assumptions'!E57-'Assumptions'!E62*(1)-'Assumptions'!E67-(0))+('Working Capital'!$E$6))*'DCF'!E12/(1+(G755))^'DCF'!E13,(('Historical Inputs'!$N$9*(1+(D755))^2)*(('Assumptions'!F37+(E755))*(1-'Assumptions'!F42-(0))+'Assumptions'!F47-'Assumptions'!F52*(F755)+'Assumptions'!F57-'Assumptions'!F62*(1)-'Assumptions'!F67-(0))+(('Historical Inputs'!$N$9*(1+(D755))^1)*('Assumptions'!E67+(0))))*'DCF'!F12/(1+(G755))^'DCF'!F13,(('Historical Inputs'!$N$9*(1+(D755))^3)*(('Assumptions'!G37+(E755))*(1-'Assumptions'!G42-(0))+'Assumptions'!G47-'Assumptions'!G52*(F755)+'Assumptions'!G57-'Assumptions'!G62*(1)-'Assumptions'!G67-(0))+(('Historical Inputs'!$N$9*(1+(D755))^2)*('Assumptions'!F67+(0))))*'DCF'!G12/(1+(G755))^'DCF'!G13,(('Historical Inputs'!$N$9*(1+(D755))^4)*(('Assumptions'!H37+(E755))*(1-'Assumptions'!H42-(0))+'Assumptions'!H47-'Assumptions'!H52*(F755)+'Assumptions'!H57-'Assumptions'!H62*(1)-'Assumptions'!H67-(0))+(('Historical Inputs'!$N$9*(1+(D755))^3)*('Assumptions'!G67+(0))))*'DCF'!H12/(1+(G755))^'DCF'!H13,(('Historical Inputs'!$N$9*(1+(D755))^5)*(('Assumptions'!I37+(E755))*(1-'Assumptions'!I42-(0))+'Assumptions'!I47-'Assumptions'!I52*(F755)+'Assumptions'!I57-'Assumptions'!I62*(1)-'Assumptions'!I67-(0))+(('Historical Inputs'!$N$9*(1+(D755))^4)*('Assumptions'!H67+(0))))*'DCF'!I12/(1+(G755))^'DCF'!I13)+('Historical Inputs'!$N$9*(1+(D755))^5)*(1+(H755))*('Terminal Value'!$E$10+(E755))*(1-'Assumptions'!$E$15-(0))*(1-(H755)/('Terminal Value'!$E$12))/((G755)-(H755))/(1+(G755))^'DCF'!$E$19)+'Equity Bridge'!$E$17)/'Equity Bridge'!$E$20</x:f>
        <x:v>309.51328066261846</x:v>
      </x:c>
      <x:c r="X755" s="255" t="n">
        <x:v>0.42177431010168653</x:v>
      </x:c>
      <x:c r="Y755" s="255" t="n">
        <x:v>0.6802841289916894</x:v>
      </x:c>
      <x:c r="Z755" s="255" t="n">
        <x:v>0.4195157979962404</x:v>
      </x:c>
      <x:c r="AA755" s="255" t="n">
        <x:v>0.4378410663836676</x:v>
      </x:c>
      <x:c r="AB755" s="255" t="n">
        <x:v>0.935278464591534</x:v>
      </x:c>
    </x:row>
    <x:row r="756" ht="24" customHeight="1">
      <x:c r="C756" s="256" t="n">
        <x:f>725</x:f>
        <x:v>725</x:v>
      </x:c>
      <x:c r="D756" s="258" t="n">
        <x:f>IF(X756&lt;($E$12-$D$12)/($F$12-$D$12),$D$12+SQRT(X756*($F$12-$D$12)*($E$12-$D$12)),$F$12-SQRT((1-X756)*($F$12-$D$12)*($F$12-$E$12)))</x:f>
        <x:v>0.1328058032816429</x:v>
      </x:c>
      <x:c r="E756" s="258" t="n">
        <x:f>IF(Y756&lt;($E$13-$D$13)/($F$13-$D$13),$D$13+SQRT(Y756*($F$13-$D$13)*($E$13-$D$13)),$F$13-SQRT((1-Y756)*($F$13-$D$13)*($F$13-$E$13)))</x:f>
        <x:v>0.00021881913334773073</x:v>
      </x:c>
      <x:c r="F756" s="260" t="n">
        <x:f>IF(Z756&lt;($E$14-$D$14)/($F$14-$D$14),$D$14+SQRT(Z756*($F$14-$D$14)*($E$14-$D$14)),$F$14-SQRT((1-Z756)*($F$14-$D$14)*($F$14-$E$14)))</x:f>
        <x:v>0.917857399509051</x:v>
      </x:c>
      <x:c r="G756" s="258" t="n">
        <x:f>IF(AA756&lt;($E$15-$D$15)/($F$15-$D$15),$D$15+SQRT(AA756*($F$15-$D$15)*($E$15-$D$15)),$F$15-SQRT((1-AA756)*($F$15-$D$15)*($F$15-$E$15)))</x:f>
        <x:v>0.09351839430477082</x:v>
      </x:c>
      <x:c r="H756" s="258" t="n">
        <x:f>IF(AB756&lt;($E$16-$D$16)/($F$16-$D$16),$D$16+SQRT(AB756*($F$16-$D$16)*($E$16-$D$16)),$F$16-SQRT((1-AB756)*($F$16-$D$16)*($F$16-$E$16)))</x:f>
        <x:v>0.03169019164614459</x:v>
      </x:c>
      <x:c r="I756" s="262" t="n">
        <x:f>'Historical Inputs'!$N$9*(1+D756)^5</x:f>
        <x:v>619020.1013236274</x:v>
      </x:c>
      <x:c r="J756" s="262" t="n">
        <x:f>I756*(1+H756)*('Terminal Value'!$E$10+E756)*(1-'Assumptions'!$E$15)*(1-H756/'Terminal Value'!$E$12)</x:f>
        <x:v>172076.26731033868</x:v>
      </x:c>
      <x:c r="K756" s="264" t="n">
        <x:f>((SUM((('Historical Inputs'!$N$9*(1+(D756))^1)*(('Assumptions'!E37+(E756))*(1-'Assumptions'!E42-(0))+'Assumptions'!E47-'Assumptions'!E52*(F756)+'Assumptions'!E57-'Assumptions'!E62*(1)-'Assumptions'!E67-(0))+('Working Capital'!$E$6))*'DCF'!E12/(1+(G756))^'DCF'!E13,(('Historical Inputs'!$N$9*(1+(D756))^2)*(('Assumptions'!F37+(E756))*(1-'Assumptions'!F42-(0))+'Assumptions'!F47-'Assumptions'!F52*(F756)+'Assumptions'!F57-'Assumptions'!F62*(1)-'Assumptions'!F67-(0))+(('Historical Inputs'!$N$9*(1+(D756))^1)*('Assumptions'!E67+(0))))*'DCF'!F12/(1+(G756))^'DCF'!F13,(('Historical Inputs'!$N$9*(1+(D756))^3)*(('Assumptions'!G37+(E756))*(1-'Assumptions'!G42-(0))+'Assumptions'!G47-'Assumptions'!G52*(F756)+'Assumptions'!G57-'Assumptions'!G62*(1)-'Assumptions'!G67-(0))+(('Historical Inputs'!$N$9*(1+(D756))^2)*('Assumptions'!F67+(0))))*'DCF'!G12/(1+(G756))^'DCF'!G13,(('Historical Inputs'!$N$9*(1+(D756))^4)*(('Assumptions'!H37+(E756))*(1-'Assumptions'!H42-(0))+'Assumptions'!H47-'Assumptions'!H52*(F756)+'Assumptions'!H57-'Assumptions'!H62*(1)-'Assumptions'!H67-(0))+(('Historical Inputs'!$N$9*(1+(D756))^3)*('Assumptions'!G67+(0))))*'DCF'!H12/(1+(G756))^'DCF'!H13,(('Historical Inputs'!$N$9*(1+(D756))^5)*(('Assumptions'!I37+(E756))*(1-'Assumptions'!I42-(0))+'Assumptions'!I47-'Assumptions'!I52*(F756)+'Assumptions'!I57-'Assumptions'!I62*(1)-'Assumptions'!I67-(0))+(('Historical Inputs'!$N$9*(1+(D756))^4)*('Assumptions'!H67+(0))))*'DCF'!I12/(1+(G756))^'DCF'!I13)+('Historical Inputs'!$N$9*(1+(D756))^5)*(1+(H756))*('Terminal Value'!$E$10+(E756))*(1-'Assumptions'!$E$15-(0))*(1-(H756)/('Terminal Value'!$E$12))/((G756)-(H756))/(1+(G756))^'DCF'!$E$19)+'Equity Bridge'!$E$17)/'Equity Bridge'!$E$20</x:f>
        <x:v>304.548115367401</x:v>
      </x:c>
      <x:c r="X756" s="255" t="n">
        <x:v>0.3128212229243331</x:v>
      </x:c>
      <x:c r="Y756" s="255" t="n">
        <x:v>0.5043668063043308</x:v>
      </x:c>
      <x:c r="Z756" s="255" t="n">
        <x:v>0.0877071746310657</x:v>
      </x:c>
      <x:c r="AA756" s="255" t="n">
        <x:v>0.23934089596868124</x:v>
      </x:c>
      <x:c r="AB756" s="255" t="n">
        <x:v>0.6547354256109739</x:v>
      </x:c>
    </x:row>
    <x:row r="757" ht="24" customHeight="1">
      <x:c r="C757" s="256" t="n">
        <x:f>726</x:f>
        <x:v>726</x:v>
      </x:c>
      <x:c r="D757" s="258" t="n">
        <x:f>IF(X757&lt;($E$12-$D$12)/($F$12-$D$12),$D$12+SQRT(X757*($F$12-$D$12)*($E$12-$D$12)),$F$12-SQRT((1-X757)*($F$12-$D$12)*($F$12-$E$12)))</x:f>
        <x:v>0.13428272811911093</x:v>
      </x:c>
      <x:c r="E757" s="258" t="n">
        <x:f>IF(Y757&lt;($E$13-$D$13)/($F$13-$D$13),$D$13+SQRT(Y757*($F$13-$D$13)*($E$13-$D$13)),$F$13-SQRT((1-Y757)*($F$13-$D$13)*($F$13-$E$13)))</x:f>
        <x:v>0.027704697717040417</x:v>
      </x:c>
      <x:c r="F757" s="260" t="n">
        <x:f>IF(Z757&lt;($E$14-$D$14)/($F$14-$D$14),$D$14+SQRT(Z757*($F$14-$D$14)*($E$14-$D$14)),$F$14-SQRT((1-Z757)*($F$14-$D$14)*($F$14-$E$14)))</x:f>
        <x:v>0.9639676376943034</x:v>
      </x:c>
      <x:c r="G757" s="258" t="n">
        <x:f>IF(AA757&lt;($E$15-$D$15)/($F$15-$D$15),$D$15+SQRT(AA757*($F$15-$D$15)*($E$15-$D$15)),$F$15-SQRT((1-AA757)*($F$15-$D$15)*($F$15-$E$15)))</x:f>
        <x:v>0.09084420805664352</x:v>
      </x:c>
      <x:c r="H757" s="258" t="n">
        <x:f>IF(AB757&lt;($E$16-$D$16)/($F$16-$D$16),$D$16+SQRT(AB757*($F$16-$D$16)*($E$16-$D$16)),$F$16-SQRT((1-AB757)*($F$16-$D$16)*($F$16-$E$16)))</x:f>
        <x:v>0.03243242680281863</x:v>
      </x:c>
      <x:c r="I757" s="262" t="n">
        <x:f>'Historical Inputs'!$N$9*(1+D757)^5</x:f>
        <x:v>623065.9546117797</x:v>
      </x:c>
      <x:c r="J757" s="262" t="n">
        <x:f>I757*(1+H757)*('Terminal Value'!$E$10+E757)*(1-'Assumptions'!$E$15)*(1-H757/'Terminal Value'!$E$12)</x:f>
        <x:v>184412.20025484552</x:v>
      </x:c>
      <x:c r="K757" s="264" t="n">
        <x:f>((SUM((('Historical Inputs'!$N$9*(1+(D757))^1)*(('Assumptions'!E37+(E757))*(1-'Assumptions'!E42-(0))+'Assumptions'!E47-'Assumptions'!E52*(F757)+'Assumptions'!E57-'Assumptions'!E62*(1)-'Assumptions'!E67-(0))+('Working Capital'!$E$6))*'DCF'!E12/(1+(G757))^'DCF'!E13,(('Historical Inputs'!$N$9*(1+(D757))^2)*(('Assumptions'!F37+(E757))*(1-'Assumptions'!F42-(0))+'Assumptions'!F47-'Assumptions'!F52*(F757)+'Assumptions'!F57-'Assumptions'!F62*(1)-'Assumptions'!F67-(0))+(('Historical Inputs'!$N$9*(1+(D757))^1)*('Assumptions'!E67+(0))))*'DCF'!F12/(1+(G757))^'DCF'!F13,(('Historical Inputs'!$N$9*(1+(D757))^3)*(('Assumptions'!G37+(E757))*(1-'Assumptions'!G42-(0))+'Assumptions'!G47-'Assumptions'!G52*(F757)+'Assumptions'!G57-'Assumptions'!G62*(1)-'Assumptions'!G67-(0))+(('Historical Inputs'!$N$9*(1+(D757))^2)*('Assumptions'!F67+(0))))*'DCF'!G12/(1+(G757))^'DCF'!G13,(('Historical Inputs'!$N$9*(1+(D757))^4)*(('Assumptions'!H37+(E757))*(1-'Assumptions'!H42-(0))+'Assumptions'!H47-'Assumptions'!H52*(F757)+'Assumptions'!H57-'Assumptions'!H62*(1)-'Assumptions'!H67-(0))+(('Historical Inputs'!$N$9*(1+(D757))^3)*('Assumptions'!G67+(0))))*'DCF'!H12/(1+(G757))^'DCF'!H13,(('Historical Inputs'!$N$9*(1+(D757))^5)*(('Assumptions'!I37+(E757))*(1-'Assumptions'!I42-(0))+'Assumptions'!I47-'Assumptions'!I52*(F757)+'Assumptions'!I57-'Assumptions'!I62*(1)-'Assumptions'!I67-(0))+(('Historical Inputs'!$N$9*(1+(D757))^4)*('Assumptions'!H67+(0))))*'DCF'!I12/(1+(G757))^'DCF'!I13)+('Historical Inputs'!$N$9*(1+(D757))^5)*(1+(H757))*('Terminal Value'!$E$10+(E757))*(1-'Assumptions'!$E$15-(0))*(1-(H757)/('Terminal Value'!$E$12))/((G757)-(H757))/(1+(G757))^'DCF'!$E$19)+'Equity Bridge'!$E$17)/'Equity Bridge'!$E$20</x:f>
        <x:v>344.0622388813242</x:v>
      </x:c>
      <x:c r="X757" s="255" t="n">
        <x:v>0.33662171536877883</x:v>
      </x:c>
      <x:c r="Y757" s="255" t="n">
        <x:v>0.9005838992222914</x:v>
      </x:c>
      <x:c r="Z757" s="255" t="n">
        <x:v>0.24740233222133323</x:v>
      </x:c>
      <x:c r="AA757" s="255" t="n">
        <x:v>0.13188695939250294</x:v>
      </x:c>
      <x:c r="AB757" s="255" t="n">
        <x:v>0.713659179526511</x:v>
      </x:c>
    </x:row>
    <x:row r="758" ht="24" customHeight="1">
      <x:c r="C758" s="256" t="n">
        <x:f>727</x:f>
        <x:v>727</x:v>
      </x:c>
      <x:c r="D758" s="258" t="n">
        <x:f>IF(X758&lt;($E$12-$D$12)/($F$12-$D$12),$D$12+SQRT(X758*($F$12-$D$12)*($E$12-$D$12)),$F$12-SQRT((1-X758)*($F$12-$D$12)*($F$12-$E$12)))</x:f>
        <x:v>0.17662226200445724</x:v>
      </x:c>
      <x:c r="E758" s="258" t="n">
        <x:f>IF(Y758&lt;($E$13-$D$13)/($F$13-$D$13),$D$13+SQRT(Y758*($F$13-$D$13)*($E$13-$D$13)),$F$13-SQRT((1-Y758)*($F$13-$D$13)*($F$13-$E$13)))</x:f>
        <x:v>-0.02264526478577762</x:v>
      </x:c>
      <x:c r="F758" s="260" t="n">
        <x:f>IF(Z758&lt;($E$14-$D$14)/($F$14-$D$14),$D$14+SQRT(Z758*($F$14-$D$14)*($E$14-$D$14)),$F$14-SQRT((1-Z758)*($F$14-$D$14)*($F$14-$E$14)))</x:f>
        <x:v>1.023541293473429</x:v>
      </x:c>
      <x:c r="G758" s="258" t="n">
        <x:f>IF(AA758&lt;($E$15-$D$15)/($F$15-$D$15),$D$15+SQRT(AA758*($F$15-$D$15)*($E$15-$D$15)),$F$15-SQRT((1-AA758)*($F$15-$D$15)*($F$15-$E$15)))</x:f>
        <x:v>0.09299994874657064</x:v>
      </x:c>
      <x:c r="H758" s="258" t="n">
        <x:f>IF(AB758&lt;($E$16-$D$16)/($F$16-$D$16),$D$16+SQRT(AB758*($F$16-$D$16)*($E$16-$D$16)),$F$16-SQRT((1-AB758)*($F$16-$D$16)*($F$16-$E$16)))</x:f>
        <x:v>0.0266663504760709</x:v>
      </x:c>
      <x:c r="I758" s="262" t="n">
        <x:f>'Historical Inputs'!$N$9*(1+D758)^5</x:f>
        <x:v>748363.7308665196</x:v>
      </x:c>
      <x:c r="J758" s="262" t="n">
        <x:f>I758*(1+H758)*('Terminal Value'!$E$10+E758)*(1-'Assumptions'!$E$15)*(1-H758/'Terminal Value'!$E$12)</x:f>
        <x:v>201017.90201099176</x:v>
      </x:c>
      <x:c r="K758" s="264" t="n">
        <x:f>((SUM((('Historical Inputs'!$N$9*(1+(D758))^1)*(('Assumptions'!E37+(E758))*(1-'Assumptions'!E42-(0))+'Assumptions'!E47-'Assumptions'!E52*(F758)+'Assumptions'!E57-'Assumptions'!E62*(1)-'Assumptions'!E67-(0))+('Working Capital'!$E$6))*'DCF'!E12/(1+(G758))^'DCF'!E13,(('Historical Inputs'!$N$9*(1+(D758))^2)*(('Assumptions'!F37+(E758))*(1-'Assumptions'!F42-(0))+'Assumptions'!F47-'Assumptions'!F52*(F758)+'Assumptions'!F57-'Assumptions'!F62*(1)-'Assumptions'!F67-(0))+(('Historical Inputs'!$N$9*(1+(D758))^1)*('Assumptions'!E67+(0))))*'DCF'!F12/(1+(G758))^'DCF'!F13,(('Historical Inputs'!$N$9*(1+(D758))^3)*(('Assumptions'!G37+(E758))*(1-'Assumptions'!G42-(0))+'Assumptions'!G47-'Assumptions'!G52*(F758)+'Assumptions'!G57-'Assumptions'!G62*(1)-'Assumptions'!G67-(0))+(('Historical Inputs'!$N$9*(1+(D758))^2)*('Assumptions'!F67+(0))))*'DCF'!G12/(1+(G758))^'DCF'!G13,(('Historical Inputs'!$N$9*(1+(D758))^4)*(('Assumptions'!H37+(E758))*(1-'Assumptions'!H42-(0))+'Assumptions'!H47-'Assumptions'!H52*(F758)+'Assumptions'!H57-'Assumptions'!H62*(1)-'Assumptions'!H67-(0))+(('Historical Inputs'!$N$9*(1+(D758))^3)*('Assumptions'!G67+(0))))*'DCF'!H12/(1+(G758))^'DCF'!H13,(('Historical Inputs'!$N$9*(1+(D758))^5)*(('Assumptions'!I37+(E758))*(1-'Assumptions'!I42-(0))+'Assumptions'!I47-'Assumptions'!I52*(F758)+'Assumptions'!I57-'Assumptions'!I62*(1)-'Assumptions'!I67-(0))+(('Historical Inputs'!$N$9*(1+(D758))^4)*('Assumptions'!H67+(0))))*'DCF'!I12/(1+(G758))^'DCF'!I13)+('Historical Inputs'!$N$9*(1+(D758))^5)*(1+(H758))*('Terminal Value'!$E$10+(E758))*(1-'Assumptions'!$E$15-(0))*(1-(H758)/('Terminal Value'!$E$12))/((G758)-(H758))/(1+(G758))^'DCF'!$E$19)+'Equity Bridge'!$E$17)/'Equity Bridge'!$E$20</x:f>
        <x:v>323.1576022921661</x:v>
      </x:c>
      <x:c r="X758" s="255" t="n">
        <x:v>0.9446569531355355</x:v>
      </x:c>
      <x:c r="Y758" s="255" t="n">
        <x:v>0.1496563077280436</x:v>
      </x:c>
      <x:c r="Z758" s="255" t="n">
        <x:v>0.555176069870992</x:v>
      </x:c>
      <x:c r="AA758" s="255" t="n">
        <x:v>0.2160251267559814</x:v>
      </x:c>
      <x:c r="AB758" s="255" t="n">
        <x:v>0.22220114334905372</x:v>
      </x:c>
    </x:row>
    <x:row r="759" ht="24" customHeight="1">
      <x:c r="C759" s="256" t="n">
        <x:f>728</x:f>
        <x:v>728</x:v>
      </x:c>
      <x:c r="D759" s="258" t="n">
        <x:f>IF(X759&lt;($E$12-$D$12)/($F$12-$D$12),$D$12+SQRT(X759*($F$12-$D$12)*($E$12-$D$12)),$F$12-SQRT((1-X759)*($F$12-$D$12)*($F$12-$E$12)))</x:f>
        <x:v>0.14880724788944882</x:v>
      </x:c>
      <x:c r="E759" s="258" t="n">
        <x:f>IF(Y759&lt;($E$13-$D$13)/($F$13-$D$13),$D$13+SQRT(Y759*($F$13-$D$13)*($E$13-$D$13)),$F$13-SQRT((1-Y759)*($F$13-$D$13)*($F$13-$E$13)))</x:f>
        <x:v>0.016361532427103677</x:v>
      </x:c>
      <x:c r="F759" s="260" t="n">
        <x:f>IF(Z759&lt;($E$14-$D$14)/($F$14-$D$14),$D$14+SQRT(Z759*($F$14-$D$14)*($E$14-$D$14)),$F$14-SQRT((1-Z759)*($F$14-$D$14)*($F$14-$E$14)))</x:f>
        <x:v>1.1195126960819468</x:v>
      </x:c>
      <x:c r="G759" s="258" t="n">
        <x:f>IF(AA759&lt;($E$15-$D$15)/($F$15-$D$15),$D$15+SQRT(AA759*($F$15-$D$15)*($E$15-$D$15)),$F$15-SQRT((1-AA759)*($F$15-$D$15)*($F$15-$E$15)))</x:f>
        <x:v>0.10195195466834665</x:v>
      </x:c>
      <x:c r="H759" s="258" t="n">
        <x:f>IF(AB759&lt;($E$16-$D$16)/($F$16-$D$16),$D$16+SQRT(AB759*($F$16-$D$16)*($E$16-$D$16)),$F$16-SQRT((1-AB759)*($F$16-$D$16)*($F$16-$E$16)))</x:f>
        <x:v>0.029242473645913907</x:v>
      </x:c>
      <x:c r="I759" s="262" t="n">
        <x:f>'Historical Inputs'!$N$9*(1+D759)^5</x:f>
        <x:v>663992.6322963127</x:v>
      </x:c>
      <x:c r="J759" s="262" t="n">
        <x:f>I759*(1+H759)*('Terminal Value'!$E$10+E759)*(1-'Assumptions'!$E$15)*(1-H759/'Terminal Value'!$E$12)</x:f>
        <x:v>194353.06985477763</x:v>
      </x:c>
      <x:c r="K759" s="264" t="n">
        <x:f>((SUM((('Historical Inputs'!$N$9*(1+(D759))^1)*(('Assumptions'!E37+(E759))*(1-'Assumptions'!E42-(0))+'Assumptions'!E47-'Assumptions'!E52*(F759)+'Assumptions'!E57-'Assumptions'!E62*(1)-'Assumptions'!E67-(0))+('Working Capital'!$E$6))*'DCF'!E12/(1+(G759))^'DCF'!E13,(('Historical Inputs'!$N$9*(1+(D759))^2)*(('Assumptions'!F37+(E759))*(1-'Assumptions'!F42-(0))+'Assumptions'!F47-'Assumptions'!F52*(F759)+'Assumptions'!F57-'Assumptions'!F62*(1)-'Assumptions'!F67-(0))+(('Historical Inputs'!$N$9*(1+(D759))^1)*('Assumptions'!E67+(0))))*'DCF'!F12/(1+(G759))^'DCF'!F13,(('Historical Inputs'!$N$9*(1+(D759))^3)*(('Assumptions'!G37+(E759))*(1-'Assumptions'!G42-(0))+'Assumptions'!G47-'Assumptions'!G52*(F759)+'Assumptions'!G57-'Assumptions'!G62*(1)-'Assumptions'!G67-(0))+(('Historical Inputs'!$N$9*(1+(D759))^2)*('Assumptions'!F67+(0))))*'DCF'!G12/(1+(G759))^'DCF'!G13,(('Historical Inputs'!$N$9*(1+(D759))^4)*(('Assumptions'!H37+(E759))*(1-'Assumptions'!H42-(0))+'Assumptions'!H47-'Assumptions'!H52*(F759)+'Assumptions'!H57-'Assumptions'!H62*(1)-'Assumptions'!H67-(0))+(('Historical Inputs'!$N$9*(1+(D759))^3)*('Assumptions'!G67+(0))))*'DCF'!H12/(1+(G759))^'DCF'!H13,(('Historical Inputs'!$N$9*(1+(D759))^5)*(('Assumptions'!I37+(E759))*(1-'Assumptions'!I42-(0))+'Assumptions'!I47-'Assumptions'!I52*(F759)+'Assumptions'!I57-'Assumptions'!I62*(1)-'Assumptions'!I67-(0))+(('Historical Inputs'!$N$9*(1+(D759))^4)*('Assumptions'!H67+(0))))*'DCF'!I12/(1+(G759))^'DCF'!I13)+('Historical Inputs'!$N$9*(1+(D759))^5)*(1+(H759))*('Terminal Value'!$E$10+(E759))*(1-'Assumptions'!$E$15-(0))*(1-(H759)/('Terminal Value'!$E$12))/((G759)-(H759))/(1+(G759))^'DCF'!$E$19)+'Equity Bridge'!$E$17)/'Equity Bridge'!$E$20</x:f>
        <x:v>278.6400084796307</x:v>
      </x:c>
      <x:c r="X759" s="255" t="n">
        <x:v>0.6048435193968791</x:v>
      </x:c>
      <x:c r="Y759" s="255" t="n">
        <x:v>0.7736906998694405</x:v>
      </x:c>
      <x:c r="Z759" s="255" t="n">
        <x:v>0.9074541986857565</x:v>
      </x:c>
      <x:c r="AA759" s="255" t="n">
        <x:v>0.7218208405133505</x:v>
      </x:c>
      <x:c r="AB759" s="255" t="n">
        <x:v>0.4271165954770657</x:v>
      </x:c>
    </x:row>
    <x:row r="760" ht="24" customHeight="1">
      <x:c r="C760" s="256" t="n">
        <x:f>729</x:f>
        <x:v>729</x:v>
      </x:c>
      <x:c r="D760" s="258" t="n">
        <x:f>IF(X760&lt;($E$12-$D$12)/($F$12-$D$12),$D$12+SQRT(X760*($F$12-$D$12)*($E$12-$D$12)),$F$12-SQRT((1-X760)*($F$12-$D$12)*($F$12-$E$12)))</x:f>
        <x:v>0.15447663086954655</x:v>
      </x:c>
      <x:c r="E760" s="258" t="n">
        <x:f>IF(Y760&lt;($E$13-$D$13)/($F$13-$D$13),$D$13+SQRT(Y760*($F$13-$D$13)*($E$13-$D$13)),$F$13-SQRT((1-Y760)*($F$13-$D$13)*($F$13-$E$13)))</x:f>
        <x:v>-0.041779336931362134</x:v>
      </x:c>
      <x:c r="F760" s="260" t="n">
        <x:f>IF(Z760&lt;($E$14-$D$14)/($F$14-$D$14),$D$14+SQRT(Z760*($F$14-$D$14)*($E$14-$D$14)),$F$14-SQRT((1-Z760)*($F$14-$D$14)*($F$14-$E$14)))</x:f>
        <x:v>0.8762934618383315</x:v>
      </x:c>
      <x:c r="G760" s="258" t="n">
        <x:f>IF(AA760&lt;($E$15-$D$15)/($F$15-$D$15),$D$15+SQRT(AA760*($F$15-$D$15)*($E$15-$D$15)),$F$15-SQRT((1-AA760)*($F$15-$D$15)*($F$15-$E$15)))</x:f>
        <x:v>0.10371465925346114</x:v>
      </x:c>
      <x:c r="H760" s="258" t="n">
        <x:f>IF(AB760&lt;($E$16-$D$16)/($F$16-$D$16),$D$16+SQRT(AB760*($F$16-$D$16)*($E$16-$D$16)),$F$16-SQRT((1-AB760)*($F$16-$D$16)*($F$16-$E$16)))</x:f>
        <x:v>0.03620162409951841</x:v>
      </x:c>
      <x:c r="I760" s="262" t="n">
        <x:f>'Historical Inputs'!$N$9*(1+D760)^5</x:f>
        <x:v>680539.2173937269</x:v>
      </x:c>
      <x:c r="J760" s="262" t="n">
        <x:f>I760*(1+H760)*('Terminal Value'!$E$10+E760)*(1-'Assumptions'!$E$15)*(1-H760/'Terminal Value'!$E$12)</x:f>
        <x:v>165507.48603679505</x:v>
      </x:c>
      <x:c r="K760" s="264" t="n">
        <x:f>((SUM((('Historical Inputs'!$N$9*(1+(D760))^1)*(('Assumptions'!E37+(E760))*(1-'Assumptions'!E42-(0))+'Assumptions'!E47-'Assumptions'!E52*(F760)+'Assumptions'!E57-'Assumptions'!E62*(1)-'Assumptions'!E67-(0))+('Working Capital'!$E$6))*'DCF'!E12/(1+(G760))^'DCF'!E13,(('Historical Inputs'!$N$9*(1+(D760))^2)*(('Assumptions'!F37+(E760))*(1-'Assumptions'!F42-(0))+'Assumptions'!F47-'Assumptions'!F52*(F760)+'Assumptions'!F57-'Assumptions'!F62*(1)-'Assumptions'!F67-(0))+(('Historical Inputs'!$N$9*(1+(D760))^1)*('Assumptions'!E67+(0))))*'DCF'!F12/(1+(G760))^'DCF'!F13,(('Historical Inputs'!$N$9*(1+(D760))^3)*(('Assumptions'!G37+(E760))*(1-'Assumptions'!G42-(0))+'Assumptions'!G47-'Assumptions'!G52*(F760)+'Assumptions'!G57-'Assumptions'!G62*(1)-'Assumptions'!G67-(0))+(('Historical Inputs'!$N$9*(1+(D760))^2)*('Assumptions'!F67+(0))))*'DCF'!G12/(1+(G760))^'DCF'!G13,(('Historical Inputs'!$N$9*(1+(D760))^4)*(('Assumptions'!H37+(E760))*(1-'Assumptions'!H42-(0))+'Assumptions'!H47-'Assumptions'!H52*(F760)+'Assumptions'!H57-'Assumptions'!H62*(1)-'Assumptions'!H67-(0))+(('Historical Inputs'!$N$9*(1+(D760))^3)*('Assumptions'!G67+(0))))*'DCF'!H12/(1+(G760))^'DCF'!H13,(('Historical Inputs'!$N$9*(1+(D760))^5)*(('Assumptions'!I37+(E760))*(1-'Assumptions'!I42-(0))+'Assumptions'!I47-'Assumptions'!I52*(F760)+'Assumptions'!I57-'Assumptions'!I62*(1)-'Assumptions'!I67-(0))+(('Historical Inputs'!$N$9*(1+(D760))^4)*('Assumptions'!H67+(0))))*'DCF'!I12/(1+(G760))^'DCF'!I13)+('Historical Inputs'!$N$9*(1+(D760))^5)*(1+(H760))*('Terminal Value'!$E$10+(E760))*(1-'Assumptions'!$E$15-(0))*(1-(H760)/('Terminal Value'!$E$12))/((G760)-(H760))/(1+(G760))^'DCF'!$E$19)+'Equity Bridge'!$E$17)/'Equity Bridge'!$E$20</x:f>
        <x:v>262.57302018283167</x:v>
      </x:c>
      <x:c r="X760" s="255" t="n">
        <x:v>0.6992162554520349</x:v>
      </x:c>
      <x:c r="Y760" s="255" t="n">
        <x:v>0.01351586025761331</x:v>
      </x:c>
      <x:c r="Z760" s="255" t="n">
        <x:v>0.01316849781797702</x:v>
      </x:c>
      <x:c r="AA760" s="255" t="n">
        <x:v>0.8025688673060956</x:v>
      </x:c>
      <x:c r="AB760" s="255" t="n">
        <x:v>0.9278617025932032</x:v>
      </x:c>
    </x:row>
    <x:row r="761" ht="24" customHeight="1">
      <x:c r="C761" s="256" t="n">
        <x:f>730</x:f>
        <x:v>730</x:v>
      </x:c>
      <x:c r="D761" s="258" t="n">
        <x:f>IF(X761&lt;($E$12-$D$12)/($F$12-$D$12),$D$12+SQRT(X761*($F$12-$D$12)*($E$12-$D$12)),$F$12-SQRT((1-X761)*($F$12-$D$12)*($F$12-$E$12)))</x:f>
        <x:v>0.12990434867715478</x:v>
      </x:c>
      <x:c r="E761" s="258" t="n">
        <x:f>IF(Y761&lt;($E$13-$D$13)/($F$13-$D$13),$D$13+SQRT(Y761*($F$13-$D$13)*($E$13-$D$13)),$F$13-SQRT((1-Y761)*($F$13-$D$13)*($F$13-$E$13)))</x:f>
        <x:v>-0.013079802785198234</x:v>
      </x:c>
      <x:c r="F761" s="260" t="n">
        <x:f>IF(Z761&lt;($E$14-$D$14)/($F$14-$D$14),$D$14+SQRT(Z761*($F$14-$D$14)*($E$14-$D$14)),$F$14-SQRT((1-Z761)*($F$14-$D$14)*($F$14-$E$14)))</x:f>
        <x:v>1.1109824655822946</x:v>
      </x:c>
      <x:c r="G761" s="258" t="n">
        <x:f>IF(AA761&lt;($E$15-$D$15)/($F$15-$D$15),$D$15+SQRT(AA761*($F$15-$D$15)*($E$15-$D$15)),$F$15-SQRT((1-AA761)*($F$15-$D$15)*($F$15-$E$15)))</x:f>
        <x:v>0.10369794169995782</x:v>
      </x:c>
      <x:c r="H761" s="258" t="n">
        <x:f>IF(AB761&lt;($E$16-$D$16)/($F$16-$D$16),$D$16+SQRT(AB761*($F$16-$D$16)*($E$16-$D$16)),$F$16-SQRT((1-AB761)*($F$16-$D$16)*($F$16-$E$16)))</x:f>
        <x:v>0.03222857334327757</x:v>
      </x:c>
      <x:c r="I761" s="262" t="n">
        <x:f>'Historical Inputs'!$N$9*(1+D761)^5</x:f>
        <x:v>611133.1282627803</x:v>
      </x:c>
      <x:c r="J761" s="262" t="n">
        <x:f>I761*(1+H761)*('Terminal Value'!$E$10+E761)*(1-'Assumptions'!$E$15)*(1-H761/'Terminal Value'!$E$12)</x:f>
        <x:v>163798.94214731213</x:v>
      </x:c>
      <x:c r="K761" s="264" t="n">
        <x:f>((SUM((('Historical Inputs'!$N$9*(1+(D761))^1)*(('Assumptions'!E37+(E761))*(1-'Assumptions'!E42-(0))+'Assumptions'!E47-'Assumptions'!E52*(F761)+'Assumptions'!E57-'Assumptions'!E62*(1)-'Assumptions'!E67-(0))+('Working Capital'!$E$6))*'DCF'!E12/(1+(G761))^'DCF'!E13,(('Historical Inputs'!$N$9*(1+(D761))^2)*(('Assumptions'!F37+(E761))*(1-'Assumptions'!F42-(0))+'Assumptions'!F47-'Assumptions'!F52*(F761)+'Assumptions'!F57-'Assumptions'!F62*(1)-'Assumptions'!F67-(0))+(('Historical Inputs'!$N$9*(1+(D761))^1)*('Assumptions'!E67+(0))))*'DCF'!F12/(1+(G761))^'DCF'!F13,(('Historical Inputs'!$N$9*(1+(D761))^3)*(('Assumptions'!G37+(E761))*(1-'Assumptions'!G42-(0))+'Assumptions'!G47-'Assumptions'!G52*(F761)+'Assumptions'!G57-'Assumptions'!G62*(1)-'Assumptions'!G67-(0))+(('Historical Inputs'!$N$9*(1+(D761))^2)*('Assumptions'!F67+(0))))*'DCF'!G12/(1+(G761))^'DCF'!G13,(('Historical Inputs'!$N$9*(1+(D761))^4)*(('Assumptions'!H37+(E761))*(1-'Assumptions'!H42-(0))+'Assumptions'!H47-'Assumptions'!H52*(F761)+'Assumptions'!H57-'Assumptions'!H62*(1)-'Assumptions'!H67-(0))+(('Historical Inputs'!$N$9*(1+(D761))^3)*('Assumptions'!G67+(0))))*'DCF'!H12/(1+(G761))^'DCF'!H13,(('Historical Inputs'!$N$9*(1+(D761))^5)*(('Assumptions'!I37+(E761))*(1-'Assumptions'!I42-(0))+'Assumptions'!I47-'Assumptions'!I52*(F761)+'Assumptions'!I57-'Assumptions'!I62*(1)-'Assumptions'!I67-(0))+(('Historical Inputs'!$N$9*(1+(D761))^4)*('Assumptions'!H67+(0))))*'DCF'!I12/(1+(G761))^'DCF'!I13)+('Historical Inputs'!$N$9*(1+(D761))^5)*(1+(H761))*('Terminal Value'!$E$10+(E761))*(1-'Assumptions'!$E$15-(0))*(1-(H761)/('Terminal Value'!$E$12))/((G761)-(H761))/(1+(G761))^'DCF'!$E$19)+'Equity Bridge'!$E$17)/'Equity Bridge'!$E$20</x:f>
        <x:v>236.2990177886446</x:v>
      </x:c>
      <x:c r="X761" s="255" t="n">
        <x:v>0.26860531306623325</x:v>
      </x:c>
      <x:c r="Y761" s="255" t="n">
        <x:v>0.27262019247597125</x:v>
      </x:c>
      <x:c r="Z761" s="255" t="n">
        <x:v>0.8867982652313237</x:v>
      </x:c>
      <x:c r="AA761" s="255" t="n">
        <x:v>0.8018679137498407</x:v>
      </x:c>
      <x:c r="AB761" s="255" t="n">
        <x:v>0.6980246385959202</x:v>
      </x:c>
    </x:row>
    <x:row r="762" ht="24" customHeight="1">
      <x:c r="C762" s="256" t="n">
        <x:f>731</x:f>
        <x:v>731</x:v>
      </x:c>
      <x:c r="D762" s="258" t="n">
        <x:f>IF(X762&lt;($E$12-$D$12)/($F$12-$D$12),$D$12+SQRT(X762*($F$12-$D$12)*($E$12-$D$12)),$F$12-SQRT((1-X762)*($F$12-$D$12)*($F$12-$E$12)))</x:f>
        <x:v>0.14808101955115788</x:v>
      </x:c>
      <x:c r="E762" s="258" t="n">
        <x:f>IF(Y762&lt;($E$13-$D$13)/($F$13-$D$13),$D$13+SQRT(Y762*($F$13-$D$13)*($E$13-$D$13)),$F$13-SQRT((1-Y762)*($F$13-$D$13)*($F$13-$E$13)))</x:f>
        <x:v>0.02286821787751537</x:v>
      </x:c>
      <x:c r="F762" s="260" t="n">
        <x:f>IF(Z762&lt;($E$14-$D$14)/($F$14-$D$14),$D$14+SQRT(Z762*($F$14-$D$14)*($E$14-$D$14)),$F$14-SQRT((1-Z762)*($F$14-$D$14)*($F$14-$E$14)))</x:f>
        <x:v>0.9535749850036751</x:v>
      </x:c>
      <x:c r="G762" s="258" t="n">
        <x:f>IF(AA762&lt;($E$15-$D$15)/($F$15-$D$15),$D$15+SQRT(AA762*($F$15-$D$15)*($E$15-$D$15)),$F$15-SQRT((1-AA762)*($F$15-$D$15)*($F$15-$E$15)))</x:f>
        <x:v>0.10178183827964259</x:v>
      </x:c>
      <x:c r="H762" s="258" t="n">
        <x:f>IF(AB762&lt;($E$16-$D$16)/($F$16-$D$16),$D$16+SQRT(AB762*($F$16-$D$16)*($E$16-$D$16)),$F$16-SQRT((1-AB762)*($F$16-$D$16)*($F$16-$E$16)))</x:f>
        <x:v>0.029602884408222244</x:v>
      </x:c>
      <x:c r="I762" s="262" t="n">
        <x:f>'Historical Inputs'!$N$9*(1+D762)^5</x:f>
        <x:v>661896.5409569609</x:v>
      </x:c>
      <x:c r="J762" s="262" t="n">
        <x:f>I762*(1+H762)*('Terminal Value'!$E$10+E762)*(1-'Assumptions'!$E$15)*(1-H762/'Terminal Value'!$E$12)</x:f>
        <x:v>196420.64724570714</x:v>
      </x:c>
      <x:c r="K762" s="264" t="n">
        <x:f>((SUM((('Historical Inputs'!$N$9*(1+(D762))^1)*(('Assumptions'!E37+(E762))*(1-'Assumptions'!E42-(0))+'Assumptions'!E47-'Assumptions'!E52*(F762)+'Assumptions'!E57-'Assumptions'!E62*(1)-'Assumptions'!E67-(0))+('Working Capital'!$E$6))*'DCF'!E12/(1+(G762))^'DCF'!E13,(('Historical Inputs'!$N$9*(1+(D762))^2)*(('Assumptions'!F37+(E762))*(1-'Assumptions'!F42-(0))+'Assumptions'!F47-'Assumptions'!F52*(F762)+'Assumptions'!F57-'Assumptions'!F62*(1)-'Assumptions'!F67-(0))+(('Historical Inputs'!$N$9*(1+(D762))^1)*('Assumptions'!E67+(0))))*'DCF'!F12/(1+(G762))^'DCF'!F13,(('Historical Inputs'!$N$9*(1+(D762))^3)*(('Assumptions'!G37+(E762))*(1-'Assumptions'!G42-(0))+'Assumptions'!G47-'Assumptions'!G52*(F762)+'Assumptions'!G57-'Assumptions'!G62*(1)-'Assumptions'!G67-(0))+(('Historical Inputs'!$N$9*(1+(D762))^2)*('Assumptions'!F67+(0))))*'DCF'!G12/(1+(G762))^'DCF'!G13,(('Historical Inputs'!$N$9*(1+(D762))^4)*(('Assumptions'!H37+(E762))*(1-'Assumptions'!H42-(0))+'Assumptions'!H47-'Assumptions'!H52*(F762)+'Assumptions'!H57-'Assumptions'!H62*(1)-'Assumptions'!H67-(0))+(('Historical Inputs'!$N$9*(1+(D762))^3)*('Assumptions'!G67+(0))))*'DCF'!H12/(1+(G762))^'DCF'!H13,(('Historical Inputs'!$N$9*(1+(D762))^5)*(('Assumptions'!I37+(E762))*(1-'Assumptions'!I42-(0))+'Assumptions'!I47-'Assumptions'!I52*(F762)+'Assumptions'!I57-'Assumptions'!I62*(1)-'Assumptions'!I67-(0))+(('Historical Inputs'!$N$9*(1+(D762))^4)*('Assumptions'!H67+(0))))*'DCF'!I12/(1+(G762))^'DCF'!I13)+('Historical Inputs'!$N$9*(1+(D762))^5)*(1+(H762))*('Terminal Value'!$E$10+(E762))*(1-'Assumptions'!$E$15-(0))*(1-(H762)/('Terminal Value'!$E$12))/((G762)-(H762))/(1+(G762))^'DCF'!$E$19)+'Equity Bridge'!$E$17)/'Equity Bridge'!$E$20</x:f>
        <x:v>294.7535448281472</x:v>
      </x:c>
      <x:c r="X762" s="255" t="n">
        <x:v>0.5918257636916554</x:v>
      </x:c>
      <x:c r="Y762" s="255" t="n">
        <x:v>0.8527732797716047</x:v>
      </x:c>
      <x:c r="Z762" s="255" t="n">
        <x:v>0.2043386194002197</x:v>
      </x:c>
      <x:c r="AA762" s="255" t="n">
        <x:v>0.7132972739187423</x:v>
      </x:c>
      <x:c r="AB762" s="255" t="n">
        <x:v>0.4610769447883897</x:v>
      </x:c>
    </x:row>
    <x:row r="763" ht="24" customHeight="1">
      <x:c r="C763" s="256" t="n">
        <x:f>732</x:f>
        <x:v>732</x:v>
      </x:c>
      <x:c r="D763" s="258" t="n">
        <x:f>IF(X763&lt;($E$12-$D$12)/($F$12-$D$12),$D$12+SQRT(X763*($F$12-$D$12)*($E$12-$D$12)),$F$12-SQRT((1-X763)*($F$12-$D$12)*($F$12-$E$12)))</x:f>
        <x:v>0.12248489064519406</x:v>
      </x:c>
      <x:c r="E763" s="258" t="n">
        <x:f>IF(Y763&lt;($E$13-$D$13)/($F$13-$D$13),$D$13+SQRT(Y763*($F$13-$D$13)*($E$13-$D$13)),$F$13-SQRT((1-Y763)*($F$13-$D$13)*($F$13-$E$13)))</x:f>
        <x:v>0.008800921201306558</x:v>
      </x:c>
      <x:c r="F763" s="260" t="n">
        <x:f>IF(Z763&lt;($E$14-$D$14)/($F$14-$D$14),$D$14+SQRT(Z763*($F$14-$D$14)*($E$14-$D$14)),$F$14-SQRT((1-Z763)*($F$14-$D$14)*($F$14-$E$14)))</x:f>
        <x:v>0.8964367740079167</x:v>
      </x:c>
      <x:c r="G763" s="258" t="n">
        <x:f>IF(AA763&lt;($E$15-$D$15)/($F$15-$D$15),$D$15+SQRT(AA763*($F$15-$D$15)*($E$15-$D$15)),$F$15-SQRT((1-AA763)*($F$15-$D$15)*($F$15-$E$15)))</x:f>
        <x:v>0.1103685737039606</x:v>
      </x:c>
      <x:c r="H763" s="258" t="n">
        <x:f>IF(AB763&lt;($E$16-$D$16)/($F$16-$D$16),$D$16+SQRT(AB763*($F$16-$D$16)*($E$16-$D$16)),$F$16-SQRT((1-AB763)*($F$16-$D$16)*($F$16-$E$16)))</x:f>
        <x:v>0.033789541351305165</x:v>
      </x:c>
      <x:c r="I763" s="262" t="n">
        <x:f>'Historical Inputs'!$N$9*(1+D763)^5</x:f>
        <x:v>591330.044230901</x:v>
      </x:c>
      <x:c r="J763" s="262" t="n">
        <x:f>I763*(1+H763)*('Terminal Value'!$E$10+E763)*(1-'Assumptions'!$E$15)*(1-H763/'Terminal Value'!$E$12)</x:f>
        <x:v>166146.9159909681</x:v>
      </x:c>
      <x:c r="K763" s="264" t="n">
        <x:f>((SUM((('Historical Inputs'!$N$9*(1+(D763))^1)*(('Assumptions'!E37+(E763))*(1-'Assumptions'!E42-(0))+'Assumptions'!E47-'Assumptions'!E52*(F763)+'Assumptions'!E57-'Assumptions'!E62*(1)-'Assumptions'!E67-(0))+('Working Capital'!$E$6))*'DCF'!E12/(1+(G763))^'DCF'!E13,(('Historical Inputs'!$N$9*(1+(D763))^2)*(('Assumptions'!F37+(E763))*(1-'Assumptions'!F42-(0))+'Assumptions'!F47-'Assumptions'!F52*(F763)+'Assumptions'!F57-'Assumptions'!F62*(1)-'Assumptions'!F67-(0))+(('Historical Inputs'!$N$9*(1+(D763))^1)*('Assumptions'!E67+(0))))*'DCF'!F12/(1+(G763))^'DCF'!F13,(('Historical Inputs'!$N$9*(1+(D763))^3)*(('Assumptions'!G37+(E763))*(1-'Assumptions'!G42-(0))+'Assumptions'!G47-'Assumptions'!G52*(F763)+'Assumptions'!G57-'Assumptions'!G62*(1)-'Assumptions'!G67-(0))+(('Historical Inputs'!$N$9*(1+(D763))^2)*('Assumptions'!F67+(0))))*'DCF'!G12/(1+(G763))^'DCF'!G13,(('Historical Inputs'!$N$9*(1+(D763))^4)*(('Assumptions'!H37+(E763))*(1-'Assumptions'!H42-(0))+'Assumptions'!H47-'Assumptions'!H52*(F763)+'Assumptions'!H57-'Assumptions'!H62*(1)-'Assumptions'!H67-(0))+(('Historical Inputs'!$N$9*(1+(D763))^3)*('Assumptions'!G67+(0))))*'DCF'!H12/(1+(G763))^'DCF'!H13,(('Historical Inputs'!$N$9*(1+(D763))^5)*(('Assumptions'!I37+(E763))*(1-'Assumptions'!I42-(0))+'Assumptions'!I47-'Assumptions'!I52*(F763)+'Assumptions'!I57-'Assumptions'!I62*(1)-'Assumptions'!I67-(0))+(('Historical Inputs'!$N$9*(1+(D763))^4)*('Assumptions'!H67+(0))))*'DCF'!I12/(1+(G763))^'DCF'!I13)+('Historical Inputs'!$N$9*(1+(D763))^5)*(1+(H763))*('Terminal Value'!$E$10+(E763))*(1-'Assumptions'!$E$15-(0))*(1-(H763)/('Terminal Value'!$E$12))/((G763)-(H763))/(1+(G763))^'DCF'!$E$19)+'Equity Bridge'!$E$17)/'Equity Bridge'!$E$20</x:f>
        <x:v>235.7991725989366</x:v>
      </x:c>
      <x:c r="X763" s="255" t="n">
        <x:v>0.17085366314173256</x:v>
      </x:c>
      <x:c r="Y763" s="255" t="n">
        <x:v>0.6605271812278096</x:v>
      </x:c>
      <x:c r="Z763" s="255" t="n">
        <x:v>0.04107379010023471</x:v>
      </x:c>
      <x:c r="AA763" s="255" t="n">
        <x:v>0.9829269982744956</x:v>
      </x:c>
      <x:c r="AB763" s="255" t="n">
        <x:v>0.8071510168642576</x:v>
      </x:c>
    </x:row>
    <x:row r="764" ht="24" customHeight="1">
      <x:c r="C764" s="256" t="n">
        <x:f>733</x:f>
        <x:v>733</x:v>
      </x:c>
      <x:c r="D764" s="258" t="n">
        <x:f>IF(X764&lt;($E$12-$D$12)/($F$12-$D$12),$D$12+SQRT(X764*($F$12-$D$12)*($E$12-$D$12)),$F$12-SQRT((1-X764)*($F$12-$D$12)*($F$12-$E$12)))</x:f>
        <x:v>0.16698333284988817</x:v>
      </x:c>
      <x:c r="E764" s="258" t="n">
        <x:f>IF(Y764&lt;($E$13-$D$13)/($F$13-$D$13),$D$13+SQRT(Y764*($F$13-$D$13)*($E$13-$D$13)),$F$13-SQRT((1-Y764)*($F$13-$D$13)*($F$13-$E$13)))</x:f>
        <x:v>-0.003467580904607498</x:v>
      </x:c>
      <x:c r="F764" s="260" t="n">
        <x:f>IF(Z764&lt;($E$14-$D$14)/($F$14-$D$14),$D$14+SQRT(Z764*($F$14-$D$14)*($E$14-$D$14)),$F$14-SQRT((1-Z764)*($F$14-$D$14)*($F$14-$E$14)))</x:f>
        <x:v>0.8833700541156919</x:v>
      </x:c>
      <x:c r="G764" s="258" t="n">
        <x:f>IF(AA764&lt;($E$15-$D$15)/($F$15-$D$15),$D$15+SQRT(AA764*($F$15-$D$15)*($E$15-$D$15)),$F$15-SQRT((1-AA764)*($F$15-$D$15)*($F$15-$E$15)))</x:f>
        <x:v>0.10322060445461335</x:v>
      </x:c>
      <x:c r="H764" s="258" t="n">
        <x:f>IF(AB764&lt;($E$16-$D$16)/($F$16-$D$16),$D$16+SQRT(AB764*($F$16-$D$16)*($E$16-$D$16)),$F$16-SQRT((1-AB764)*($F$16-$D$16)*($F$16-$E$16)))</x:f>
        <x:v>0.028895455965059273</x:v>
      </x:c>
      <x:c r="I764" s="262" t="n">
        <x:f>'Historical Inputs'!$N$9*(1+D764)^5</x:f>
        <x:v>718208.7516908372</x:v>
      </x:c>
      <x:c r="J764" s="262" t="n">
        <x:f>I764*(1+H764)*('Terminal Value'!$E$10+E764)*(1-'Assumptions'!$E$15)*(1-H764/'Terminal Value'!$E$12)</x:f>
        <x:v>200549.77367010675</x:v>
      </x:c>
      <x:c r="K764" s="264" t="n">
        <x:f>((SUM((('Historical Inputs'!$N$9*(1+(D764))^1)*(('Assumptions'!E37+(E764))*(1-'Assumptions'!E42-(0))+'Assumptions'!E47-'Assumptions'!E52*(F764)+'Assumptions'!E57-'Assumptions'!E62*(1)-'Assumptions'!E67-(0))+('Working Capital'!$E$6))*'DCF'!E12/(1+(G764))^'DCF'!E13,(('Historical Inputs'!$N$9*(1+(D764))^2)*(('Assumptions'!F37+(E764))*(1-'Assumptions'!F42-(0))+'Assumptions'!F47-'Assumptions'!F52*(F764)+'Assumptions'!F57-'Assumptions'!F62*(1)-'Assumptions'!F67-(0))+(('Historical Inputs'!$N$9*(1+(D764))^1)*('Assumptions'!E67+(0))))*'DCF'!F12/(1+(G764))^'DCF'!F13,(('Historical Inputs'!$N$9*(1+(D764))^3)*(('Assumptions'!G37+(E764))*(1-'Assumptions'!G42-(0))+'Assumptions'!G47-'Assumptions'!G52*(F764)+'Assumptions'!G57-'Assumptions'!G62*(1)-'Assumptions'!G67-(0))+(('Historical Inputs'!$N$9*(1+(D764))^2)*('Assumptions'!F67+(0))))*'DCF'!G12/(1+(G764))^'DCF'!G13,(('Historical Inputs'!$N$9*(1+(D764))^4)*(('Assumptions'!H37+(E764))*(1-'Assumptions'!H42-(0))+'Assumptions'!H47-'Assumptions'!H52*(F764)+'Assumptions'!H57-'Assumptions'!H62*(1)-'Assumptions'!H67-(0))+(('Historical Inputs'!$N$9*(1+(D764))^3)*('Assumptions'!G67+(0))))*'DCF'!H12/(1+(G764))^'DCF'!H13,(('Historical Inputs'!$N$9*(1+(D764))^5)*(('Assumptions'!I37+(E764))*(1-'Assumptions'!I42-(0))+'Assumptions'!I47-'Assumptions'!I52*(F764)+'Assumptions'!I57-'Assumptions'!I62*(1)-'Assumptions'!I67-(0))+(('Historical Inputs'!$N$9*(1+(D764))^4)*('Assumptions'!H67+(0))))*'DCF'!I12/(1+(G764))^'DCF'!I13)+('Historical Inputs'!$N$9*(1+(D764))^5)*(1+(H764))*('Terminal Value'!$E$10+(E764))*(1-'Assumptions'!$E$15-(0))*(1-(H764)/('Terminal Value'!$E$12))/((G764)-(H764))/(1+(G764))^'DCF'!$E$19)+'Equity Bridge'!$E$17)/'Equity Bridge'!$E$20</x:f>
        <x:v>293.9864935803246</x:v>
      </x:c>
      <x:c r="X764" s="255" t="n">
        <x:v>0.8619386535167052</x:v>
      </x:c>
      <x:c r="Y764" s="255" t="n">
        <x:v>0.4330532053738497</x:v>
      </x:c>
      <x:c r="Z764" s="255" t="n">
        <x:v>0.021210676413032536</x:v>
      </x:c>
      <x:c r="AA764" s="255" t="n">
        <x:v>0.7813294790894777</x:v>
      </x:c>
      <x:c r="AB764" s="255" t="n">
        <x:v>0.3956456841315431</x:v>
      </x:c>
    </x:row>
    <x:row r="765" ht="24" customHeight="1">
      <x:c r="C765" s="256" t="n">
        <x:f>734</x:f>
        <x:v>734</x:v>
      </x:c>
      <x:c r="D765" s="258" t="n">
        <x:f>IF(X765&lt;($E$12-$D$12)/($F$12-$D$12),$D$12+SQRT(X765*($F$12-$D$12)*($E$12-$D$12)),$F$12-SQRT((1-X765)*($F$12-$D$12)*($F$12-$E$12)))</x:f>
        <x:v>0.15696505896468438</x:v>
      </x:c>
      <x:c r="E765" s="258" t="n">
        <x:f>IF(Y765&lt;($E$13-$D$13)/($F$13-$D$13),$D$13+SQRT(Y765*($F$13-$D$13)*($E$13-$D$13)),$F$13-SQRT((1-Y765)*($F$13-$D$13)*($F$13-$E$13)))</x:f>
        <x:v>0.04165903579512648</x:v>
      </x:c>
      <x:c r="F765" s="260" t="n">
        <x:f>IF(Z765&lt;($E$14-$D$14)/($F$14-$D$14),$D$14+SQRT(Z765*($F$14-$D$14)*($E$14-$D$14)),$F$14-SQRT((1-Z765)*($F$14-$D$14)*($F$14-$E$14)))</x:f>
        <x:v>1.0340547799420148</x:v>
      </x:c>
      <x:c r="G765" s="258" t="n">
        <x:f>IF(AA765&lt;($E$15-$D$15)/($F$15-$D$15),$D$15+SQRT(AA765*($F$15-$D$15)*($E$15-$D$15)),$F$15-SQRT((1-AA765)*($F$15-$D$15)*($F$15-$E$15)))</x:f>
        <x:v>0.10634273481362934</x:v>
      </x:c>
      <x:c r="H765" s="258" t="n">
        <x:f>IF(AB765&lt;($E$16-$D$16)/($F$16-$D$16),$D$16+SQRT(AB765*($F$16-$D$16)*($E$16-$D$16)),$F$16-SQRT((1-AB765)*($F$16-$D$16)*($F$16-$E$16)))</x:f>
        <x:v>0.02927999696339562</x:v>
      </x:c>
      <x:c r="I765" s="262" t="n">
        <x:f>'Historical Inputs'!$N$9*(1+D765)^5</x:f>
        <x:v>687905.2785230561</x:v>
      </x:c>
      <x:c r="J765" s="262" t="n">
        <x:f>I765*(1+H765)*('Terminal Value'!$E$10+E765)*(1-'Assumptions'!$E$15)*(1-H765/'Terminal Value'!$E$12)</x:f>
        <x:v>213547.10876327145</x:v>
      </x:c>
      <x:c r="K765" s="264" t="n">
        <x:f>((SUM((('Historical Inputs'!$N$9*(1+(D765))^1)*(('Assumptions'!E37+(E765))*(1-'Assumptions'!E42-(0))+'Assumptions'!E47-'Assumptions'!E52*(F765)+'Assumptions'!E57-'Assumptions'!E62*(1)-'Assumptions'!E67-(0))+('Working Capital'!$E$6))*'DCF'!E12/(1+(G765))^'DCF'!E13,(('Historical Inputs'!$N$9*(1+(D765))^2)*(('Assumptions'!F37+(E765))*(1-'Assumptions'!F42-(0))+'Assumptions'!F47-'Assumptions'!F52*(F765)+'Assumptions'!F57-'Assumptions'!F62*(1)-'Assumptions'!F67-(0))+(('Historical Inputs'!$N$9*(1+(D765))^1)*('Assumptions'!E67+(0))))*'DCF'!F12/(1+(G765))^'DCF'!F13,(('Historical Inputs'!$N$9*(1+(D765))^3)*(('Assumptions'!G37+(E765))*(1-'Assumptions'!G42-(0))+'Assumptions'!G47-'Assumptions'!G52*(F765)+'Assumptions'!G57-'Assumptions'!G62*(1)-'Assumptions'!G67-(0))+(('Historical Inputs'!$N$9*(1+(D765))^2)*('Assumptions'!F67+(0))))*'DCF'!G12/(1+(G765))^'DCF'!G13,(('Historical Inputs'!$N$9*(1+(D765))^4)*(('Assumptions'!H37+(E765))*(1-'Assumptions'!H42-(0))+'Assumptions'!H47-'Assumptions'!H52*(F765)+'Assumptions'!H57-'Assumptions'!H62*(1)-'Assumptions'!H67-(0))+(('Historical Inputs'!$N$9*(1+(D765))^3)*('Assumptions'!G67+(0))))*'DCF'!H12/(1+(G765))^'DCF'!H13,(('Historical Inputs'!$N$9*(1+(D765))^5)*(('Assumptions'!I37+(E765))*(1-'Assumptions'!I42-(0))+'Assumptions'!I47-'Assumptions'!I52*(F765)+'Assumptions'!I57-'Assumptions'!I62*(1)-'Assumptions'!I67-(0))+(('Historical Inputs'!$N$9*(1+(D765))^4)*('Assumptions'!H67+(0))))*'DCF'!I12/(1+(G765))^'DCF'!I13)+('Historical Inputs'!$N$9*(1+(D765))^5)*(1+(H765))*('Terminal Value'!$E$10+(E765))*(1-'Assumptions'!$E$15-(0))*(1-(H765)/('Terminal Value'!$E$12))/((G765)-(H765))/(1+(G765))^'DCF'!$E$19)+'Equity Bridge'!$E$17)/'Equity Bridge'!$E$20</x:f>
        <x:v>294.1793665275755</x:v>
      </x:c>
      <x:c r="X765" s="255" t="n">
        <x:v>0.7365786863337448</x:v>
      </x:c>
      <x:c r="Y765" s="255" t="n">
        <x:v>0.9860856632266037</x:v>
      </x:c>
      <x:c r="Z765" s="255" t="n">
        <x:v>0.6066026277129548</x:v>
      </x:c>
      <x:c r="AA765" s="255" t="n">
        <x:v>0.897315923359342</x:v>
      </x:c>
      <x:c r="AB765" s="255" t="n">
        <x:v>0.4305917182031598</x:v>
      </x:c>
    </x:row>
    <x:row r="766" ht="24" customHeight="1">
      <x:c r="C766" s="256" t="n">
        <x:f>735</x:f>
        <x:v>735</x:v>
      </x:c>
      <x:c r="D766" s="258" t="n">
        <x:f>IF(X766&lt;($E$12-$D$12)/($F$12-$D$12),$D$12+SQRT(X766*($F$12-$D$12)*($E$12-$D$12)),$F$12-SQRT((1-X766)*($F$12-$D$12)*($F$12-$E$12)))</x:f>
        <x:v>0.17266806379819744</x:v>
      </x:c>
      <x:c r="E766" s="258" t="n">
        <x:f>IF(Y766&lt;($E$13-$D$13)/($F$13-$D$13),$D$13+SQRT(Y766*($F$13-$D$13)*($E$13-$D$13)),$F$13-SQRT((1-Y766)*($F$13-$D$13)*($F$13-$E$13)))</x:f>
        <x:v>0.00998144097166638</x:v>
      </x:c>
      <x:c r="F766" s="260" t="n">
        <x:f>IF(Z766&lt;($E$14-$D$14)/($F$14-$D$14),$D$14+SQRT(Z766*($F$14-$D$14)*($E$14-$D$14)),$F$14-SQRT((1-Z766)*($F$14-$D$14)*($F$14-$E$14)))</x:f>
        <x:v>0.9039790768144039</x:v>
      </x:c>
      <x:c r="G766" s="258" t="n">
        <x:f>IF(AA766&lt;($E$15-$D$15)/($F$15-$D$15),$D$15+SQRT(AA766*($F$15-$D$15)*($E$15-$D$15)),$F$15-SQRT((1-AA766)*($F$15-$D$15)*($F$15-$E$15)))</x:f>
        <x:v>0.09114239715977102</x:v>
      </x:c>
      <x:c r="H766" s="258" t="n">
        <x:f>IF(AB766&lt;($E$16-$D$16)/($F$16-$D$16),$D$16+SQRT(AB766*($F$16-$D$16)*($E$16-$D$16)),$F$16-SQRT((1-AB766)*($F$16-$D$16)*($F$16-$E$16)))</x:f>
        <x:v>0.029349723227226673</x:v>
      </x:c>
      <x:c r="I766" s="262" t="n">
        <x:f>'Historical Inputs'!$N$9*(1+D766)^5</x:f>
        <x:v>735873.0789939386</x:v>
      </x:c>
      <x:c r="J766" s="262" t="n">
        <x:f>I766*(1+H766)*('Terminal Value'!$E$10+E766)*(1-'Assumptions'!$E$15)*(1-H766/'Terminal Value'!$E$12)</x:f>
        <x:v>211981.0568424753</x:v>
      </x:c>
      <x:c r="K766" s="264" t="n">
        <x:f>((SUM((('Historical Inputs'!$N$9*(1+(D766))^1)*(('Assumptions'!E37+(E766))*(1-'Assumptions'!E42-(0))+'Assumptions'!E47-'Assumptions'!E52*(F766)+'Assumptions'!E57-'Assumptions'!E62*(1)-'Assumptions'!E67-(0))+('Working Capital'!$E$6))*'DCF'!E12/(1+(G766))^'DCF'!E13,(('Historical Inputs'!$N$9*(1+(D766))^2)*(('Assumptions'!F37+(E766))*(1-'Assumptions'!F42-(0))+'Assumptions'!F47-'Assumptions'!F52*(F766)+'Assumptions'!F57-'Assumptions'!F62*(1)-'Assumptions'!F67-(0))+(('Historical Inputs'!$N$9*(1+(D766))^1)*('Assumptions'!E67+(0))))*'DCF'!F12/(1+(G766))^'DCF'!F13,(('Historical Inputs'!$N$9*(1+(D766))^3)*(('Assumptions'!G37+(E766))*(1-'Assumptions'!G42-(0))+'Assumptions'!G47-'Assumptions'!G52*(F766)+'Assumptions'!G57-'Assumptions'!G62*(1)-'Assumptions'!G67-(0))+(('Historical Inputs'!$N$9*(1+(D766))^2)*('Assumptions'!F67+(0))))*'DCF'!G12/(1+(G766))^'DCF'!G13,(('Historical Inputs'!$N$9*(1+(D766))^4)*(('Assumptions'!H37+(E766))*(1-'Assumptions'!H42-(0))+'Assumptions'!H47-'Assumptions'!H52*(F766)+'Assumptions'!H57-'Assumptions'!H62*(1)-'Assumptions'!H67-(0))+(('Historical Inputs'!$N$9*(1+(D766))^3)*('Assumptions'!G67+(0))))*'DCF'!H12/(1+(G766))^'DCF'!H13,(('Historical Inputs'!$N$9*(1+(D766))^5)*(('Assumptions'!I37+(E766))*(1-'Assumptions'!I42-(0))+'Assumptions'!I47-'Assumptions'!I52*(F766)+'Assumptions'!I57-'Assumptions'!I62*(1)-'Assumptions'!I67-(0))+(('Historical Inputs'!$N$9*(1+(D766))^4)*('Assumptions'!H67+(0))))*'DCF'!I12/(1+(G766))^'DCF'!I13)+('Historical Inputs'!$N$9*(1+(D766))^5)*(1+(H766))*('Terminal Value'!$E$10+(E766))*(1-'Assumptions'!$E$15-(0))*(1-(H766)/('Terminal Value'!$E$12))/((G766)-(H766))/(1+(G766))^'DCF'!$E$19)+'Equity Bridge'!$E$17)/'Equity Bridge'!$E$20</x:f>
        <x:v>376.16285192641135</x:v>
      </x:c>
      <x:c r="X766" s="255" t="n">
        <x:v>0.9152189614654045</x:v>
      </x:c>
      <x:c r="Y766" s="255" t="n">
        <x:v>0.6797029866591555</x:v>
      </x:c>
      <x:c r="Z766" s="255" t="n">
        <x:v>0.05549982349972049</x:v>
      </x:c>
      <x:c r="AA766" s="255" t="n">
        <x:v>0.14229433336037045</x:v>
      </x:c>
      <x:c r="AB766" s="255" t="n">
        <x:v>0.43708662212870986</x:v>
      </x:c>
    </x:row>
    <x:row r="767" ht="24" customHeight="1">
      <x:c r="C767" s="256" t="n">
        <x:f>736</x:f>
        <x:v>736</x:v>
      </x:c>
      <x:c r="D767" s="258" t="n">
        <x:f>IF(X767&lt;($E$12-$D$12)/($F$12-$D$12),$D$12+SQRT(X767*($F$12-$D$12)*($E$12-$D$12)),$F$12-SQRT((1-X767)*($F$12-$D$12)*($F$12-$E$12)))</x:f>
        <x:v>0.13646103054282036</x:v>
      </x:c>
      <x:c r="E767" s="258" t="n">
        <x:f>IF(Y767&lt;($E$13-$D$13)/($F$13-$D$13),$D$13+SQRT(Y767*($F$13-$D$13)*($E$13-$D$13)),$F$13-SQRT((1-Y767)*($F$13-$D$13)*($F$13-$E$13)))</x:f>
        <x:v>-0.023283010109142473</x:v>
      </x:c>
      <x:c r="F767" s="260" t="n">
        <x:f>IF(Z767&lt;($E$14-$D$14)/($F$14-$D$14),$D$14+SQRT(Z767*($F$14-$D$14)*($E$14-$D$14)),$F$14-SQRT((1-Z767)*($F$14-$D$14)*($F$14-$E$14)))</x:f>
        <x:v>0.9812455211316576</x:v>
      </x:c>
      <x:c r="G767" s="258" t="n">
        <x:f>IF(AA767&lt;($E$15-$D$15)/($F$15-$D$15),$D$15+SQRT(AA767*($F$15-$D$15)*($E$15-$D$15)),$F$15-SQRT((1-AA767)*($F$15-$D$15)*($F$15-$E$15)))</x:f>
        <x:v>0.0989267061743252</x:v>
      </x:c>
      <x:c r="H767" s="258" t="n">
        <x:f>IF(AB767&lt;($E$16-$D$16)/($F$16-$D$16),$D$16+SQRT(AB767*($F$16-$D$16)*($E$16-$D$16)),$F$16-SQRT((1-AB767)*($F$16-$D$16)*($F$16-$E$16)))</x:f>
        <x:v>0.03490685980204049</x:v>
      </x:c>
      <x:c r="I767" s="262" t="n">
        <x:f>'Historical Inputs'!$N$9*(1+D767)^5</x:f>
        <x:v>629071.7279595832</x:v>
      </x:c>
      <x:c r="J767" s="262" t="n">
        <x:f>I767*(1+H767)*('Terminal Value'!$E$10+E767)*(1-'Assumptions'!$E$15)*(1-H767/'Terminal Value'!$E$12)</x:f>
        <x:v>161959.21377066255</x:v>
      </x:c>
      <x:c r="K767" s="264" t="n">
        <x:f>((SUM((('Historical Inputs'!$N$9*(1+(D767))^1)*(('Assumptions'!E37+(E767))*(1-'Assumptions'!E42-(0))+'Assumptions'!E47-'Assumptions'!E52*(F767)+'Assumptions'!E57-'Assumptions'!E62*(1)-'Assumptions'!E67-(0))+('Working Capital'!$E$6))*'DCF'!E12/(1+(G767))^'DCF'!E13,(('Historical Inputs'!$N$9*(1+(D767))^2)*(('Assumptions'!F37+(E767))*(1-'Assumptions'!F42-(0))+'Assumptions'!F47-'Assumptions'!F52*(F767)+'Assumptions'!F57-'Assumptions'!F62*(1)-'Assumptions'!F67-(0))+(('Historical Inputs'!$N$9*(1+(D767))^1)*('Assumptions'!E67+(0))))*'DCF'!F12/(1+(G767))^'DCF'!F13,(('Historical Inputs'!$N$9*(1+(D767))^3)*(('Assumptions'!G37+(E767))*(1-'Assumptions'!G42-(0))+'Assumptions'!G47-'Assumptions'!G52*(F767)+'Assumptions'!G57-'Assumptions'!G62*(1)-'Assumptions'!G67-(0))+(('Historical Inputs'!$N$9*(1+(D767))^2)*('Assumptions'!F67+(0))))*'DCF'!G12/(1+(G767))^'DCF'!G13,(('Historical Inputs'!$N$9*(1+(D767))^4)*(('Assumptions'!H37+(E767))*(1-'Assumptions'!H42-(0))+'Assumptions'!H47-'Assumptions'!H52*(F767)+'Assumptions'!H57-'Assumptions'!H62*(1)-'Assumptions'!H67-(0))+(('Historical Inputs'!$N$9*(1+(D767))^3)*('Assumptions'!G67+(0))))*'DCF'!H12/(1+(G767))^'DCF'!H13,(('Historical Inputs'!$N$9*(1+(D767))^5)*(('Assumptions'!I37+(E767))*(1-'Assumptions'!I42-(0))+'Assumptions'!I47-'Assumptions'!I52*(F767)+'Assumptions'!I57-'Assumptions'!I62*(1)-'Assumptions'!I67-(0))+(('Historical Inputs'!$N$9*(1+(D767))^4)*('Assumptions'!H67+(0))))*'DCF'!I12/(1+(G767))^'DCF'!I13)+('Historical Inputs'!$N$9*(1+(D767))^5)*(1+(H767))*('Terminal Value'!$E$10+(E767))*(1-'Assumptions'!$E$15-(0))*(1-(H767)/('Terminal Value'!$E$12))/((G767)-(H767))/(1+(G767))^'DCF'!$E$19)+'Equity Bridge'!$E$17)/'Equity Bridge'!$E$20</x:f>
        <x:v>268.31576380938816</x:v>
      </x:c>
      <x:c r="X767" s="255" t="n">
        <x:v>0.37331727383962643</x:v>
      </x:c>
      <x:c r="Y767" s="255" t="n">
        <x:v>0.14275950976563667</x:v>
      </x:c>
      <x:c r="Z767" s="255" t="n">
        <x:v>0.32810260604038843</x:v>
      </x:c>
      <x:c r="AA767" s="255" t="n">
        <x:v>0.5510484017887333</x:v>
      </x:c>
      <x:c r="AB767" s="255" t="n">
        <x:v>0.8702996146196448</x:v>
      </x:c>
    </x:row>
    <x:row r="768" ht="24" customHeight="1">
      <x:c r="C768" s="256" t="n">
        <x:f>737</x:f>
        <x:v>737</x:v>
      </x:c>
      <x:c r="D768" s="258" t="n">
        <x:f>IF(X768&lt;($E$12-$D$12)/($F$12-$D$12),$D$12+SQRT(X768*($F$12-$D$12)*($E$12-$D$12)),$F$12-SQRT((1-X768)*($F$12-$D$12)*($F$12-$E$12)))</x:f>
        <x:v>0.14991010101025948</x:v>
      </x:c>
      <x:c r="E768" s="258" t="n">
        <x:f>IF(Y768&lt;($E$13-$D$13)/($F$13-$D$13),$D$13+SQRT(Y768*($F$13-$D$13)*($E$13-$D$13)),$F$13-SQRT((1-Y768)*($F$13-$D$13)*($F$13-$E$13)))</x:f>
        <x:v>-0.023920723393750433</x:v>
      </x:c>
      <x:c r="F768" s="260" t="n">
        <x:f>IF(Z768&lt;($E$14-$D$14)/($F$14-$D$14),$D$14+SQRT(Z768*($F$14-$D$14)*($E$14-$D$14)),$F$14-SQRT((1-Z768)*($F$14-$D$14)*($F$14-$E$14)))</x:f>
        <x:v>1.0257013673041095</x:v>
      </x:c>
      <x:c r="G768" s="258" t="n">
        <x:f>IF(AA768&lt;($E$15-$D$15)/($F$15-$D$15),$D$15+SQRT(AA768*($F$15-$D$15)*($E$15-$D$15)),$F$15-SQRT((1-AA768)*($F$15-$D$15)*($F$15-$E$15)))</x:f>
        <x:v>0.09678029010396759</x:v>
      </x:c>
      <x:c r="H768" s="258" t="n">
        <x:f>IF(AB768&lt;($E$16-$D$16)/($F$16-$D$16),$D$16+SQRT(AB768*($F$16-$D$16)*($E$16-$D$16)),$F$16-SQRT((1-AB768)*($F$16-$D$16)*($F$16-$E$16)))</x:f>
        <x:v>0.033804246627043344</x:v>
      </x:c>
      <x:c r="I768" s="262" t="n">
        <x:f>'Historical Inputs'!$N$9*(1+D768)^5</x:f>
        <x:v>667185.9168351614</x:v>
      </x:c>
      <x:c r="J768" s="262" t="n">
        <x:f>I768*(1+H768)*('Terminal Value'!$E$10+E768)*(1-'Assumptions'!$E$15)*(1-H768/'Terminal Value'!$E$12)</x:f>
        <x:v>172442.57485631728</x:v>
      </x:c>
      <x:c r="K768" s="264" t="n">
        <x:f>((SUM((('Historical Inputs'!$N$9*(1+(D768))^1)*(('Assumptions'!E37+(E768))*(1-'Assumptions'!E42-(0))+'Assumptions'!E47-'Assumptions'!E52*(F768)+'Assumptions'!E57-'Assumptions'!E62*(1)-'Assumptions'!E67-(0))+('Working Capital'!$E$6))*'DCF'!E12/(1+(G768))^'DCF'!E13,(('Historical Inputs'!$N$9*(1+(D768))^2)*(('Assumptions'!F37+(E768))*(1-'Assumptions'!F42-(0))+'Assumptions'!F47-'Assumptions'!F52*(F768)+'Assumptions'!F57-'Assumptions'!F62*(1)-'Assumptions'!F67-(0))+(('Historical Inputs'!$N$9*(1+(D768))^1)*('Assumptions'!E67+(0))))*'DCF'!F12/(1+(G768))^'DCF'!F13,(('Historical Inputs'!$N$9*(1+(D768))^3)*(('Assumptions'!G37+(E768))*(1-'Assumptions'!G42-(0))+'Assumptions'!G47-'Assumptions'!G52*(F768)+'Assumptions'!G57-'Assumptions'!G62*(1)-'Assumptions'!G67-(0))+(('Historical Inputs'!$N$9*(1+(D768))^2)*('Assumptions'!F67+(0))))*'DCF'!G12/(1+(G768))^'DCF'!G13,(('Historical Inputs'!$N$9*(1+(D768))^4)*(('Assumptions'!H37+(E768))*(1-'Assumptions'!H42-(0))+'Assumptions'!H47-'Assumptions'!H52*(F768)+'Assumptions'!H57-'Assumptions'!H62*(1)-'Assumptions'!H67-(0))+(('Historical Inputs'!$N$9*(1+(D768))^3)*('Assumptions'!G67+(0))))*'DCF'!H12/(1+(G768))^'DCF'!H13,(('Historical Inputs'!$N$9*(1+(D768))^5)*(('Assumptions'!I37+(E768))*(1-'Assumptions'!I42-(0))+'Assumptions'!I47-'Assumptions'!I52*(F768)+'Assumptions'!I57-'Assumptions'!I62*(1)-'Assumptions'!I67-(0))+(('Historical Inputs'!$N$9*(1+(D768))^4)*('Assumptions'!H67+(0))))*'DCF'!I12/(1+(G768))^'DCF'!I13)+('Historical Inputs'!$N$9*(1+(D768))^5)*(1+(H768))*('Terminal Value'!$E$10+(E768))*(1-'Assumptions'!$E$15-(0))*(1-(H768)/('Terminal Value'!$E$12))/((G768)-(H768))/(1+(G768))^'DCF'!$E$19)+'Equity Bridge'!$E$17)/'Equity Bridge'!$E$20</x:f>
        <x:v>287.9482493124813</x:v>
      </x:c>
      <x:c r="X768" s="255" t="n">
        <x:v>0.6242088911577895</x:v>
      </x:c>
      <x:c r="Y768" s="255" t="n">
        <x:v>0.1360257336610552</x:v>
      </x:c>
      <x:c r="Z768" s="255" t="n">
        <x:v>0.5659998091477584</x:v>
      </x:c>
      <x:c r="AA768" s="255" t="n">
        <x:v>0.41343875507401906</x:v>
      </x:c>
      <x:c r="AB768" s="255" t="n">
        <x:v>0.8080632007074809</x:v>
      </x:c>
    </x:row>
    <x:row r="769" ht="24" customHeight="1">
      <x:c r="C769" s="256" t="n">
        <x:f>738</x:f>
        <x:v>738</x:v>
      </x:c>
      <x:c r="D769" s="258" t="n">
        <x:f>IF(X769&lt;($E$12-$D$12)/($F$12-$D$12),$D$12+SQRT(X769*($F$12-$D$12)*($E$12-$D$12)),$F$12-SQRT((1-X769)*($F$12-$D$12)*($F$12-$E$12)))</x:f>
        <x:v>0.1802530989596909</x:v>
      </x:c>
      <x:c r="E769" s="258" t="n">
        <x:f>IF(Y769&lt;($E$13-$D$13)/($F$13-$D$13),$D$13+SQRT(Y769*($F$13-$D$13)*($E$13-$D$13)),$F$13-SQRT((1-Y769)*($F$13-$D$13)*($F$13-$E$13)))</x:f>
        <x:v>-0.015226756677056419</x:v>
      </x:c>
      <x:c r="F769" s="260" t="n">
        <x:f>IF(Z769&lt;($E$14-$D$14)/($F$14-$D$14),$D$14+SQRT(Z769*($F$14-$D$14)*($E$14-$D$14)),$F$14-SQRT((1-Z769)*($F$14-$D$14)*($F$14-$E$14)))</x:f>
        <x:v>0.9603367003088892</x:v>
      </x:c>
      <x:c r="G769" s="258" t="n">
        <x:f>IF(AA769&lt;($E$15-$D$15)/($F$15-$D$15),$D$15+SQRT(AA769*($F$15-$D$15)*($E$15-$D$15)),$F$15-SQRT((1-AA769)*($F$15-$D$15)*($F$15-$E$15)))</x:f>
        <x:v>0.09363141310591577</x:v>
      </x:c>
      <x:c r="H769" s="258" t="n">
        <x:f>IF(AB769&lt;($E$16-$D$16)/($F$16-$D$16),$D$16+SQRT(AB769*($F$16-$D$16)*($E$16-$D$16)),$F$16-SQRT((1-AB769)*($F$16-$D$16)*($F$16-$E$16)))</x:f>
        <x:v>0.028209475692389952</x:v>
      </x:c>
      <x:c r="I769" s="262" t="n">
        <x:f>'Historical Inputs'!$N$9*(1+D769)^5</x:f>
        <x:v>759981.7669549859</x:v>
      </x:c>
      <x:c r="J769" s="262" t="n">
        <x:f>I769*(1+H769)*('Terminal Value'!$E$10+E769)*(1-'Assumptions'!$E$15)*(1-H769/'Terminal Value'!$E$12)</x:f>
        <x:v>206608.8096257442</x:v>
      </x:c>
      <x:c r="K769" s="264" t="n">
        <x:f>((SUM((('Historical Inputs'!$N$9*(1+(D769))^1)*(('Assumptions'!E37+(E769))*(1-'Assumptions'!E42-(0))+'Assumptions'!E47-'Assumptions'!E52*(F769)+'Assumptions'!E57-'Assumptions'!E62*(1)-'Assumptions'!E67-(0))+('Working Capital'!$E$6))*'DCF'!E12/(1+(G769))^'DCF'!E13,(('Historical Inputs'!$N$9*(1+(D769))^2)*(('Assumptions'!F37+(E769))*(1-'Assumptions'!F42-(0))+'Assumptions'!F47-'Assumptions'!F52*(F769)+'Assumptions'!F57-'Assumptions'!F62*(1)-'Assumptions'!F67-(0))+(('Historical Inputs'!$N$9*(1+(D769))^1)*('Assumptions'!E67+(0))))*'DCF'!F12/(1+(G769))^'DCF'!F13,(('Historical Inputs'!$N$9*(1+(D769))^3)*(('Assumptions'!G37+(E769))*(1-'Assumptions'!G42-(0))+'Assumptions'!G47-'Assumptions'!G52*(F769)+'Assumptions'!G57-'Assumptions'!G62*(1)-'Assumptions'!G67-(0))+(('Historical Inputs'!$N$9*(1+(D769))^2)*('Assumptions'!F67+(0))))*'DCF'!G12/(1+(G769))^'DCF'!G13,(('Historical Inputs'!$N$9*(1+(D769))^4)*(('Assumptions'!H37+(E769))*(1-'Assumptions'!H42-(0))+'Assumptions'!H47-'Assumptions'!H52*(F769)+'Assumptions'!H57-'Assumptions'!H62*(1)-'Assumptions'!H67-(0))+(('Historical Inputs'!$N$9*(1+(D769))^3)*('Assumptions'!G67+(0))))*'DCF'!H12/(1+(G769))^'DCF'!H13,(('Historical Inputs'!$N$9*(1+(D769))^5)*(('Assumptions'!I37+(E769))*(1-'Assumptions'!I42-(0))+'Assumptions'!I47-'Assumptions'!I52*(F769)+'Assumptions'!I57-'Assumptions'!I62*(1)-'Assumptions'!I67-(0))+(('Historical Inputs'!$N$9*(1+(D769))^4)*('Assumptions'!H67+(0))))*'DCF'!I12/(1+(G769))^'DCF'!I13)+('Historical Inputs'!$N$9*(1+(D769))^5)*(1+(H769))*('Terminal Value'!$E$10+(E769))*(1-'Assumptions'!$E$15-(0))*(1-(H769)/('Terminal Value'!$E$12))/((G769)-(H769))/(1+(G769))^'DCF'!$E$19)+'Equity Bridge'!$E$17)/'Equity Bridge'!$E$20</x:f>
        <x:v>340.37984600774826</x:v>
      </x:c>
      <x:c r="X769" s="255" t="n">
        <x:v>0.9661795980171184</x:v>
      </x:c>
      <x:c r="Y769" s="255" t="n">
        <x:v>0.24183569023932805</x:v>
      </x:c>
      <x:c r="Z769" s="255" t="n">
        <x:v>0.2318892844772119</x:v>
      </x:c>
      <x:c r="AA769" s="255" t="n">
        <x:v>0.24458222294651166</x:v>
      </x:c>
      <x:c r="AB769" s="255" t="n">
        <x:v>0.3369774557197076</x:v>
      </x:c>
    </x:row>
    <x:row r="770" ht="24" customHeight="1">
      <x:c r="C770" s="256" t="n">
        <x:f>739</x:f>
        <x:v>739</x:v>
      </x:c>
      <x:c r="D770" s="258" t="n">
        <x:f>IF(X770&lt;($E$12-$D$12)/($F$12-$D$12),$D$12+SQRT(X770*($F$12-$D$12)*($E$12-$D$12)),$F$12-SQRT((1-X770)*($F$12-$D$12)*($F$12-$E$12)))</x:f>
        <x:v>0.1386062538423113</x:v>
      </x:c>
      <x:c r="E770" s="258" t="n">
        <x:f>IF(Y770&lt;($E$13-$D$13)/($F$13-$D$13),$D$13+SQRT(Y770*($F$13-$D$13)*($E$13-$D$13)),$F$13-SQRT((1-Y770)*($F$13-$D$13)*($F$13-$E$13)))</x:f>
        <x:v>-0.028518144699904855</x:v>
      </x:c>
      <x:c r="F770" s="260" t="n">
        <x:f>IF(Z770&lt;($E$14-$D$14)/($F$14-$D$14),$D$14+SQRT(Z770*($F$14-$D$14)*($E$14-$D$14)),$F$14-SQRT((1-Z770)*($F$14-$D$14)*($F$14-$E$14)))</x:f>
        <x:v>1.0455997595892141</x:v>
      </x:c>
      <x:c r="G770" s="258" t="n">
        <x:f>IF(AA770&lt;($E$15-$D$15)/($F$15-$D$15),$D$15+SQRT(AA770*($F$15-$D$15)*($E$15-$D$15)),$F$15-SQRT((1-AA770)*($F$15-$D$15)*($F$15-$E$15)))</x:f>
        <x:v>0.08730194406651179</x:v>
      </x:c>
      <x:c r="H770" s="258" t="n">
        <x:f>IF(AB770&lt;($E$16-$D$16)/($F$16-$D$16),$D$16+SQRT(AB770*($F$16-$D$16)*($E$16-$D$16)),$F$16-SQRT((1-AB770)*($F$16-$D$16)*($F$16-$E$16)))</x:f>
        <x:v>0.03097183699486273</x:v>
      </x:c>
      <x:c r="I770" s="262" t="n">
        <x:f>'Historical Inputs'!$N$9*(1+D770)^5</x:f>
        <x:v>635031.4733494127</x:v>
      </x:c>
      <x:c r="J770" s="262" t="n">
        <x:f>I770*(1+H770)*('Terminal Value'!$E$10+E770)*(1-'Assumptions'!$E$15)*(1-H770/'Terminal Value'!$E$12)</x:f>
        <x:v>164436.68802457183</x:v>
      </x:c>
      <x:c r="K770" s="264" t="n">
        <x:f>((SUM((('Historical Inputs'!$N$9*(1+(D770))^1)*(('Assumptions'!E37+(E770))*(1-'Assumptions'!E42-(0))+'Assumptions'!E47-'Assumptions'!E52*(F770)+'Assumptions'!E57-'Assumptions'!E62*(1)-'Assumptions'!E67-(0))+('Working Capital'!$E$6))*'DCF'!E12/(1+(G770))^'DCF'!E13,(('Historical Inputs'!$N$9*(1+(D770))^2)*(('Assumptions'!F37+(E770))*(1-'Assumptions'!F42-(0))+'Assumptions'!F47-'Assumptions'!F52*(F770)+'Assumptions'!F57-'Assumptions'!F62*(1)-'Assumptions'!F67-(0))+(('Historical Inputs'!$N$9*(1+(D770))^1)*('Assumptions'!E67+(0))))*'DCF'!F12/(1+(G770))^'DCF'!F13,(('Historical Inputs'!$N$9*(1+(D770))^3)*(('Assumptions'!G37+(E770))*(1-'Assumptions'!G42-(0))+'Assumptions'!G47-'Assumptions'!G52*(F770)+'Assumptions'!G57-'Assumptions'!G62*(1)-'Assumptions'!G67-(0))+(('Historical Inputs'!$N$9*(1+(D770))^2)*('Assumptions'!F67+(0))))*'DCF'!G12/(1+(G770))^'DCF'!G13,(('Historical Inputs'!$N$9*(1+(D770))^4)*(('Assumptions'!H37+(E770))*(1-'Assumptions'!H42-(0))+'Assumptions'!H47-'Assumptions'!H52*(F770)+'Assumptions'!H57-'Assumptions'!H62*(1)-'Assumptions'!H67-(0))+(('Historical Inputs'!$N$9*(1+(D770))^3)*('Assumptions'!G67+(0))))*'DCF'!H12/(1+(G770))^'DCF'!H13,(('Historical Inputs'!$N$9*(1+(D770))^5)*(('Assumptions'!I37+(E770))*(1-'Assumptions'!I42-(0))+'Assumptions'!I47-'Assumptions'!I52*(F770)+'Assumptions'!I57-'Assumptions'!I62*(1)-'Assumptions'!I67-(0))+(('Historical Inputs'!$N$9*(1+(D770))^4)*('Assumptions'!H67+(0))))*'DCF'!I12/(1+(G770))^'DCF'!I13)+('Historical Inputs'!$N$9*(1+(D770))^5)*(1+(H770))*('Terminal Value'!$E$10+(E770))*(1-'Assumptions'!$E$15-(0))*(1-(H770)/('Terminal Value'!$E$12))/((G770)-(H770))/(1+(G770))^'DCF'!$E$19)+'Equity Bridge'!$E$17)/'Equity Bridge'!$E$20</x:f>
        <x:v>311.4567557439262</x:v>
      </x:c>
      <x:c r="X770" s="255" t="n">
        <x:v>0.4113105688928057</x:v>
      </x:c>
      <x:c r="Y770" s="255" t="n">
        <x:v>0.09229402142684517</x:v>
      </x:c>
      <x:c r="Z770" s="255" t="n">
        <x:v>0.6594366537298795</x:v>
      </x:c>
      <x:c r="AA770" s="255" t="n">
        <x:v>0.03848601024879317</x:v>
      </x:c>
      <x:c r="AB770" s="255" t="n">
        <x:v>0.5924613637633541</x:v>
      </x:c>
    </x:row>
    <x:row r="771" ht="24" customHeight="1">
      <x:c r="C771" s="256" t="n">
        <x:f>740</x:f>
        <x:v>740</x:v>
      </x:c>
      <x:c r="D771" s="258" t="n">
        <x:f>IF(X771&lt;($E$12-$D$12)/($F$12-$D$12),$D$12+SQRT(X771*($F$12-$D$12)*($E$12-$D$12)),$F$12-SQRT((1-X771)*($F$12-$D$12)*($F$12-$E$12)))</x:f>
        <x:v>0.1559578504656295</x:v>
      </x:c>
      <x:c r="E771" s="258" t="n">
        <x:f>IF(Y771&lt;($E$13-$D$13)/($F$13-$D$13),$D$13+SQRT(Y771*($F$13-$D$13)*($E$13-$D$13)),$F$13-SQRT((1-Y771)*($F$13-$D$13)*($F$13-$E$13)))</x:f>
        <x:v>0.0009691266809015997</x:v>
      </x:c>
      <x:c r="F771" s="260" t="n">
        <x:f>IF(Z771&lt;($E$14-$D$14)/($F$14-$D$14),$D$14+SQRT(Z771*($F$14-$D$14)*($E$14-$D$14)),$F$14-SQRT((1-Z771)*($F$14-$D$14)*($F$14-$E$14)))</x:f>
        <x:v>1.009364516758632</x:v>
      </x:c>
      <x:c r="G771" s="258" t="n">
        <x:f>IF(AA771&lt;($E$15-$D$15)/($F$15-$D$15),$D$15+SQRT(AA771*($F$15-$D$15)*($E$15-$D$15)),$F$15-SQRT((1-AA771)*($F$15-$D$15)*($F$15-$E$15)))</x:f>
        <x:v>0.11107844108584625</x:v>
      </x:c>
      <x:c r="H771" s="258" t="n">
        <x:f>IF(AB771&lt;($E$16-$D$16)/($F$16-$D$16),$D$16+SQRT(AB771*($F$16-$D$16)*($E$16-$D$16)),$F$16-SQRT((1-AB771)*($F$16-$D$16)*($F$16-$E$16)))</x:f>
        <x:v>0.029406380098908044</x:v>
      </x:c>
      <x:c r="I771" s="262" t="n">
        <x:f>'Historical Inputs'!$N$9*(1+D771)^5</x:f>
        <x:v>684916.1703955894</x:v>
      </x:c>
      <x:c r="J771" s="262" t="n">
        <x:f>I771*(1+H771)*('Terminal Value'!$E$10+E771)*(1-'Assumptions'!$E$15)*(1-H771/'Terminal Value'!$E$12)</x:f>
        <x:v>192911.4414332741</x:v>
      </x:c>
      <x:c r="K771" s="264" t="n">
        <x:f>((SUM((('Historical Inputs'!$N$9*(1+(D771))^1)*(('Assumptions'!E37+(E771))*(1-'Assumptions'!E42-(0))+'Assumptions'!E47-'Assumptions'!E52*(F771)+'Assumptions'!E57-'Assumptions'!E62*(1)-'Assumptions'!E67-(0))+('Working Capital'!$E$6))*'DCF'!E12/(1+(G771))^'DCF'!E13,(('Historical Inputs'!$N$9*(1+(D771))^2)*(('Assumptions'!F37+(E771))*(1-'Assumptions'!F42-(0))+'Assumptions'!F47-'Assumptions'!F52*(F771)+'Assumptions'!F57-'Assumptions'!F62*(1)-'Assumptions'!F67-(0))+(('Historical Inputs'!$N$9*(1+(D771))^1)*('Assumptions'!E67+(0))))*'DCF'!F12/(1+(G771))^'DCF'!F13,(('Historical Inputs'!$N$9*(1+(D771))^3)*(('Assumptions'!G37+(E771))*(1-'Assumptions'!G42-(0))+'Assumptions'!G47-'Assumptions'!G52*(F771)+'Assumptions'!G57-'Assumptions'!G62*(1)-'Assumptions'!G67-(0))+(('Historical Inputs'!$N$9*(1+(D771))^2)*('Assumptions'!F67+(0))))*'DCF'!G12/(1+(G771))^'DCF'!G13,(('Historical Inputs'!$N$9*(1+(D771))^4)*(('Assumptions'!H37+(E771))*(1-'Assumptions'!H42-(0))+'Assumptions'!H47-'Assumptions'!H52*(F771)+'Assumptions'!H57-'Assumptions'!H62*(1)-'Assumptions'!H67-(0))+(('Historical Inputs'!$N$9*(1+(D771))^3)*('Assumptions'!G67+(0))))*'DCF'!H12/(1+(G771))^'DCF'!H13,(('Historical Inputs'!$N$9*(1+(D771))^5)*(('Assumptions'!I37+(E771))*(1-'Assumptions'!I42-(0))+'Assumptions'!I47-'Assumptions'!I52*(F771)+'Assumptions'!I57-'Assumptions'!I62*(1)-'Assumptions'!I67-(0))+(('Historical Inputs'!$N$9*(1+(D771))^4)*('Assumptions'!H67+(0))))*'DCF'!I12/(1+(G771))^'DCF'!I13)+('Historical Inputs'!$N$9*(1+(D771))^5)*(1+(H771))*('Terminal Value'!$E$10+(E771))*(1-'Assumptions'!$E$15-(0))*(1-(H771)/('Terminal Value'!$E$12))/((G771)-(H771))/(1+(G771))^'DCF'!$E$19)+'Equity Bridge'!$E$17)/'Equity Bridge'!$E$20</x:f>
        <x:v>248.3996153494681</x:v>
      </x:c>
      <x:c r="X771" s="255" t="n">
        <x:v>0.7217543631650871</x:v>
      </x:c>
      <x:c r="Y771" s="255" t="n">
        <x:v>0.519194692313305</x:v>
      </x:c>
      <x:c r="Z771" s="255" t="n">
        <x:v>0.48083017899043023</x:v>
      </x:c>
      <x:c r="AA771" s="255" t="n">
        <x:v>0.990552115725962</x:v>
      </x:c>
      <x:c r="AB771" s="255" t="n">
        <x:v>0.4423999328256668</x:v>
      </x:c>
    </x:row>
    <x:row r="772" ht="24" customHeight="1">
      <x:c r="C772" s="256" t="n">
        <x:f>741</x:f>
        <x:v>741</x:v>
      </x:c>
      <x:c r="D772" s="258" t="n">
        <x:f>IF(X772&lt;($E$12-$D$12)/($F$12-$D$12),$D$12+SQRT(X772*($F$12-$D$12)*($E$12-$D$12)),$F$12-SQRT((1-X772)*($F$12-$D$12)*($F$12-$E$12)))</x:f>
        <x:v>0.165235016694944</x:v>
      </x:c>
      <x:c r="E772" s="258" t="n">
        <x:f>IF(Y772&lt;($E$13-$D$13)/($F$13-$D$13),$D$13+SQRT(Y772*($F$13-$D$13)*($E$13-$D$13)),$F$13-SQRT((1-Y772)*($F$13-$D$13)*($F$13-$E$13)))</x:f>
        <x:v>-0.0038062328170184664</x:v>
      </x:c>
      <x:c r="F772" s="260" t="n">
        <x:f>IF(Z772&lt;($E$14-$D$14)/($F$14-$D$14),$D$14+SQRT(Z772*($F$14-$D$14)*($E$14-$D$14)),$F$14-SQRT((1-Z772)*($F$14-$D$14)*($F$14-$E$14)))</x:f>
        <x:v>0.9422528909877439</x:v>
      </x:c>
      <x:c r="G772" s="258" t="n">
        <x:f>IF(AA772&lt;($E$15-$D$15)/($F$15-$D$15),$D$15+SQRT(AA772*($F$15-$D$15)*($E$15-$D$15)),$F$15-SQRT((1-AA772)*($F$15-$D$15)*($F$15-$E$15)))</x:f>
        <x:v>0.09370607997791987</x:v>
      </x:c>
      <x:c r="H772" s="258" t="n">
        <x:f>IF(AB772&lt;($E$16-$D$16)/($F$16-$D$16),$D$16+SQRT(AB772*($F$16-$D$16)*($E$16-$D$16)),$F$16-SQRT((1-AB772)*($F$16-$D$16)*($F$16-$E$16)))</x:f>
        <x:v>0.03194569512445201</x:v>
      </x:c>
      <x:c r="I772" s="262" t="n">
        <x:f>'Historical Inputs'!$N$9*(1+D772)^5</x:f>
        <x:v>712844.9249842266</x:v>
      </x:c>
      <x:c r="J772" s="262" t="n">
        <x:f>I772*(1+H772)*('Terminal Value'!$E$10+E772)*(1-'Assumptions'!$E$15)*(1-H772/'Terminal Value'!$E$12)</x:f>
        <x:v>195915.67189151357</x:v>
      </x:c>
      <x:c r="K772" s="264" t="n">
        <x:f>((SUM((('Historical Inputs'!$N$9*(1+(D772))^1)*(('Assumptions'!E37+(E772))*(1-'Assumptions'!E42-(0))+'Assumptions'!E47-'Assumptions'!E52*(F772)+'Assumptions'!E57-'Assumptions'!E62*(1)-'Assumptions'!E67-(0))+('Working Capital'!$E$6))*'DCF'!E12/(1+(G772))^'DCF'!E13,(('Historical Inputs'!$N$9*(1+(D772))^2)*(('Assumptions'!F37+(E772))*(1-'Assumptions'!F42-(0))+'Assumptions'!F47-'Assumptions'!F52*(F772)+'Assumptions'!F57-'Assumptions'!F62*(1)-'Assumptions'!F67-(0))+(('Historical Inputs'!$N$9*(1+(D772))^1)*('Assumptions'!E67+(0))))*'DCF'!F12/(1+(G772))^'DCF'!F13,(('Historical Inputs'!$N$9*(1+(D772))^3)*(('Assumptions'!G37+(E772))*(1-'Assumptions'!G42-(0))+'Assumptions'!G47-'Assumptions'!G52*(F772)+'Assumptions'!G57-'Assumptions'!G62*(1)-'Assumptions'!G67-(0))+(('Historical Inputs'!$N$9*(1+(D772))^2)*('Assumptions'!F67+(0))))*'DCF'!G12/(1+(G772))^'DCF'!G13,(('Historical Inputs'!$N$9*(1+(D772))^4)*(('Assumptions'!H37+(E772))*(1-'Assumptions'!H42-(0))+'Assumptions'!H47-'Assumptions'!H52*(F772)+'Assumptions'!H57-'Assumptions'!H62*(1)-'Assumptions'!H67-(0))+(('Historical Inputs'!$N$9*(1+(D772))^3)*('Assumptions'!G67+(0))))*'DCF'!H12/(1+(G772))^'DCF'!H13,(('Historical Inputs'!$N$9*(1+(D772))^5)*(('Assumptions'!I37+(E772))*(1-'Assumptions'!I42-(0))+'Assumptions'!I47-'Assumptions'!I52*(F772)+'Assumptions'!I57-'Assumptions'!I62*(1)-'Assumptions'!I67-(0))+(('Historical Inputs'!$N$9*(1+(D772))^4)*('Assumptions'!H67+(0))))*'DCF'!I12/(1+(G772))^'DCF'!I13)+('Historical Inputs'!$N$9*(1+(D772))^5)*(1+(H772))*('Terminal Value'!$E$10+(E772))*(1-'Assumptions'!$E$15-(0))*(1-(H772)/('Terminal Value'!$E$12))/((G772)-(H772))/(1+(G772))^'DCF'!$E$19)+'Equity Bridge'!$E$17)/'Equity Bridge'!$E$20</x:f>
        <x:v>342.3710137672057</x:v>
      </x:c>
      <x:c r="X772" s="255" t="n">
        <x:v>0.8429534456863713</x:v>
      </x:c>
      <x:c r="Y772" s="255" t="n">
        <x:v>0.4267728253111004</x:v>
      </x:c>
      <x:c r="Z772" s="255" t="n">
        <x:v>0.16210658848755355</x:v>
      </x:c>
      <x:c r="AA772" s="255" t="n">
        <x:v>0.24807609404252562</x:v>
      </x:c>
      <x:c r="AB772" s="255" t="n">
        <x:v>0.6756408648586192</x:v>
      </x:c>
    </x:row>
    <x:row r="773" ht="24" customHeight="1">
      <x:c r="C773" s="256" t="n">
        <x:f>742</x:f>
        <x:v>742</x:v>
      </x:c>
      <x:c r="D773" s="258" t="n">
        <x:f>IF(X773&lt;($E$12-$D$12)/($F$12-$D$12),$D$12+SQRT(X773*($F$12-$D$12)*($E$12-$D$12)),$F$12-SQRT((1-X773)*($F$12-$D$12)*($F$12-$E$12)))</x:f>
        <x:v>0.15914440750288927</x:v>
      </x:c>
      <x:c r="E773" s="258" t="n">
        <x:f>IF(Y773&lt;($E$13-$D$13)/($F$13-$D$13),$D$13+SQRT(Y773*($F$13-$D$13)*($E$13-$D$13)),$F$13-SQRT((1-Y773)*($F$13-$D$13)*($F$13-$E$13)))</x:f>
        <x:v>-0.033750501075679604</x:v>
      </x:c>
      <x:c r="F773" s="260" t="n">
        <x:f>IF(Z773&lt;($E$14-$D$14)/($F$14-$D$14),$D$14+SQRT(Z773*($F$14-$D$14)*($E$14-$D$14)),$F$14-SQRT((1-Z773)*($F$14-$D$14)*($F$14-$E$14)))</x:f>
        <x:v>1.0586338039229979</x:v>
      </x:c>
      <x:c r="G773" s="258" t="n">
        <x:f>IF(AA773&lt;($E$15-$D$15)/($F$15-$D$15),$D$15+SQRT(AA773*($F$15-$D$15)*($E$15-$D$15)),$F$15-SQRT((1-AA773)*($F$15-$D$15)*($F$15-$E$15)))</x:f>
        <x:v>0.09034950047631032</x:v>
      </x:c>
      <x:c r="H773" s="258" t="n">
        <x:f>IF(AB773&lt;($E$16-$D$16)/($F$16-$D$16),$D$16+SQRT(AB773*($F$16-$D$16)*($E$16-$D$16)),$F$16-SQRT((1-AB773)*($F$16-$D$16)*($F$16-$E$16)))</x:f>
        <x:v>0.03285000574941439</x:v>
      </x:c>
      <x:c r="I773" s="262" t="n">
        <x:f>'Historical Inputs'!$N$9*(1+D773)^5</x:f>
        <x:v>694408.6900246437</x:v>
      </x:c>
      <x:c r="J773" s="262" t="n">
        <x:f>I773*(1+H773)*('Terminal Value'!$E$10+E773)*(1-'Assumptions'!$E$15)*(1-H773/'Terminal Value'!$E$12)</x:f>
        <x:v>175628.82664270143</x:v>
      </x:c>
      <x:c r="K773" s="264" t="n">
        <x:f>((SUM((('Historical Inputs'!$N$9*(1+(D773))^1)*(('Assumptions'!E37+(E773))*(1-'Assumptions'!E42-(0))+'Assumptions'!E47-'Assumptions'!E52*(F773)+'Assumptions'!E57-'Assumptions'!E62*(1)-'Assumptions'!E67-(0))+('Working Capital'!$E$6))*'DCF'!E12/(1+(G773))^'DCF'!E13,(('Historical Inputs'!$N$9*(1+(D773))^2)*(('Assumptions'!F37+(E773))*(1-'Assumptions'!F42-(0))+'Assumptions'!F47-'Assumptions'!F52*(F773)+'Assumptions'!F57-'Assumptions'!F62*(1)-'Assumptions'!F67-(0))+(('Historical Inputs'!$N$9*(1+(D773))^1)*('Assumptions'!E67+(0))))*'DCF'!F12/(1+(G773))^'DCF'!F13,(('Historical Inputs'!$N$9*(1+(D773))^3)*(('Assumptions'!G37+(E773))*(1-'Assumptions'!G42-(0))+'Assumptions'!G47-'Assumptions'!G52*(F773)+'Assumptions'!G57-'Assumptions'!G62*(1)-'Assumptions'!G67-(0))+(('Historical Inputs'!$N$9*(1+(D773))^2)*('Assumptions'!F67+(0))))*'DCF'!G12/(1+(G773))^'DCF'!G13,(('Historical Inputs'!$N$9*(1+(D773))^4)*(('Assumptions'!H37+(E773))*(1-'Assumptions'!H42-(0))+'Assumptions'!H47-'Assumptions'!H52*(F773)+'Assumptions'!H57-'Assumptions'!H62*(1)-'Assumptions'!H67-(0))+(('Historical Inputs'!$N$9*(1+(D773))^3)*('Assumptions'!G67+(0))))*'DCF'!H12/(1+(G773))^'DCF'!H13,(('Historical Inputs'!$N$9*(1+(D773))^5)*(('Assumptions'!I37+(E773))*(1-'Assumptions'!I42-(0))+'Assumptions'!I47-'Assumptions'!I52*(F773)+'Assumptions'!I57-'Assumptions'!I62*(1)-'Assumptions'!I67-(0))+(('Historical Inputs'!$N$9*(1+(D773))^4)*('Assumptions'!H67+(0))))*'DCF'!I12/(1+(G773))^'DCF'!I13)+('Historical Inputs'!$N$9*(1+(D773))^5)*(1+(H773))*('Terminal Value'!$E$10+(E773))*(1-'Assumptions'!$E$15-(0))*(1-(H773)/('Terminal Value'!$E$12))/((G773)-(H773))/(1+(G773))^'DCF'!$E$19)+'Equity Bridge'!$E$17)/'Equity Bridge'!$E$20</x:f>
        <x:v>320.9281150995428</x:v>
      </x:c>
      <x:c r="X773" s="255" t="n">
        <x:v>0.7672659088077575</x:v>
      </x:c>
      <x:c r="Y773" s="255" t="n">
        <x:v>0.05280924305829793</x:v>
      </x:c>
      <x:c r="Z773" s="255" t="n">
        <x:v>0.7145085515245512</x:v>
      </x:c>
      <x:c r="AA773" s="255" t="n">
        <x:v>0.11549238321474287</x:v>
      </x:c>
      <x:c r="AB773" s="255" t="n">
        <x:v>0.7443879110829641</x:v>
      </x:c>
    </x:row>
    <x:row r="774" ht="24" customHeight="1">
      <x:c r="C774" s="256" t="n">
        <x:f>743</x:f>
        <x:v>743</x:v>
      </x:c>
      <x:c r="D774" s="258" t="n">
        <x:f>IF(X774&lt;($E$12-$D$12)/($F$12-$D$12),$D$12+SQRT(X774*($F$12-$D$12)*($E$12-$D$12)),$F$12-SQRT((1-X774)*($F$12-$D$12)*($F$12-$E$12)))</x:f>
        <x:v>0.1526614177688</x:v>
      </x:c>
      <x:c r="E774" s="258" t="n">
        <x:f>IF(Y774&lt;($E$13-$D$13)/($F$13-$D$13),$D$13+SQRT(Y774*($F$13-$D$13)*($E$13-$D$13)),$F$13-SQRT((1-Y774)*($F$13-$D$13)*($F$13-$E$13)))</x:f>
        <x:v>0.01774127237162152</x:v>
      </x:c>
      <x:c r="F774" s="260" t="n">
        <x:f>IF(Z774&lt;($E$14-$D$14)/($F$14-$D$14),$D$14+SQRT(Z774*($F$14-$D$14)*($E$14-$D$14)),$F$14-SQRT((1-Z774)*($F$14-$D$14)*($F$14-$E$14)))</x:f>
        <x:v>0.9965173585527897</x:v>
      </x:c>
      <x:c r="G774" s="258" t="n">
        <x:f>IF(AA774&lt;($E$15-$D$15)/($F$15-$D$15),$D$15+SQRT(AA774*($F$15-$D$15)*($E$15-$D$15)),$F$15-SQRT((1-AA774)*($F$15-$D$15)*($F$15-$E$15)))</x:f>
        <x:v>0.09746227608514303</x:v>
      </x:c>
      <x:c r="H774" s="258" t="n">
        <x:f>IF(AB774&lt;($E$16-$D$16)/($F$16-$D$16),$D$16+SQRT(AB774*($F$16-$D$16)*($E$16-$D$16)),$F$16-SQRT((1-AB774)*($F$16-$D$16)*($F$16-$E$16)))</x:f>
        <x:v>0.03545962362791482</x:v>
      </x:c>
      <x:c r="I774" s="262" t="n">
        <x:f>'Historical Inputs'!$N$9*(1+D774)^5</x:f>
        <x:v>675205.8693155801</x:v>
      </x:c>
      <x:c r="J774" s="262" t="n">
        <x:f>I774*(1+H774)*('Terminal Value'!$E$10+E774)*(1-'Assumptions'!$E$15)*(1-H774/'Terminal Value'!$E$12)</x:f>
        <x:v>192224.72157326515</x:v>
      </x:c>
      <x:c r="K774" s="264" t="n">
        <x:f>((SUM((('Historical Inputs'!$N$9*(1+(D774))^1)*(('Assumptions'!E37+(E774))*(1-'Assumptions'!E42-(0))+'Assumptions'!E47-'Assumptions'!E52*(F774)+'Assumptions'!E57-'Assumptions'!E62*(1)-'Assumptions'!E67-(0))+('Working Capital'!$E$6))*'DCF'!E12/(1+(G774))^'DCF'!E13,(('Historical Inputs'!$N$9*(1+(D774))^2)*(('Assumptions'!F37+(E774))*(1-'Assumptions'!F42-(0))+'Assumptions'!F47-'Assumptions'!F52*(F774)+'Assumptions'!F57-'Assumptions'!F62*(1)-'Assumptions'!F67-(0))+(('Historical Inputs'!$N$9*(1+(D774))^1)*('Assumptions'!E67+(0))))*'DCF'!F12/(1+(G774))^'DCF'!F13,(('Historical Inputs'!$N$9*(1+(D774))^3)*(('Assumptions'!G37+(E774))*(1-'Assumptions'!G42-(0))+'Assumptions'!G47-'Assumptions'!G52*(F774)+'Assumptions'!G57-'Assumptions'!G62*(1)-'Assumptions'!G67-(0))+(('Historical Inputs'!$N$9*(1+(D774))^2)*('Assumptions'!F67+(0))))*'DCF'!G12/(1+(G774))^'DCF'!G13,(('Historical Inputs'!$N$9*(1+(D774))^4)*(('Assumptions'!H37+(E774))*(1-'Assumptions'!H42-(0))+'Assumptions'!H47-'Assumptions'!H52*(F774)+'Assumptions'!H57-'Assumptions'!H62*(1)-'Assumptions'!H67-(0))+(('Historical Inputs'!$N$9*(1+(D774))^3)*('Assumptions'!G67+(0))))*'DCF'!H12/(1+(G774))^'DCF'!H13,(('Historical Inputs'!$N$9*(1+(D774))^5)*(('Assumptions'!I37+(E774))*(1-'Assumptions'!I42-(0))+'Assumptions'!I47-'Assumptions'!I52*(F774)+'Assumptions'!I57-'Assumptions'!I62*(1)-'Assumptions'!I67-(0))+(('Historical Inputs'!$N$9*(1+(D774))^4)*('Assumptions'!H67+(0))))*'DCF'!I12/(1+(G774))^'DCF'!I13)+('Historical Inputs'!$N$9*(1+(D774))^5)*(1+(H774))*('Terminal Value'!$E$10+(E774))*(1-'Assumptions'!$E$15-(0))*(1-(H774)/('Terminal Value'!$E$12))/((G774)-(H774))/(1+(G774))^'DCF'!$E$19)+'Equity Bridge'!$E$17)/'Equity Bridge'!$E$20</x:f>
        <x:v>329.6180863897917</x:v>
      </x:c>
      <x:c r="X774" s="255" t="n">
        <x:v>0.6703993862452777</x:v>
      </x:c>
      <x:c r="Y774" s="255" t="n">
        <x:v>0.7918748983596182</x:v>
      </x:c>
      <x:c r="Z774" s="255" t="n">
        <x:v>0.40890164490069947</x:v>
      </x:c>
      <x:c r="AA774" s="255" t="n">
        <x:v>0.4558155871541477</x:v>
      </x:c>
      <x:c r="AB774" s="255" t="n">
        <x:v>0.8969249119990532</x:v>
      </x:c>
    </x:row>
    <x:row r="775" ht="24" customHeight="1">
      <x:c r="C775" s="256" t="n">
        <x:f>744</x:f>
        <x:v>744</x:v>
      </x:c>
      <x:c r="D775" s="258" t="n">
        <x:f>IF(X775&lt;($E$12-$D$12)/($F$12-$D$12),$D$12+SQRT(X775*($F$12-$D$12)*($E$12-$D$12)),$F$12-SQRT((1-X775)*($F$12-$D$12)*($F$12-$E$12)))</x:f>
        <x:v>0.14576402805383748</x:v>
      </x:c>
      <x:c r="E775" s="258" t="n">
        <x:f>IF(Y775&lt;($E$13-$D$13)/($F$13-$D$13),$D$13+SQRT(Y775*($F$13-$D$13)*($E$13-$D$13)),$F$13-SQRT((1-Y775)*($F$13-$D$13)*($F$13-$E$13)))</x:f>
        <x:v>-0.020905022422519886</x:v>
      </x:c>
      <x:c r="F775" s="260" t="n">
        <x:f>IF(Z775&lt;($E$14-$D$14)/($F$14-$D$14),$D$14+SQRT(Z775*($F$14-$D$14)*($E$14-$D$14)),$F$14-SQRT((1-Z775)*($F$14-$D$14)*($F$14-$E$14)))</x:f>
        <x:v>1.0495259943838968</x:v>
      </x:c>
      <x:c r="G775" s="258" t="n">
        <x:f>IF(AA775&lt;($E$15-$D$15)/($F$15-$D$15),$D$15+SQRT(AA775*($F$15-$D$15)*($E$15-$D$15)),$F$15-SQRT((1-AA775)*($F$15-$D$15)*($F$15-$E$15)))</x:f>
        <x:v>0.10212647195622163</x:v>
      </x:c>
      <x:c r="H775" s="258" t="n">
        <x:f>IF(AB775&lt;($E$16-$D$16)/($F$16-$D$16),$D$16+SQRT(AB775*($F$16-$D$16)*($E$16-$D$16)),$F$16-SQRT((1-AB775)*($F$16-$D$16)*($F$16-$E$16)))</x:f>
        <x:v>0.025995285678162748</x:v>
      </x:c>
      <x:c r="I775" s="262" t="n">
        <x:f>'Historical Inputs'!$N$9*(1+D775)^5</x:f>
        <x:v>655244.4361460725</x:v>
      </x:c>
      <x:c r="J775" s="262" t="n">
        <x:f>I775*(1+H775)*('Terminal Value'!$E$10+E775)*(1-'Assumptions'!$E$15)*(1-H775/'Terminal Value'!$E$12)</x:f>
        <x:v>177385.34788743578</x:v>
      </x:c>
      <x:c r="K775" s="264" t="n">
        <x:f>((SUM((('Historical Inputs'!$N$9*(1+(D775))^1)*(('Assumptions'!E37+(E775))*(1-'Assumptions'!E42-(0))+'Assumptions'!E47-'Assumptions'!E52*(F775)+'Assumptions'!E57-'Assumptions'!E62*(1)-'Assumptions'!E67-(0))+('Working Capital'!$E$6))*'DCF'!E12/(1+(G775))^'DCF'!E13,(('Historical Inputs'!$N$9*(1+(D775))^2)*(('Assumptions'!F37+(E775))*(1-'Assumptions'!F42-(0))+'Assumptions'!F47-'Assumptions'!F52*(F775)+'Assumptions'!F57-'Assumptions'!F62*(1)-'Assumptions'!F67-(0))+(('Historical Inputs'!$N$9*(1+(D775))^1)*('Assumptions'!E67+(0))))*'DCF'!F12/(1+(G775))^'DCF'!F13,(('Historical Inputs'!$N$9*(1+(D775))^3)*(('Assumptions'!G37+(E775))*(1-'Assumptions'!G42-(0))+'Assumptions'!G47-'Assumptions'!G52*(F775)+'Assumptions'!G57-'Assumptions'!G62*(1)-'Assumptions'!G67-(0))+(('Historical Inputs'!$N$9*(1+(D775))^2)*('Assumptions'!F67+(0))))*'DCF'!G12/(1+(G775))^'DCF'!G13,(('Historical Inputs'!$N$9*(1+(D775))^4)*(('Assumptions'!H37+(E775))*(1-'Assumptions'!H42-(0))+'Assumptions'!H47-'Assumptions'!H52*(F775)+'Assumptions'!H57-'Assumptions'!H62*(1)-'Assumptions'!H67-(0))+(('Historical Inputs'!$N$9*(1+(D775))^3)*('Assumptions'!G67+(0))))*'DCF'!H12/(1+(G775))^'DCF'!H13,(('Historical Inputs'!$N$9*(1+(D775))^5)*(('Assumptions'!I37+(E775))*(1-'Assumptions'!I42-(0))+'Assumptions'!I47-'Assumptions'!I52*(F775)+'Assumptions'!I57-'Assumptions'!I62*(1)-'Assumptions'!I67-(0))+(('Historical Inputs'!$N$9*(1+(D775))^4)*('Assumptions'!H67+(0))))*'DCF'!I12/(1+(G775))^'DCF'!I13)+('Historical Inputs'!$N$9*(1+(D775))^5)*(1+(H775))*('Terminal Value'!$E$10+(E775))*(1-'Assumptions'!$E$15-(0))*(1-(H775)/('Terminal Value'!$E$12))/((G775)-(H775))/(1+(G775))^'DCF'!$E$19)+'Equity Bridge'!$E$17)/'Equity Bridge'!$E$20</x:f>
        <x:v>245.66562702551172</x:v>
      </x:c>
      <x:c r="X775" s="255" t="n">
        <x:v>0.5488831085103767</x:v>
      </x:c>
      <x:c r="Y775" s="255" t="n">
        <x:v>0.16930354404681414</x:v>
      </x:c>
      <x:c r="Z775" s="255" t="n">
        <x:v>0.676536766197785</x:v>
      </x:c>
      <x:c r="AA775" s="255" t="n">
        <x:v>0.7304312566630711</x:v>
      </x:c>
      <x:c r="AB775" s="255" t="n">
        <x:v>0.17971725181391685</x:v>
      </x:c>
    </x:row>
    <x:row r="776" ht="24" customHeight="1">
      <x:c r="C776" s="256" t="n">
        <x:f>745</x:f>
        <x:v>745</x:v>
      </x:c>
      <x:c r="D776" s="258" t="n">
        <x:f>IF(X776&lt;($E$12-$D$12)/($F$12-$D$12),$D$12+SQRT(X776*($F$12-$D$12)*($E$12-$D$12)),$F$12-SQRT((1-X776)*($F$12-$D$12)*($F$12-$E$12)))</x:f>
        <x:v>0.1413812638604398</x:v>
      </x:c>
      <x:c r="E776" s="258" t="n">
        <x:f>IF(Y776&lt;($E$13-$D$13)/($F$13-$D$13),$D$13+SQRT(Y776*($F$13-$D$13)*($E$13-$D$13)),$F$13-SQRT((1-Y776)*($F$13-$D$13)*($F$13-$E$13)))</x:f>
        <x:v>-0.017836654454995084</x:v>
      </x:c>
      <x:c r="F776" s="260" t="n">
        <x:f>IF(Z776&lt;($E$14-$D$14)/($F$14-$D$14),$D$14+SQRT(Z776*($F$14-$D$14)*($E$14-$D$14)),$F$14-SQRT((1-Z776)*($F$14-$D$14)*($F$14-$E$14)))</x:f>
        <x:v>1.052629789654434</x:v>
      </x:c>
      <x:c r="G776" s="258" t="n">
        <x:f>IF(AA776&lt;($E$15-$D$15)/($F$15-$D$15),$D$15+SQRT(AA776*($F$15-$D$15)*($E$15-$D$15)),$F$15-SQRT((1-AA776)*($F$15-$D$15)*($F$15-$E$15)))</x:f>
        <x:v>0.09939037821904886</x:v>
      </x:c>
      <x:c r="H776" s="258" t="n">
        <x:f>IF(AB776&lt;($E$16-$D$16)/($F$16-$D$16),$D$16+SQRT(AB776*($F$16-$D$16)*($E$16-$D$16)),$F$16-SQRT((1-AB776)*($F$16-$D$16)*($F$16-$E$16)))</x:f>
        <x:v>0.028621892720161225</x:v>
      </x:c>
      <x:c r="I776" s="262" t="n">
        <x:f>'Historical Inputs'!$N$9*(1+D776)^5</x:f>
        <x:v>642807.7762203792</x:v>
      </x:c>
      <x:c r="J776" s="262" t="n">
        <x:f>I776*(1+H776)*('Terminal Value'!$E$10+E776)*(1-'Assumptions'!$E$15)*(1-H776/'Terminal Value'!$E$12)</x:f>
        <x:v>173221.28220034772</x:v>
      </x:c>
      <x:c r="K776" s="264" t="n">
        <x:f>((SUM((('Historical Inputs'!$N$9*(1+(D776))^1)*(('Assumptions'!E37+(E776))*(1-'Assumptions'!E42-(0))+'Assumptions'!E47-'Assumptions'!E52*(F776)+'Assumptions'!E57-'Assumptions'!E62*(1)-'Assumptions'!E67-(0))+('Working Capital'!$E$6))*'DCF'!E12/(1+(G776))^'DCF'!E13,(('Historical Inputs'!$N$9*(1+(D776))^2)*(('Assumptions'!F37+(E776))*(1-'Assumptions'!F42-(0))+'Assumptions'!F47-'Assumptions'!F52*(F776)+'Assumptions'!F57-'Assumptions'!F62*(1)-'Assumptions'!F67-(0))+(('Historical Inputs'!$N$9*(1+(D776))^1)*('Assumptions'!E67+(0))))*'DCF'!F12/(1+(G776))^'DCF'!F13,(('Historical Inputs'!$N$9*(1+(D776))^3)*(('Assumptions'!G37+(E776))*(1-'Assumptions'!G42-(0))+'Assumptions'!G47-'Assumptions'!G52*(F776)+'Assumptions'!G57-'Assumptions'!G62*(1)-'Assumptions'!G67-(0))+(('Historical Inputs'!$N$9*(1+(D776))^2)*('Assumptions'!F67+(0))))*'DCF'!G12/(1+(G776))^'DCF'!G13,(('Historical Inputs'!$N$9*(1+(D776))^4)*(('Assumptions'!H37+(E776))*(1-'Assumptions'!H42-(0))+'Assumptions'!H47-'Assumptions'!H52*(F776)+'Assumptions'!H57-'Assumptions'!H62*(1)-'Assumptions'!H67-(0))+(('Historical Inputs'!$N$9*(1+(D776))^3)*('Assumptions'!G67+(0))))*'DCF'!H12/(1+(G776))^'DCF'!H13,(('Historical Inputs'!$N$9*(1+(D776))^5)*(('Assumptions'!I37+(E776))*(1-'Assumptions'!I42-(0))+'Assumptions'!I47-'Assumptions'!I52*(F776)+'Assumptions'!I57-'Assumptions'!I62*(1)-'Assumptions'!I67-(0))+(('Historical Inputs'!$N$9*(1+(D776))^4)*('Assumptions'!H67+(0))))*'DCF'!I12/(1+(G776))^'DCF'!I13)+('Historical Inputs'!$N$9*(1+(D776))^5)*(1+(H776))*('Terminal Value'!$E$10+(E776))*(1-'Assumptions'!$E$15-(0))*(1-(H776)/('Terminal Value'!$E$12))/((G776)-(H776))/(1+(G776))^'DCF'!$E$19)+'Equity Bridge'!$E$17)/'Equity Bridge'!$E$20</x:f>
        <x:v>258.19362195539526</x:v>
      </x:c>
      <x:c r="X776" s="255" t="n">
        <x:v>0.4631885342767642</x:v>
      </x:c>
      <x:c r="Y776" s="255" t="n">
        <x:v>0.20689615932947758</x:v>
      </x:c>
      <x:c r="Z776" s="255" t="n">
        <x:v>0.6897431586100526</x:v>
      </x:c>
      <x:c r="AA776" s="255" t="n">
        <x:v>0.5798616567123114</x:v>
      </x:c>
      <x:c r="AB776" s="255" t="n">
        <x:v>0.3716851703898457</x:v>
      </x:c>
    </x:row>
    <x:row r="777" ht="24" customHeight="1">
      <x:c r="C777" s="256" t="n">
        <x:f>746</x:f>
        <x:v>746</x:v>
      </x:c>
      <x:c r="D777" s="258" t="n">
        <x:f>IF(X777&lt;($E$12-$D$12)/($F$12-$D$12),$D$12+SQRT(X777*($F$12-$D$12)*($E$12-$D$12)),$F$12-SQRT((1-X777)*($F$12-$D$12)*($F$12-$E$12)))</x:f>
        <x:v>0.11590508687140948</x:v>
      </x:c>
      <x:c r="E777" s="258" t="n">
        <x:f>IF(Y777&lt;($E$13-$D$13)/($F$13-$D$13),$D$13+SQRT(Y777*($F$13-$D$13)*($E$13-$D$13)),$F$13-SQRT((1-Y777)*($F$13-$D$13)*($F$13-$E$13)))</x:f>
        <x:v>0.031271540400571306</x:v>
      </x:c>
      <x:c r="F777" s="260" t="n">
        <x:f>IF(Z777&lt;($E$14-$D$14)/($F$14-$D$14),$D$14+SQRT(Z777*($F$14-$D$14)*($E$14-$D$14)),$F$14-SQRT((1-Z777)*($F$14-$D$14)*($F$14-$E$14)))</x:f>
        <x:v>1.1438884387412769</x:v>
      </x:c>
      <x:c r="G777" s="258" t="n">
        <x:f>IF(AA777&lt;($E$15-$D$15)/($F$15-$D$15),$D$15+SQRT(AA777*($F$15-$D$15)*($E$15-$D$15)),$F$15-SQRT((1-AA777)*($F$15-$D$15)*($F$15-$E$15)))</x:f>
        <x:v>0.09096389690105919</x:v>
      </x:c>
      <x:c r="H777" s="258" t="n">
        <x:f>IF(AB777&lt;($E$16-$D$16)/($F$16-$D$16),$D$16+SQRT(AB777*($F$16-$D$16)*($E$16-$D$16)),$F$16-SQRT((1-AB777)*($F$16-$D$16)*($F$16-$E$16)))</x:f>
        <x:v>0.02576459390675079</x:v>
      </x:c>
      <x:c r="I777" s="262" t="n">
        <x:f>'Historical Inputs'!$N$9*(1+D777)^5</x:f>
        <x:v>574200.6933639662</x:v>
      </x:c>
      <x:c r="J777" s="262" t="n">
        <x:f>I777*(1+H777)*('Terminal Value'!$E$10+E777)*(1-'Assumptions'!$E$15)*(1-H777/'Terminal Value'!$E$12)</x:f>
        <x:v>177034.7900920484</x:v>
      </x:c>
      <x:c r="K777" s="264" t="n">
        <x:f>((SUM((('Historical Inputs'!$N$9*(1+(D777))^1)*(('Assumptions'!E37+(E777))*(1-'Assumptions'!E42-(0))+'Assumptions'!E47-'Assumptions'!E52*(F777)+'Assumptions'!E57-'Assumptions'!E62*(1)-'Assumptions'!E67-(0))+('Working Capital'!$E$6))*'DCF'!E12/(1+(G777))^'DCF'!E13,(('Historical Inputs'!$N$9*(1+(D777))^2)*(('Assumptions'!F37+(E777))*(1-'Assumptions'!F42-(0))+'Assumptions'!F47-'Assumptions'!F52*(F777)+'Assumptions'!F57-'Assumptions'!F62*(1)-'Assumptions'!F67-(0))+(('Historical Inputs'!$N$9*(1+(D777))^1)*('Assumptions'!E67+(0))))*'DCF'!F12/(1+(G777))^'DCF'!F13,(('Historical Inputs'!$N$9*(1+(D777))^3)*(('Assumptions'!G37+(E777))*(1-'Assumptions'!G42-(0))+'Assumptions'!G47-'Assumptions'!G52*(F777)+'Assumptions'!G57-'Assumptions'!G62*(1)-'Assumptions'!G67-(0))+(('Historical Inputs'!$N$9*(1+(D777))^2)*('Assumptions'!F67+(0))))*'DCF'!G12/(1+(G777))^'DCF'!G13,(('Historical Inputs'!$N$9*(1+(D777))^4)*(('Assumptions'!H37+(E777))*(1-'Assumptions'!H42-(0))+'Assumptions'!H47-'Assumptions'!H52*(F777)+'Assumptions'!H57-'Assumptions'!H62*(1)-'Assumptions'!H67-(0))+(('Historical Inputs'!$N$9*(1+(D777))^3)*('Assumptions'!G67+(0))))*'DCF'!H12/(1+(G777))^'DCF'!H13,(('Historical Inputs'!$N$9*(1+(D777))^5)*(('Assumptions'!I37+(E777))*(1-'Assumptions'!I42-(0))+'Assumptions'!I47-'Assumptions'!I52*(F777)+'Assumptions'!I57-'Assumptions'!I62*(1)-'Assumptions'!I67-(0))+(('Historical Inputs'!$N$9*(1+(D777))^4)*('Assumptions'!H67+(0))))*'DCF'!I12/(1+(G777))^'DCF'!I13)+('Historical Inputs'!$N$9*(1+(D777))^5)*(1+(H777))*('Terminal Value'!$E$10+(E777))*(1-'Assumptions'!$E$15-(0))*(1-(H777)/('Terminal Value'!$E$12))/((G777)-(H777))/(1+(G777))^'DCF'!$E$19)+'Equity Bridge'!$E$17)/'Equity Bridge'!$E$20</x:f>
        <x:v>290.9062975144227</x:v>
      </x:c>
      <x:c r="X777" s="255" t="n">
        <x:v>0.10258697005969997</x:v>
      </x:c>
      <x:c r="Y777" s="255" t="n">
        <x:v>0.9298489602065134</x:v>
      </x:c>
      <x:c r="Z777" s="255" t="n">
        <x:v>0.9550213241872654</x:v>
      </x:c>
      <x:c r="AA777" s="255" t="n">
        <x:v>0.1360168539221036</x:v>
      </x:c>
      <x:c r="AB777" s="255" t="n">
        <x:v>0.16615271454874192</x:v>
      </x:c>
    </x:row>
    <x:row r="778" ht="24" customHeight="1">
      <x:c r="C778" s="256" t="n">
        <x:f>747</x:f>
        <x:v>747</x:v>
      </x:c>
      <x:c r="D778" s="258" t="n">
        <x:f>IF(X778&lt;($E$12-$D$12)/($F$12-$D$12),$D$12+SQRT(X778*($F$12-$D$12)*($E$12-$D$12)),$F$12-SQRT((1-X778)*($F$12-$D$12)*($F$12-$E$12)))</x:f>
        <x:v>0.13808487249343573</x:v>
      </x:c>
      <x:c r="E778" s="258" t="n">
        <x:f>IF(Y778&lt;($E$13-$D$13)/($F$13-$D$13),$D$13+SQRT(Y778*($F$13-$D$13)*($E$13-$D$13)),$F$13-SQRT((1-Y778)*($F$13-$D$13)*($F$13-$E$13)))</x:f>
        <x:v>-0.0016622365857146132</x:v>
      </x:c>
      <x:c r="F778" s="260" t="n">
        <x:f>IF(Z778&lt;($E$14-$D$14)/($F$14-$D$14),$D$14+SQRT(Z778*($F$14-$D$14)*($E$14-$D$14)),$F$14-SQRT((1-Z778)*($F$14-$D$14)*($F$14-$E$14)))</x:f>
        <x:v>1.1098036180737652</x:v>
      </x:c>
      <x:c r="G778" s="258" t="n">
        <x:f>IF(AA778&lt;($E$15-$D$15)/($F$15-$D$15),$D$15+SQRT(AA778*($F$15-$D$15)*($E$15-$D$15)),$F$15-SQRT((1-AA778)*($F$15-$D$15)*($F$15-$E$15)))</x:f>
        <x:v>0.10178236818436291</x:v>
      </x:c>
      <x:c r="H778" s="258" t="n">
        <x:f>IF(AB778&lt;($E$16-$D$16)/($F$16-$D$16),$D$16+SQRT(AB778*($F$16-$D$16)*($E$16-$D$16)),$F$16-SQRT((1-AB778)*($F$16-$D$16)*($F$16-$E$16)))</x:f>
        <x:v>0.02267349236749542</x:v>
      </x:c>
      <x:c r="I778" s="262" t="n">
        <x:f>'Historical Inputs'!$N$9*(1+D778)^5</x:f>
        <x:v>633578.8619638288</x:v>
      </x:c>
      <x:c r="J778" s="262" t="n">
        <x:f>I778*(1+H778)*('Terminal Value'!$E$10+E778)*(1-'Assumptions'!$E$15)*(1-H778/'Terminal Value'!$E$12)</x:f>
        <x:v>183072.3732400341</x:v>
      </x:c>
      <x:c r="K778" s="264" t="n">
        <x:f>((SUM((('Historical Inputs'!$N$9*(1+(D778))^1)*(('Assumptions'!E37+(E778))*(1-'Assumptions'!E42-(0))+'Assumptions'!E47-'Assumptions'!E52*(F778)+'Assumptions'!E57-'Assumptions'!E62*(1)-'Assumptions'!E67-(0))+('Working Capital'!$E$6))*'DCF'!E12/(1+(G778))^'DCF'!E13,(('Historical Inputs'!$N$9*(1+(D778))^2)*(('Assumptions'!F37+(E778))*(1-'Assumptions'!F42-(0))+'Assumptions'!F47-'Assumptions'!F52*(F778)+'Assumptions'!F57-'Assumptions'!F62*(1)-'Assumptions'!F67-(0))+(('Historical Inputs'!$N$9*(1+(D778))^1)*('Assumptions'!E67+(0))))*'DCF'!F12/(1+(G778))^'DCF'!F13,(('Historical Inputs'!$N$9*(1+(D778))^3)*(('Assumptions'!G37+(E778))*(1-'Assumptions'!G42-(0))+'Assumptions'!G47-'Assumptions'!G52*(F778)+'Assumptions'!G57-'Assumptions'!G62*(1)-'Assumptions'!G67-(0))+(('Historical Inputs'!$N$9*(1+(D778))^2)*('Assumptions'!F67+(0))))*'DCF'!G12/(1+(G778))^'DCF'!G13,(('Historical Inputs'!$N$9*(1+(D778))^4)*(('Assumptions'!H37+(E778))*(1-'Assumptions'!H42-(0))+'Assumptions'!H47-'Assumptions'!H52*(F778)+'Assumptions'!H57-'Assumptions'!H62*(1)-'Assumptions'!H67-(0))+(('Historical Inputs'!$N$9*(1+(D778))^3)*('Assumptions'!G67+(0))))*'DCF'!H12/(1+(G778))^'DCF'!H13,(('Historical Inputs'!$N$9*(1+(D778))^5)*(('Assumptions'!I37+(E778))*(1-'Assumptions'!I42-(0))+'Assumptions'!I47-'Assumptions'!I52*(F778)+'Assumptions'!I57-'Assumptions'!I62*(1)-'Assumptions'!I67-(0))+(('Historical Inputs'!$N$9*(1+(D778))^4)*('Assumptions'!H67+(0))))*'DCF'!I12/(1+(G778))^'DCF'!I13)+('Historical Inputs'!$N$9*(1+(D778))^5)*(1+(H778))*('Terminal Value'!$E$10+(E778))*(1-'Assumptions'!$E$15-(0))*(1-(H778)/('Terminal Value'!$E$12))/((G778)-(H778))/(1+(G778))^'DCF'!$E$19)+'Equity Bridge'!$E$17)/'Equity Bridge'!$E$20</x:f>
        <x:v>243.5734829072742</x:v>
      </x:c>
      <x:c r="X778" s="255" t="n">
        <x:v>0.40190723909135506</x:v>
      </x:c>
      <x:c r="Y778" s="255" t="n">
        <x:v>0.4673078743790854</x:v>
      </x:c>
      <x:c r="Z778" s="255" t="n">
        <x:v>0.8837801812488113</x:v>
      </x:c>
      <x:c r="AA778" s="255" t="n">
        <x:v>0.7133240241356286</x:v>
      </x:c>
      <x:c r="AB778" s="255" t="n">
        <x:v>0.03573780719528141</x:v>
      </x:c>
    </x:row>
    <x:row r="779" ht="24" customHeight="1">
      <x:c r="C779" s="256" t="n">
        <x:f>748</x:f>
        <x:v>748</x:v>
      </x:c>
      <x:c r="D779" s="258" t="n">
        <x:f>IF(X779&lt;($E$12-$D$12)/($F$12-$D$12),$D$12+SQRT(X779*($F$12-$D$12)*($E$12-$D$12)),$F$12-SQRT((1-X779)*($F$12-$D$12)*($F$12-$E$12)))</x:f>
        <x:v>0.14972200615507852</x:v>
      </x:c>
      <x:c r="E779" s="258" t="n">
        <x:f>IF(Y779&lt;($E$13-$D$13)/($F$13-$D$13),$D$13+SQRT(Y779*($F$13-$D$13)*($E$13-$D$13)),$F$13-SQRT((1-Y779)*($F$13-$D$13)*($F$13-$E$13)))</x:f>
        <x:v>-0.02955130595613848</x:v>
      </x:c>
      <x:c r="F779" s="260" t="n">
        <x:f>IF(Z779&lt;($E$14-$D$14)/($F$14-$D$14),$D$14+SQRT(Z779*($F$14-$D$14)*($E$14-$D$14)),$F$14-SQRT((1-Z779)*($F$14-$D$14)*($F$14-$E$14)))</x:f>
        <x:v>1.092791439986485</x:v>
      </x:c>
      <x:c r="G779" s="258" t="n">
        <x:f>IF(AA779&lt;($E$15-$D$15)/($F$15-$D$15),$D$15+SQRT(AA779*($F$15-$D$15)*($E$15-$D$15)),$F$15-SQRT((1-AA779)*($F$15-$D$15)*($F$15-$E$15)))</x:f>
        <x:v>0.10387197346222153</x:v>
      </x:c>
      <x:c r="H779" s="258" t="n">
        <x:f>IF(AB779&lt;($E$16-$D$16)/($F$16-$D$16),$D$16+SQRT(AB779*($F$16-$D$16)*($E$16-$D$16)),$F$16-SQRT((1-AB779)*($F$16-$D$16)*($F$16-$E$16)))</x:f>
        <x:v>0.03832852043256543</x:v>
      </x:c>
      <x:c r="I779" s="262" t="n">
        <x:f>'Historical Inputs'!$N$9*(1+D779)^5</x:f>
        <x:v>666640.4255400624</x:v>
      </x:c>
      <x:c r="J779" s="262" t="n">
        <x:f>I779*(1+H779)*('Terminal Value'!$E$10+E779)*(1-'Assumptions'!$E$15)*(1-H779/'Terminal Value'!$E$12)</x:f>
        <x:v>165824.19647631043</x:v>
      </x:c>
      <x:c r="K779" s="264" t="n">
        <x:f>((SUM((('Historical Inputs'!$N$9*(1+(D779))^1)*(('Assumptions'!E37+(E779))*(1-'Assumptions'!E42-(0))+'Assumptions'!E47-'Assumptions'!E52*(F779)+'Assumptions'!E57-'Assumptions'!E62*(1)-'Assumptions'!E67-(0))+('Working Capital'!$E$6))*'DCF'!E12/(1+(G779))^'DCF'!E13,(('Historical Inputs'!$N$9*(1+(D779))^2)*(('Assumptions'!F37+(E779))*(1-'Assumptions'!F42-(0))+'Assumptions'!F47-'Assumptions'!F52*(F779)+'Assumptions'!F57-'Assumptions'!F62*(1)-'Assumptions'!F67-(0))+(('Historical Inputs'!$N$9*(1+(D779))^1)*('Assumptions'!E67+(0))))*'DCF'!F12/(1+(G779))^'DCF'!F13,(('Historical Inputs'!$N$9*(1+(D779))^3)*(('Assumptions'!G37+(E779))*(1-'Assumptions'!G42-(0))+'Assumptions'!G47-'Assumptions'!G52*(F779)+'Assumptions'!G57-'Assumptions'!G62*(1)-'Assumptions'!G67-(0))+(('Historical Inputs'!$N$9*(1+(D779))^2)*('Assumptions'!F67+(0))))*'DCF'!G12/(1+(G779))^'DCF'!G13,(('Historical Inputs'!$N$9*(1+(D779))^4)*(('Assumptions'!H37+(E779))*(1-'Assumptions'!H42-(0))+'Assumptions'!H47-'Assumptions'!H52*(F779)+'Assumptions'!H57-'Assumptions'!H62*(1)-'Assumptions'!H67-(0))+(('Historical Inputs'!$N$9*(1+(D779))^3)*('Assumptions'!G67+(0))))*'DCF'!H12/(1+(G779))^'DCF'!H13,(('Historical Inputs'!$N$9*(1+(D779))^5)*(('Assumptions'!I37+(E779))*(1-'Assumptions'!I42-(0))+'Assumptions'!I47-'Assumptions'!I52*(F779)+'Assumptions'!I57-'Assumptions'!I62*(1)-'Assumptions'!I67-(0))+(('Historical Inputs'!$N$9*(1+(D779))^4)*('Assumptions'!H67+(0))))*'DCF'!I12/(1+(G779))^'DCF'!I13)+('Historical Inputs'!$N$9*(1+(D779))^5)*(1+(H779))*('Terminal Value'!$E$10+(E779))*(1-'Assumptions'!$E$15-(0))*(1-(H779)/('Terminal Value'!$E$12))/((G779)-(H779))/(1+(G779))^'DCF'!$E$19)+'Equity Bridge'!$E$17)/'Equity Bridge'!$E$20</x:f>
        <x:v>256.869708151779</x:v>
      </x:c>
      <x:c r="X779" s="255" t="n">
        <x:v>0.6209404821055253</x:v>
      </x:c>
      <x:c r="Y779" s="255" t="n">
        <x:v>0.08362981761989152</x:v>
      </x:c>
      <x:c r="Z779" s="255" t="n">
        <x:v>0.8358046379975513</x:v>
      </x:c>
      <x:c r="AA779" s="255" t="n">
        <x:v>0.8091040861346532</x:v>
      </x:c>
      <x:c r="AB779" s="255" t="n">
        <x:v>0.9860307802782438</x:v>
      </x:c>
    </x:row>
    <x:row r="780" ht="24" customHeight="1">
      <x:c r="C780" s="256" t="n">
        <x:f>749</x:f>
        <x:v>749</x:v>
      </x:c>
      <x:c r="D780" s="258" t="n">
        <x:f>IF(X780&lt;($E$12-$D$12)/($F$12-$D$12),$D$12+SQRT(X780*($F$12-$D$12)*($E$12-$D$12)),$F$12-SQRT((1-X780)*($F$12-$D$12)*($F$12-$E$12)))</x:f>
        <x:v>0.15870523483123922</x:v>
      </x:c>
      <x:c r="E780" s="258" t="n">
        <x:f>IF(Y780&lt;($E$13-$D$13)/($F$13-$D$13),$D$13+SQRT(Y780*($F$13-$D$13)*($E$13-$D$13)),$F$13-SQRT((1-Y780)*($F$13-$D$13)*($F$13-$E$13)))</x:f>
        <x:v>0.018513358292317754</x:v>
      </x:c>
      <x:c r="F780" s="260" t="n">
        <x:f>IF(Z780&lt;($E$14-$D$14)/($F$14-$D$14),$D$14+SQRT(Z780*($F$14-$D$14)*($E$14-$D$14)),$F$14-SQRT((1-Z780)*($F$14-$D$14)*($F$14-$E$14)))</x:f>
        <x:v>0.9704499906925564</x:v>
      </x:c>
      <x:c r="G780" s="258" t="n">
        <x:f>IF(AA780&lt;($E$15-$D$15)/($F$15-$D$15),$D$15+SQRT(AA780*($F$15-$D$15)*($E$15-$D$15)),$F$15-SQRT((1-AA780)*($F$15-$D$15)*($F$15-$E$15)))</x:f>
        <x:v>0.08580554731399265</x:v>
      </x:c>
      <x:c r="H780" s="258" t="n">
        <x:f>IF(AB780&lt;($E$16-$D$16)/($F$16-$D$16),$D$16+SQRT(AB780*($F$16-$D$16)*($E$16-$D$16)),$F$16-SQRT((1-AB780)*($F$16-$D$16)*($F$16-$E$16)))</x:f>
        <x:v>0.030324756543742837</x:v>
      </x:c>
      <x:c r="I780" s="262" t="n">
        <x:f>'Historical Inputs'!$N$9*(1+D780)^5</x:f>
        <x:v>693094.2104967096</x:v>
      </x:c>
      <x:c r="J780" s="262" t="n">
        <x:f>I780*(1+H780)*('Terminal Value'!$E$10+E780)*(1-'Assumptions'!$E$15)*(1-H780/'Terminal Value'!$E$12)</x:f>
        <x:v>202840.28083747768</x:v>
      </x:c>
      <x:c r="K780" s="264" t="n">
        <x:f>((SUM((('Historical Inputs'!$N$9*(1+(D780))^1)*(('Assumptions'!E37+(E780))*(1-'Assumptions'!E42-(0))+'Assumptions'!E47-'Assumptions'!E52*(F780)+'Assumptions'!E57-'Assumptions'!E62*(1)-'Assumptions'!E67-(0))+('Working Capital'!$E$6))*'DCF'!E12/(1+(G780))^'DCF'!E13,(('Historical Inputs'!$N$9*(1+(D780))^2)*(('Assumptions'!F37+(E780))*(1-'Assumptions'!F42-(0))+'Assumptions'!F47-'Assumptions'!F52*(F780)+'Assumptions'!F57-'Assumptions'!F62*(1)-'Assumptions'!F67-(0))+(('Historical Inputs'!$N$9*(1+(D780))^1)*('Assumptions'!E67+(0))))*'DCF'!F12/(1+(G780))^'DCF'!F13,(('Historical Inputs'!$N$9*(1+(D780))^3)*(('Assumptions'!G37+(E780))*(1-'Assumptions'!G42-(0))+'Assumptions'!G47-'Assumptions'!G52*(F780)+'Assumptions'!G57-'Assumptions'!G62*(1)-'Assumptions'!G67-(0))+(('Historical Inputs'!$N$9*(1+(D780))^2)*('Assumptions'!F67+(0))))*'DCF'!G12/(1+(G780))^'DCF'!G13,(('Historical Inputs'!$N$9*(1+(D780))^4)*(('Assumptions'!H37+(E780))*(1-'Assumptions'!H42-(0))+'Assumptions'!H47-'Assumptions'!H52*(F780)+'Assumptions'!H57-'Assumptions'!H62*(1)-'Assumptions'!H67-(0))+(('Historical Inputs'!$N$9*(1+(D780))^3)*('Assumptions'!G67+(0))))*'DCF'!H12/(1+(G780))^'DCF'!H13,(('Historical Inputs'!$N$9*(1+(D780))^5)*(('Assumptions'!I37+(E780))*(1-'Assumptions'!I42-(0))+'Assumptions'!I47-'Assumptions'!I52*(F780)+'Assumptions'!I57-'Assumptions'!I62*(1)-'Assumptions'!I67-(0))+(('Historical Inputs'!$N$9*(1+(D780))^4)*('Assumptions'!H67+(0))))*'DCF'!I12/(1+(G780))^'DCF'!I13)+('Historical Inputs'!$N$9*(1+(D780))^5)*(1+(H780))*('Terminal Value'!$E$10+(E780))*(1-'Assumptions'!$E$15-(0))*(1-(H780)/('Terminal Value'!$E$12))/((G780)-(H780))/(1+(G780))^'DCF'!$E$19)+'Equity Bridge'!$E$17)/'Equity Bridge'!$E$20</x:f>
        <x:v>399.1356185764407</x:v>
      </x:c>
      <x:c r="X780" s="255" t="n">
        <x:v>0.7612348030929429</x:v>
      </x:c>
      <x:c r="Y780" s="255" t="n">
        <x:v>0.8017182787944089</x:v>
      </x:c>
      <x:c r="Z780" s="255" t="n">
        <x:v>0.2763466715778462</x:v>
      </x:c>
      <x:c r="AA780" s="255" t="n">
        <x:v>0.015784830875783862</x:v>
      </x:c>
      <x:c r="AB780" s="255" t="n">
        <x:v>0.5319483203107646</x:v>
      </x:c>
    </x:row>
    <x:row r="781" ht="24" customHeight="1">
      <x:c r="C781" s="256" t="n">
        <x:f>750</x:f>
        <x:v>750</x:v>
      </x:c>
      <x:c r="D781" s="258" t="n">
        <x:f>IF(X781&lt;($E$12-$D$12)/($F$12-$D$12),$D$12+SQRT(X781*($F$12-$D$12)*($E$12-$D$12)),$F$12-SQRT((1-X781)*($F$12-$D$12)*($F$12-$E$12)))</x:f>
        <x:v>0.12243934393130916</x:v>
      </x:c>
      <x:c r="E781" s="258" t="n">
        <x:f>IF(Y781&lt;($E$13-$D$13)/($F$13-$D$13),$D$13+SQRT(Y781*($F$13-$D$13)*($E$13-$D$13)),$F$13-SQRT((1-Y781)*($F$13-$D$13)*($F$13-$E$13)))</x:f>
        <x:v>-0.010992608688441992</x:v>
      </x:c>
      <x:c r="F781" s="260" t="n">
        <x:f>IF(Z781&lt;($E$14-$D$14)/($F$14-$D$14),$D$14+SQRT(Z781*($F$14-$D$14)*($E$14-$D$14)),$F$14-SQRT((1-Z781)*($F$14-$D$14)*($F$14-$E$14)))</x:f>
        <x:v>0.867307481177138</x:v>
      </x:c>
      <x:c r="G781" s="258" t="n">
        <x:f>IF(AA781&lt;($E$15-$D$15)/($F$15-$D$15),$D$15+SQRT(AA781*($F$15-$D$15)*($E$15-$D$15)),$F$15-SQRT((1-AA781)*($F$15-$D$15)*($F$15-$E$15)))</x:f>
        <x:v>0.10485080942232061</x:v>
      </x:c>
      <x:c r="H781" s="258" t="n">
        <x:f>IF(AB781&lt;($E$16-$D$16)/($F$16-$D$16),$D$16+SQRT(AB781*($F$16-$D$16)*($E$16-$D$16)),$F$16-SQRT((1-AB781)*($F$16-$D$16)*($F$16-$E$16)))</x:f>
        <x:v>0.03039631813036025</x:v>
      </x:c>
      <x:c r="I781" s="262" t="n">
        <x:f>'Historical Inputs'!$N$9*(1+D781)^5</x:f>
        <x:v>591210.0829069926</x:v>
      </x:c>
      <x:c r="J781" s="262" t="n">
        <x:f>I781*(1+H781)*('Terminal Value'!$E$10+E781)*(1-'Assumptions'!$E$15)*(1-H781/'Terminal Value'!$E$12)</x:f>
        <x:v>160767.86741144955</x:v>
      </x:c>
      <x:c r="K781" s="264" t="n">
        <x:f>((SUM((('Historical Inputs'!$N$9*(1+(D781))^1)*(('Assumptions'!E37+(E781))*(1-'Assumptions'!E42-(0))+'Assumptions'!E47-'Assumptions'!E52*(F781)+'Assumptions'!E57-'Assumptions'!E62*(1)-'Assumptions'!E67-(0))+('Working Capital'!$E$6))*'DCF'!E12/(1+(G781))^'DCF'!E13,(('Historical Inputs'!$N$9*(1+(D781))^2)*(('Assumptions'!F37+(E781))*(1-'Assumptions'!F42-(0))+'Assumptions'!F47-'Assumptions'!F52*(F781)+'Assumptions'!F57-'Assumptions'!F62*(1)-'Assumptions'!F67-(0))+(('Historical Inputs'!$N$9*(1+(D781))^1)*('Assumptions'!E67+(0))))*'DCF'!F12/(1+(G781))^'DCF'!F13,(('Historical Inputs'!$N$9*(1+(D781))^3)*(('Assumptions'!G37+(E781))*(1-'Assumptions'!G42-(0))+'Assumptions'!G47-'Assumptions'!G52*(F781)+'Assumptions'!G57-'Assumptions'!G62*(1)-'Assumptions'!G67-(0))+(('Historical Inputs'!$N$9*(1+(D781))^2)*('Assumptions'!F67+(0))))*'DCF'!G12/(1+(G781))^'DCF'!G13,(('Historical Inputs'!$N$9*(1+(D781))^4)*(('Assumptions'!H37+(E781))*(1-'Assumptions'!H42-(0))+'Assumptions'!H47-'Assumptions'!H52*(F781)+'Assumptions'!H57-'Assumptions'!H62*(1)-'Assumptions'!H67-(0))+(('Historical Inputs'!$N$9*(1+(D781))^3)*('Assumptions'!G67+(0))))*'DCF'!H12/(1+(G781))^'DCF'!H13,(('Historical Inputs'!$N$9*(1+(D781))^5)*(('Assumptions'!I37+(E781))*(1-'Assumptions'!I42-(0))+'Assumptions'!I47-'Assumptions'!I52*(F781)+'Assumptions'!I57-'Assumptions'!I62*(1)-'Assumptions'!I67-(0))+(('Historical Inputs'!$N$9*(1+(D781))^4)*('Assumptions'!H67+(0))))*'DCF'!I12/(1+(G781))^'DCF'!I13)+('Historical Inputs'!$N$9*(1+(D781))^5)*(1+(H781))*('Terminal Value'!$E$10+(E781))*(1-'Assumptions'!$E$15-(0))*(1-(H781)/('Terminal Value'!$E$12))/((G781)-(H781))/(1+(G781))^'DCF'!$E$19)+'Equity Bridge'!$E$17)/'Equity Bridge'!$E$20</x:f>
        <x:v>237.91691836323463</x:v>
      </x:c>
      <x:c r="X781" s="255" t="n">
        <x:v>0.1703215846909335</x:v>
      </x:c>
      <x:c r="Y781" s="255" t="n">
        <x:v>0.3043153153866023</x:v>
      </x:c>
      <x:c r="Z781" s="255" t="n">
        <x:v>0.005705693422799696</x:v>
      </x:c>
      <x:c r="AA781" s="255" t="n">
        <x:v>0.8472959937403195</x:v>
      </x:c>
      <x:c r="AB781" s="255" t="n">
        <x:v>0.5388464727337637</x:v>
      </x:c>
    </x:row>
    <x:row r="782" ht="24" customHeight="1">
      <x:c r="C782" s="256" t="n">
        <x:f>751</x:f>
        <x:v>751</x:v>
      </x:c>
      <x:c r="D782" s="258" t="n">
        <x:f>IF(X782&lt;($E$12-$D$12)/($F$12-$D$12),$D$12+SQRT(X782*($F$12-$D$12)*($E$12-$D$12)),$F$12-SQRT((1-X782)*($F$12-$D$12)*($F$12-$E$12)))</x:f>
        <x:v>0.13252467392942838</x:v>
      </x:c>
      <x:c r="E782" s="258" t="n">
        <x:f>IF(Y782&lt;($E$13-$D$13)/($F$13-$D$13),$D$13+SQRT(Y782*($F$13-$D$13)*($E$13-$D$13)),$F$13-SQRT((1-Y782)*($F$13-$D$13)*($F$13-$E$13)))</x:f>
        <x:v>0.001741216269175165</x:v>
      </x:c>
      <x:c r="F782" s="260" t="n">
        <x:f>IF(Z782&lt;($E$14-$D$14)/($F$14-$D$14),$D$14+SQRT(Z782*($F$14-$D$14)*($E$14-$D$14)),$F$14-SQRT((1-Z782)*($F$14-$D$14)*($F$14-$E$14)))</x:f>
        <x:v>0.9057010253021631</x:v>
      </x:c>
      <x:c r="G782" s="258" t="n">
        <x:f>IF(AA782&lt;($E$15-$D$15)/($F$15-$D$15),$D$15+SQRT(AA782*($F$15-$D$15)*($E$15-$D$15)),$F$15-SQRT((1-AA782)*($F$15-$D$15)*($F$15-$E$15)))</x:f>
        <x:v>0.09839363825766645</x:v>
      </x:c>
      <x:c r="H782" s="258" t="n">
        <x:f>IF(AB782&lt;($E$16-$D$16)/($F$16-$D$16),$D$16+SQRT(AB782*($F$16-$D$16)*($E$16-$D$16)),$F$16-SQRT((1-AB782)*($F$16-$D$16)*($F$16-$E$16)))</x:f>
        <x:v>0.03670033391117278</x:v>
      </x:c>
      <x:c r="I782" s="262" t="n">
        <x:f>'Historical Inputs'!$N$9*(1+D782)^5</x:f>
        <x:v>618252.3688256781</x:v>
      </x:c>
      <x:c r="J782" s="262" t="n">
        <x:f>I782*(1+H782)*('Terminal Value'!$E$10+E782)*(1-'Assumptions'!$E$15)*(1-H782/'Terminal Value'!$E$12)</x:f>
        <x:v>168194.07994483534</x:v>
      </x:c>
      <x:c r="K782" s="264" t="n">
        <x:f>((SUM((('Historical Inputs'!$N$9*(1+(D782))^1)*(('Assumptions'!E37+(E782))*(1-'Assumptions'!E42-(0))+'Assumptions'!E47-'Assumptions'!E52*(F782)+'Assumptions'!E57-'Assumptions'!E62*(1)-'Assumptions'!E67-(0))+('Working Capital'!$E$6))*'DCF'!E12/(1+(G782))^'DCF'!E13,(('Historical Inputs'!$N$9*(1+(D782))^2)*(('Assumptions'!F37+(E782))*(1-'Assumptions'!F42-(0))+'Assumptions'!F47-'Assumptions'!F52*(F782)+'Assumptions'!F57-'Assumptions'!F62*(1)-'Assumptions'!F67-(0))+(('Historical Inputs'!$N$9*(1+(D782))^1)*('Assumptions'!E67+(0))))*'DCF'!F12/(1+(G782))^'DCF'!F13,(('Historical Inputs'!$N$9*(1+(D782))^3)*(('Assumptions'!G37+(E782))*(1-'Assumptions'!G42-(0))+'Assumptions'!G47-'Assumptions'!G52*(F782)+'Assumptions'!G57-'Assumptions'!G62*(1)-'Assumptions'!G67-(0))+(('Historical Inputs'!$N$9*(1+(D782))^2)*('Assumptions'!F67+(0))))*'DCF'!G12/(1+(G782))^'DCF'!G13,(('Historical Inputs'!$N$9*(1+(D782))^4)*(('Assumptions'!H37+(E782))*(1-'Assumptions'!H42-(0))+'Assumptions'!H47-'Assumptions'!H52*(F782)+'Assumptions'!H57-'Assumptions'!H62*(1)-'Assumptions'!H67-(0))+(('Historical Inputs'!$N$9*(1+(D782))^3)*('Assumptions'!G67+(0))))*'DCF'!H12/(1+(G782))^'DCF'!H13,(('Historical Inputs'!$N$9*(1+(D782))^5)*(('Assumptions'!I37+(E782))*(1-'Assumptions'!I42-(0))+'Assumptions'!I47-'Assumptions'!I52*(F782)+'Assumptions'!I57-'Assumptions'!I62*(1)-'Assumptions'!I67-(0))+(('Historical Inputs'!$N$9*(1+(D782))^4)*('Assumptions'!H67+(0))))*'DCF'!I12/(1+(G782))^'DCF'!I13)+('Historical Inputs'!$N$9*(1+(D782))^5)*(1+(H782))*('Terminal Value'!$E$10+(E782))*(1-'Assumptions'!$E$15-(0))*(1-(H782)/('Terminal Value'!$E$12))/((G782)-(H782))/(1+(G782))^'DCF'!$E$19)+'Equity Bridge'!$E$17)/'Equity Bridge'!$E$20</x:f>
        <x:v>294.8159138175045</x:v>
      </x:c>
      <x:c r="X782" s="255" t="n">
        <x:v>0.3083897003422754</x:v>
      </x:c>
      <x:c r="Y782" s="255" t="n">
        <x:v>0.5342179585642953</x:v>
      </x:c>
      <x:c r="Z782" s="255" t="n">
        <x:v>0.059097223232613794</x:v>
      </x:c>
      <x:c r="AA782" s="255" t="n">
        <x:v>0.5167420529549795</x:v>
      </x:c>
      <x:c r="AB782" s="255" t="n">
        <x:v>0.9455610185112183</x:v>
      </x:c>
    </x:row>
    <x:row r="783" ht="24" customHeight="1">
      <x:c r="C783" s="256" t="n">
        <x:f>752</x:f>
        <x:v>752</x:v>
      </x:c>
      <x:c r="D783" s="258" t="n">
        <x:f>IF(X783&lt;($E$12-$D$12)/($F$12-$D$12),$D$12+SQRT(X783*($F$12-$D$12)*($E$12-$D$12)),$F$12-SQRT((1-X783)*($F$12-$D$12)*($F$12-$E$12)))</x:f>
        <x:v>0.1119759255699172</x:v>
      </x:c>
      <x:c r="E783" s="258" t="n">
        <x:f>IF(Y783&lt;($E$13-$D$13)/($F$13-$D$13),$D$13+SQRT(Y783*($F$13-$D$13)*($E$13-$D$13)),$F$13-SQRT((1-Y783)*($F$13-$D$13)*($F$13-$E$13)))</x:f>
        <x:v>0.02632296480668196</x:v>
      </x:c>
      <x:c r="F783" s="260" t="n">
        <x:f>IF(Z783&lt;($E$14-$D$14)/($F$14-$D$14),$D$14+SQRT(Z783*($F$14-$D$14)*($E$14-$D$14)),$F$14-SQRT((1-Z783)*($F$14-$D$14)*($F$14-$E$14)))</x:f>
        <x:v>0.9246031889649039</x:v>
      </x:c>
      <x:c r="G783" s="258" t="n">
        <x:f>IF(AA783&lt;($E$15-$D$15)/($F$15-$D$15),$D$15+SQRT(AA783*($F$15-$D$15)*($E$15-$D$15)),$F$15-SQRT((1-AA783)*($F$15-$D$15)*($F$15-$E$15)))</x:f>
        <x:v>0.09816801730381247</x:v>
      </x:c>
      <x:c r="H783" s="258" t="n">
        <x:f>IF(AB783&lt;($E$16-$D$16)/($F$16-$D$16),$D$16+SQRT(AB783*($F$16-$D$16)*($E$16-$D$16)),$F$16-SQRT((1-AB783)*($F$16-$D$16)*($F$16-$E$16)))</x:f>
        <x:v>0.03023244171155249</x:v>
      </x:c>
      <x:c r="I783" s="262" t="n">
        <x:f>'Historical Inputs'!$N$9*(1+D783)^5</x:f>
        <x:v>564162.6752305516</x:v>
      </x:c>
      <x:c r="J783" s="262" t="n">
        <x:f>I783*(1+H783)*('Terminal Value'!$E$10+E783)*(1-'Assumptions'!$E$15)*(1-H783/'Terminal Value'!$E$12)</x:f>
        <x:v>168264.69118457133</x:v>
      </x:c>
      <x:c r="K783" s="264" t="n">
        <x:f>((SUM((('Historical Inputs'!$N$9*(1+(D783))^1)*(('Assumptions'!E37+(E783))*(1-'Assumptions'!E42-(0))+'Assumptions'!E47-'Assumptions'!E52*(F783)+'Assumptions'!E57-'Assumptions'!E62*(1)-'Assumptions'!E67-(0))+('Working Capital'!$E$6))*'DCF'!E12/(1+(G783))^'DCF'!E13,(('Historical Inputs'!$N$9*(1+(D783))^2)*(('Assumptions'!F37+(E783))*(1-'Assumptions'!F42-(0))+'Assumptions'!F47-'Assumptions'!F52*(F783)+'Assumptions'!F57-'Assumptions'!F62*(1)-'Assumptions'!F67-(0))+(('Historical Inputs'!$N$9*(1+(D783))^1)*('Assumptions'!E67+(0))))*'DCF'!F12/(1+(G783))^'DCF'!F13,(('Historical Inputs'!$N$9*(1+(D783))^3)*(('Assumptions'!G37+(E783))*(1-'Assumptions'!G42-(0))+'Assumptions'!G47-'Assumptions'!G52*(F783)+'Assumptions'!G57-'Assumptions'!G62*(1)-'Assumptions'!G67-(0))+(('Historical Inputs'!$N$9*(1+(D783))^2)*('Assumptions'!F67+(0))))*'DCF'!G12/(1+(G783))^'DCF'!G13,(('Historical Inputs'!$N$9*(1+(D783))^4)*(('Assumptions'!H37+(E783))*(1-'Assumptions'!H42-(0))+'Assumptions'!H47-'Assumptions'!H52*(F783)+'Assumptions'!H57-'Assumptions'!H62*(1)-'Assumptions'!H67-(0))+(('Historical Inputs'!$N$9*(1+(D783))^3)*('Assumptions'!G67+(0))))*'DCF'!H12/(1+(G783))^'DCF'!H13,(('Historical Inputs'!$N$9*(1+(D783))^5)*(('Assumptions'!I37+(E783))*(1-'Assumptions'!I42-(0))+'Assumptions'!I47-'Assumptions'!I52*(F783)+'Assumptions'!I57-'Assumptions'!I62*(1)-'Assumptions'!I67-(0))+(('Historical Inputs'!$N$9*(1+(D783))^4)*('Assumptions'!H67+(0))))*'DCF'!I12/(1+(G783))^'DCF'!I13)+('Historical Inputs'!$N$9*(1+(D783))^5)*(1+(H783))*('Terminal Value'!$E$10+(E783))*(1-'Assumptions'!$E$15-(0))*(1-(H783)/('Terminal Value'!$E$12))/((G783)-(H783))/(1+(G783))^'DCF'!$E$19)+'Equity Bridge'!$E$17)/'Equity Bridge'!$E$20</x:f>
        <x:v>273.2978185361795</x:v>
      </x:c>
      <x:c r="X783" s="255" t="n">
        <x:v>0.07007947147437787</x:v>
      </x:c>
      <x:c r="Y783" s="255" t="n">
        <x:v>0.8878796008908758</x:v>
      </x:c>
      <x:c r="Z783" s="255" t="n">
        <x:v>0.10601211054729831</x:v>
      </x:c>
      <x:c r="AA783" s="255" t="n">
        <x:v>0.5018415021577192</x:v>
      </x:c>
      <x:c r="AB783" s="255" t="n">
        <x:v>0.5229740254089016</x:v>
      </x:c>
    </x:row>
    <x:row r="784" ht="24" customHeight="1">
      <x:c r="C784" s="256" t="n">
        <x:f>753</x:f>
        <x:v>753</x:v>
      </x:c>
      <x:c r="D784" s="258" t="n">
        <x:f>IF(X784&lt;($E$12-$D$12)/($F$12-$D$12),$D$12+SQRT(X784*($F$12-$D$12)*($E$12-$D$12)),$F$12-SQRT((1-X784)*($F$12-$D$12)*($F$12-$E$12)))</x:f>
        <x:v>0.1819345617548781</x:v>
      </x:c>
      <x:c r="E784" s="258" t="n">
        <x:f>IF(Y784&lt;($E$13-$D$13)/($F$13-$D$13),$D$13+SQRT(Y784*($F$13-$D$13)*($E$13-$D$13)),$F$13-SQRT((1-Y784)*($F$13-$D$13)*($F$13-$E$13)))</x:f>
        <x:v>-0.0031907447076302067</x:v>
      </x:c>
      <x:c r="F784" s="260" t="n">
        <x:f>IF(Z784&lt;($E$14-$D$14)/($F$14-$D$14),$D$14+SQRT(Z784*($F$14-$D$14)*($E$14-$D$14)),$F$14-SQRT((1-Z784)*($F$14-$D$14)*($F$14-$E$14)))</x:f>
        <x:v>1.085706655700427</x:v>
      </x:c>
      <x:c r="G784" s="258" t="n">
        <x:f>IF(AA784&lt;($E$15-$D$15)/($F$15-$D$15),$D$15+SQRT(AA784*($F$15-$D$15)*($E$15-$D$15)),$F$15-SQRT((1-AA784)*($F$15-$D$15)*($F$15-$E$15)))</x:f>
        <x:v>0.08710591358910677</x:v>
      </x:c>
      <x:c r="H784" s="258" t="n">
        <x:f>IF(AB784&lt;($E$16-$D$16)/($F$16-$D$16),$D$16+SQRT(AB784*($F$16-$D$16)*($E$16-$D$16)),$F$16-SQRT((1-AB784)*($F$16-$D$16)*($F$16-$E$16)))</x:f>
        <x:v>0.03903146009195418</x:v>
      </x:c>
      <x:c r="I784" s="262" t="n">
        <x:f>'Historical Inputs'!$N$9*(1+D784)^5</x:f>
        <x:v>765410.8031413575</x:v>
      </x:c>
      <x:c r="J784" s="262" t="n">
        <x:f>I784*(1+H784)*('Terminal Value'!$E$10+E784)*(1-'Assumptions'!$E$15)*(1-H784/'Terminal Value'!$E$12)</x:f>
        <x:v>203191.7516981204</x:v>
      </x:c>
      <x:c r="K784" s="264" t="n">
        <x:f>((SUM((('Historical Inputs'!$N$9*(1+(D784))^1)*(('Assumptions'!E37+(E784))*(1-'Assumptions'!E42-(0))+'Assumptions'!E47-'Assumptions'!E52*(F784)+'Assumptions'!E57-'Assumptions'!E62*(1)-'Assumptions'!E67-(0))+('Working Capital'!$E$6))*'DCF'!E12/(1+(G784))^'DCF'!E13,(('Historical Inputs'!$N$9*(1+(D784))^2)*(('Assumptions'!F37+(E784))*(1-'Assumptions'!F42-(0))+'Assumptions'!F47-'Assumptions'!F52*(F784)+'Assumptions'!F57-'Assumptions'!F62*(1)-'Assumptions'!F67-(0))+(('Historical Inputs'!$N$9*(1+(D784))^1)*('Assumptions'!E67+(0))))*'DCF'!F12/(1+(G784))^'DCF'!F13,(('Historical Inputs'!$N$9*(1+(D784))^3)*(('Assumptions'!G37+(E784))*(1-'Assumptions'!G42-(0))+'Assumptions'!G47-'Assumptions'!G52*(F784)+'Assumptions'!G57-'Assumptions'!G62*(1)-'Assumptions'!G67-(0))+(('Historical Inputs'!$N$9*(1+(D784))^2)*('Assumptions'!F67+(0))))*'DCF'!G12/(1+(G784))^'DCF'!G13,(('Historical Inputs'!$N$9*(1+(D784))^4)*(('Assumptions'!H37+(E784))*(1-'Assumptions'!H42-(0))+'Assumptions'!H47-'Assumptions'!H52*(F784)+'Assumptions'!H57-'Assumptions'!H62*(1)-'Assumptions'!H67-(0))+(('Historical Inputs'!$N$9*(1+(D784))^3)*('Assumptions'!G67+(0))))*'DCF'!H12/(1+(G784))^'DCF'!H13,(('Historical Inputs'!$N$9*(1+(D784))^5)*(('Assumptions'!I37+(E784))*(1-'Assumptions'!I42-(0))+'Assumptions'!I47-'Assumptions'!I52*(F784)+'Assumptions'!I57-'Assumptions'!I62*(1)-'Assumptions'!I67-(0))+(('Historical Inputs'!$N$9*(1+(D784))^4)*('Assumptions'!H67+(0))))*'DCF'!I12/(1+(G784))^'DCF'!I13)+('Historical Inputs'!$N$9*(1+(D784))^5)*(1+(H784))*('Terminal Value'!$E$10+(E784))*(1-'Assumptions'!$E$15-(0))*(1-(H784)/('Terminal Value'!$E$12))/((G784)-(H784))/(1+(G784))^'DCF'!$E$19)+'Equity Bridge'!$E$17)/'Equity Bridge'!$E$20</x:f>
        <x:v>440.2541084290513</x:v>
      </x:c>
      <x:c r="X784" s="255" t="n">
        <x:v>0.9743603795873103</x:v>
      </x:c>
      <x:c r="Y784" s="255" t="n">
        <x:v>0.43822127620524987</x:v>
      </x:c>
      <x:c r="Z784" s="255" t="n">
        <x:v>0.813386163554561</x:v>
      </x:c>
      <x:c r="AA784" s="255" t="n">
        <x:v>0.03494564795564081</x:v>
      </x:c>
      <x:c r="AB784" s="255" t="n">
        <x:v>0.9953096522326129</x:v>
      </x:c>
    </x:row>
    <x:row r="785" ht="24" customHeight="1">
      <x:c r="C785" s="256" t="n">
        <x:f>754</x:f>
        <x:v>754</x:v>
      </x:c>
      <x:c r="D785" s="258" t="n">
        <x:f>IF(X785&lt;($E$12-$D$12)/($F$12-$D$12),$D$12+SQRT(X785*($F$12-$D$12)*($E$12-$D$12)),$F$12-SQRT((1-X785)*($F$12-$D$12)*($F$12-$E$12)))</x:f>
        <x:v>0.12327327095567149</x:v>
      </x:c>
      <x:c r="E785" s="258" t="n">
        <x:f>IF(Y785&lt;($E$13-$D$13)/($F$13-$D$13),$D$13+SQRT(Y785*($F$13-$D$13)*($E$13-$D$13)),$F$13-SQRT((1-Y785)*($F$13-$D$13)*($F$13-$E$13)))</x:f>
        <x:v>-0.011668720947440162</x:v>
      </x:c>
      <x:c r="F785" s="260" t="n">
        <x:f>IF(Z785&lt;($E$14-$D$14)/($F$14-$D$14),$D$14+SQRT(Z785*($F$14-$D$14)*($E$14-$D$14)),$F$14-SQRT((1-Z785)*($F$14-$D$14)*($F$14-$E$14)))</x:f>
        <x:v>1.0554120205002753</x:v>
      </x:c>
      <x:c r="G785" s="258" t="n">
        <x:f>IF(AA785&lt;($E$15-$D$15)/($F$15-$D$15),$D$15+SQRT(AA785*($F$15-$D$15)*($E$15-$D$15)),$F$15-SQRT((1-AA785)*($F$15-$D$15)*($F$15-$E$15)))</x:f>
        <x:v>0.0847569253231951</x:v>
      </x:c>
      <x:c r="H785" s="258" t="n">
        <x:f>IF(AB785&lt;($E$16-$D$16)/($F$16-$D$16),$D$16+SQRT(AB785*($F$16-$D$16)*($E$16-$D$16)),$F$16-SQRT((1-AB785)*($F$16-$D$16)*($F$16-$E$16)))</x:f>
        <x:v>0.028701675594058597</x:v>
      </x:c>
      <x:c r="I785" s="262" t="n">
        <x:f>'Historical Inputs'!$N$9*(1+D785)^5</x:f>
        <x:v>593409.5746176827</x:v>
      </x:c>
      <x:c r="J785" s="262" t="n">
        <x:f>I785*(1+H785)*('Terminal Value'!$E$10+E785)*(1-'Assumptions'!$E$15)*(1-H785/'Terminal Value'!$E$12)</x:f>
        <x:v>162427.46859777087</x:v>
      </x:c>
      <x:c r="K785" s="264" t="n">
        <x:f>((SUM((('Historical Inputs'!$N$9*(1+(D785))^1)*(('Assumptions'!E37+(E785))*(1-'Assumptions'!E42-(0))+'Assumptions'!E47-'Assumptions'!E52*(F785)+'Assumptions'!E57-'Assumptions'!E62*(1)-'Assumptions'!E67-(0))+('Working Capital'!$E$6))*'DCF'!E12/(1+(G785))^'DCF'!E13,(('Historical Inputs'!$N$9*(1+(D785))^2)*(('Assumptions'!F37+(E785))*(1-'Assumptions'!F42-(0))+'Assumptions'!F47-'Assumptions'!F52*(F785)+'Assumptions'!F57-'Assumptions'!F62*(1)-'Assumptions'!F67-(0))+(('Historical Inputs'!$N$9*(1+(D785))^1)*('Assumptions'!E67+(0))))*'DCF'!F12/(1+(G785))^'DCF'!F13,(('Historical Inputs'!$N$9*(1+(D785))^3)*(('Assumptions'!G37+(E785))*(1-'Assumptions'!G42-(0))+'Assumptions'!G47-'Assumptions'!G52*(F785)+'Assumptions'!G57-'Assumptions'!G62*(1)-'Assumptions'!G67-(0))+(('Historical Inputs'!$N$9*(1+(D785))^2)*('Assumptions'!F67+(0))))*'DCF'!G12/(1+(G785))^'DCF'!G13,(('Historical Inputs'!$N$9*(1+(D785))^4)*(('Assumptions'!H37+(E785))*(1-'Assumptions'!H42-(0))+'Assumptions'!H47-'Assumptions'!H52*(F785)+'Assumptions'!H57-'Assumptions'!H62*(1)-'Assumptions'!H67-(0))+(('Historical Inputs'!$N$9*(1+(D785))^3)*('Assumptions'!G67+(0))))*'DCF'!H12/(1+(G785))^'DCF'!H13,(('Historical Inputs'!$N$9*(1+(D785))^5)*(('Assumptions'!I37+(E785))*(1-'Assumptions'!I42-(0))+'Assumptions'!I47-'Assumptions'!I52*(F785)+'Assumptions'!I57-'Assumptions'!I62*(1)-'Assumptions'!I67-(0))+(('Historical Inputs'!$N$9*(1+(D785))^4)*('Assumptions'!H67+(0))))*'DCF'!I12/(1+(G785))^'DCF'!I13)+('Historical Inputs'!$N$9*(1+(D785))^5)*(1+(H785))*('Terminal Value'!$E$10+(E785))*(1-'Assumptions'!$E$15-(0))*(1-(H785)/('Terminal Value'!$E$12))/((G785)-(H785))/(1+(G785))^'DCF'!$E$19)+'Equity Bridge'!$E$17)/'Equity Bridge'!$E$20</x:f>
        <x:v>313.1430983254189</x:v>
      </x:c>
      <x:c r="X785" s="255" t="n">
        <x:v>0.18019504236221207</x:v>
      </x:c>
      <x:c r="Y785" s="255" t="n">
        <x:v>0.29385739076104256</x:v>
      </x:c>
      <x:c r="Z785" s="255" t="n">
        <x:v>0.7013473740598167</x:v>
      </x:c>
      <x:c r="AA785" s="255" t="n">
        <x:v>0.0058072297892028946</x:v>
      </x:c>
      <x:c r="AB785" s="255" t="n">
        <x:v>0.3785957907211751</x:v>
      </x:c>
    </x:row>
    <x:row r="786" ht="24" customHeight="1">
      <x:c r="C786" s="256" t="n">
        <x:f>755</x:f>
        <x:v>755</x:v>
      </x:c>
      <x:c r="D786" s="258" t="n">
        <x:f>IF(X786&lt;($E$12-$D$12)/($F$12-$D$12),$D$12+SQRT(X786*($F$12-$D$12)*($E$12-$D$12)),$F$12-SQRT((1-X786)*($F$12-$D$12)*($F$12-$E$12)))</x:f>
        <x:v>0.1212614555207047</x:v>
      </x:c>
      <x:c r="E786" s="258" t="n">
        <x:f>IF(Y786&lt;($E$13-$D$13)/($F$13-$D$13),$D$13+SQRT(Y786*($F$13-$D$13)*($E$13-$D$13)),$F$13-SQRT((1-Y786)*($F$13-$D$13)*($F$13-$E$13)))</x:f>
        <x:v>0.011724383284312065</x:v>
      </x:c>
      <x:c r="F786" s="260" t="n">
        <x:f>IF(Z786&lt;($E$14-$D$14)/($F$14-$D$14),$D$14+SQRT(Z786*($F$14-$D$14)*($E$14-$D$14)),$F$14-SQRT((1-Z786)*($F$14-$D$14)*($F$14-$E$14)))</x:f>
        <x:v>1.0253034424498366</x:v>
      </x:c>
      <x:c r="G786" s="258" t="n">
        <x:f>IF(AA786&lt;($E$15-$D$15)/($F$15-$D$15),$D$15+SQRT(AA786*($F$15-$D$15)*($E$15-$D$15)),$F$15-SQRT((1-AA786)*($F$15-$D$15)*($F$15-$E$15)))</x:f>
        <x:v>0.08997345180026295</x:v>
      </x:c>
      <x:c r="H786" s="258" t="n">
        <x:f>IF(AB786&lt;($E$16-$D$16)/($F$16-$D$16),$D$16+SQRT(AB786*($F$16-$D$16)*($E$16-$D$16)),$F$16-SQRT((1-AB786)*($F$16-$D$16)*($F$16-$E$16)))</x:f>
        <x:v>0.025128483413029548</x:v>
      </x:c>
      <x:c r="I786" s="262" t="n">
        <x:f>'Historical Inputs'!$N$9*(1+D786)^5</x:f>
        <x:v>588114.5059406221</x:v>
      </x:c>
      <x:c r="J786" s="262" t="n">
        <x:f>I786*(1+H786)*('Terminal Value'!$E$10+E786)*(1-'Assumptions'!$E$15)*(1-H786/'Terminal Value'!$E$12)</x:f>
        <x:v>173630.43274863323</x:v>
      </x:c>
      <x:c r="K786" s="264" t="n">
        <x:f>((SUM((('Historical Inputs'!$N$9*(1+(D786))^1)*(('Assumptions'!E37+(E786))*(1-'Assumptions'!E42-(0))+'Assumptions'!E47-'Assumptions'!E52*(F786)+'Assumptions'!E57-'Assumptions'!E62*(1)-'Assumptions'!E67-(0))+('Working Capital'!$E$6))*'DCF'!E12/(1+(G786))^'DCF'!E13,(('Historical Inputs'!$N$9*(1+(D786))^2)*(('Assumptions'!F37+(E786))*(1-'Assumptions'!F42-(0))+'Assumptions'!F47-'Assumptions'!F52*(F786)+'Assumptions'!F57-'Assumptions'!F62*(1)-'Assumptions'!F67-(0))+(('Historical Inputs'!$N$9*(1+(D786))^1)*('Assumptions'!E67+(0))))*'DCF'!F12/(1+(G786))^'DCF'!F13,(('Historical Inputs'!$N$9*(1+(D786))^3)*(('Assumptions'!G37+(E786))*(1-'Assumptions'!G42-(0))+'Assumptions'!G47-'Assumptions'!G52*(F786)+'Assumptions'!G57-'Assumptions'!G62*(1)-'Assumptions'!G67-(0))+(('Historical Inputs'!$N$9*(1+(D786))^2)*('Assumptions'!F67+(0))))*'DCF'!G12/(1+(G786))^'DCF'!G13,(('Historical Inputs'!$N$9*(1+(D786))^4)*(('Assumptions'!H37+(E786))*(1-'Assumptions'!H42-(0))+'Assumptions'!H47-'Assumptions'!H52*(F786)+'Assumptions'!H57-'Assumptions'!H62*(1)-'Assumptions'!H67-(0))+(('Historical Inputs'!$N$9*(1+(D786))^3)*('Assumptions'!G67+(0))))*'DCF'!H12/(1+(G786))^'DCF'!H13,(('Historical Inputs'!$N$9*(1+(D786))^5)*(('Assumptions'!I37+(E786))*(1-'Assumptions'!I42-(0))+'Assumptions'!I47-'Assumptions'!I52*(F786)+'Assumptions'!I57-'Assumptions'!I62*(1)-'Assumptions'!I67-(0))+(('Historical Inputs'!$N$9*(1+(D786))^4)*('Assumptions'!H67+(0))))*'DCF'!I12/(1+(G786))^'DCF'!I13)+('Historical Inputs'!$N$9*(1+(D786))^5)*(1+(H786))*('Terminal Value'!$E$10+(E786))*(1-'Assumptions'!$E$15-(0))*(1-(H786)/('Terminal Value'!$E$12))/((G786)-(H786))/(1+(G786))^'DCF'!$E$19)+'Equity Bridge'!$E$17)/'Equity Bridge'!$E$20</x:f>
        <x:v>292.99094280397395</x:v>
      </x:c>
      <x:c r="X786" s="255" t="n">
        <x:v>0.15684966131157985</x:v>
      </x:c>
      <x:c r="Y786" s="255" t="n">
        <x:v>0.70699543300675</x:v>
      </x:c>
      <x:c r="Z786" s="255" t="n">
        <x:v>0.564015896858892</x:v>
      </x:c>
      <x:c r="AA786" s="255" t="n">
        <x:v>0.1037578146178566</x:v>
      </x:c>
      <x:c r="AB786" s="255" t="n">
        <x:v>0.1315067105885962</x:v>
      </x:c>
    </x:row>
    <x:row r="787" ht="24" customHeight="1">
      <x:c r="C787" s="256" t="n">
        <x:f>756</x:f>
        <x:v>756</x:v>
      </x:c>
      <x:c r="D787" s="258" t="n">
        <x:f>IF(X787&lt;($E$12-$D$12)/($F$12-$D$12),$D$12+SQRT(X787*($F$12-$D$12)*($E$12-$D$12)),$F$12-SQRT((1-X787)*($F$12-$D$12)*($F$12-$E$12)))</x:f>
        <x:v>0.12756606837525802</x:v>
      </x:c>
      <x:c r="E787" s="258" t="n">
        <x:f>IF(Y787&lt;($E$13-$D$13)/($F$13-$D$13),$D$13+SQRT(Y787*($F$13-$D$13)*($E$13-$D$13)),$F$13-SQRT((1-Y787)*($F$13-$D$13)*($F$13-$E$13)))</x:f>
        <x:v>-0.013433884457275419</x:v>
      </x:c>
      <x:c r="F787" s="260" t="n">
        <x:f>IF(Z787&lt;($E$14-$D$14)/($F$14-$D$14),$D$14+SQRT(Z787*($F$14-$D$14)*($E$14-$D$14)),$F$14-SQRT((1-Z787)*($F$14-$D$14)*($F$14-$E$14)))</x:f>
        <x:v>0.9082114448248133</x:v>
      </x:c>
      <x:c r="G787" s="258" t="n">
        <x:f>IF(AA787&lt;($E$15-$D$15)/($F$15-$D$15),$D$15+SQRT(AA787*($F$15-$D$15)*($E$15-$D$15)),$F$15-SQRT((1-AA787)*($F$15-$D$15)*($F$15-$E$15)))</x:f>
        <x:v>0.1003403961719186</x:v>
      </x:c>
      <x:c r="H787" s="258" t="n">
        <x:f>IF(AB787&lt;($E$16-$D$16)/($F$16-$D$16),$D$16+SQRT(AB787*($F$16-$D$16)*($E$16-$D$16)),$F$16-SQRT((1-AB787)*($F$16-$D$16)*($F$16-$E$16)))</x:f>
        <x:v>0.03221427887475631</x:v>
      </x:c>
      <x:c r="I787" s="262" t="n">
        <x:f>'Historical Inputs'!$N$9*(1+D787)^5</x:f>
        <x:v>604835.7001015454</x:v>
      </x:c>
      <x:c r="J787" s="262" t="n">
        <x:f>I787*(1+H787)*('Terminal Value'!$E$10+E787)*(1-'Assumptions'!$E$15)*(1-H787/'Terminal Value'!$E$12)</x:f>
        <x:v>161974.2781397395</x:v>
      </x:c>
      <x:c r="K787" s="264" t="n">
        <x:f>((SUM((('Historical Inputs'!$N$9*(1+(D787))^1)*(('Assumptions'!E37+(E787))*(1-'Assumptions'!E42-(0))+'Assumptions'!E47-'Assumptions'!E52*(F787)+'Assumptions'!E57-'Assumptions'!E62*(1)-'Assumptions'!E67-(0))+('Working Capital'!$E$6))*'DCF'!E12/(1+(G787))^'DCF'!E13,(('Historical Inputs'!$N$9*(1+(D787))^2)*(('Assumptions'!F37+(E787))*(1-'Assumptions'!F42-(0))+'Assumptions'!F47-'Assumptions'!F52*(F787)+'Assumptions'!F57-'Assumptions'!F62*(1)-'Assumptions'!F67-(0))+(('Historical Inputs'!$N$9*(1+(D787))^1)*('Assumptions'!E67+(0))))*'DCF'!F12/(1+(G787))^'DCF'!F13,(('Historical Inputs'!$N$9*(1+(D787))^3)*(('Assumptions'!G37+(E787))*(1-'Assumptions'!G42-(0))+'Assumptions'!G47-'Assumptions'!G52*(F787)+'Assumptions'!G57-'Assumptions'!G62*(1)-'Assumptions'!G67-(0))+(('Historical Inputs'!$N$9*(1+(D787))^2)*('Assumptions'!F67+(0))))*'DCF'!G12/(1+(G787))^'DCF'!G13,(('Historical Inputs'!$N$9*(1+(D787))^4)*(('Assumptions'!H37+(E787))*(1-'Assumptions'!H42-(0))+'Assumptions'!H47-'Assumptions'!H52*(F787)+'Assumptions'!H57-'Assumptions'!H62*(1)-'Assumptions'!H67-(0))+(('Historical Inputs'!$N$9*(1+(D787))^3)*('Assumptions'!G67+(0))))*'DCF'!H12/(1+(G787))^'DCF'!H13,(('Historical Inputs'!$N$9*(1+(D787))^5)*(('Assumptions'!I37+(E787))*(1-'Assumptions'!I42-(0))+'Assumptions'!I47-'Assumptions'!I52*(F787)+'Assumptions'!I57-'Assumptions'!I62*(1)-'Assumptions'!I67-(0))+(('Historical Inputs'!$N$9*(1+(D787))^4)*('Assumptions'!H67+(0))))*'DCF'!I12/(1+(G787))^'DCF'!I13)+('Historical Inputs'!$N$9*(1+(D787))^5)*(1+(H787))*('Terminal Value'!$E$10+(E787))*(1-'Assumptions'!$E$15-(0))*(1-(H787)/('Terminal Value'!$E$12))/((G787)-(H787))/(1+(G787))^'DCF'!$E$19)+'Equity Bridge'!$E$17)/'Equity Bridge'!$E$20</x:f>
        <x:v>258.7258931780695</x:v>
      </x:c>
      <x:c r="X787" s="255" t="n">
        <x:v>0.23542213502304332</x:v>
      </x:c>
      <x:c r="Y787" s="255" t="n">
        <x:v>0.2674161611767768</x:v>
      </x:c>
      <x:c r="Z787" s="255" t="n">
        <x:v>0.06454423444937696</x:v>
      </x:c>
      <x:c r="AA787" s="255" t="n">
        <x:v>0.6359126403336</x:v>
      </x:c>
      <x:c r="AB787" s="255" t="n">
        <x:v>0.6969127327996703</x:v>
      </x:c>
    </x:row>
    <x:row r="788" ht="24" customHeight="1">
      <x:c r="C788" s="256" t="n">
        <x:f>757</x:f>
        <x:v>757</x:v>
      </x:c>
      <x:c r="D788" s="258" t="n">
        <x:f>IF(X788&lt;($E$12-$D$12)/($F$12-$D$12),$D$12+SQRT(X788*($F$12-$D$12)*($E$12-$D$12)),$F$12-SQRT((1-X788)*($F$12-$D$12)*($F$12-$E$12)))</x:f>
        <x:v>0.15312534137664552</x:v>
      </x:c>
      <x:c r="E788" s="258" t="n">
        <x:f>IF(Y788&lt;($E$13-$D$13)/($F$13-$D$13),$D$13+SQRT(Y788*($F$13-$D$13)*($E$13-$D$13)),$F$13-SQRT((1-Y788)*($F$13-$D$13)*($F$13-$E$13)))</x:f>
        <x:v>0.003996797740153865</x:v>
      </x:c>
      <x:c r="F788" s="260" t="n">
        <x:f>IF(Z788&lt;($E$14-$D$14)/($F$14-$D$14),$D$14+SQRT(Z788*($F$14-$D$14)*($E$14-$D$14)),$F$14-SQRT((1-Z788)*($F$14-$D$14)*($F$14-$E$14)))</x:f>
        <x:v>0.9058398224708429</x:v>
      </x:c>
      <x:c r="G788" s="258" t="n">
        <x:f>IF(AA788&lt;($E$15-$D$15)/($F$15-$D$15),$D$15+SQRT(AA788*($F$15-$D$15)*($E$15-$D$15)),$F$15-SQRT((1-AA788)*($F$15-$D$15)*($F$15-$E$15)))</x:f>
        <x:v>0.09688915051587069</x:v>
      </x:c>
      <x:c r="H788" s="258" t="n">
        <x:f>IF(AB788&lt;($E$16-$D$16)/($F$16-$D$16),$D$16+SQRT(AB788*($F$16-$D$16)*($E$16-$D$16)),$F$16-SQRT((1-AB788)*($F$16-$D$16)*($F$16-$E$16)))</x:f>
        <x:v>0.03142899198614825</x:v>
      </x:c>
      <x:c r="I788" s="262" t="n">
        <x:f>'Historical Inputs'!$N$9*(1+D788)^5</x:f>
        <x:v>676565.7491063317</x:v>
      </x:c>
      <x:c r="J788" s="262" t="n">
        <x:f>I788*(1+H788)*('Terminal Value'!$E$10+E788)*(1-'Assumptions'!$E$15)*(1-H788/'Terminal Value'!$E$12)</x:f>
        <x:v>190094.75775286372</x:v>
      </x:c>
      <x:c r="K788" s="264" t="n">
        <x:f>((SUM((('Historical Inputs'!$N$9*(1+(D788))^1)*(('Assumptions'!E37+(E788))*(1-'Assumptions'!E42-(0))+'Assumptions'!E47-'Assumptions'!E52*(F788)+'Assumptions'!E57-'Assumptions'!E62*(1)-'Assumptions'!E67-(0))+('Working Capital'!$E$6))*'DCF'!E12/(1+(G788))^'DCF'!E13,(('Historical Inputs'!$N$9*(1+(D788))^2)*(('Assumptions'!F37+(E788))*(1-'Assumptions'!F42-(0))+'Assumptions'!F47-'Assumptions'!F52*(F788)+'Assumptions'!F57-'Assumptions'!F62*(1)-'Assumptions'!F67-(0))+(('Historical Inputs'!$N$9*(1+(D788))^1)*('Assumptions'!E67+(0))))*'DCF'!F12/(1+(G788))^'DCF'!F13,(('Historical Inputs'!$N$9*(1+(D788))^3)*(('Assumptions'!G37+(E788))*(1-'Assumptions'!G42-(0))+'Assumptions'!G47-'Assumptions'!G52*(F788)+'Assumptions'!G57-'Assumptions'!G62*(1)-'Assumptions'!G67-(0))+(('Historical Inputs'!$N$9*(1+(D788))^2)*('Assumptions'!F67+(0))))*'DCF'!G12/(1+(G788))^'DCF'!G13,(('Historical Inputs'!$N$9*(1+(D788))^4)*(('Assumptions'!H37+(E788))*(1-'Assumptions'!H42-(0))+'Assumptions'!H47-'Assumptions'!H52*(F788)+'Assumptions'!H57-'Assumptions'!H62*(1)-'Assumptions'!H67-(0))+(('Historical Inputs'!$N$9*(1+(D788))^3)*('Assumptions'!G67+(0))))*'DCF'!H12/(1+(G788))^'DCF'!H13,(('Historical Inputs'!$N$9*(1+(D788))^5)*(('Assumptions'!I37+(E788))*(1-'Assumptions'!I42-(0))+'Assumptions'!I47-'Assumptions'!I52*(F788)+'Assumptions'!I57-'Assumptions'!I62*(1)-'Assumptions'!I67-(0))+(('Historical Inputs'!$N$9*(1+(D788))^4)*('Assumptions'!H67+(0))))*'DCF'!I12/(1+(G788))^'DCF'!I13)+('Historical Inputs'!$N$9*(1+(D788))^5)*(1+(H788))*('Terminal Value'!$E$10+(E788))*(1-'Assumptions'!$E$15-(0))*(1-(H788)/('Terminal Value'!$E$12))/((G788)-(H788))/(1+(G788))^'DCF'!$E$19)+'Equity Bridge'!$E$17)/'Equity Bridge'!$E$20</x:f>
        <x:v>316.4652157232508</x:v>
      </x:c>
      <x:c r="X788" s="255" t="n">
        <x:v>0.6778896448612588</x:v>
      </x:c>
      <x:c r="Y788" s="255" t="n">
        <x:v>0.5767410763679375</x:v>
      </x:c>
      <x:c r="Z788" s="255" t="n">
        <x:v>0.05939210997286204</x:v>
      </x:c>
      <x:c r="AA788" s="255" t="n">
        <x:v>0.42006441148585083</x:v>
      </x:c>
      <x:c r="AB788" s="255" t="n">
        <x:v>0.6326891081324455</x:v>
      </x:c>
    </x:row>
    <x:row r="789" ht="24" customHeight="1">
      <x:c r="C789" s="256" t="n">
        <x:f>758</x:f>
        <x:v>758</x:v>
      </x:c>
      <x:c r="D789" s="258" t="n">
        <x:f>IF(X789&lt;($E$12-$D$12)/($F$12-$D$12),$D$12+SQRT(X789*($F$12-$D$12)*($E$12-$D$12)),$F$12-SQRT((1-X789)*($F$12-$D$12)*($F$12-$E$12)))</x:f>
        <x:v>0.16171007581948377</x:v>
      </x:c>
      <x:c r="E789" s="258" t="n">
        <x:f>IF(Y789&lt;($E$13-$D$13)/($F$13-$D$13),$D$13+SQRT(Y789*($F$13-$D$13)*($E$13-$D$13)),$F$13-SQRT((1-Y789)*($F$13-$D$13)*($F$13-$E$13)))</x:f>
        <x:v>-0.02098006363454138</x:v>
      </x:c>
      <x:c r="F789" s="260" t="n">
        <x:f>IF(Z789&lt;($E$14-$D$14)/($F$14-$D$14),$D$14+SQRT(Z789*($F$14-$D$14)*($E$14-$D$14)),$F$14-SQRT((1-Z789)*($F$14-$D$14)*($F$14-$E$14)))</x:f>
        <x:v>1.0282396075370634</x:v>
      </x:c>
      <x:c r="G789" s="258" t="n">
        <x:f>IF(AA789&lt;($E$15-$D$15)/($F$15-$D$15),$D$15+SQRT(AA789*($F$15-$D$15)*($E$15-$D$15)),$F$15-SQRT((1-AA789)*($F$15-$D$15)*($F$15-$E$15)))</x:f>
        <x:v>0.1081213074930576</x:v>
      </x:c>
      <x:c r="H789" s="258" t="n">
        <x:f>IF(AB789&lt;($E$16-$D$16)/($F$16-$D$16),$D$16+SQRT(AB789*($F$16-$D$16)*($E$16-$D$16)),$F$16-SQRT((1-AB789)*($F$16-$D$16)*($F$16-$E$16)))</x:f>
        <x:v>0.02308553404488654</x:v>
      </x:c>
      <x:c r="I789" s="262" t="n">
        <x:f>'Historical Inputs'!$N$9*(1+D789)^5</x:f>
        <x:v>702127.8610835358</x:v>
      </x:c>
      <x:c r="J789" s="262" t="n">
        <x:f>I789*(1+H789)*('Terminal Value'!$E$10+E789)*(1-'Assumptions'!$E$15)*(1-H789/'Terminal Value'!$E$12)</x:f>
        <x:v>192669.7536320048</x:v>
      </x:c>
      <x:c r="K789" s="264" t="n">
        <x:f>((SUM((('Historical Inputs'!$N$9*(1+(D789))^1)*(('Assumptions'!E37+(E789))*(1-'Assumptions'!E42-(0))+'Assumptions'!E47-'Assumptions'!E52*(F789)+'Assumptions'!E57-'Assumptions'!E62*(1)-'Assumptions'!E67-(0))+('Working Capital'!$E$6))*'DCF'!E12/(1+(G789))^'DCF'!E13,(('Historical Inputs'!$N$9*(1+(D789))^2)*(('Assumptions'!F37+(E789))*(1-'Assumptions'!F42-(0))+'Assumptions'!F47-'Assumptions'!F52*(F789)+'Assumptions'!F57-'Assumptions'!F62*(1)-'Assumptions'!F67-(0))+(('Historical Inputs'!$N$9*(1+(D789))^1)*('Assumptions'!E67+(0))))*'DCF'!F12/(1+(G789))^'DCF'!F13,(('Historical Inputs'!$N$9*(1+(D789))^3)*(('Assumptions'!G37+(E789))*(1-'Assumptions'!G42-(0))+'Assumptions'!G47-'Assumptions'!G52*(F789)+'Assumptions'!G57-'Assumptions'!G62*(1)-'Assumptions'!G67-(0))+(('Historical Inputs'!$N$9*(1+(D789))^2)*('Assumptions'!F67+(0))))*'DCF'!G12/(1+(G789))^'DCF'!G13,(('Historical Inputs'!$N$9*(1+(D789))^4)*(('Assumptions'!H37+(E789))*(1-'Assumptions'!H42-(0))+'Assumptions'!H47-'Assumptions'!H52*(F789)+'Assumptions'!H57-'Assumptions'!H62*(1)-'Assumptions'!H67-(0))+(('Historical Inputs'!$N$9*(1+(D789))^3)*('Assumptions'!G67+(0))))*'DCF'!H12/(1+(G789))^'DCF'!H13,(('Historical Inputs'!$N$9*(1+(D789))^5)*(('Assumptions'!I37+(E789))*(1-'Assumptions'!I42-(0))+'Assumptions'!I47-'Assumptions'!I52*(F789)+'Assumptions'!I57-'Assumptions'!I62*(1)-'Assumptions'!I67-(0))+(('Historical Inputs'!$N$9*(1+(D789))^4)*('Assumptions'!H67+(0))))*'DCF'!I12/(1+(G789))^'DCF'!I13)+('Historical Inputs'!$N$9*(1+(D789))^5)*(1+(H789))*('Terminal Value'!$E$10+(E789))*(1-'Assumptions'!$E$15-(0))*(1-(H789)/('Terminal Value'!$E$12))/((G789)-(H789))/(1+(G789))^'DCF'!$E$19)+'Equity Bridge'!$E$17)/'Equity Bridge'!$E$20</x:f>
        <x:v>238.47609211616995</x:v>
      </x:c>
      <x:c r="X789" s="255" t="n">
        <x:v>0.8009580395316661</x:v>
      </x:c>
      <x:c r="Y789" s="255" t="n">
        <x:v>0.16843134133105353</x:v>
      </x:c>
      <x:c r="Z789" s="255" t="n">
        <x:v>0.5785481082996863</x:v>
      </x:c>
      <x:c r="AA789" s="255" t="n">
        <x:v>0.9440200414848244</x:v>
      </x:c>
      <x:c r="AB789" s="255" t="n">
        <x:v>0.047602601710769576</x:v>
      </x:c>
    </x:row>
    <x:row r="790" ht="24" customHeight="1">
      <x:c r="C790" s="256" t="n">
        <x:f>759</x:f>
        <x:v>759</x:v>
      </x:c>
      <x:c r="D790" s="258" t="n">
        <x:f>IF(X790&lt;($E$12-$D$12)/($F$12-$D$12),$D$12+SQRT(X790*($F$12-$D$12)*($E$12-$D$12)),$F$12-SQRT((1-X790)*($F$12-$D$12)*($F$12-$E$12)))</x:f>
        <x:v>0.12423811416303249</x:v>
      </x:c>
      <x:c r="E790" s="258" t="n">
        <x:f>IF(Y790&lt;($E$13-$D$13)/($F$13-$D$13),$D$13+SQRT(Y790*($F$13-$D$13)*($E$13-$D$13)),$F$13-SQRT((1-Y790)*($F$13-$D$13)*($F$13-$E$13)))</x:f>
        <x:v>-0.03226708950098317</x:v>
      </x:c>
      <x:c r="F790" s="260" t="n">
        <x:f>IF(Z790&lt;($E$14-$D$14)/($F$14-$D$14),$D$14+SQRT(Z790*($F$14-$D$14)*($E$14-$D$14)),$F$14-SQRT((1-Z790)*($F$14-$D$14)*($F$14-$E$14)))</x:f>
        <x:v>0.9524256748369693</x:v>
      </x:c>
      <x:c r="G790" s="258" t="n">
        <x:f>IF(AA790&lt;($E$15-$D$15)/($F$15-$D$15),$D$15+SQRT(AA790*($F$15-$D$15)*($E$15-$D$15)),$F$15-SQRT((1-AA790)*($F$15-$D$15)*($F$15-$E$15)))</x:f>
        <x:v>0.0922604126891804</x:v>
      </x:c>
      <x:c r="H790" s="258" t="n">
        <x:f>IF(AB790&lt;($E$16-$D$16)/($F$16-$D$16),$D$16+SQRT(AB790*($F$16-$D$16)*($E$16-$D$16)),$F$16-SQRT((1-AB790)*($F$16-$D$16)*($F$16-$E$16)))</x:f>
        <x:v>0.036581896544228346</x:v>
      </x:c>
      <x:c r="I790" s="262" t="n">
        <x:f>'Historical Inputs'!$N$9*(1+D790)^5</x:f>
        <x:v>595962.5225240986</x:v>
      </x:c>
      <x:c r="J790" s="262" t="n">
        <x:f>I790*(1+H790)*('Terminal Value'!$E$10+E790)*(1-'Assumptions'!$E$15)*(1-H790/'Terminal Value'!$E$12)</x:f>
        <x:v>148496.16091031613</x:v>
      </x:c>
      <x:c r="K790" s="264" t="n">
        <x:f>((SUM((('Historical Inputs'!$N$9*(1+(D790))^1)*(('Assumptions'!E37+(E790))*(1-'Assumptions'!E42-(0))+'Assumptions'!E47-'Assumptions'!E52*(F790)+'Assumptions'!E57-'Assumptions'!E62*(1)-'Assumptions'!E67-(0))+('Working Capital'!$E$6))*'DCF'!E12/(1+(G790))^'DCF'!E13,(('Historical Inputs'!$N$9*(1+(D790))^2)*(('Assumptions'!F37+(E790))*(1-'Assumptions'!F42-(0))+'Assumptions'!F47-'Assumptions'!F52*(F790)+'Assumptions'!F57-'Assumptions'!F62*(1)-'Assumptions'!F67-(0))+(('Historical Inputs'!$N$9*(1+(D790))^1)*('Assumptions'!E67+(0))))*'DCF'!F12/(1+(G790))^'DCF'!F13,(('Historical Inputs'!$N$9*(1+(D790))^3)*(('Assumptions'!G37+(E790))*(1-'Assumptions'!G42-(0))+'Assumptions'!G47-'Assumptions'!G52*(F790)+'Assumptions'!G57-'Assumptions'!G62*(1)-'Assumptions'!G67-(0))+(('Historical Inputs'!$N$9*(1+(D790))^2)*('Assumptions'!F67+(0))))*'DCF'!G12/(1+(G790))^'DCF'!G13,(('Historical Inputs'!$N$9*(1+(D790))^4)*(('Assumptions'!H37+(E790))*(1-'Assumptions'!H42-(0))+'Assumptions'!H47-'Assumptions'!H52*(F790)+'Assumptions'!H57-'Assumptions'!H62*(1)-'Assumptions'!H67-(0))+(('Historical Inputs'!$N$9*(1+(D790))^3)*('Assumptions'!G67+(0))))*'DCF'!H12/(1+(G790))^'DCF'!H13,(('Historical Inputs'!$N$9*(1+(D790))^5)*(('Assumptions'!I37+(E790))*(1-'Assumptions'!I42-(0))+'Assumptions'!I47-'Assumptions'!I52*(F790)+'Assumptions'!I57-'Assumptions'!I62*(1)-'Assumptions'!I67-(0))+(('Historical Inputs'!$N$9*(1+(D790))^4)*('Assumptions'!H67+(0))))*'DCF'!I12/(1+(G790))^'DCF'!I13)+('Historical Inputs'!$N$9*(1+(D790))^5)*(1+(H790))*('Terminal Value'!$E$10+(E790))*(1-'Assumptions'!$E$15-(0))*(1-(H790)/('Terminal Value'!$E$12))/((G790)-(H790))/(1+(G790))^'DCF'!$E$19)+'Equity Bridge'!$E$17)/'Equity Bridge'!$E$20</x:f>
        <x:v>285.68162247411</x:v>
      </x:c>
      <x:c r="X790" s="255" t="n">
        <x:v>0.19196561647843569</x:v>
      </x:c>
      <x:c r="Y790" s="255" t="n">
        <x:v>0.06289122295322824</x:v>
      </x:c>
      <x:c r="Z790" s="255" t="n">
        <x:v>0.19982893077730624</x:v>
      </x:c>
      <x:c r="AA790" s="255" t="n">
        <x:v>0.18483375907603072</x:v>
      </x:c>
      <x:c r="AB790" s="255" t="n">
        <x:v>0.9415828438282093</x:v>
      </x:c>
    </x:row>
    <x:row r="791" ht="24" customHeight="1">
      <x:c r="C791" s="256" t="n">
        <x:f>760</x:f>
        <x:v>760</x:v>
      </x:c>
      <x:c r="D791" s="258" t="n">
        <x:f>IF(X791&lt;($E$12-$D$12)/($F$12-$D$12),$D$12+SQRT(X791*($F$12-$D$12)*($E$12-$D$12)),$F$12-SQRT((1-X791)*($F$12-$D$12)*($F$12-$E$12)))</x:f>
        <x:v>0.13038610023393155</x:v>
      </x:c>
      <x:c r="E791" s="258" t="n">
        <x:f>IF(Y791&lt;($E$13-$D$13)/($F$13-$D$13),$D$13+SQRT(Y791*($F$13-$D$13)*($E$13-$D$13)),$F$13-SQRT((1-Y791)*($F$13-$D$13)*($F$13-$E$13)))</x:f>
        <x:v>-0.005718624552734648</x:v>
      </x:c>
      <x:c r="F791" s="260" t="n">
        <x:f>IF(Z791&lt;($E$14-$D$14)/($F$14-$D$14),$D$14+SQRT(Z791*($F$14-$D$14)*($E$14-$D$14)),$F$14-SQRT((1-Z791)*($F$14-$D$14)*($F$14-$E$14)))</x:f>
        <x:v>1.0619100756159416</x:v>
      </x:c>
      <x:c r="G791" s="258" t="n">
        <x:f>IF(AA791&lt;($E$15-$D$15)/($F$15-$D$15),$D$15+SQRT(AA791*($F$15-$D$15)*($E$15-$D$15)),$F$15-SQRT((1-AA791)*($F$15-$D$15)*($F$15-$E$15)))</x:f>
        <x:v>0.1004976209848127</x:v>
      </x:c>
      <x:c r="H791" s="258" t="n">
        <x:f>IF(AB791&lt;($E$16-$D$16)/($F$16-$D$16),$D$16+SQRT(AB791*($F$16-$D$16)*($E$16-$D$16)),$F$16-SQRT((1-AB791)*($F$16-$D$16)*($F$16-$E$16)))</x:f>
        <x:v>0.03578729317998479</x:v>
      </x:c>
      <x:c r="I791" s="262" t="n">
        <x:f>'Historical Inputs'!$N$9*(1+D791)^5</x:f>
        <x:v>612437.0682787055</x:v>
      </x:c>
      <x:c r="J791" s="262" t="n">
        <x:f>I791*(1+H791)*('Terminal Value'!$E$10+E791)*(1-'Assumptions'!$E$15)*(1-H791/'Terminal Value'!$E$12)</x:f>
        <x:v>164287.70464806922</x:v>
      </x:c>
      <x:c r="K791" s="264" t="n">
        <x:f>((SUM((('Historical Inputs'!$N$9*(1+(D791))^1)*(('Assumptions'!E37+(E791))*(1-'Assumptions'!E42-(0))+'Assumptions'!E47-'Assumptions'!E52*(F791)+'Assumptions'!E57-'Assumptions'!E62*(1)-'Assumptions'!E67-(0))+('Working Capital'!$E$6))*'DCF'!E12/(1+(G791))^'DCF'!E13,(('Historical Inputs'!$N$9*(1+(D791))^2)*(('Assumptions'!F37+(E791))*(1-'Assumptions'!F42-(0))+'Assumptions'!F47-'Assumptions'!F52*(F791)+'Assumptions'!F57-'Assumptions'!F62*(1)-'Assumptions'!F67-(0))+(('Historical Inputs'!$N$9*(1+(D791))^1)*('Assumptions'!E67+(0))))*'DCF'!F12/(1+(G791))^'DCF'!F13,(('Historical Inputs'!$N$9*(1+(D791))^3)*(('Assumptions'!G37+(E791))*(1-'Assumptions'!G42-(0))+'Assumptions'!G47-'Assumptions'!G52*(F791)+'Assumptions'!G57-'Assumptions'!G62*(1)-'Assumptions'!G67-(0))+(('Historical Inputs'!$N$9*(1+(D791))^2)*('Assumptions'!F67+(0))))*'DCF'!G12/(1+(G791))^'DCF'!G13,(('Historical Inputs'!$N$9*(1+(D791))^4)*(('Assumptions'!H37+(E791))*(1-'Assumptions'!H42-(0))+'Assumptions'!H47-'Assumptions'!H52*(F791)+'Assumptions'!H57-'Assumptions'!H62*(1)-'Assumptions'!H67-(0))+(('Historical Inputs'!$N$9*(1+(D791))^3)*('Assumptions'!G67+(0))))*'DCF'!H12/(1+(G791))^'DCF'!H13,(('Historical Inputs'!$N$9*(1+(D791))^5)*(('Assumptions'!I37+(E791))*(1-'Assumptions'!I42-(0))+'Assumptions'!I47-'Assumptions'!I52*(F791)+'Assumptions'!I57-'Assumptions'!I62*(1)-'Assumptions'!I67-(0))+(('Historical Inputs'!$N$9*(1+(D791))^4)*('Assumptions'!H67+(0))))*'DCF'!I12/(1+(G791))^'DCF'!I13)+('Historical Inputs'!$N$9*(1+(D791))^5)*(1+(H791))*('Terminal Value'!$E$10+(E791))*(1-'Assumptions'!$E$15-(0))*(1-(H791)/('Terminal Value'!$E$12))/((G791)-(H791))/(1+(G791))^'DCF'!$E$19)+'Equity Bridge'!$E$17)/'Equity Bridge'!$E$20</x:f>
        <x:v>264.9481774201127</x:v>
      </x:c>
      <x:c r="X791" s="255" t="n">
        <x:v>0.2757136926836139</x:v>
      </x:c>
      <x:c r="Y791" s="255" t="n">
        <x:v>0.392168042300335</x:v>
      </x:c>
      <x:c r="Z791" s="255" t="n">
        <x:v>0.7275881826229293</x:v>
      </x:c>
      <x:c r="AA791" s="255" t="n">
        <x:v>0.6448020339238502</x:v>
      </x:c>
      <x:c r="AB791" s="255" t="n">
        <x:v>0.9112655062429867</x:v>
      </x:c>
    </x:row>
    <x:row r="792" ht="24" customHeight="1">
      <x:c r="C792" s="256" t="n">
        <x:f>761</x:f>
        <x:v>761</x:v>
      </x:c>
      <x:c r="D792" s="258" t="n">
        <x:f>IF(X792&lt;($E$12-$D$12)/($F$12-$D$12),$D$12+SQRT(X792*($F$12-$D$12)*($E$12-$D$12)),$F$12-SQRT((1-X792)*($F$12-$D$12)*($F$12-$E$12)))</x:f>
        <x:v>0.12073027047901927</x:v>
      </x:c>
      <x:c r="E792" s="258" t="n">
        <x:f>IF(Y792&lt;($E$13-$D$13)/($F$13-$D$13),$D$13+SQRT(Y792*($F$13-$D$13)*($E$13-$D$13)),$F$13-SQRT((1-Y792)*($F$13-$D$13)*($F$13-$E$13)))</x:f>
        <x:v>0.015905725809614336</x:v>
      </x:c>
      <x:c r="F792" s="260" t="n">
        <x:f>IF(Z792&lt;($E$14-$D$14)/($F$14-$D$14),$D$14+SQRT(Z792*($F$14-$D$14)*($E$14-$D$14)),$F$14-SQRT((1-Z792)*($F$14-$D$14)*($F$14-$E$14)))</x:f>
        <x:v>1.056984151360152</x:v>
      </x:c>
      <x:c r="G792" s="258" t="n">
        <x:f>IF(AA792&lt;($E$15-$D$15)/($F$15-$D$15),$D$15+SQRT(AA792*($F$15-$D$15)*($E$15-$D$15)),$F$15-SQRT((1-AA792)*($F$15-$D$15)*($F$15-$E$15)))</x:f>
        <x:v>0.10311186103562035</x:v>
      </x:c>
      <x:c r="H792" s="258" t="n">
        <x:f>IF(AB792&lt;($E$16-$D$16)/($F$16-$D$16),$D$16+SQRT(AB792*($F$16-$D$16)*($E$16-$D$16)),$F$16-SQRT((1-AB792)*($F$16-$D$16)*($F$16-$E$16)))</x:f>
        <x:v>0.030103297371613498</x:v>
      </x:c>
      <x:c r="I792" s="262" t="n">
        <x:f>'Historical Inputs'!$N$9*(1+D792)^5</x:f>
        <x:v>586722.7619488039</x:v>
      </x:c>
      <x:c r="J792" s="262" t="n">
        <x:f>I792*(1+H792)*('Terminal Value'!$E$10+E792)*(1-'Assumptions'!$E$15)*(1-H792/'Terminal Value'!$E$12)</x:f>
        <x:v>170825.8361668324</x:v>
      </x:c>
      <x:c r="K792" s="264" t="n">
        <x:f>((SUM((('Historical Inputs'!$N$9*(1+(D792))^1)*(('Assumptions'!E37+(E792))*(1-'Assumptions'!E42-(0))+'Assumptions'!E47-'Assumptions'!E52*(F792)+'Assumptions'!E57-'Assumptions'!E62*(1)-'Assumptions'!E67-(0))+('Working Capital'!$E$6))*'DCF'!E12/(1+(G792))^'DCF'!E13,(('Historical Inputs'!$N$9*(1+(D792))^2)*(('Assumptions'!F37+(E792))*(1-'Assumptions'!F42-(0))+'Assumptions'!F47-'Assumptions'!F52*(F792)+'Assumptions'!F57-'Assumptions'!F62*(1)-'Assumptions'!F67-(0))+(('Historical Inputs'!$N$9*(1+(D792))^1)*('Assumptions'!E67+(0))))*'DCF'!F12/(1+(G792))^'DCF'!F13,(('Historical Inputs'!$N$9*(1+(D792))^3)*(('Assumptions'!G37+(E792))*(1-'Assumptions'!G42-(0))+'Assumptions'!G47-'Assumptions'!G52*(F792)+'Assumptions'!G57-'Assumptions'!G62*(1)-'Assumptions'!G67-(0))+(('Historical Inputs'!$N$9*(1+(D792))^2)*('Assumptions'!F67+(0))))*'DCF'!G12/(1+(G792))^'DCF'!G13,(('Historical Inputs'!$N$9*(1+(D792))^4)*(('Assumptions'!H37+(E792))*(1-'Assumptions'!H42-(0))+'Assumptions'!H47-'Assumptions'!H52*(F792)+'Assumptions'!H57-'Assumptions'!H62*(1)-'Assumptions'!H67-(0))+(('Historical Inputs'!$N$9*(1+(D792))^3)*('Assumptions'!G67+(0))))*'DCF'!H12/(1+(G792))^'DCF'!H13,(('Historical Inputs'!$N$9*(1+(D792))^5)*(('Assumptions'!I37+(E792))*(1-'Assumptions'!I42-(0))+'Assumptions'!I47-'Assumptions'!I52*(F792)+'Assumptions'!I57-'Assumptions'!I62*(1)-'Assumptions'!I67-(0))+(('Historical Inputs'!$N$9*(1+(D792))^4)*('Assumptions'!H67+(0))))*'DCF'!I12/(1+(G792))^'DCF'!I13)+('Historical Inputs'!$N$9*(1+(D792))^5)*(1+(H792))*('Terminal Value'!$E$10+(E792))*(1-'Assumptions'!$E$15-(0))*(1-(H792)/('Terminal Value'!$E$12))/((G792)-(H792))/(1+(G792))^'DCF'!$E$19)+'Equity Bridge'!$E$17)/'Equity Bridge'!$E$20</x:f>
        <x:v>248.31920520223622</x:v>
      </x:c>
      <x:c r="X792" s="255" t="n">
        <x:v>0.15095587830949453</x:v>
      </x:c>
      <x:c r="Y792" s="255" t="n">
        <x:v>0.7675160934861603</x:v>
      </x:c>
      <x:c r="Z792" s="255" t="n">
        <x:v>0.7078066719689149</x:v>
      </x:c>
      <x:c r="AA792" s="255" t="n">
        <x:v>0.7765089381583429</x:v>
      </x:c>
      <x:c r="AB792" s="255" t="n">
        <x:v>0.5102763854264387</x:v>
      </x:c>
    </x:row>
    <x:row r="793" ht="24" customHeight="1">
      <x:c r="C793" s="256" t="n">
        <x:f>762</x:f>
        <x:v>762</x:v>
      </x:c>
      <x:c r="D793" s="258" t="n">
        <x:f>IF(X793&lt;($E$12-$D$12)/($F$12-$D$12),$D$12+SQRT(X793*($F$12-$D$12)*($E$12-$D$12)),$F$12-SQRT((1-X793)*($F$12-$D$12)*($F$12-$E$12)))</x:f>
        <x:v>0.17033066292067642</x:v>
      </x:c>
      <x:c r="E793" s="258" t="n">
        <x:f>IF(Y793&lt;($E$13-$D$13)/($F$13-$D$13),$D$13+SQRT(Y793*($F$13-$D$13)*($E$13-$D$13)),$F$13-SQRT((1-Y793)*($F$13-$D$13)*($F$13-$E$13)))</x:f>
        <x:v>-0.027763453623857254</x:v>
      </x:c>
      <x:c r="F793" s="260" t="n">
        <x:f>IF(Z793&lt;($E$14-$D$14)/($F$14-$D$14),$D$14+SQRT(Z793*($F$14-$D$14)*($E$14-$D$14)),$F$14-SQRT((1-Z793)*($F$14-$D$14)*($F$14-$E$14)))</x:f>
        <x:v>1.0844124944698679</x:v>
      </x:c>
      <x:c r="G793" s="258" t="n">
        <x:f>IF(AA793&lt;($E$15-$D$15)/($F$15-$D$15),$D$15+SQRT(AA793*($F$15-$D$15)*($E$15-$D$15)),$F$15-SQRT((1-AA793)*($F$15-$D$15)*($F$15-$E$15)))</x:f>
        <x:v>0.10253945472877143</x:v>
      </x:c>
      <x:c r="H793" s="258" t="n">
        <x:f>IF(AB793&lt;($E$16-$D$16)/($F$16-$D$16),$D$16+SQRT(AB793*($F$16-$D$16)*($E$16-$D$16)),$F$16-SQRT((1-AB793)*($F$16-$D$16)*($F$16-$E$16)))</x:f>
        <x:v>0.023038382556552214</x:v>
      </x:c>
      <x:c r="I793" s="262" t="n">
        <x:f>'Historical Inputs'!$N$9*(1+D793)^5</x:f>
        <x:v>728568.423721308</x:v>
      </x:c>
      <x:c r="J793" s="262" t="n">
        <x:f>I793*(1+H793)*('Terminal Value'!$E$10+E793)*(1-'Assumptions'!$E$15)*(1-H793/'Terminal Value'!$E$12)</x:f>
        <x:v>196390.44467550836</x:v>
      </x:c>
      <x:c r="K793" s="264" t="n">
        <x:f>((SUM((('Historical Inputs'!$N$9*(1+(D793))^1)*(('Assumptions'!E37+(E793))*(1-'Assumptions'!E42-(0))+'Assumptions'!E47-'Assumptions'!E52*(F793)+'Assumptions'!E57-'Assumptions'!E62*(1)-'Assumptions'!E67-(0))+('Working Capital'!$E$6))*'DCF'!E12/(1+(G793))^'DCF'!E13,(('Historical Inputs'!$N$9*(1+(D793))^2)*(('Assumptions'!F37+(E793))*(1-'Assumptions'!F42-(0))+'Assumptions'!F47-'Assumptions'!F52*(F793)+'Assumptions'!F57-'Assumptions'!F62*(1)-'Assumptions'!F67-(0))+(('Historical Inputs'!$N$9*(1+(D793))^1)*('Assumptions'!E67+(0))))*'DCF'!F12/(1+(G793))^'DCF'!F13,(('Historical Inputs'!$N$9*(1+(D793))^3)*(('Assumptions'!G37+(E793))*(1-'Assumptions'!G42-(0))+'Assumptions'!G47-'Assumptions'!G52*(F793)+'Assumptions'!G57-'Assumptions'!G62*(1)-'Assumptions'!G67-(0))+(('Historical Inputs'!$N$9*(1+(D793))^2)*('Assumptions'!F67+(0))))*'DCF'!G12/(1+(G793))^'DCF'!G13,(('Historical Inputs'!$N$9*(1+(D793))^4)*(('Assumptions'!H37+(E793))*(1-'Assumptions'!H42-(0))+'Assumptions'!H47-'Assumptions'!H52*(F793)+'Assumptions'!H57-'Assumptions'!H62*(1)-'Assumptions'!H67-(0))+(('Historical Inputs'!$N$9*(1+(D793))^3)*('Assumptions'!G67+(0))))*'DCF'!H12/(1+(G793))^'DCF'!H13,(('Historical Inputs'!$N$9*(1+(D793))^5)*(('Assumptions'!I37+(E793))*(1-'Assumptions'!I42-(0))+'Assumptions'!I47-'Assumptions'!I52*(F793)+'Assumptions'!I57-'Assumptions'!I62*(1)-'Assumptions'!I67-(0))+(('Historical Inputs'!$N$9*(1+(D793))^4)*('Assumptions'!H67+(0))))*'DCF'!I12/(1+(G793))^'DCF'!I13)+('Historical Inputs'!$N$9*(1+(D793))^5)*(1+(H793))*('Terminal Value'!$E$10+(E793))*(1-'Assumptions'!$E$15-(0))*(1-(H793)/('Terminal Value'!$E$12))/((G793)-(H793))/(1+(G793))^'DCF'!$E$19)+'Equity Bridge'!$E$17)/'Equity Bridge'!$E$20</x:f>
        <x:v>257.2542975084929</x:v>
      </x:c>
      <x:c r="X793" s="255" t="n">
        <x:v>0.8948764134683319</x:v>
      </x:c>
      <x:c r="Y793" s="255" t="n">
        <x:v>0.09889279894766945</x:v>
      </x:c>
      <x:c r="Z793" s="255" t="n">
        <x:v>0.8091361223617386</x:v>
      </x:c>
      <x:c r="AA793" s="255" t="n">
        <x:v>0.7502680232083828</x:v>
      </x:c>
      <x:c r="AB793" s="255" t="n">
        <x:v>0.04615884279980387</x:v>
      </x:c>
    </x:row>
    <x:row r="794" ht="24" customHeight="1">
      <x:c r="C794" s="256" t="n">
        <x:f>763</x:f>
        <x:v>763</x:v>
      </x:c>
      <x:c r="D794" s="258" t="n">
        <x:f>IF(X794&lt;($E$12-$D$12)/($F$12-$D$12),$D$12+SQRT(X794*($F$12-$D$12)*($E$12-$D$12)),$F$12-SQRT((1-X794)*($F$12-$D$12)*($F$12-$E$12)))</x:f>
        <x:v>0.11097030854887818</x:v>
      </x:c>
      <x:c r="E794" s="258" t="n">
        <x:f>IF(Y794&lt;($E$13-$D$13)/($F$13-$D$13),$D$13+SQRT(Y794*($F$13-$D$13)*($E$13-$D$13)),$F$13-SQRT((1-Y794)*($F$13-$D$13)*($F$13-$E$13)))</x:f>
        <x:v>-0.004674635309935608</x:v>
      </x:c>
      <x:c r="F794" s="260" t="n">
        <x:f>IF(Z794&lt;($E$14-$D$14)/($F$14-$D$14),$D$14+SQRT(Z794*($F$14-$D$14)*($E$14-$D$14)),$F$14-SQRT((1-Z794)*($F$14-$D$14)*($F$14-$E$14)))</x:f>
        <x:v>1.0687363662657663</x:v>
      </x:c>
      <x:c r="G794" s="258" t="n">
        <x:f>IF(AA794&lt;($E$15-$D$15)/($F$15-$D$15),$D$15+SQRT(AA794*($F$15-$D$15)*($E$15-$D$15)),$F$15-SQRT((1-AA794)*($F$15-$D$15)*($F$15-$E$15)))</x:f>
        <x:v>0.09384552320486714</x:v>
      </x:c>
      <x:c r="H794" s="258" t="n">
        <x:f>IF(AB794&lt;($E$16-$D$16)/($F$16-$D$16),$D$16+SQRT(AB794*($F$16-$D$16)*($E$16-$D$16)),$F$16-SQRT((1-AB794)*($F$16-$D$16)*($F$16-$E$16)))</x:f>
        <x:v>0.031138900040239316</x:v>
      </x:c>
      <x:c r="I794" s="262" t="n">
        <x:f>'Historical Inputs'!$N$9*(1+D794)^5</x:f>
        <x:v>561616.2784555809</x:v>
      </x:c>
      <x:c r="J794" s="262" t="n">
        <x:f>I794*(1+H794)*('Terminal Value'!$E$10+E794)*(1-'Assumptions'!$E$15)*(1-H794/'Terminal Value'!$E$12)</x:f>
        <x:v>154632.63051873384</x:v>
      </x:c>
      <x:c r="K794" s="264" t="n">
        <x:f>((SUM((('Historical Inputs'!$N$9*(1+(D794))^1)*(('Assumptions'!E37+(E794))*(1-'Assumptions'!E42-(0))+'Assumptions'!E47-'Assumptions'!E52*(F794)+'Assumptions'!E57-'Assumptions'!E62*(1)-'Assumptions'!E67-(0))+('Working Capital'!$E$6))*'DCF'!E12/(1+(G794))^'DCF'!E13,(('Historical Inputs'!$N$9*(1+(D794))^2)*(('Assumptions'!F37+(E794))*(1-'Assumptions'!F42-(0))+'Assumptions'!F47-'Assumptions'!F52*(F794)+'Assumptions'!F57-'Assumptions'!F62*(1)-'Assumptions'!F67-(0))+(('Historical Inputs'!$N$9*(1+(D794))^1)*('Assumptions'!E67+(0))))*'DCF'!F12/(1+(G794))^'DCF'!F13,(('Historical Inputs'!$N$9*(1+(D794))^3)*(('Assumptions'!G37+(E794))*(1-'Assumptions'!G42-(0))+'Assumptions'!G47-'Assumptions'!G52*(F794)+'Assumptions'!G57-'Assumptions'!G62*(1)-'Assumptions'!G67-(0))+(('Historical Inputs'!$N$9*(1+(D794))^2)*('Assumptions'!F67+(0))))*'DCF'!G12/(1+(G794))^'DCF'!G13,(('Historical Inputs'!$N$9*(1+(D794))^4)*(('Assumptions'!H37+(E794))*(1-'Assumptions'!H42-(0))+'Assumptions'!H47-'Assumptions'!H52*(F794)+'Assumptions'!H57-'Assumptions'!H62*(1)-'Assumptions'!H67-(0))+(('Historical Inputs'!$N$9*(1+(D794))^3)*('Assumptions'!G67+(0))))*'DCF'!H12/(1+(G794))^'DCF'!H13,(('Historical Inputs'!$N$9*(1+(D794))^5)*(('Assumptions'!I37+(E794))*(1-'Assumptions'!I42-(0))+'Assumptions'!I47-'Assumptions'!I52*(F794)+'Assumptions'!I57-'Assumptions'!I62*(1)-'Assumptions'!I67-(0))+(('Historical Inputs'!$N$9*(1+(D794))^4)*('Assumptions'!H67+(0))))*'DCF'!I12/(1+(G794))^'DCF'!I13)+('Historical Inputs'!$N$9*(1+(D794))^5)*(1+(H794))*('Terminal Value'!$E$10+(E794))*(1-'Assumptions'!$E$15-(0))*(1-(H794)/('Terminal Value'!$E$12))/((G794)-(H794))/(1+(G794))^'DCF'!$E$19)+'Equity Bridge'!$E$17)/'Equity Bridge'!$E$20</x:f>
        <x:v>262.466539676939</x:v>
      </x:c>
      <x:c r="X794" s="255" t="n">
        <x:v>0.062752105304972</x:v>
      </x:c>
      <x:c r="Y794" s="255" t="n">
        <x:v>0.4108777368574672</x:v>
      </x:c>
      <x:c r="Z794" s="255" t="n">
        <x:v>0.7538551208412136</x:v>
      </x:c>
      <x:c r="AA794" s="255" t="n">
        <x:v>0.25466737848671417</x:v>
      </x:c>
      <x:c r="AB794" s="255" t="n">
        <x:v>0.6074045375156462</x:v>
      </x:c>
    </x:row>
    <x:row r="795" ht="24" customHeight="1">
      <x:c r="C795" s="256" t="n">
        <x:f>764</x:f>
        <x:v>764</x:v>
      </x:c>
      <x:c r="D795" s="258" t="n">
        <x:f>IF(X795&lt;($E$12-$D$12)/($F$12-$D$12),$D$12+SQRT(X795*($F$12-$D$12)*($E$12-$D$12)),$F$12-SQRT((1-X795)*($F$12-$D$12)*($F$12-$E$12)))</x:f>
        <x:v>0.1360341145703552</x:v>
      </x:c>
      <x:c r="E795" s="258" t="n">
        <x:f>IF(Y795&lt;($E$13-$D$13)/($F$13-$D$13),$D$13+SQRT(Y795*($F$13-$D$13)*($E$13-$D$13)),$F$13-SQRT((1-Y795)*($F$13-$D$13)*($F$13-$E$13)))</x:f>
        <x:v>0.001485883377265046</x:v>
      </x:c>
      <x:c r="F795" s="260" t="n">
        <x:f>IF(Z795&lt;($E$14-$D$14)/($F$14-$D$14),$D$14+SQRT(Z795*($F$14-$D$14)*($E$14-$D$14)),$F$14-SQRT((1-Z795)*($F$14-$D$14)*($F$14-$E$14)))</x:f>
        <x:v>1.0914923596005297</x:v>
      </x:c>
      <x:c r="G795" s="258" t="n">
        <x:f>IF(AA795&lt;($E$15-$D$15)/($F$15-$D$15),$D$15+SQRT(AA795*($F$15-$D$15)*($E$15-$D$15)),$F$15-SQRT((1-AA795)*($F$15-$D$15)*($F$15-$E$15)))</x:f>
        <x:v>0.10153996480698724</x:v>
      </x:c>
      <x:c r="H795" s="258" t="n">
        <x:f>IF(AB795&lt;($E$16-$D$16)/($F$16-$D$16),$D$16+SQRT(AB795*($F$16-$D$16)*($E$16-$D$16)),$F$16-SQRT((1-AB795)*($F$16-$D$16)*($F$16-$E$16)))</x:f>
        <x:v>0.03336300859141189</x:v>
      </x:c>
      <x:c r="I795" s="262" t="n">
        <x:f>'Historical Inputs'!$N$9*(1+D795)^5</x:f>
        <x:v>627891.0492328885</x:v>
      </x:c>
      <x:c r="J795" s="262" t="n">
        <x:f>I795*(1+H795)*('Terminal Value'!$E$10+E795)*(1-'Assumptions'!$E$15)*(1-H795/'Terminal Value'!$E$12)</x:f>
        <x:v>173635.64715579874</x:v>
      </x:c>
      <x:c r="K795" s="264" t="n">
        <x:f>((SUM((('Historical Inputs'!$N$9*(1+(D795))^1)*(('Assumptions'!E37+(E795))*(1-'Assumptions'!E42-(0))+'Assumptions'!E47-'Assumptions'!E52*(F795)+'Assumptions'!E57-'Assumptions'!E62*(1)-'Assumptions'!E67-(0))+('Working Capital'!$E$6))*'DCF'!E12/(1+(G795))^'DCF'!E13,(('Historical Inputs'!$N$9*(1+(D795))^2)*(('Assumptions'!F37+(E795))*(1-'Assumptions'!F42-(0))+'Assumptions'!F47-'Assumptions'!F52*(F795)+'Assumptions'!F57-'Assumptions'!F62*(1)-'Assumptions'!F67-(0))+(('Historical Inputs'!$N$9*(1+(D795))^1)*('Assumptions'!E67+(0))))*'DCF'!F12/(1+(G795))^'DCF'!F13,(('Historical Inputs'!$N$9*(1+(D795))^3)*(('Assumptions'!G37+(E795))*(1-'Assumptions'!G42-(0))+'Assumptions'!G47-'Assumptions'!G52*(F795)+'Assumptions'!G57-'Assumptions'!G62*(1)-'Assumptions'!G67-(0))+(('Historical Inputs'!$N$9*(1+(D795))^2)*('Assumptions'!F67+(0))))*'DCF'!G12/(1+(G795))^'DCF'!G13,(('Historical Inputs'!$N$9*(1+(D795))^4)*(('Assumptions'!H37+(E795))*(1-'Assumptions'!H42-(0))+'Assumptions'!H47-'Assumptions'!H52*(F795)+'Assumptions'!H57-'Assumptions'!H62*(1)-'Assumptions'!H67-(0))+(('Historical Inputs'!$N$9*(1+(D795))^3)*('Assumptions'!G67+(0))))*'DCF'!H12/(1+(G795))^'DCF'!H13,(('Historical Inputs'!$N$9*(1+(D795))^5)*(('Assumptions'!I37+(E795))*(1-'Assumptions'!I42-(0))+'Assumptions'!I47-'Assumptions'!I52*(F795)+'Assumptions'!I57-'Assumptions'!I62*(1)-'Assumptions'!I67-(0))+(('Historical Inputs'!$N$9*(1+(D795))^4)*('Assumptions'!H67+(0))))*'DCF'!I12/(1+(G795))^'DCF'!I13)+('Historical Inputs'!$N$9*(1+(D795))^5)*(1+(H795))*('Terminal Value'!$E$10+(E795))*(1-'Assumptions'!$E$15-(0))*(1-(H795)/('Terminal Value'!$E$12))/((G795)-(H795))/(1+(G795))^'DCF'!$E$19)+'Equity Bridge'!$E$17)/'Equity Bridge'!$E$20</x:f>
        <x:v>265.0284975021793</x:v>
      </x:c>
      <x:c r="X795" s="255" t="n">
        <x:v>0.36597593273085127</x:v>
      </x:c>
      <x:c r="Y795" s="255" t="n">
        <x:v>0.5292760976631343</x:v>
      </x:c>
      <x:c r="Z795" s="255" t="n">
        <x:v>0.8318013139277035</x:v>
      </x:c>
      <x:c r="AA795" s="255" t="n">
        <x:v>0.7009569240148578</x:v>
      </x:c>
      <x:c r="AB795" s="255" t="n">
        <x:v>0.779751725211638</x:v>
      </x:c>
    </x:row>
    <x:row r="796" ht="24" customHeight="1">
      <x:c r="C796" s="256" t="n">
        <x:f>765</x:f>
        <x:v>765</x:v>
      </x:c>
      <x:c r="D796" s="258" t="n">
        <x:f>IF(X796&lt;($E$12-$D$12)/($F$12-$D$12),$D$12+SQRT(X796*($F$12-$D$12)*($E$12-$D$12)),$F$12-SQRT((1-X796)*($F$12-$D$12)*($F$12-$E$12)))</x:f>
        <x:v>0.16183304103861623</x:v>
      </x:c>
      <x:c r="E796" s="258" t="n">
        <x:f>IF(Y796&lt;($E$13-$D$13)/($F$13-$D$13),$D$13+SQRT(Y796*($F$13-$D$13)*($E$13-$D$13)),$F$13-SQRT((1-Y796)*($F$13-$D$13)*($F$13-$E$13)))</x:f>
        <x:v>0.03248216706473932</x:v>
      </x:c>
      <x:c r="F796" s="260" t="n">
        <x:f>IF(Z796&lt;($E$14-$D$14)/($F$14-$D$14),$D$14+SQRT(Z796*($F$14-$D$14)*($E$14-$D$14)),$F$14-SQRT((1-Z796)*($F$14-$D$14)*($F$14-$E$14)))</x:f>
        <x:v>0.9566263888802955</x:v>
      </x:c>
      <x:c r="G796" s="258" t="n">
        <x:f>IF(AA796&lt;($E$15-$D$15)/($F$15-$D$15),$D$15+SQRT(AA796*($F$15-$D$15)*($E$15-$D$15)),$F$15-SQRT((1-AA796)*($F$15-$D$15)*($F$15-$E$15)))</x:f>
        <x:v>0.10203063778413779</x:v>
      </x:c>
      <x:c r="H796" s="258" t="n">
        <x:f>IF(AB796&lt;($E$16-$D$16)/($F$16-$D$16),$D$16+SQRT(AB796*($F$16-$D$16)*($E$16-$D$16)),$F$16-SQRT((1-AB796)*($F$16-$D$16)*($F$16-$E$16)))</x:f>
        <x:v>0.027802856050701735</x:v>
      </x:c>
      <x:c r="I796" s="262" t="n">
        <x:f>'Historical Inputs'!$N$9*(1+D796)^5</x:f>
        <x:v>702499.5355114787</x:v>
      </x:c>
      <x:c r="J796" s="262" t="n">
        <x:f>I796*(1+H796)*('Terminal Value'!$E$10+E796)*(1-'Assumptions'!$E$15)*(1-H796/'Terminal Value'!$E$12)</x:f>
        <x:v>215084.93938994993</x:v>
      </x:c>
      <x:c r="K796" s="264" t="n">
        <x:f>((SUM((('Historical Inputs'!$N$9*(1+(D796))^1)*(('Assumptions'!E37+(E796))*(1-'Assumptions'!E42-(0))+'Assumptions'!E47-'Assumptions'!E52*(F796)+'Assumptions'!E57-'Assumptions'!E62*(1)-'Assumptions'!E67-(0))+('Working Capital'!$E$6))*'DCF'!E12/(1+(G796))^'DCF'!E13,(('Historical Inputs'!$N$9*(1+(D796))^2)*(('Assumptions'!F37+(E796))*(1-'Assumptions'!F42-(0))+'Assumptions'!F47-'Assumptions'!F52*(F796)+'Assumptions'!F57-'Assumptions'!F62*(1)-'Assumptions'!F67-(0))+(('Historical Inputs'!$N$9*(1+(D796))^1)*('Assumptions'!E67+(0))))*'DCF'!F12/(1+(G796))^'DCF'!F13,(('Historical Inputs'!$N$9*(1+(D796))^3)*(('Assumptions'!G37+(E796))*(1-'Assumptions'!G42-(0))+'Assumptions'!G47-'Assumptions'!G52*(F796)+'Assumptions'!G57-'Assumptions'!G62*(1)-'Assumptions'!G67-(0))+(('Historical Inputs'!$N$9*(1+(D796))^2)*('Assumptions'!F67+(0))))*'DCF'!G12/(1+(G796))^'DCF'!G13,(('Historical Inputs'!$N$9*(1+(D796))^4)*(('Assumptions'!H37+(E796))*(1-'Assumptions'!H42-(0))+'Assumptions'!H47-'Assumptions'!H52*(F796)+'Assumptions'!H57-'Assumptions'!H62*(1)-'Assumptions'!H67-(0))+(('Historical Inputs'!$N$9*(1+(D796))^3)*('Assumptions'!G67+(0))))*'DCF'!H12/(1+(G796))^'DCF'!H13,(('Historical Inputs'!$N$9*(1+(D796))^5)*(('Assumptions'!I37+(E796))*(1-'Assumptions'!I42-(0))+'Assumptions'!I47-'Assumptions'!I52*(F796)+'Assumptions'!I57-'Assumptions'!I62*(1)-'Assumptions'!I67-(0))+(('Historical Inputs'!$N$9*(1+(D796))^4)*('Assumptions'!H67+(0))))*'DCF'!I12/(1+(G796))^'DCF'!I13)+('Historical Inputs'!$N$9*(1+(D796))^5)*(1+(H796))*('Terminal Value'!$E$10+(E796))*(1-'Assumptions'!$E$15-(0))*(1-(H796)/('Terminal Value'!$E$12))/((G796)-(H796))/(1+(G796))^'DCF'!$E$19)+'Equity Bridge'!$E$17)/'Equity Bridge'!$E$20</x:f>
        <x:v>314.06520728458935</x:v>
      </x:c>
      <x:c r="X796" s="255" t="n">
        <x:v>0.8025066862941059</x:v>
      </x:c>
      <x:c r="Y796" s="255" t="n">
        <x:v>0.9386251058504592</x:v>
      </x:c>
      <x:c r="Z796" s="255" t="n">
        <x:v>0.21655593915527627</x:v>
      </x:c>
      <x:c r="AA796" s="255" t="n">
        <x:v>0.7257197018774406</x:v>
      </x:c>
      <x:c r="AB796" s="255" t="n">
        <x:v>0.3044228127398634</x:v>
      </x:c>
    </x:row>
    <x:row r="797" ht="24" customHeight="1">
      <x:c r="C797" s="256" t="n">
        <x:f>766</x:f>
        <x:v>766</x:v>
      </x:c>
      <x:c r="D797" s="258" t="n">
        <x:f>IF(X797&lt;($E$12-$D$12)/($F$12-$D$12),$D$12+SQRT(X797*($F$12-$D$12)*($E$12-$D$12)),$F$12-SQRT((1-X797)*($F$12-$D$12)*($F$12-$E$12)))</x:f>
        <x:v>0.16268175835866755</x:v>
      </x:c>
      <x:c r="E797" s="258" t="n">
        <x:f>IF(Y797&lt;($E$13-$D$13)/($F$13-$D$13),$D$13+SQRT(Y797*($F$13-$D$13)*($E$13-$D$13)),$F$13-SQRT((1-Y797)*($F$13-$D$13)*($F$13-$E$13)))</x:f>
        <x:v>0.009655836508426892</x:v>
      </x:c>
      <x:c r="F797" s="260" t="n">
        <x:f>IF(Z797&lt;($E$14-$D$14)/($F$14-$D$14),$D$14+SQRT(Z797*($F$14-$D$14)*($E$14-$D$14)),$F$14-SQRT((1-Z797)*($F$14-$D$14)*($F$14-$E$14)))</x:f>
        <x:v>1.1738862639423284</x:v>
      </x:c>
      <x:c r="G797" s="258" t="n">
        <x:f>IF(AA797&lt;($E$15-$D$15)/($F$15-$D$15),$D$15+SQRT(AA797*($F$15-$D$15)*($E$15-$D$15)),$F$15-SQRT((1-AA797)*($F$15-$D$15)*($F$15-$E$15)))</x:f>
        <x:v>0.09541480447329063</x:v>
      </x:c>
      <x:c r="H797" s="258" t="n">
        <x:f>IF(AB797&lt;($E$16-$D$16)/($F$16-$D$16),$D$16+SQRT(AB797*($F$16-$D$16)*($E$16-$D$16)),$F$16-SQRT((1-AB797)*($F$16-$D$16)*($F$16-$E$16)))</x:f>
        <x:v>0.028377217365572006</x:v>
      </x:c>
      <x:c r="I797" s="262" t="n">
        <x:f>'Historical Inputs'!$N$9*(1+D797)^5</x:f>
        <x:v>705069.1613500766</x:v>
      </x:c>
      <x:c r="J797" s="262" t="n">
        <x:f>I797*(1+H797)*('Terminal Value'!$E$10+E797)*(1-'Assumptions'!$E$15)*(1-H797/'Terminal Value'!$E$12)</x:f>
        <x:v>203909.86811825432</x:v>
      </x:c>
      <x:c r="K797" s="264" t="n">
        <x:f>((SUM((('Historical Inputs'!$N$9*(1+(D797))^1)*(('Assumptions'!E37+(E797))*(1-'Assumptions'!E42-(0))+'Assumptions'!E47-'Assumptions'!E52*(F797)+'Assumptions'!E57-'Assumptions'!E62*(1)-'Assumptions'!E67-(0))+('Working Capital'!$E$6))*'DCF'!E12/(1+(G797))^'DCF'!E13,(('Historical Inputs'!$N$9*(1+(D797))^2)*(('Assumptions'!F37+(E797))*(1-'Assumptions'!F42-(0))+'Assumptions'!F47-'Assumptions'!F52*(F797)+'Assumptions'!F57-'Assumptions'!F62*(1)-'Assumptions'!F67-(0))+(('Historical Inputs'!$N$9*(1+(D797))^1)*('Assumptions'!E67+(0))))*'DCF'!F12/(1+(G797))^'DCF'!F13,(('Historical Inputs'!$N$9*(1+(D797))^3)*(('Assumptions'!G37+(E797))*(1-'Assumptions'!G42-(0))+'Assumptions'!G47-'Assumptions'!G52*(F797)+'Assumptions'!G57-'Assumptions'!G62*(1)-'Assumptions'!G67-(0))+(('Historical Inputs'!$N$9*(1+(D797))^2)*('Assumptions'!F67+(0))))*'DCF'!G12/(1+(G797))^'DCF'!G13,(('Historical Inputs'!$N$9*(1+(D797))^4)*(('Assumptions'!H37+(E797))*(1-'Assumptions'!H42-(0))+'Assumptions'!H47-'Assumptions'!H52*(F797)+'Assumptions'!H57-'Assumptions'!H62*(1)-'Assumptions'!H67-(0))+(('Historical Inputs'!$N$9*(1+(D797))^3)*('Assumptions'!G67+(0))))*'DCF'!H12/(1+(G797))^'DCF'!H13,(('Historical Inputs'!$N$9*(1+(D797))^5)*(('Assumptions'!I37+(E797))*(1-'Assumptions'!I42-(0))+'Assumptions'!I47-'Assumptions'!I52*(F797)+'Assumptions'!I57-'Assumptions'!I62*(1)-'Assumptions'!I67-(0))+(('Historical Inputs'!$N$9*(1+(D797))^4)*('Assumptions'!H67+(0))))*'DCF'!I12/(1+(G797))^'DCF'!I13)+('Historical Inputs'!$N$9*(1+(D797))^5)*(1+(H797))*('Terminal Value'!$E$10+(E797))*(1-'Assumptions'!$E$15-(0))*(1-(H797)/('Terminal Value'!$E$12))/((G797)-(H797))/(1+(G797))^'DCF'!$E$19)+'Equity Bridge'!$E$17)/'Equity Bridge'!$E$20</x:f>
        <x:v>315.5086490835636</x:v>
      </x:c>
      <x:c r="X797" s="255" t="n">
        <x:v>0.8130306527799397</x:v>
      </x:c>
      <x:c r="Y797" s="255" t="n">
        <x:v>0.6744696944330439</x:v>
      </x:c>
      <x:c r="Z797" s="255" t="n">
        <x:v>0.9902581827015753</x:v>
      </x:c>
      <x:c r="AA797" s="255" t="n">
        <x:v>0.3348039089857956</x:v>
      </x:c>
      <x:c r="AB797" s="255" t="n">
        <x:v>0.35088885395020586</x:v>
      </x:c>
    </x:row>
    <x:row r="798" ht="24" customHeight="1">
      <x:c r="C798" s="256" t="n">
        <x:f>767</x:f>
        <x:v>767</x:v>
      </x:c>
      <x:c r="D798" s="258" t="n">
        <x:f>IF(X798&lt;($E$12-$D$12)/($F$12-$D$12),$D$12+SQRT(X798*($F$12-$D$12)*($E$12-$D$12)),$F$12-SQRT((1-X798)*($F$12-$D$12)*($F$12-$E$12)))</x:f>
        <x:v>0.13471987407338257</x:v>
      </x:c>
      <x:c r="E798" s="258" t="n">
        <x:f>IF(Y798&lt;($E$13-$D$13)/($F$13-$D$13),$D$13+SQRT(Y798*($F$13-$D$13)*($E$13-$D$13)),$F$13-SQRT((1-Y798)*($F$13-$D$13)*($F$13-$E$13)))</x:f>
        <x:v>0.011096931736614767</x:v>
      </x:c>
      <x:c r="F798" s="260" t="n">
        <x:f>IF(Z798&lt;($E$14-$D$14)/($F$14-$D$14),$D$14+SQRT(Z798*($F$14-$D$14)*($E$14-$D$14)),$F$14-SQRT((1-Z798)*($F$14-$D$14)*($F$14-$E$14)))</x:f>
        <x:v>1.0659960914862927</x:v>
      </x:c>
      <x:c r="G798" s="258" t="n">
        <x:f>IF(AA798&lt;($E$15-$D$15)/($F$15-$D$15),$D$15+SQRT(AA798*($F$15-$D$15)*($E$15-$D$15)),$F$15-SQRT((1-AA798)*($F$15-$D$15)*($F$15-$E$15)))</x:f>
        <x:v>0.09920415330814072</x:v>
      </x:c>
      <x:c r="H798" s="258" t="n">
        <x:f>IF(AB798&lt;($E$16-$D$16)/($F$16-$D$16),$D$16+SQRT(AB798*($F$16-$D$16)*($E$16-$D$16)),$F$16-SQRT((1-AB798)*($F$16-$D$16)*($F$16-$E$16)))</x:f>
        <x:v>0.028466055168190275</x:v>
      </x:c>
      <x:c r="I798" s="262" t="n">
        <x:f>'Historical Inputs'!$N$9*(1+D798)^5</x:f>
        <x:v>624267.5103424615</x:v>
      </x:c>
      <x:c r="J798" s="262" t="n">
        <x:f>I798*(1+H798)*('Terminal Value'!$E$10+E798)*(1-'Assumptions'!$E$15)*(1-H798/'Terminal Value'!$E$12)</x:f>
        <x:v>181098.56007878072</x:v>
      </x:c>
      <x:c r="K798" s="264" t="n">
        <x:f>((SUM((('Historical Inputs'!$N$9*(1+(D798))^1)*(('Assumptions'!E37+(E798))*(1-'Assumptions'!E42-(0))+'Assumptions'!E47-'Assumptions'!E52*(F798)+'Assumptions'!E57-'Assumptions'!E62*(1)-'Assumptions'!E67-(0))+('Working Capital'!$E$6))*'DCF'!E12/(1+(G798))^'DCF'!E13,(('Historical Inputs'!$N$9*(1+(D798))^2)*(('Assumptions'!F37+(E798))*(1-'Assumptions'!F42-(0))+'Assumptions'!F47-'Assumptions'!F52*(F798)+'Assumptions'!F57-'Assumptions'!F62*(1)-'Assumptions'!F67-(0))+(('Historical Inputs'!$N$9*(1+(D798))^1)*('Assumptions'!E67+(0))))*'DCF'!F12/(1+(G798))^'DCF'!F13,(('Historical Inputs'!$N$9*(1+(D798))^3)*(('Assumptions'!G37+(E798))*(1-'Assumptions'!G42-(0))+'Assumptions'!G47-'Assumptions'!G52*(F798)+'Assumptions'!G57-'Assumptions'!G62*(1)-'Assumptions'!G67-(0))+(('Historical Inputs'!$N$9*(1+(D798))^2)*('Assumptions'!F67+(0))))*'DCF'!G12/(1+(G798))^'DCF'!G13,(('Historical Inputs'!$N$9*(1+(D798))^4)*(('Assumptions'!H37+(E798))*(1-'Assumptions'!H42-(0))+'Assumptions'!H47-'Assumptions'!H52*(F798)+'Assumptions'!H57-'Assumptions'!H62*(1)-'Assumptions'!H67-(0))+(('Historical Inputs'!$N$9*(1+(D798))^3)*('Assumptions'!G67+(0))))*'DCF'!H12/(1+(G798))^'DCF'!H13,(('Historical Inputs'!$N$9*(1+(D798))^5)*(('Assumptions'!I37+(E798))*(1-'Assumptions'!I42-(0))+'Assumptions'!I47-'Assumptions'!I52*(F798)+'Assumptions'!I57-'Assumptions'!I62*(1)-'Assumptions'!I67-(0))+(('Historical Inputs'!$N$9*(1+(D798))^4)*('Assumptions'!H67+(0))))*'DCF'!I12/(1+(G798))^'DCF'!I13)+('Historical Inputs'!$N$9*(1+(D798))^5)*(1+(H798))*('Terminal Value'!$E$10+(E798))*(1-'Assumptions'!$E$15-(0))*(1-(H798)/('Terminal Value'!$E$12))/((G798)-(H798))/(1+(G798))^'DCF'!$E$19)+'Equity Bridge'!$E$17)/'Equity Bridge'!$E$20</x:f>
        <x:v>271.949904667856</x:v>
      </x:c>
      <x:c r="X798" s="255" t="n">
        <x:v>0.3438336232967041</x:v>
      </x:c>
      <x:c r="Y798" s="255" t="n">
        <x:v>0.6973102559388777</x:v>
      </x:c>
      <x:c r="Z798" s="255" t="n">
        <x:v>0.7434707500435708</x:v>
      </x:c>
      <x:c r="AA798" s="255" t="n">
        <x:v>0.5684041868408092</x:v>
      </x:c>
      <x:c r="AB798" s="255" t="n">
        <x:v>0.35837045055420635</x:v>
      </x:c>
    </x:row>
    <x:row r="799" ht="24" customHeight="1">
      <x:c r="C799" s="256" t="n">
        <x:f>768</x:f>
        <x:v>768</x:v>
      </x:c>
      <x:c r="D799" s="258" t="n">
        <x:f>IF(X799&lt;($E$12-$D$12)/($F$12-$D$12),$D$12+SQRT(X799*($F$12-$D$12)*($E$12-$D$12)),$F$12-SQRT((1-X799)*($F$12-$D$12)*($F$12-$E$12)))</x:f>
        <x:v>0.1490752215180743</x:v>
      </x:c>
      <x:c r="E799" s="258" t="n">
        <x:f>IF(Y799&lt;($E$13-$D$13)/($F$13-$D$13),$D$13+SQRT(Y799*($F$13-$D$13)*($E$13-$D$13)),$F$13-SQRT((1-Y799)*($F$13-$D$13)*($F$13-$E$13)))</x:f>
        <x:v>0.020399386128310618</x:v>
      </x:c>
      <x:c r="F799" s="260" t="n">
        <x:f>IF(Z799&lt;($E$14-$D$14)/($F$14-$D$14),$D$14+SQRT(Z799*($F$14-$D$14)*($E$14-$D$14)),$F$14-SQRT((1-Z799)*($F$14-$D$14)*($F$14-$E$14)))</x:f>
        <x:v>1.0163307690356556</x:v>
      </x:c>
      <x:c r="G799" s="258" t="n">
        <x:f>IF(AA799&lt;($E$15-$D$15)/($F$15-$D$15),$D$15+SQRT(AA799*($F$15-$D$15)*($E$15-$D$15)),$F$15-SQRT((1-AA799)*($F$15-$D$15)*($F$15-$E$15)))</x:f>
        <x:v>0.0915709289606384</x:v>
      </x:c>
      <x:c r="H799" s="258" t="n">
        <x:f>IF(AB799&lt;($E$16-$D$16)/($F$16-$D$16),$D$16+SQRT(AB799*($F$16-$D$16)*($E$16-$D$16)),$F$16-SQRT((1-AB799)*($F$16-$D$16)*($F$16-$E$16)))</x:f>
        <x:v>0.022671617787451272</x:v>
      </x:c>
      <x:c r="I799" s="262" t="n">
        <x:f>'Historical Inputs'!$N$9*(1+D799)^5</x:f>
        <x:v>664767.4165114596</x:v>
      </x:c>
      <x:c r="J799" s="262" t="n">
        <x:f>I799*(1+H799)*('Terminal Value'!$E$10+E799)*(1-'Assumptions'!$E$15)*(1-H799/'Terminal Value'!$E$12)</x:f>
        <x:v>202724.5028435331</x:v>
      </x:c>
      <x:c r="K799" s="264" t="n">
        <x:f>((SUM((('Historical Inputs'!$N$9*(1+(D799))^1)*(('Assumptions'!E37+(E799))*(1-'Assumptions'!E42-(0))+'Assumptions'!E47-'Assumptions'!E52*(F799)+'Assumptions'!E57-'Assumptions'!E62*(1)-'Assumptions'!E67-(0))+('Working Capital'!$E$6))*'DCF'!E12/(1+(G799))^'DCF'!E13,(('Historical Inputs'!$N$9*(1+(D799))^2)*(('Assumptions'!F37+(E799))*(1-'Assumptions'!F42-(0))+'Assumptions'!F47-'Assumptions'!F52*(F799)+'Assumptions'!F57-'Assumptions'!F62*(1)-'Assumptions'!F67-(0))+(('Historical Inputs'!$N$9*(1+(D799))^1)*('Assumptions'!E67+(0))))*'DCF'!F12/(1+(G799))^'DCF'!F13,(('Historical Inputs'!$N$9*(1+(D799))^3)*(('Assumptions'!G37+(E799))*(1-'Assumptions'!G42-(0))+'Assumptions'!G47-'Assumptions'!G52*(F799)+'Assumptions'!G57-'Assumptions'!G62*(1)-'Assumptions'!G67-(0))+(('Historical Inputs'!$N$9*(1+(D799))^2)*('Assumptions'!F67+(0))))*'DCF'!G12/(1+(G799))^'DCF'!G13,(('Historical Inputs'!$N$9*(1+(D799))^4)*(('Assumptions'!H37+(E799))*(1-'Assumptions'!H42-(0))+'Assumptions'!H47-'Assumptions'!H52*(F799)+'Assumptions'!H57-'Assumptions'!H62*(1)-'Assumptions'!H67-(0))+(('Historical Inputs'!$N$9*(1+(D799))^3)*('Assumptions'!G67+(0))))*'DCF'!H12/(1+(G799))^'DCF'!H13,(('Historical Inputs'!$N$9*(1+(D799))^5)*(('Assumptions'!I37+(E799))*(1-'Assumptions'!I42-(0))+'Assumptions'!I47-'Assumptions'!I52*(F799)+'Assumptions'!I57-'Assumptions'!I62*(1)-'Assumptions'!I67-(0))+(('Historical Inputs'!$N$9*(1+(D799))^4)*('Assumptions'!H67+(0))))*'DCF'!I12/(1+(G799))^'DCF'!I13)+('Historical Inputs'!$N$9*(1+(D799))^5)*(1+(H799))*('Terminal Value'!$E$10+(E799))*(1-'Assumptions'!$E$15-(0))*(1-(H799)/('Terminal Value'!$E$12))/((G799)-(H799))/(1+(G799))^'DCF'!$E$19)+'Equity Bridge'!$E$17)/'Equity Bridge'!$E$20</x:f>
        <x:v>322.0340595517765</x:v>
      </x:c>
      <x:c r="X799" s="255" t="n">
        <x:v>0.6095937043091018</x:v>
      </x:c>
      <x:c r="Y799" s="255" t="n">
        <x:v>0.82476073168383</x:v>
      </x:c>
      <x:c r="Z799" s="255" t="n">
        <x:v>0.5180801942423758</x:v>
      </x:c>
      <x:c r="AA799" s="255" t="n">
        <x:v>0.15794296965086596</x:v>
      </x:c>
      <x:c r="AB799" s="255" t="n">
        <x:v>0.03568770801113019</x:v>
      </x:c>
    </x:row>
    <x:row r="800" ht="24" customHeight="1">
      <x:c r="C800" s="256" t="n">
        <x:f>769</x:f>
        <x:v>769</x:v>
      </x:c>
      <x:c r="D800" s="258" t="n">
        <x:f>IF(X800&lt;($E$12-$D$12)/($F$12-$D$12),$D$12+SQRT(X800*($F$12-$D$12)*($E$12-$D$12)),$F$12-SQRT((1-X800)*($F$12-$D$12)*($F$12-$E$12)))</x:f>
        <x:v>0.10454986380999581</x:v>
      </x:c>
      <x:c r="E800" s="258" t="n">
        <x:f>IF(Y800&lt;($E$13-$D$13)/($F$13-$D$13),$D$13+SQRT(Y800*($F$13-$D$13)*($E$13-$D$13)),$F$13-SQRT((1-Y800)*($F$13-$D$13)*($F$13-$E$13)))</x:f>
        <x:v>-0.027147406629597155</x:v>
      </x:c>
      <x:c r="F800" s="260" t="n">
        <x:f>IF(Z800&lt;($E$14-$D$14)/($F$14-$D$14),$D$14+SQRT(Z800*($F$14-$D$14)*($E$14-$D$14)),$F$14-SQRT((1-Z800)*($F$14-$D$14)*($F$14-$E$14)))</x:f>
        <x:v>1.0699449685650775</x:v>
      </x:c>
      <x:c r="G800" s="258" t="n">
        <x:f>IF(AA800&lt;($E$15-$D$15)/($F$15-$D$15),$D$15+SQRT(AA800*($F$15-$D$15)*($E$15-$D$15)),$F$15-SQRT((1-AA800)*($F$15-$D$15)*($F$15-$E$15)))</x:f>
        <x:v>0.10799837327241554</x:v>
      </x:c>
      <x:c r="H800" s="258" t="n">
        <x:f>IF(AB800&lt;($E$16-$D$16)/($F$16-$D$16),$D$16+SQRT(AB800*($F$16-$D$16)*($E$16-$D$16)),$F$16-SQRT((1-AB800)*($F$16-$D$16)*($F$16-$E$16)))</x:f>
        <x:v>0.027431380544474693</x:v>
      </x:c>
      <x:c r="I800" s="262" t="n">
        <x:f>'Historical Inputs'!$N$9*(1+D800)^5</x:f>
        <x:v>545574.4935461803</x:v>
      </x:c>
      <x:c r="J800" s="262" t="n">
        <x:f>I800*(1+H800)*('Terminal Value'!$E$10+E800)*(1-'Assumptions'!$E$15)*(1-H800/'Terminal Value'!$E$12)</x:f>
        <x:v>144266.62387881964</x:v>
      </x:c>
      <x:c r="K800" s="264" t="n">
        <x:f>((SUM((('Historical Inputs'!$N$9*(1+(D800))^1)*(('Assumptions'!E37+(E800))*(1-'Assumptions'!E42-(0))+'Assumptions'!E47-'Assumptions'!E52*(F800)+'Assumptions'!E57-'Assumptions'!E62*(1)-'Assumptions'!E67-(0))+('Working Capital'!$E$6))*'DCF'!E12/(1+(G800))^'DCF'!E13,(('Historical Inputs'!$N$9*(1+(D800))^2)*(('Assumptions'!F37+(E800))*(1-'Assumptions'!F42-(0))+'Assumptions'!F47-'Assumptions'!F52*(F800)+'Assumptions'!F57-'Assumptions'!F62*(1)-'Assumptions'!F67-(0))+(('Historical Inputs'!$N$9*(1+(D800))^1)*('Assumptions'!E67+(0))))*'DCF'!F12/(1+(G800))^'DCF'!F13,(('Historical Inputs'!$N$9*(1+(D800))^3)*(('Assumptions'!G37+(E800))*(1-'Assumptions'!G42-(0))+'Assumptions'!G47-'Assumptions'!G52*(F800)+'Assumptions'!G57-'Assumptions'!G62*(1)-'Assumptions'!G67-(0))+(('Historical Inputs'!$N$9*(1+(D800))^2)*('Assumptions'!F67+(0))))*'DCF'!G12/(1+(G800))^'DCF'!G13,(('Historical Inputs'!$N$9*(1+(D800))^4)*(('Assumptions'!H37+(E800))*(1-'Assumptions'!H42-(0))+'Assumptions'!H47-'Assumptions'!H52*(F800)+'Assumptions'!H57-'Assumptions'!H62*(1)-'Assumptions'!H67-(0))+(('Historical Inputs'!$N$9*(1+(D800))^3)*('Assumptions'!G67+(0))))*'DCF'!H12/(1+(G800))^'DCF'!H13,(('Historical Inputs'!$N$9*(1+(D800))^5)*(('Assumptions'!I37+(E800))*(1-'Assumptions'!I42-(0))+'Assumptions'!I47-'Assumptions'!I52*(F800)+'Assumptions'!I57-'Assumptions'!I62*(1)-'Assumptions'!I67-(0))+(('Historical Inputs'!$N$9*(1+(D800))^4)*('Assumptions'!H67+(0))))*'DCF'!I12/(1+(G800))^'DCF'!I13)+('Historical Inputs'!$N$9*(1+(D800))^5)*(1+(H800))*('Terminal Value'!$E$10+(E800))*(1-'Assumptions'!$E$15-(0))*(1-(H800)/('Terminal Value'!$E$12))/((G800)-(H800))/(1+(G800))^'DCF'!$E$19)+'Equity Bridge'!$E$17)/'Equity Bridge'!$E$20</x:f>
        <x:v>187.13524370346286</x:v>
      </x:c>
      <x:c r="X800" s="255" t="n">
        <x:v>0.02550565601484056</x:v>
      </x:c>
      <x:c r="Y800" s="255" t="n">
        <x:v>0.10444820475059602</x:v>
      </x:c>
      <x:c r="Z800" s="255" t="n">
        <x:v>0.758366982835162</x:v>
      </x:c>
      <x:c r="AA800" s="255" t="n">
        <x:v>0.94124417098798</x:v>
      </x:c>
      <x:c r="AB800" s="255" t="n">
        <x:v>0.2761270839839851</x:v>
      </x:c>
    </x:row>
    <x:row r="801" ht="24" customHeight="1">
      <x:c r="C801" s="256" t="n">
        <x:f>770</x:f>
        <x:v>770</x:v>
      </x:c>
      <x:c r="D801" s="258" t="n">
        <x:f>IF(X801&lt;($E$12-$D$12)/($F$12-$D$12),$D$12+SQRT(X801*($F$12-$D$12)*($E$12-$D$12)),$F$12-SQRT((1-X801)*($F$12-$D$12)*($F$12-$E$12)))</x:f>
        <x:v>0.17488455411880124</x:v>
      </x:c>
      <x:c r="E801" s="258" t="n">
        <x:f>IF(Y801&lt;($E$13-$D$13)/($F$13-$D$13),$D$13+SQRT(Y801*($F$13-$D$13)*($E$13-$D$13)),$F$13-SQRT((1-Y801)*($F$13-$D$13)*($F$13-$E$13)))</x:f>
        <x:v>0.024876959818739244</x:v>
      </x:c>
      <x:c r="F801" s="260" t="n">
        <x:f>IF(Z801&lt;($E$14-$D$14)/($F$14-$D$14),$D$14+SQRT(Z801*($F$14-$D$14)*($E$14-$D$14)),$F$14-SQRT((1-Z801)*($F$14-$D$14)*($F$14-$E$14)))</x:f>
        <x:v>0.9574879056671237</x:v>
      </x:c>
      <x:c r="G801" s="258" t="n">
        <x:f>IF(AA801&lt;($E$15-$D$15)/($F$15-$D$15),$D$15+SQRT(AA801*($F$15-$D$15)*($E$15-$D$15)),$F$15-SQRT((1-AA801)*($F$15-$D$15)*($F$15-$E$15)))</x:f>
        <x:v>0.1013529597028083</x:v>
      </x:c>
      <x:c r="H801" s="258" t="n">
        <x:f>IF(AB801&lt;($E$16-$D$16)/($F$16-$D$16),$D$16+SQRT(AB801*($F$16-$D$16)*($E$16-$D$16)),$F$16-SQRT((1-AB801)*($F$16-$D$16)*($F$16-$E$16)))</x:f>
        <x:v>0.032781996980280254</x:v>
      </x:c>
      <x:c r="I801" s="262" t="n">
        <x:f>'Historical Inputs'!$N$9*(1+D801)^5</x:f>
        <x:v>742853.8823146031</x:v>
      </x:c>
      <x:c r="J801" s="262" t="n">
        <x:f>I801*(1+H801)*('Terminal Value'!$E$10+E801)*(1-'Assumptions'!$E$15)*(1-H801/'Terminal Value'!$E$12)</x:f>
        <x:v>218031.00723779594</x:v>
      </x:c>
      <x:c r="K801" s="264" t="n">
        <x:f>((SUM((('Historical Inputs'!$N$9*(1+(D801))^1)*(('Assumptions'!E37+(E801))*(1-'Assumptions'!E42-(0))+'Assumptions'!E47-'Assumptions'!E52*(F801)+'Assumptions'!E57-'Assumptions'!E62*(1)-'Assumptions'!E67-(0))+('Working Capital'!$E$6))*'DCF'!E12/(1+(G801))^'DCF'!E13,(('Historical Inputs'!$N$9*(1+(D801))^2)*(('Assumptions'!F37+(E801))*(1-'Assumptions'!F42-(0))+'Assumptions'!F47-'Assumptions'!F52*(F801)+'Assumptions'!F57-'Assumptions'!F62*(1)-'Assumptions'!F67-(0))+(('Historical Inputs'!$N$9*(1+(D801))^1)*('Assumptions'!E67+(0))))*'DCF'!F12/(1+(G801))^'DCF'!F13,(('Historical Inputs'!$N$9*(1+(D801))^3)*(('Assumptions'!G37+(E801))*(1-'Assumptions'!G42-(0))+'Assumptions'!G47-'Assumptions'!G52*(F801)+'Assumptions'!G57-'Assumptions'!G62*(1)-'Assumptions'!G67-(0))+(('Historical Inputs'!$N$9*(1+(D801))^2)*('Assumptions'!F67+(0))))*'DCF'!G12/(1+(G801))^'DCF'!G13,(('Historical Inputs'!$N$9*(1+(D801))^4)*(('Assumptions'!H37+(E801))*(1-'Assumptions'!H42-(0))+'Assumptions'!H47-'Assumptions'!H52*(F801)+'Assumptions'!H57-'Assumptions'!H62*(1)-'Assumptions'!H67-(0))+(('Historical Inputs'!$N$9*(1+(D801))^3)*('Assumptions'!G67+(0))))*'DCF'!H12/(1+(G801))^'DCF'!H13,(('Historical Inputs'!$N$9*(1+(D801))^5)*(('Assumptions'!I37+(E801))*(1-'Assumptions'!I42-(0))+'Assumptions'!I47-'Assumptions'!I52*(F801)+'Assumptions'!I57-'Assumptions'!I62*(1)-'Assumptions'!I67-(0))+(('Historical Inputs'!$N$9*(1+(D801))^4)*('Assumptions'!H67+(0))))*'DCF'!I12/(1+(G801))^'DCF'!I13)+('Historical Inputs'!$N$9*(1+(D801))^5)*(1+(H801))*('Terminal Value'!$E$10+(E801))*(1-'Assumptions'!$E$15-(0))*(1-(H801)/('Terminal Value'!$E$12))/((G801)-(H801))/(1+(G801))^'DCF'!$E$19)+'Equity Bridge'!$E$17)/'Equity Bridge'!$E$20</x:f>
        <x:v>339.9479970076212</x:v>
      </x:c>
      <x:c r="X801" s="255" t="n">
        <x:v>0.9324904860691662</x:v>
      </x:c>
      <x:c r="Y801" s="255" t="n">
        <x:v>0.8737665704101515</x:v>
      </x:c>
      <x:c r="Z801" s="255" t="n">
        <x:v>0.22006952123246626</x:v>
      </x:c>
      <x:c r="AA801" s="255" t="n">
        <x:v>0.691237722665747</x:v>
      </x:c>
      <x:c r="AB801" s="255" t="n">
        <x:v>0.7395021620365829</x:v>
      </x:c>
    </x:row>
    <x:row r="802" ht="24" customHeight="1">
      <x:c r="C802" s="256" t="n">
        <x:f>771</x:f>
        <x:v>771</x:v>
      </x:c>
      <x:c r="D802" s="258" t="n">
        <x:f>IF(X802&lt;($E$12-$D$12)/($F$12-$D$12),$D$12+SQRT(X802*($F$12-$D$12)*($E$12-$D$12)),$F$12-SQRT((1-X802)*($F$12-$D$12)*($F$12-$E$12)))</x:f>
        <x:v>0.1372967060745261</x:v>
      </x:c>
      <x:c r="E802" s="258" t="n">
        <x:f>IF(Y802&lt;($E$13-$D$13)/($F$13-$D$13),$D$13+SQRT(Y802*($F$13-$D$13)*($E$13-$D$13)),$F$13-SQRT((1-Y802)*($F$13-$D$13)*($F$13-$E$13)))</x:f>
        <x:v>-0.022225761605217338</x:v>
      </x:c>
      <x:c r="F802" s="260" t="n">
        <x:f>IF(Z802&lt;($E$14-$D$14)/($F$14-$D$14),$D$14+SQRT(Z802*($F$14-$D$14)*($E$14-$D$14)),$F$14-SQRT((1-Z802)*($F$14-$D$14)*($F$14-$E$14)))</x:f>
        <x:v>1.0036467016050803</x:v>
      </x:c>
      <x:c r="G802" s="258" t="n">
        <x:f>IF(AA802&lt;($E$15-$D$15)/($F$15-$D$15),$D$15+SQRT(AA802*($F$15-$D$15)*($E$15-$D$15)),$F$15-SQRT((1-AA802)*($F$15-$D$15)*($F$15-$E$15)))</x:f>
        <x:v>0.08656126088361837</x:v>
      </x:c>
      <x:c r="H802" s="258" t="n">
        <x:f>IF(AB802&lt;($E$16-$D$16)/($F$16-$D$16),$D$16+SQRT(AB802*($F$16-$D$16)*($E$16-$D$16)),$F$16-SQRT((1-AB802)*($F$16-$D$16)*($F$16-$E$16)))</x:f>
        <x:v>0.0225979857235547</x:v>
      </x:c>
      <x:c r="I802" s="262" t="n">
        <x:f>'Historical Inputs'!$N$9*(1+D802)^5</x:f>
        <x:v>631388.013043585</x:v>
      </x:c>
      <x:c r="J802" s="262" t="n">
        <x:f>I802*(1+H802)*('Terminal Value'!$E$10+E802)*(1-'Assumptions'!$E$15)*(1-H802/'Terminal Value'!$E$12)</x:f>
        <x:v>173082.094528394</x:v>
      </x:c>
      <x:c r="K802" s="264" t="n">
        <x:f>((SUM((('Historical Inputs'!$N$9*(1+(D802))^1)*(('Assumptions'!E37+(E802))*(1-'Assumptions'!E42-(0))+'Assumptions'!E47-'Assumptions'!E52*(F802)+'Assumptions'!E57-'Assumptions'!E62*(1)-'Assumptions'!E67-(0))+('Working Capital'!$E$6))*'DCF'!E12/(1+(G802))^'DCF'!E13,(('Historical Inputs'!$N$9*(1+(D802))^2)*(('Assumptions'!F37+(E802))*(1-'Assumptions'!F42-(0))+'Assumptions'!F47-'Assumptions'!F52*(F802)+'Assumptions'!F57-'Assumptions'!F62*(1)-'Assumptions'!F67-(0))+(('Historical Inputs'!$N$9*(1+(D802))^1)*('Assumptions'!E67+(0))))*'DCF'!F12/(1+(G802))^'DCF'!F13,(('Historical Inputs'!$N$9*(1+(D802))^3)*(('Assumptions'!G37+(E802))*(1-'Assumptions'!G42-(0))+'Assumptions'!G47-'Assumptions'!G52*(F802)+'Assumptions'!G57-'Assumptions'!G62*(1)-'Assumptions'!G67-(0))+(('Historical Inputs'!$N$9*(1+(D802))^2)*('Assumptions'!F67+(0))))*'DCF'!G12/(1+(G802))^'DCF'!G13,(('Historical Inputs'!$N$9*(1+(D802))^4)*(('Assumptions'!H37+(E802))*(1-'Assumptions'!H42-(0))+'Assumptions'!H47-'Assumptions'!H52*(F802)+'Assumptions'!H57-'Assumptions'!H62*(1)-'Assumptions'!H67-(0))+(('Historical Inputs'!$N$9*(1+(D802))^3)*('Assumptions'!G67+(0))))*'DCF'!H12/(1+(G802))^'DCF'!H13,(('Historical Inputs'!$N$9*(1+(D802))^5)*(('Assumptions'!I37+(E802))*(1-'Assumptions'!I42-(0))+'Assumptions'!I47-'Assumptions'!I52*(F802)+'Assumptions'!I57-'Assumptions'!I62*(1)-'Assumptions'!I67-(0))+(('Historical Inputs'!$N$9*(1+(D802))^4)*('Assumptions'!H67+(0))))*'DCF'!I12/(1+(G802))^'DCF'!I13)+('Historical Inputs'!$N$9*(1+(D802))^5)*(1+(H802))*('Terminal Value'!$E$10+(E802))*(1-'Assumptions'!$E$15-(0))*(1-(H802)/('Terminal Value'!$E$12))/((G802)-(H802))/(1+(G802))^'DCF'!$E$19)+'Equity Bridge'!$E$17)/'Equity Bridge'!$E$20</x:f>
        <x:v>296.85930720322114</x:v>
      </x:c>
      <x:c r="X802" s="255" t="n">
        <x:v>0.38789875774096494</x:v>
      </x:c>
      <x:c r="Y802" s="255" t="n">
        <x:v>0.15428166368204388</x:v>
      </x:c>
      <x:c r="Z802" s="255" t="n">
        <x:v>0.44921974584908053</x:v>
      </x:c>
      <x:c r="AA802" s="255" t="n">
        <x:v>0.026005553973926676</x:v>
      </x:c>
      <x:c r="AB802" s="255" t="n">
        <x:v>0.03374764909897021</x:v>
      </x:c>
    </x:row>
    <x:row r="803" ht="24" customHeight="1">
      <x:c r="C803" s="256" t="n">
        <x:f>772</x:f>
        <x:v>772</x:v>
      </x:c>
      <x:c r="D803" s="258" t="n">
        <x:f>IF(X803&lt;($E$12-$D$12)/($F$12-$D$12),$D$12+SQRT(X803*($F$12-$D$12)*($E$12-$D$12)),$F$12-SQRT((1-X803)*($F$12-$D$12)*($F$12-$E$12)))</x:f>
        <x:v>0.15027398469427256</x:v>
      </x:c>
      <x:c r="E803" s="258" t="n">
        <x:f>IF(Y803&lt;($E$13-$D$13)/($F$13-$D$13),$D$13+SQRT(Y803*($F$13-$D$13)*($E$13-$D$13)),$F$13-SQRT((1-Y803)*($F$13-$D$13)*($F$13-$E$13)))</x:f>
        <x:v>-0.015901229659055202</x:v>
      </x:c>
      <x:c r="F803" s="260" t="n">
        <x:f>IF(Z803&lt;($E$14-$D$14)/($F$14-$D$14),$D$14+SQRT(Z803*($F$14-$D$14)*($E$14-$D$14)),$F$14-SQRT((1-Z803)*($F$14-$D$14)*($F$14-$E$14)))</x:f>
        <x:v>1.032279872069277</x:v>
      </x:c>
      <x:c r="G803" s="258" t="n">
        <x:f>IF(AA803&lt;($E$15-$D$15)/($F$15-$D$15),$D$15+SQRT(AA803*($F$15-$D$15)*($E$15-$D$15)),$F$15-SQRT((1-AA803)*($F$15-$D$15)*($F$15-$E$15)))</x:f>
        <x:v>0.10363812403655336</x:v>
      </x:c>
      <x:c r="H803" s="258" t="n">
        <x:f>IF(AB803&lt;($E$16-$D$16)/($F$16-$D$16),$D$16+SQRT(AB803*($F$16-$D$16)*($E$16-$D$16)),$F$16-SQRT((1-AB803)*($F$16-$D$16)*($F$16-$E$16)))</x:f>
        <x:v>0.025774305842428576</x:v>
      </x:c>
      <x:c r="I803" s="262" t="n">
        <x:f>'Historical Inputs'!$N$9*(1+D803)^5</x:f>
        <x:v>668242.2244966475</x:v>
      </x:c>
      <x:c r="J803" s="262" t="n">
        <x:f>I803*(1+H803)*('Terminal Value'!$E$10+E803)*(1-'Assumptions'!$E$15)*(1-H803/'Terminal Value'!$E$12)</x:f>
        <x:v>183485.11659735392</x:v>
      </x:c>
      <x:c r="K803" s="264" t="n">
        <x:f>((SUM((('Historical Inputs'!$N$9*(1+(D803))^1)*(('Assumptions'!E37+(E803))*(1-'Assumptions'!E42-(0))+'Assumptions'!E47-'Assumptions'!E52*(F803)+'Assumptions'!E57-'Assumptions'!E62*(1)-'Assumptions'!E67-(0))+('Working Capital'!$E$6))*'DCF'!E12/(1+(G803))^'DCF'!E13,(('Historical Inputs'!$N$9*(1+(D803))^2)*(('Assumptions'!F37+(E803))*(1-'Assumptions'!F42-(0))+'Assumptions'!F47-'Assumptions'!F52*(F803)+'Assumptions'!F57-'Assumptions'!F62*(1)-'Assumptions'!F67-(0))+(('Historical Inputs'!$N$9*(1+(D803))^1)*('Assumptions'!E67+(0))))*'DCF'!F12/(1+(G803))^'DCF'!F13,(('Historical Inputs'!$N$9*(1+(D803))^3)*(('Assumptions'!G37+(E803))*(1-'Assumptions'!G42-(0))+'Assumptions'!G47-'Assumptions'!G52*(F803)+'Assumptions'!G57-'Assumptions'!G62*(1)-'Assumptions'!G67-(0))+(('Historical Inputs'!$N$9*(1+(D803))^2)*('Assumptions'!F67+(0))))*'DCF'!G12/(1+(G803))^'DCF'!G13,(('Historical Inputs'!$N$9*(1+(D803))^4)*(('Assumptions'!H37+(E803))*(1-'Assumptions'!H42-(0))+'Assumptions'!H47-'Assumptions'!H52*(F803)+'Assumptions'!H57-'Assumptions'!H62*(1)-'Assumptions'!H67-(0))+(('Historical Inputs'!$N$9*(1+(D803))^3)*('Assumptions'!G67+(0))))*'DCF'!H12/(1+(G803))^'DCF'!H13,(('Historical Inputs'!$N$9*(1+(D803))^5)*(('Assumptions'!I37+(E803))*(1-'Assumptions'!I42-(0))+'Assumptions'!I47-'Assumptions'!I52*(F803)+'Assumptions'!I57-'Assumptions'!I62*(1)-'Assumptions'!I67-(0))+(('Historical Inputs'!$N$9*(1+(D803))^4)*('Assumptions'!H67+(0))))*'DCF'!I12/(1+(G803))^'DCF'!I13)+('Historical Inputs'!$N$9*(1+(D803))^5)*(1+(H803))*('Terminal Value'!$E$10+(E803))*(1-'Assumptions'!$E$15-(0))*(1-(H803)/('Terminal Value'!$E$12))/((G803)-(H803))/(1+(G803))^'DCF'!$E$19)+'Equity Bridge'!$E$17)/'Equity Bridge'!$E$20</x:f>
        <x:v>249.27387220456305</x:v>
      </x:c>
      <x:c r="X803" s="255" t="n">
        <x:v>0.6304917037855213</x:v>
      </x:c>
      <x:c r="Y803" s="255" t="n">
        <x:v>0.23254522775289932</x:v>
      </x:c>
      <x:c r="Z803" s="255" t="n">
        <x:v>0.5981422669557412</x:v>
      </x:c>
      <x:c r="AA803" s="255" t="n">
        <x:v>0.7993496336085466</x:v>
      </x:c>
      <x:c r="AB803" s="255" t="n">
        <x:v>0.166713039809524</x:v>
      </x:c>
    </x:row>
    <x:row r="804" ht="24" customHeight="1">
      <x:c r="C804" s="256" t="n">
        <x:f>773</x:f>
        <x:v>773</x:v>
      </x:c>
      <x:c r="D804" s="258" t="n">
        <x:f>IF(X804&lt;($E$12-$D$12)/($F$12-$D$12),$D$12+SQRT(X804*($F$12-$D$12)*($E$12-$D$12)),$F$12-SQRT((1-X804)*($F$12-$D$12)*($F$12-$E$12)))</x:f>
        <x:v>0.12720770521522162</x:v>
      </x:c>
      <x:c r="E804" s="258" t="n">
        <x:f>IF(Y804&lt;($E$13-$D$13)/($F$13-$D$13),$D$13+SQRT(Y804*($F$13-$D$13)*($E$13-$D$13)),$F$13-SQRT((1-Y804)*($F$13-$D$13)*($F$13-$E$13)))</x:f>
        <x:v>0.021381164684838614</x:v>
      </x:c>
      <x:c r="F804" s="260" t="n">
        <x:f>IF(Z804&lt;($E$14-$D$14)/($F$14-$D$14),$D$14+SQRT(Z804*($F$14-$D$14)*($E$14-$D$14)),$F$14-SQRT((1-Z804)*($F$14-$D$14)*($F$14-$E$14)))</x:f>
        <x:v>1.0035830013270424</x:v>
      </x:c>
      <x:c r="G804" s="258" t="n">
        <x:f>IF(AA804&lt;($E$15-$D$15)/($F$15-$D$15),$D$15+SQRT(AA804*($F$15-$D$15)*($E$15-$D$15)),$F$15-SQRT((1-AA804)*($F$15-$D$15)*($F$15-$E$15)))</x:f>
        <x:v>0.08988153826647989</x:v>
      </x:c>
      <x:c r="H804" s="258" t="n">
        <x:f>IF(AB804&lt;($E$16-$D$16)/($F$16-$D$16),$D$16+SQRT(AB804*($F$16-$D$16)*($E$16-$D$16)),$F$16-SQRT((1-AB804)*($F$16-$D$16)*($F$16-$E$16)))</x:f>
        <x:v>0.029402592235539322</x:v>
      </x:c>
      <x:c r="I804" s="262" t="n">
        <x:f>'Historical Inputs'!$N$9*(1+D804)^5</x:f>
        <x:v>603875.1661377056</x:v>
      </x:c>
      <x:c r="J804" s="262" t="n">
        <x:f>I804*(1+H804)*('Terminal Value'!$E$10+E804)*(1-'Assumptions'!$E$15)*(1-H804/'Terminal Value'!$E$12)</x:f>
        <x:v>178747.49564217028</x:v>
      </x:c>
      <x:c r="K804" s="264" t="n">
        <x:f>((SUM((('Historical Inputs'!$N$9*(1+(D804))^1)*(('Assumptions'!E37+(E804))*(1-'Assumptions'!E42-(0))+'Assumptions'!E47-'Assumptions'!E52*(F804)+'Assumptions'!E57-'Assumptions'!E62*(1)-'Assumptions'!E67-(0))+('Working Capital'!$E$6))*'DCF'!E12/(1+(G804))^'DCF'!E13,(('Historical Inputs'!$N$9*(1+(D804))^2)*(('Assumptions'!F37+(E804))*(1-'Assumptions'!F42-(0))+'Assumptions'!F47-'Assumptions'!F52*(F804)+'Assumptions'!F57-'Assumptions'!F62*(1)-'Assumptions'!F67-(0))+(('Historical Inputs'!$N$9*(1+(D804))^1)*('Assumptions'!E67+(0))))*'DCF'!F12/(1+(G804))^'DCF'!F13,(('Historical Inputs'!$N$9*(1+(D804))^3)*(('Assumptions'!G37+(E804))*(1-'Assumptions'!G42-(0))+'Assumptions'!G47-'Assumptions'!G52*(F804)+'Assumptions'!G57-'Assumptions'!G62*(1)-'Assumptions'!G67-(0))+(('Historical Inputs'!$N$9*(1+(D804))^2)*('Assumptions'!F67+(0))))*'DCF'!G12/(1+(G804))^'DCF'!G13,(('Historical Inputs'!$N$9*(1+(D804))^4)*(('Assumptions'!H37+(E804))*(1-'Assumptions'!H42-(0))+'Assumptions'!H47-'Assumptions'!H52*(F804)+'Assumptions'!H57-'Assumptions'!H62*(1)-'Assumptions'!H67-(0))+(('Historical Inputs'!$N$9*(1+(D804))^3)*('Assumptions'!G67+(0))))*'DCF'!H12/(1+(G804))^'DCF'!H13,(('Historical Inputs'!$N$9*(1+(D804))^5)*(('Assumptions'!I37+(E804))*(1-'Assumptions'!I42-(0))+'Assumptions'!I47-'Assumptions'!I52*(F804)+'Assumptions'!I57-'Assumptions'!I62*(1)-'Assumptions'!I67-(0))+(('Historical Inputs'!$N$9*(1+(D804))^4)*('Assumptions'!H67+(0))))*'DCF'!I12/(1+(G804))^'DCF'!I13)+('Historical Inputs'!$N$9*(1+(D804))^5)*(1+(H804))*('Terminal Value'!$E$10+(E804))*(1-'Assumptions'!$E$15-(0))*(1-(H804)/('Terminal Value'!$E$12))/((G804)-(H804))/(1+(G804))^'DCF'!$E$19)+'Equity Bridge'!$E$17)/'Equity Bridge'!$E$20</x:f>
        <x:v>322.2583994816866</x:v>
      </x:c>
      <x:c r="X804" s="255" t="n">
        <x:v>0.23052978051825468</x:v>
      </x:c>
      <x:c r="Y804" s="255" t="n">
        <x:v>0.8361924530407343</x:v>
      </x:c>
      <x:c r="Z804" s="255" t="n">
        <x:v>0.44886232331867715</x:v>
      </x:c>
      <x:c r="AA804" s="255" t="n">
        <x:v>0.10098524256803953</x:v>
      </x:c>
      <x:c r="AB804" s="255" t="n">
        <x:v>0.4420437037391217</x:v>
      </x:c>
    </x:row>
    <x:row r="805" ht="24" customHeight="1">
      <x:c r="C805" s="256" t="n">
        <x:f>774</x:f>
        <x:v>774</x:v>
      </x:c>
      <x:c r="D805" s="258" t="n">
        <x:f>IF(X805&lt;($E$12-$D$12)/($F$12-$D$12),$D$12+SQRT(X805*($F$12-$D$12)*($E$12-$D$12)),$F$12-SQRT((1-X805)*($F$12-$D$12)*($F$12-$E$12)))</x:f>
        <x:v>0.12814384886214225</x:v>
      </x:c>
      <x:c r="E805" s="258" t="n">
        <x:f>IF(Y805&lt;($E$13-$D$13)/($F$13-$D$13),$D$13+SQRT(Y805*($F$13-$D$13)*($E$13-$D$13)),$F$13-SQRT((1-Y805)*($F$13-$D$13)*($F$13-$E$13)))</x:f>
        <x:v>-0.0030505408315140287</x:v>
      </x:c>
      <x:c r="F805" s="260" t="n">
        <x:f>IF(Z805&lt;($E$14-$D$14)/($F$14-$D$14),$D$14+SQRT(Z805*($F$14-$D$14)*($E$14-$D$14)),$F$14-SQRT((1-Z805)*($F$14-$D$14)*($F$14-$E$14)))</x:f>
        <x:v>1.1032002812422583</x:v>
      </x:c>
      <x:c r="G805" s="258" t="n">
        <x:f>IF(AA805&lt;($E$15-$D$15)/($F$15-$D$15),$D$15+SQRT(AA805*($F$15-$D$15)*($E$15-$D$15)),$F$15-SQRT((1-AA805)*($F$15-$D$15)*($F$15-$E$15)))</x:f>
        <x:v>0.08883312659139736</x:v>
      </x:c>
      <x:c r="H805" s="258" t="n">
        <x:f>IF(AB805&lt;($E$16-$D$16)/($F$16-$D$16),$D$16+SQRT(AB805*($F$16-$D$16)*($E$16-$D$16)),$F$16-SQRT((1-AB805)*($F$16-$D$16)*($F$16-$E$16)))</x:f>
        <x:v>0.02597567581876628</x:v>
      </x:c>
      <x:c r="I805" s="262" t="n">
        <x:f>'Historical Inputs'!$N$9*(1+D805)^5</x:f>
        <x:v>606386.9200135453</x:v>
      </x:c>
      <x:c r="J805" s="262" t="n">
        <x:f>I805*(1+H805)*('Terminal Value'!$E$10+E805)*(1-'Assumptions'!$E$15)*(1-H805/'Terminal Value'!$E$12)</x:f>
        <x:v>171906.40218133412</x:v>
      </x:c>
      <x:c r="K805" s="264" t="n">
        <x:f>((SUM((('Historical Inputs'!$N$9*(1+(D805))^1)*(('Assumptions'!E37+(E805))*(1-'Assumptions'!E42-(0))+'Assumptions'!E47-'Assumptions'!E52*(F805)+'Assumptions'!E57-'Assumptions'!E62*(1)-'Assumptions'!E67-(0))+('Working Capital'!$E$6))*'DCF'!E12/(1+(G805))^'DCF'!E13,(('Historical Inputs'!$N$9*(1+(D805))^2)*(('Assumptions'!F37+(E805))*(1-'Assumptions'!F42-(0))+'Assumptions'!F47-'Assumptions'!F52*(F805)+'Assumptions'!F57-'Assumptions'!F62*(1)-'Assumptions'!F67-(0))+(('Historical Inputs'!$N$9*(1+(D805))^1)*('Assumptions'!E67+(0))))*'DCF'!F12/(1+(G805))^'DCF'!F13,(('Historical Inputs'!$N$9*(1+(D805))^3)*(('Assumptions'!G37+(E805))*(1-'Assumptions'!G42-(0))+'Assumptions'!G47-'Assumptions'!G52*(F805)+'Assumptions'!G57-'Assumptions'!G62*(1)-'Assumptions'!G67-(0))+(('Historical Inputs'!$N$9*(1+(D805))^2)*('Assumptions'!F67+(0))))*'DCF'!G12/(1+(G805))^'DCF'!G13,(('Historical Inputs'!$N$9*(1+(D805))^4)*(('Assumptions'!H37+(E805))*(1-'Assumptions'!H42-(0))+'Assumptions'!H47-'Assumptions'!H52*(F805)+'Assumptions'!H57-'Assumptions'!H62*(1)-'Assumptions'!H67-(0))+(('Historical Inputs'!$N$9*(1+(D805))^3)*('Assumptions'!G67+(0))))*'DCF'!H12/(1+(G805))^'DCF'!H13,(('Historical Inputs'!$N$9*(1+(D805))^5)*(('Assumptions'!I37+(E805))*(1-'Assumptions'!I42-(0))+'Assumptions'!I47-'Assumptions'!I52*(F805)+'Assumptions'!I57-'Assumptions'!I62*(1)-'Assumptions'!I67-(0))+(('Historical Inputs'!$N$9*(1+(D805))^4)*('Assumptions'!H67+(0))))*'DCF'!I12/(1+(G805))^'DCF'!I13)+('Historical Inputs'!$N$9*(1+(D805))^5)*(1+(H805))*('Terminal Value'!$E$10+(E805))*(1-'Assumptions'!$E$15-(0))*(1-(H805)/('Terminal Value'!$E$12))/((G805)-(H805))/(1+(G805))^'DCF'!$E$19)+'Equity Bridge'!$E$17)/'Equity Bridge'!$E$20</x:f>
        <x:v>292.8748134681365</x:v>
      </x:c>
      <x:c r="X805" s="255" t="n">
        <x:v>0.24341814012914043</x:v>
      </x:c>
      <x:c r="Y805" s="255" t="n">
        <x:v>0.44085034324266625</x:v>
      </x:c>
      <x:c r="Z805" s="255" t="n">
        <x:v>0.8661402064060301</x:v>
      </x:c>
      <x:c r="AA805" s="255" t="n">
        <x:v>0.07201663484650622</x:v>
      </x:c>
      <x:c r="AB805" s="255" t="n">
        <x:v>0.17854350745494052</x:v>
      </x:c>
    </x:row>
    <x:row r="806" ht="24" customHeight="1">
      <x:c r="C806" s="256" t="n">
        <x:f>775</x:f>
        <x:v>775</x:v>
      </x:c>
      <x:c r="D806" s="258" t="n">
        <x:f>IF(X806&lt;($E$12-$D$12)/($F$12-$D$12),$D$12+SQRT(X806*($F$12-$D$12)*($E$12-$D$12)),$F$12-SQRT((1-X806)*($F$12-$D$12)*($F$12-$E$12)))</x:f>
        <x:v>0.12693829283053112</x:v>
      </x:c>
      <x:c r="E806" s="258" t="n">
        <x:f>IF(Y806&lt;($E$13-$D$13)/($F$13-$D$13),$D$13+SQRT(Y806*($F$13-$D$13)*($E$13-$D$13)),$F$13-SQRT((1-Y806)*($F$13-$D$13)*($F$13-$E$13)))</x:f>
        <x:v>-0.003951751552145118</x:v>
      </x:c>
      <x:c r="F806" s="260" t="n">
        <x:f>IF(Z806&lt;($E$14-$D$14)/($F$14-$D$14),$D$14+SQRT(Z806*($F$14-$D$14)*($E$14-$D$14)),$F$14-SQRT((1-Z806)*($F$14-$D$14)*($F$14-$E$14)))</x:f>
        <x:v>1.0098623459409246</x:v>
      </x:c>
      <x:c r="G806" s="258" t="n">
        <x:f>IF(AA806&lt;($E$15-$D$15)/($F$15-$D$15),$D$15+SQRT(AA806*($F$15-$D$15)*($E$15-$D$15)),$F$15-SQRT((1-AA806)*($F$15-$D$15)*($F$15-$E$15)))</x:f>
        <x:v>0.08887830808396592</x:v>
      </x:c>
      <x:c r="H806" s="258" t="n">
        <x:f>IF(AB806&lt;($E$16-$D$16)/($F$16-$D$16),$D$16+SQRT(AB806*($F$16-$D$16)*($E$16-$D$16)),$F$16-SQRT((1-AB806)*($F$16-$D$16)*($F$16-$E$16)))</x:f>
        <x:v>0.027641054975983285</x:v>
      </x:c>
      <x:c r="I806" s="262" t="n">
        <x:f>'Historical Inputs'!$N$9*(1+D806)^5</x:f>
        <x:v>603153.8540979077</x:v>
      </x:c>
      <x:c r="J806" s="262" t="n">
        <x:f>I806*(1+H806)*('Terminal Value'!$E$10+E806)*(1-'Assumptions'!$E$15)*(1-H806/'Terminal Value'!$E$12)</x:f>
        <x:v>169243.29383139787</x:v>
      </x:c>
      <x:c r="K806" s="264" t="n">
        <x:f>((SUM((('Historical Inputs'!$N$9*(1+(D806))^1)*(('Assumptions'!E37+(E806))*(1-'Assumptions'!E42-(0))+'Assumptions'!E47-'Assumptions'!E52*(F806)+'Assumptions'!E57-'Assumptions'!E62*(1)-'Assumptions'!E67-(0))+('Working Capital'!$E$6))*'DCF'!E12/(1+(G806))^'DCF'!E13,(('Historical Inputs'!$N$9*(1+(D806))^2)*(('Assumptions'!F37+(E806))*(1-'Assumptions'!F42-(0))+'Assumptions'!F47-'Assumptions'!F52*(F806)+'Assumptions'!F57-'Assumptions'!F62*(1)-'Assumptions'!F67-(0))+(('Historical Inputs'!$N$9*(1+(D806))^1)*('Assumptions'!E67+(0))))*'DCF'!F12/(1+(G806))^'DCF'!F13,(('Historical Inputs'!$N$9*(1+(D806))^3)*(('Assumptions'!G37+(E806))*(1-'Assumptions'!G42-(0))+'Assumptions'!G47-'Assumptions'!G52*(F806)+'Assumptions'!G57-'Assumptions'!G62*(1)-'Assumptions'!G67-(0))+(('Historical Inputs'!$N$9*(1+(D806))^2)*('Assumptions'!F67+(0))))*'DCF'!G12/(1+(G806))^'DCF'!G13,(('Historical Inputs'!$N$9*(1+(D806))^4)*(('Assumptions'!H37+(E806))*(1-'Assumptions'!H42-(0))+'Assumptions'!H47-'Assumptions'!H52*(F806)+'Assumptions'!H57-'Assumptions'!H62*(1)-'Assumptions'!H67-(0))+(('Historical Inputs'!$N$9*(1+(D806))^3)*('Assumptions'!G67+(0))))*'DCF'!H12/(1+(G806))^'DCF'!H13,(('Historical Inputs'!$N$9*(1+(D806))^5)*(('Assumptions'!I37+(E806))*(1-'Assumptions'!I42-(0))+'Assumptions'!I47-'Assumptions'!I52*(F806)+'Assumptions'!I57-'Assumptions'!I62*(1)-'Assumptions'!I67-(0))+(('Historical Inputs'!$N$9*(1+(D806))^4)*('Assumptions'!H67+(0))))*'DCF'!I12/(1+(G806))^'DCF'!I13)+('Historical Inputs'!$N$9*(1+(D806))^5)*(1+(H806))*('Terminal Value'!$E$10+(E806))*(1-'Assumptions'!$E$15-(0))*(1-(H806)/('Terminal Value'!$E$12))/((G806)-(H806))/(1+(G806))^'DCF'!$E$19)+'Equity Bridge'!$E$17)/'Equity Bridge'!$E$20</x:f>
        <x:v>300.8367215500814</x:v>
      </x:c>
      <x:c r="X806" s="255" t="n">
        <x:v>0.226885603295361</x:v>
      </x:c>
      <x:c r="Y806" s="255" t="n">
        <x:v>0.42408823702307397</x:v>
      </x:c>
      <x:c r="Z806" s="255" t="n">
        <x:v>0.4835381786987343</x:v>
      </x:c>
      <x:c r="AA806" s="255" t="n">
        <x:v>0.07316431464782491</x:v>
      </x:c>
      <x:c r="AB806" s="255" t="n">
        <x:v>0.2919286057299949</x:v>
      </x:c>
    </x:row>
    <x:row r="807" ht="24" customHeight="1">
      <x:c r="C807" s="256" t="n">
        <x:f>776</x:f>
        <x:v>776</x:v>
      </x:c>
      <x:c r="D807" s="258" t="n">
        <x:f>IF(X807&lt;($E$12-$D$12)/($F$12-$D$12),$D$12+SQRT(X807*($F$12-$D$12)*($E$12-$D$12)),$F$12-SQRT((1-X807)*($F$12-$D$12)*($F$12-$E$12)))</x:f>
        <x:v>0.13961795909160066</x:v>
      </x:c>
      <x:c r="E807" s="258" t="n">
        <x:f>IF(Y807&lt;($E$13-$D$13)/($F$13-$D$13),$D$13+SQRT(Y807*($F$13-$D$13)*($E$13-$D$13)),$F$13-SQRT((1-Y807)*($F$13-$D$13)*($F$13-$E$13)))</x:f>
        <x:v>-0.0033933025181566503</x:v>
      </x:c>
      <x:c r="F807" s="260" t="n">
        <x:f>IF(Z807&lt;($E$14-$D$14)/($F$14-$D$14),$D$14+SQRT(Z807*($F$14-$D$14)*($E$14-$D$14)),$F$14-SQRT((1-Z807)*($F$14-$D$14)*($F$14-$E$14)))</x:f>
        <x:v>0.9466988593850825</x:v>
      </x:c>
      <x:c r="G807" s="258" t="n">
        <x:f>IF(AA807&lt;($E$15-$D$15)/($F$15-$D$15),$D$15+SQRT(AA807*($F$15-$D$15)*($E$15-$D$15)),$F$15-SQRT((1-AA807)*($F$15-$D$15)*($F$15-$E$15)))</x:f>
        <x:v>0.10436543063193618</x:v>
      </x:c>
      <x:c r="H807" s="258" t="n">
        <x:f>IF(AB807&lt;($E$16-$D$16)/($F$16-$D$16),$D$16+SQRT(AB807*($F$16-$D$16)*($E$16-$D$16)),$F$16-SQRT((1-AB807)*($F$16-$D$16)*($F$16-$E$16)))</x:f>
        <x:v>0.025399476618481683</x:v>
      </x:c>
      <x:c r="I807" s="262" t="n">
        <x:f>'Historical Inputs'!$N$9*(1+D807)^5</x:f>
        <x:v>637857.7682516675</x:v>
      </x:c>
      <x:c r="J807" s="262" t="n">
        <x:f>I807*(1+H807)*('Terminal Value'!$E$10+E807)*(1-'Assumptions'!$E$15)*(1-H807/'Terminal Value'!$E$12)</x:f>
        <x:v>181168.42836216933</x:v>
      </x:c>
      <x:c r="K807" s="264" t="n">
        <x:f>((SUM((('Historical Inputs'!$N$9*(1+(D807))^1)*(('Assumptions'!E37+(E807))*(1-'Assumptions'!E42-(0))+'Assumptions'!E47-'Assumptions'!E52*(F807)+'Assumptions'!E57-'Assumptions'!E62*(1)-'Assumptions'!E67-(0))+('Working Capital'!$E$6))*'DCF'!E12/(1+(G807))^'DCF'!E13,(('Historical Inputs'!$N$9*(1+(D807))^2)*(('Assumptions'!F37+(E807))*(1-'Assumptions'!F42-(0))+'Assumptions'!F47-'Assumptions'!F52*(F807)+'Assumptions'!F57-'Assumptions'!F62*(1)-'Assumptions'!F67-(0))+(('Historical Inputs'!$N$9*(1+(D807))^1)*('Assumptions'!E67+(0))))*'DCF'!F12/(1+(G807))^'DCF'!F13,(('Historical Inputs'!$N$9*(1+(D807))^3)*(('Assumptions'!G37+(E807))*(1-'Assumptions'!G42-(0))+'Assumptions'!G47-'Assumptions'!G52*(F807)+'Assumptions'!G57-'Assumptions'!G62*(1)-'Assumptions'!G67-(0))+(('Historical Inputs'!$N$9*(1+(D807))^2)*('Assumptions'!F67+(0))))*'DCF'!G12/(1+(G807))^'DCF'!G13,(('Historical Inputs'!$N$9*(1+(D807))^4)*(('Assumptions'!H37+(E807))*(1-'Assumptions'!H42-(0))+'Assumptions'!H47-'Assumptions'!H52*(F807)+'Assumptions'!H57-'Assumptions'!H62*(1)-'Assumptions'!H67-(0))+(('Historical Inputs'!$N$9*(1+(D807))^3)*('Assumptions'!G67+(0))))*'DCF'!H12/(1+(G807))^'DCF'!H13,(('Historical Inputs'!$N$9*(1+(D807))^5)*(('Assumptions'!I37+(E807))*(1-'Assumptions'!I42-(0))+'Assumptions'!I47-'Assumptions'!I52*(F807)+'Assumptions'!I57-'Assumptions'!I62*(1)-'Assumptions'!I67-(0))+(('Historical Inputs'!$N$9*(1+(D807))^4)*('Assumptions'!H67+(0))))*'DCF'!I12/(1+(G807))^'DCF'!I13)+('Historical Inputs'!$N$9*(1+(D807))^5)*(1+(H807))*('Terminal Value'!$E$10+(E807))*(1-'Assumptions'!$E$15-(0))*(1-(H807)/('Terminal Value'!$E$12))/((G807)-(H807))/(1+(G807))^'DCF'!$E$19)+'Equity Bridge'!$E$17)/'Equity Bridge'!$E$20</x:f>
        <x:v>249.44442723441955</x:v>
      </x:c>
      <x:c r="X807" s="255" t="n">
        <x:v>0.4298673008279279</x:v>
      </x:c>
      <x:c r="Y807" s="255" t="n">
        <x:v>0.43443685003281274</x:v>
      </x:c>
      <x:c r="Z807" s="255" t="n">
        <x:v>0.17810798869287536</x:v>
      </x:c>
      <x:c r="AA807" s="255" t="n">
        <x:v>0.8288898922871227</x:v>
      </x:c>
      <x:c r="AB807" s="255" t="n">
        <x:v>0.14577173876765204</x:v>
      </x:c>
    </x:row>
    <x:row r="808" ht="24" customHeight="1">
      <x:c r="C808" s="256" t="n">
        <x:f>777</x:f>
        <x:v>777</x:v>
      </x:c>
      <x:c r="D808" s="258" t="n">
        <x:f>IF(X808&lt;($E$12-$D$12)/($F$12-$D$12),$D$12+SQRT(X808*($F$12-$D$12)*($E$12-$D$12)),$F$12-SQRT((1-X808)*($F$12-$D$12)*($F$12-$E$12)))</x:f>
        <x:v>0.13229158752478548</x:v>
      </x:c>
      <x:c r="E808" s="258" t="n">
        <x:f>IF(Y808&lt;($E$13-$D$13)/($F$13-$D$13),$D$13+SQRT(Y808*($F$13-$D$13)*($E$13-$D$13)),$F$13-SQRT((1-Y808)*($F$13-$D$13)*($F$13-$E$13)))</x:f>
        <x:v>0.03141272448386123</x:v>
      </x:c>
      <x:c r="F808" s="260" t="n">
        <x:f>IF(Z808&lt;($E$14-$D$14)/($F$14-$D$14),$D$14+SQRT(Z808*($F$14-$D$14)*($E$14-$D$14)),$F$14-SQRT((1-Z808)*($F$14-$D$14)*($F$14-$E$14)))</x:f>
        <x:v>1.0116895278163813</x:v>
      </x:c>
      <x:c r="G808" s="258" t="n">
        <x:f>IF(AA808&lt;($E$15-$D$15)/($F$15-$D$15),$D$15+SQRT(AA808*($F$15-$D$15)*($E$15-$D$15)),$F$15-SQRT((1-AA808)*($F$15-$D$15)*($F$15-$E$15)))</x:f>
        <x:v>0.08978444816077011</x:v>
      </x:c>
      <x:c r="H808" s="258" t="n">
        <x:f>IF(AB808&lt;($E$16-$D$16)/($F$16-$D$16),$D$16+SQRT(AB808*($F$16-$D$16)*($E$16-$D$16)),$F$16-SQRT((1-AB808)*($F$16-$D$16)*($F$16-$E$16)))</x:f>
        <x:v>0.03334914474520845</x:v>
      </x:c>
      <x:c r="I808" s="262" t="n">
        <x:f>'Historical Inputs'!$N$9*(1+D808)^5</x:f>
        <x:v>617616.4139544541</x:v>
      </x:c>
      <x:c r="J808" s="262" t="n">
        <x:f>I808*(1+H808)*('Terminal Value'!$E$10+E808)*(1-'Assumptions'!$E$15)*(1-H808/'Terminal Value'!$E$12)</x:f>
        <x:v>183538.17218672065</x:v>
      </x:c>
      <x:c r="K808" s="264" t="n">
        <x:f>((SUM((('Historical Inputs'!$N$9*(1+(D808))^1)*(('Assumptions'!E37+(E808))*(1-'Assumptions'!E42-(0))+'Assumptions'!E47-'Assumptions'!E52*(F808)+'Assumptions'!E57-'Assumptions'!E62*(1)-'Assumptions'!E67-(0))+('Working Capital'!$E$6))*'DCF'!E12/(1+(G808))^'DCF'!E13,(('Historical Inputs'!$N$9*(1+(D808))^2)*(('Assumptions'!F37+(E808))*(1-'Assumptions'!F42-(0))+'Assumptions'!F47-'Assumptions'!F52*(F808)+'Assumptions'!F57-'Assumptions'!F62*(1)-'Assumptions'!F67-(0))+(('Historical Inputs'!$N$9*(1+(D808))^1)*('Assumptions'!E67+(0))))*'DCF'!F12/(1+(G808))^'DCF'!F13,(('Historical Inputs'!$N$9*(1+(D808))^3)*(('Assumptions'!G37+(E808))*(1-'Assumptions'!G42-(0))+'Assumptions'!G47-'Assumptions'!G52*(F808)+'Assumptions'!G57-'Assumptions'!G62*(1)-'Assumptions'!G67-(0))+(('Historical Inputs'!$N$9*(1+(D808))^2)*('Assumptions'!F67+(0))))*'DCF'!G12/(1+(G808))^'DCF'!G13,(('Historical Inputs'!$N$9*(1+(D808))^4)*(('Assumptions'!H37+(E808))*(1-'Assumptions'!H42-(0))+'Assumptions'!H47-'Assumptions'!H52*(F808)+'Assumptions'!H57-'Assumptions'!H62*(1)-'Assumptions'!H67-(0))+(('Historical Inputs'!$N$9*(1+(D808))^3)*('Assumptions'!G67+(0))))*'DCF'!H12/(1+(G808))^'DCF'!H13,(('Historical Inputs'!$N$9*(1+(D808))^5)*(('Assumptions'!I37+(E808))*(1-'Assumptions'!I42-(0))+'Assumptions'!I47-'Assumptions'!I52*(F808)+'Assumptions'!I57-'Assumptions'!I62*(1)-'Assumptions'!I67-(0))+(('Historical Inputs'!$N$9*(1+(D808))^4)*('Assumptions'!H67+(0))))*'DCF'!I12/(1+(G808))^'DCF'!I13)+('Historical Inputs'!$N$9*(1+(D808))^5)*(1+(H808))*('Terminal Value'!$E$10+(E808))*(1-'Assumptions'!$E$15-(0))*(1-(H808)/('Terminal Value'!$E$12))/((G808)-(H808))/(1+(G808))^'DCF'!$E$19)+'Equity Bridge'!$E$17)/'Equity Bridge'!$E$20</x:f>
        <x:v>351.3864857099704</x:v>
      </x:c>
      <x:c r="X808" s="255" t="n">
        <x:v>0.30473946385766415</x:v>
      </x:c>
      <x:c r="Y808" s="255" t="n">
        <x:v>0.9309026377774297</x:v>
      </x:c>
      <x:c r="Z808" s="255" t="n">
        <x:v>0.49341665808546575</x:v>
      </x:c>
      <x:c r="AA808" s="255" t="n">
        <x:v>0.0980972978386132</x:v>
      </x:c>
      <x:c r="AB808" s="255" t="n">
        <x:v>0.7788306218990578</x:v>
      </x:c>
    </x:row>
    <x:row r="809" ht="24" customHeight="1">
      <x:c r="C809" s="256" t="n">
        <x:f>778</x:f>
        <x:v>778</x:v>
      </x:c>
      <x:c r="D809" s="258" t="n">
        <x:f>IF(X809&lt;($E$12-$D$12)/($F$12-$D$12),$D$12+SQRT(X809*($F$12-$D$12)*($E$12-$D$12)),$F$12-SQRT((1-X809)*($F$12-$D$12)*($F$12-$E$12)))</x:f>
        <x:v>0.14181441120458937</x:v>
      </x:c>
      <x:c r="E809" s="258" t="n">
        <x:f>IF(Y809&lt;($E$13-$D$13)/($F$13-$D$13),$D$13+SQRT(Y809*($F$13-$D$13)*($E$13-$D$13)),$F$13-SQRT((1-Y809)*($F$13-$D$13)*($F$13-$E$13)))</x:f>
        <x:v>0.03885662145941571</x:v>
      </x:c>
      <x:c r="F809" s="260" t="n">
        <x:f>IF(Z809&lt;($E$14-$D$14)/($F$14-$D$14),$D$14+SQRT(Z809*($F$14-$D$14)*($E$14-$D$14)),$F$14-SQRT((1-Z809)*($F$14-$D$14)*($F$14-$E$14)))</x:f>
        <x:v>1.0502920328612302</x:v>
      </x:c>
      <x:c r="G809" s="258" t="n">
        <x:f>IF(AA809&lt;($E$15-$D$15)/($F$15-$D$15),$D$15+SQRT(AA809*($F$15-$D$15)*($E$15-$D$15)),$F$15-SQRT((1-AA809)*($F$15-$D$15)*($F$15-$E$15)))</x:f>
        <x:v>0.08740414416922157</x:v>
      </x:c>
      <x:c r="H809" s="258" t="n">
        <x:f>IF(AB809&lt;($E$16-$D$16)/($F$16-$D$16),$D$16+SQRT(AB809*($F$16-$D$16)*($E$16-$D$16)),$F$16-SQRT((1-AB809)*($F$16-$D$16)*($F$16-$E$16)))</x:f>
        <x:v>0.027378754411714435</x:v>
      </x:c>
      <x:c r="I809" s="262" t="n">
        <x:f>'Historical Inputs'!$N$9*(1+D809)^5</x:f>
        <x:v>644028.410794901</x:v>
      </x:c>
      <x:c r="J809" s="262" t="n">
        <x:f>I809*(1+H809)*('Terminal Value'!$E$10+E809)*(1-'Assumptions'!$E$15)*(1-H809/'Terminal Value'!$E$12)</x:f>
        <x:v>200499.13328302957</x:v>
      </x:c>
      <x:c r="K809" s="264" t="n">
        <x:f>((SUM((('Historical Inputs'!$N$9*(1+(D809))^1)*(('Assumptions'!E37+(E809))*(1-'Assumptions'!E42-(0))+'Assumptions'!E47-'Assumptions'!E52*(F809)+'Assumptions'!E57-'Assumptions'!E62*(1)-'Assumptions'!E67-(0))+('Working Capital'!$E$6))*'DCF'!E12/(1+(G809))^'DCF'!E13,(('Historical Inputs'!$N$9*(1+(D809))^2)*(('Assumptions'!F37+(E809))*(1-'Assumptions'!F42-(0))+'Assumptions'!F47-'Assumptions'!F52*(F809)+'Assumptions'!F57-'Assumptions'!F62*(1)-'Assumptions'!F67-(0))+(('Historical Inputs'!$N$9*(1+(D809))^1)*('Assumptions'!E67+(0))))*'DCF'!F12/(1+(G809))^'DCF'!F13,(('Historical Inputs'!$N$9*(1+(D809))^3)*(('Assumptions'!G37+(E809))*(1-'Assumptions'!G42-(0))+'Assumptions'!G47-'Assumptions'!G52*(F809)+'Assumptions'!G57-'Assumptions'!G62*(1)-'Assumptions'!G67-(0))+(('Historical Inputs'!$N$9*(1+(D809))^2)*('Assumptions'!F67+(0))))*'DCF'!G12/(1+(G809))^'DCF'!G13,(('Historical Inputs'!$N$9*(1+(D809))^4)*(('Assumptions'!H37+(E809))*(1-'Assumptions'!H42-(0))+'Assumptions'!H47-'Assumptions'!H52*(F809)+'Assumptions'!H57-'Assumptions'!H62*(1)-'Assumptions'!H67-(0))+(('Historical Inputs'!$N$9*(1+(D809))^3)*('Assumptions'!G67+(0))))*'DCF'!H12/(1+(G809))^'DCF'!H13,(('Historical Inputs'!$N$9*(1+(D809))^5)*(('Assumptions'!I37+(E809))*(1-'Assumptions'!I42-(0))+'Assumptions'!I47-'Assumptions'!I52*(F809)+'Assumptions'!I57-'Assumptions'!I62*(1)-'Assumptions'!I67-(0))+(('Historical Inputs'!$N$9*(1+(D809))^4)*('Assumptions'!H67+(0))))*'DCF'!I12/(1+(G809))^'DCF'!I13)+('Historical Inputs'!$N$9*(1+(D809))^5)*(1+(H809))*('Terminal Value'!$E$10+(E809))*(1-'Assumptions'!$E$15-(0))*(1-(H809)/('Terminal Value'!$E$12))/((G809)-(H809))/(1+(G809))^'DCF'!$E$19)+'Equity Bridge'!$E$17)/'Equity Bridge'!$E$20</x:f>
        <x:v>363.6750954288069</x:v>
      </x:c>
      <x:c r="X809" s="255" t="n">
        <x:v>0.47156401265167447</x:v>
      </x:c>
      <x:c r="Y809" s="255" t="n">
        <x:v>0.9751650229402491</x:v>
      </x:c>
      <x:c r="Z809" s="255" t="n">
        <x:v>0.6798217796453861</x:v>
      </x:c>
      <x:c r="AA809" s="255" t="n">
        <x:v>0.04039950269317549</x:v>
      </x:c>
      <x:c r="AB809" s="255" t="n">
        <x:v>0.2722300833419764</x:v>
      </x:c>
    </x:row>
    <x:row r="810" ht="24" customHeight="1">
      <x:c r="C810" s="256" t="n">
        <x:f>779</x:f>
        <x:v>779</x:v>
      </x:c>
      <x:c r="D810" s="258" t="n">
        <x:f>IF(X810&lt;($E$12-$D$12)/($F$12-$D$12),$D$12+SQRT(X810*($F$12-$D$12)*($E$12-$D$12)),$F$12-SQRT((1-X810)*($F$12-$D$12)*($F$12-$E$12)))</x:f>
        <x:v>0.16196317347245665</x:v>
      </x:c>
      <x:c r="E810" s="258" t="n">
        <x:f>IF(Y810&lt;($E$13-$D$13)/($F$13-$D$13),$D$13+SQRT(Y810*($F$13-$D$13)*($E$13-$D$13)),$F$13-SQRT((1-Y810)*($F$13-$D$13)*($F$13-$E$13)))</x:f>
        <x:v>0.0024256998191853896</x:v>
      </x:c>
      <x:c r="F810" s="260" t="n">
        <x:f>IF(Z810&lt;($E$14-$D$14)/($F$14-$D$14),$D$14+SQRT(Z810*($F$14-$D$14)*($E$14-$D$14)),$F$14-SQRT((1-Z810)*($F$14-$D$14)*($F$14-$E$14)))</x:f>
        <x:v>0.9797580142285152</x:v>
      </x:c>
      <x:c r="G810" s="258" t="n">
        <x:f>IF(AA810&lt;($E$15-$D$15)/($F$15-$D$15),$D$15+SQRT(AA810*($F$15-$D$15)*($E$15-$D$15)),$F$15-SQRT((1-AA810)*($F$15-$D$15)*($F$15-$E$15)))</x:f>
        <x:v>0.0890267831653581</x:v>
      </x:c>
      <x:c r="H810" s="258" t="n">
        <x:f>IF(AB810&lt;($E$16-$D$16)/($F$16-$D$16),$D$16+SQRT(AB810*($F$16-$D$16)*($E$16-$D$16)),$F$16-SQRT((1-AB810)*($F$16-$D$16)*($F$16-$E$16)))</x:f>
        <x:v>0.030629142307031926</x:v>
      </x:c>
      <x:c r="I810" s="262" t="n">
        <x:f>'Historical Inputs'!$N$9*(1+D810)^5</x:f>
        <x:v>702893.0449579345</x:v>
      </x:c>
      <x:c r="J810" s="262" t="n">
        <x:f>I810*(1+H810)*('Terminal Value'!$E$10+E810)*(1-'Assumptions'!$E$15)*(1-H810/'Terminal Value'!$E$12)</x:f>
        <x:v>197504.07046034108</x:v>
      </x:c>
      <x:c r="K810" s="264" t="n">
        <x:f>((SUM((('Historical Inputs'!$N$9*(1+(D810))^1)*(('Assumptions'!E37+(E810))*(1-'Assumptions'!E42-(0))+'Assumptions'!E47-'Assumptions'!E52*(F810)+'Assumptions'!E57-'Assumptions'!E62*(1)-'Assumptions'!E67-(0))+('Working Capital'!$E$6))*'DCF'!E12/(1+(G810))^'DCF'!E13,(('Historical Inputs'!$N$9*(1+(D810))^2)*(('Assumptions'!F37+(E810))*(1-'Assumptions'!F42-(0))+'Assumptions'!F47-'Assumptions'!F52*(F810)+'Assumptions'!F57-'Assumptions'!F62*(1)-'Assumptions'!F67-(0))+(('Historical Inputs'!$N$9*(1+(D810))^1)*('Assumptions'!E67+(0))))*'DCF'!F12/(1+(G810))^'DCF'!F13,(('Historical Inputs'!$N$9*(1+(D810))^3)*(('Assumptions'!G37+(E810))*(1-'Assumptions'!G42-(0))+'Assumptions'!G47-'Assumptions'!G52*(F810)+'Assumptions'!G57-'Assumptions'!G62*(1)-'Assumptions'!G67-(0))+(('Historical Inputs'!$N$9*(1+(D810))^2)*('Assumptions'!F67+(0))))*'DCF'!G12/(1+(G810))^'DCF'!G13,(('Historical Inputs'!$N$9*(1+(D810))^4)*(('Assumptions'!H37+(E810))*(1-'Assumptions'!H42-(0))+'Assumptions'!H47-'Assumptions'!H52*(F810)+'Assumptions'!H57-'Assumptions'!H62*(1)-'Assumptions'!H67-(0))+(('Historical Inputs'!$N$9*(1+(D810))^3)*('Assumptions'!G67+(0))))*'DCF'!H12/(1+(G810))^'DCF'!H13,(('Historical Inputs'!$N$9*(1+(D810))^5)*(('Assumptions'!I37+(E810))*(1-'Assumptions'!I42-(0))+'Assumptions'!I47-'Assumptions'!I52*(F810)+'Assumptions'!I57-'Assumptions'!I62*(1)-'Assumptions'!I67-(0))+(('Historical Inputs'!$N$9*(1+(D810))^4)*('Assumptions'!H67+(0))))*'DCF'!I12/(1+(G810))^'DCF'!I13)+('Historical Inputs'!$N$9*(1+(D810))^5)*(1+(H810))*('Terminal Value'!$E$10+(E810))*(1-'Assumptions'!$E$15-(0))*(1-(H810)/('Terminal Value'!$E$12))/((G810)-(H810))/(1+(G810))^'DCF'!$E$19)+'Equity Bridge'!$E$17)/'Equity Bridge'!$E$20</x:f>
        <x:v>365.86351479907495</x:v>
      </x:c>
      <x:c r="X810" s="255" t="n">
        <x:v>0.8041390110443685</x:v>
      </x:c>
      <x:c r="Y810" s="255" t="n">
        <x:v>0.5473371924611485</x:v>
      </x:c>
      <x:c r="Z810" s="255" t="n">
        <x:v>0.3207074715529057</x:v>
      </x:c>
      <x:c r="AA810" s="255" t="n">
        <x:v>0.07699970733316808</x:v>
      </x:c>
      <x:c r="AB810" s="255" t="n">
        <x:v>0.5609351304907055</x:v>
      </x:c>
    </x:row>
    <x:row r="811" ht="24" customHeight="1">
      <x:c r="C811" s="256" t="n">
        <x:f>780</x:f>
        <x:v>780</x:v>
      </x:c>
      <x:c r="D811" s="258" t="n">
        <x:f>IF(X811&lt;($E$12-$D$12)/($F$12-$D$12),$D$12+SQRT(X811*($F$12-$D$12)*($E$12-$D$12)),$F$12-SQRT((1-X811)*($F$12-$D$12)*($F$12-$E$12)))</x:f>
        <x:v>0.15779430162552283</x:v>
      </x:c>
      <x:c r="E811" s="258" t="n">
        <x:f>IF(Y811&lt;($E$13-$D$13)/($F$13-$D$13),$D$13+SQRT(Y811*($F$13-$D$13)*($E$13-$D$13)),$F$13-SQRT((1-Y811)*($F$13-$D$13)*($F$13-$E$13)))</x:f>
        <x:v>0.004592586871073584</x:v>
      </x:c>
      <x:c r="F811" s="260" t="n">
        <x:f>IF(Z811&lt;($E$14-$D$14)/($F$14-$D$14),$D$14+SQRT(Z811*($F$14-$D$14)*($E$14-$D$14)),$F$14-SQRT((1-Z811)*($F$14-$D$14)*($F$14-$E$14)))</x:f>
        <x:v>1.1048904896308185</x:v>
      </x:c>
      <x:c r="G811" s="258" t="n">
        <x:f>IF(AA811&lt;($E$15-$D$15)/($F$15-$D$15),$D$15+SQRT(AA811*($F$15-$D$15)*($E$15-$D$15)),$F$15-SQRT((1-AA811)*($F$15-$D$15)*($F$15-$E$15)))</x:f>
        <x:v>0.10370283610039817</x:v>
      </x:c>
      <x:c r="H811" s="258" t="n">
        <x:f>IF(AB811&lt;($E$16-$D$16)/($F$16-$D$16),$D$16+SQRT(AB811*($F$16-$D$16)*($E$16-$D$16)),$F$16-SQRT((1-AB811)*($F$16-$D$16)*($F$16-$E$16)))</x:f>
        <x:v>0.03095648596129837</x:v>
      </x:c>
      <x:c r="I811" s="262" t="n">
        <x:f>'Historical Inputs'!$N$9*(1+D811)^5</x:f>
        <x:v>690374.0596667911</x:v>
      </x:c>
      <x:c r="J811" s="262" t="n">
        <x:f>I811*(1+H811)*('Terminal Value'!$E$10+E811)*(1-'Assumptions'!$E$15)*(1-H811/'Terminal Value'!$E$12)</x:f>
        <x:v>194715.81401363076</x:v>
      </x:c>
      <x:c r="K811" s="264" t="n">
        <x:f>((SUM((('Historical Inputs'!$N$9*(1+(D811))^1)*(('Assumptions'!E37+(E811))*(1-'Assumptions'!E42-(0))+'Assumptions'!E47-'Assumptions'!E52*(F811)+'Assumptions'!E57-'Assumptions'!E62*(1)-'Assumptions'!E67-(0))+('Working Capital'!$E$6))*'DCF'!E12/(1+(G811))^'DCF'!E13,(('Historical Inputs'!$N$9*(1+(D811))^2)*(('Assumptions'!F37+(E811))*(1-'Assumptions'!F42-(0))+'Assumptions'!F47-'Assumptions'!F52*(F811)+'Assumptions'!F57-'Assumptions'!F62*(1)-'Assumptions'!F67-(0))+(('Historical Inputs'!$N$9*(1+(D811))^1)*('Assumptions'!E67+(0))))*'DCF'!F12/(1+(G811))^'DCF'!F13,(('Historical Inputs'!$N$9*(1+(D811))^3)*(('Assumptions'!G37+(E811))*(1-'Assumptions'!G42-(0))+'Assumptions'!G47-'Assumptions'!G52*(F811)+'Assumptions'!G57-'Assumptions'!G62*(1)-'Assumptions'!G67-(0))+(('Historical Inputs'!$N$9*(1+(D811))^2)*('Assumptions'!F67+(0))))*'DCF'!G12/(1+(G811))^'DCF'!G13,(('Historical Inputs'!$N$9*(1+(D811))^4)*(('Assumptions'!H37+(E811))*(1-'Assumptions'!H42-(0))+'Assumptions'!H47-'Assumptions'!H52*(F811)+'Assumptions'!H57-'Assumptions'!H62*(1)-'Assumptions'!H67-(0))+(('Historical Inputs'!$N$9*(1+(D811))^3)*('Assumptions'!G67+(0))))*'DCF'!H12/(1+(G811))^'DCF'!H13,(('Historical Inputs'!$N$9*(1+(D811))^5)*(('Assumptions'!I37+(E811))*(1-'Assumptions'!I42-(0))+'Assumptions'!I47-'Assumptions'!I52*(F811)+'Assumptions'!I57-'Assumptions'!I62*(1)-'Assumptions'!I67-(0))+(('Historical Inputs'!$N$9*(1+(D811))^4)*('Assumptions'!H67+(0))))*'DCF'!I12/(1+(G811))^'DCF'!I13)+('Historical Inputs'!$N$9*(1+(D811))^5)*(1+(H811))*('Terminal Value'!$E$10+(E811))*(1-'Assumptions'!$E$15-(0))*(1-(H811)/('Terminal Value'!$E$12))/((G811)-(H811))/(1+(G811))^'DCF'!$E$19)+'Equity Bridge'!$E$17)/'Equity Bridge'!$E$20</x:f>
        <x:v>276.9995350252781</x:v>
      </x:c>
      <x:c r="X811" s="255" t="n">
        <x:v>0.7484790951957199</x:v>
      </x:c>
      <x:c r="Y811" s="255" t="n">
        <x:v>0.5876333665878003</x:v>
      </x:c>
      <x:c r="Z811" s="255" t="n">
        <x:v>0.8707740148190652</x:v>
      </x:c>
      <x:c r="AA811" s="255" t="n">
        <x:v>0.802073260612871</x:v>
      </x:c>
      <x:c r="AB811" s="255" t="n">
        <x:v>0.5910742691590327</x:v>
      </x:c>
    </x:row>
    <x:row r="812" ht="24" customHeight="1">
      <x:c r="C812" s="256" t="n">
        <x:f>781</x:f>
        <x:v>781</x:v>
      </x:c>
      <x:c r="D812" s="258" t="n">
        <x:f>IF(X812&lt;($E$12-$D$12)/($F$12-$D$12),$D$12+SQRT(X812*($F$12-$D$12)*($E$12-$D$12)),$F$12-SQRT((1-X812)*($F$12-$D$12)*($F$12-$E$12)))</x:f>
        <x:v>0.11798523326602851</x:v>
      </x:c>
      <x:c r="E812" s="258" t="n">
        <x:f>IF(Y812&lt;($E$13-$D$13)/($F$13-$D$13),$D$13+SQRT(Y812*($F$13-$D$13)*($E$13-$D$13)),$F$13-SQRT((1-Y812)*($F$13-$D$13)*($F$13-$E$13)))</x:f>
        <x:v>0.01710561875014687</x:v>
      </x:c>
      <x:c r="F812" s="260" t="n">
        <x:f>IF(Z812&lt;($E$14-$D$14)/($F$14-$D$14),$D$14+SQRT(Z812*($F$14-$D$14)*($E$14-$D$14)),$F$14-SQRT((1-Z812)*($F$14-$D$14)*($F$14-$E$14)))</x:f>
        <x:v>1.0841901977634616</x:v>
      </x:c>
      <x:c r="G812" s="258" t="n">
        <x:f>IF(AA812&lt;($E$15-$D$15)/($F$15-$D$15),$D$15+SQRT(AA812*($F$15-$D$15)*($E$15-$D$15)),$F$15-SQRT((1-AA812)*($F$15-$D$15)*($F$15-$E$15)))</x:f>
        <x:v>0.09941518472661562</x:v>
      </x:c>
      <x:c r="H812" s="258" t="n">
        <x:f>IF(AB812&lt;($E$16-$D$16)/($F$16-$D$16),$D$16+SQRT(AB812*($F$16-$D$16)*($E$16-$D$16)),$F$16-SQRT((1-AB812)*($F$16-$D$16)*($F$16-$E$16)))</x:f>
        <x:v>0.027780283087453048</x:v>
      </x:c>
      <x:c r="I812" s="262" t="n">
        <x:f>'Historical Inputs'!$N$9*(1+D812)^5</x:f>
        <x:v>579572.4890512157</x:v>
      </x:c>
      <x:c r="J812" s="262" t="n">
        <x:f>I812*(1+H812)*('Terminal Value'!$E$10+E812)*(1-'Assumptions'!$E$15)*(1-H812/'Terminal Value'!$E$12)</x:f>
        <x:v>171157.8990102407</x:v>
      </x:c>
      <x:c r="K812" s="264" t="n">
        <x:f>((SUM((('Historical Inputs'!$N$9*(1+(D812))^1)*(('Assumptions'!E37+(E812))*(1-'Assumptions'!E42-(0))+'Assumptions'!E47-'Assumptions'!E52*(F812)+'Assumptions'!E57-'Assumptions'!E62*(1)-'Assumptions'!E67-(0))+('Working Capital'!$E$6))*'DCF'!E12/(1+(G812))^'DCF'!E13,(('Historical Inputs'!$N$9*(1+(D812))^2)*(('Assumptions'!F37+(E812))*(1-'Assumptions'!F42-(0))+'Assumptions'!F47-'Assumptions'!F52*(F812)+'Assumptions'!F57-'Assumptions'!F62*(1)-'Assumptions'!F67-(0))+(('Historical Inputs'!$N$9*(1+(D812))^1)*('Assumptions'!E67+(0))))*'DCF'!F12/(1+(G812))^'DCF'!F13,(('Historical Inputs'!$N$9*(1+(D812))^3)*(('Assumptions'!G37+(E812))*(1-'Assumptions'!G42-(0))+'Assumptions'!G47-'Assumptions'!G52*(F812)+'Assumptions'!G57-'Assumptions'!G62*(1)-'Assumptions'!G67-(0))+(('Historical Inputs'!$N$9*(1+(D812))^2)*('Assumptions'!F67+(0))))*'DCF'!G12/(1+(G812))^'DCF'!G13,(('Historical Inputs'!$N$9*(1+(D812))^4)*(('Assumptions'!H37+(E812))*(1-'Assumptions'!H42-(0))+'Assumptions'!H47-'Assumptions'!H52*(F812)+'Assumptions'!H57-'Assumptions'!H62*(1)-'Assumptions'!H67-(0))+(('Historical Inputs'!$N$9*(1+(D812))^3)*('Assumptions'!G67+(0))))*'DCF'!H12/(1+(G812))^'DCF'!H13,(('Historical Inputs'!$N$9*(1+(D812))^5)*(('Assumptions'!I37+(E812))*(1-'Assumptions'!I42-(0))+'Assumptions'!I47-'Assumptions'!I52*(F812)+'Assumptions'!I57-'Assumptions'!I62*(1)-'Assumptions'!I67-(0))+(('Historical Inputs'!$N$9*(1+(D812))^4)*('Assumptions'!H67+(0))))*'DCF'!I12/(1+(G812))^'DCF'!I13)+('Historical Inputs'!$N$9*(1+(D812))^5)*(1+(H812))*('Terminal Value'!$E$10+(E812))*(1-'Assumptions'!$E$15-(0))*(1-(H812)/('Terminal Value'!$E$12))/((G812)-(H812))/(1+(G812))^'DCF'!$E$19)+'Equity Bridge'!$E$17)/'Equity Bridge'!$E$20</x:f>
        <x:v>254.3736598574805</x:v>
      </x:c>
      <x:c r="X812" s="255" t="n">
        <x:v>0.12229688820398399</x:v>
      </x:c>
      <x:c r="Y812" s="255" t="n">
        <x:v>0.7835919364378622</x:v>
      </x:c>
      <x:c r="Z812" s="255" t="n">
        <x:v>0.8084012815133413</x:v>
      </x:c>
      <x:c r="AA812" s="255" t="n">
        <x:v>0.5813762414952499</x:v>
      </x:c>
      <x:c r="AB812" s="255" t="n">
        <x:v>0.3026640246045398</x:v>
      </x:c>
    </x:row>
    <x:row r="813" ht="24" customHeight="1">
      <x:c r="C813" s="256" t="n">
        <x:f>782</x:f>
        <x:v>782</x:v>
      </x:c>
      <x:c r="D813" s="258" t="n">
        <x:f>IF(X813&lt;($E$12-$D$12)/($F$12-$D$12),$D$12+SQRT(X813*($F$12-$D$12)*($E$12-$D$12)),$F$12-SQRT((1-X813)*($F$12-$D$12)*($F$12-$E$12)))</x:f>
        <x:v>0.16238575343778955</x:v>
      </x:c>
      <x:c r="E813" s="258" t="n">
        <x:f>IF(Y813&lt;($E$13-$D$13)/($F$13-$D$13),$D$13+SQRT(Y813*($F$13-$D$13)*($E$13-$D$13)),$F$13-SQRT((1-Y813)*($F$13-$D$13)*($F$13-$E$13)))</x:f>
        <x:v>0.03697729785414379</x:v>
      </x:c>
      <x:c r="F813" s="260" t="n">
        <x:f>IF(Z813&lt;($E$14-$D$14)/($F$14-$D$14),$D$14+SQRT(Z813*($F$14-$D$14)*($E$14-$D$14)),$F$14-SQRT((1-Z813)*($F$14-$D$14)*($F$14-$E$14)))</x:f>
        <x:v>1.105878824171428</x:v>
      </x:c>
      <x:c r="G813" s="258" t="n">
        <x:f>IF(AA813&lt;($E$15-$D$15)/($F$15-$D$15),$D$15+SQRT(AA813*($F$15-$D$15)*($E$15-$D$15)),$F$15-SQRT((1-AA813)*($F$15-$D$15)*($F$15-$E$15)))</x:f>
        <x:v>0.08850780130757908</x:v>
      </x:c>
      <x:c r="H813" s="258" t="n">
        <x:f>IF(AB813&lt;($E$16-$D$16)/($F$16-$D$16),$D$16+SQRT(AB813*($F$16-$D$16)*($E$16-$D$16)),$F$16-SQRT((1-AB813)*($F$16-$D$16)*($F$16-$E$16)))</x:f>
        <x:v>0.02418014578752594</x:v>
      </x:c>
      <x:c r="I813" s="262" t="n">
        <x:f>'Historical Inputs'!$N$9*(1+D813)^5</x:f>
        <x:v>704172.107191459</x:v>
      </x:c>
      <x:c r="J813" s="262" t="n">
        <x:f>I813*(1+H813)*('Terminal Value'!$E$10+E813)*(1-'Assumptions'!$E$15)*(1-H813/'Terminal Value'!$E$12)</x:f>
        <x:v>221636.84157186345</x:v>
      </x:c>
      <x:c r="K813" s="264" t="n">
        <x:f>((SUM((('Historical Inputs'!$N$9*(1+(D813))^1)*(('Assumptions'!E37+(E813))*(1-'Assumptions'!E42-(0))+'Assumptions'!E47-'Assumptions'!E52*(F813)+'Assumptions'!E57-'Assumptions'!E62*(1)-'Assumptions'!E67-(0))+('Working Capital'!$E$6))*'DCF'!E12/(1+(G813))^'DCF'!E13,(('Historical Inputs'!$N$9*(1+(D813))^2)*(('Assumptions'!F37+(E813))*(1-'Assumptions'!F42-(0))+'Assumptions'!F47-'Assumptions'!F52*(F813)+'Assumptions'!F57-'Assumptions'!F62*(1)-'Assumptions'!F67-(0))+(('Historical Inputs'!$N$9*(1+(D813))^1)*('Assumptions'!E67+(0))))*'DCF'!F12/(1+(G813))^'DCF'!F13,(('Historical Inputs'!$N$9*(1+(D813))^3)*(('Assumptions'!G37+(E813))*(1-'Assumptions'!G42-(0))+'Assumptions'!G47-'Assumptions'!G52*(F813)+'Assumptions'!G57-'Assumptions'!G62*(1)-'Assumptions'!G67-(0))+(('Historical Inputs'!$N$9*(1+(D813))^2)*('Assumptions'!F67+(0))))*'DCF'!G12/(1+(G813))^'DCF'!G13,(('Historical Inputs'!$N$9*(1+(D813))^4)*(('Assumptions'!H37+(E813))*(1-'Assumptions'!H42-(0))+'Assumptions'!H47-'Assumptions'!H52*(F813)+'Assumptions'!H57-'Assumptions'!H62*(1)-'Assumptions'!H67-(0))+(('Historical Inputs'!$N$9*(1+(D813))^3)*('Assumptions'!G67+(0))))*'DCF'!H12/(1+(G813))^'DCF'!H13,(('Historical Inputs'!$N$9*(1+(D813))^5)*(('Assumptions'!I37+(E813))*(1-'Assumptions'!I42-(0))+'Assumptions'!I47-'Assumptions'!I52*(F813)+'Assumptions'!I57-'Assumptions'!I62*(1)-'Assumptions'!I67-(0))+(('Historical Inputs'!$N$9*(1+(D813))^4)*('Assumptions'!H67+(0))))*'DCF'!I12/(1+(G813))^'DCF'!I13)+('Historical Inputs'!$N$9*(1+(D813))^5)*(1+(H813))*('Terminal Value'!$E$10+(E813))*(1-'Assumptions'!$E$15-(0))*(1-(H813)/('Terminal Value'!$E$12))/((G813)-(H813))/(1+(G813))^'DCF'!$E$19)+'Equity Bridge'!$E$17)/'Equity Bridge'!$E$20</x:f>
        <x:v>371.464261925387</x:v>
      </x:c>
      <x:c r="X813" s="255" t="n">
        <x:v>0.8093929576199073</x:v>
      </x:c>
      <x:c r="Y813" s="255" t="n">
        <x:v>0.9660818457640624</x:v>
      </x:c>
      <x:c r="Z813" s="255" t="n">
        <x:v>0.8734457751521002</x:v>
      </x:c>
      <x:c r="AA813" s="255" t="n">
        <x:v>0.06402072544959025</x:v>
      </x:c>
      <x:c r="AB813" s="255" t="n">
        <x:v>0.08736809402485446</x:v>
      </x:c>
    </x:row>
    <x:row r="814" ht="24" customHeight="1">
      <x:c r="C814" s="256" t="n">
        <x:f>783</x:f>
        <x:v>783</x:v>
      </x:c>
      <x:c r="D814" s="258" t="n">
        <x:f>IF(X814&lt;($E$12-$D$12)/($F$12-$D$12),$D$12+SQRT(X814*($F$12-$D$12)*($E$12-$D$12)),$F$12-SQRT((1-X814)*($F$12-$D$12)*($F$12-$E$12)))</x:f>
        <x:v>0.10905997153492386</x:v>
      </x:c>
      <x:c r="E814" s="258" t="n">
        <x:f>IF(Y814&lt;($E$13-$D$13)/($F$13-$D$13),$D$13+SQRT(Y814*($F$13-$D$13)*($E$13-$D$13)),$F$13-SQRT((1-Y814)*($F$13-$D$13)*($F$13-$E$13)))</x:f>
        <x:v>0.03299467234603848</x:v>
      </x:c>
      <x:c r="F814" s="260" t="n">
        <x:f>IF(Z814&lt;($E$14-$D$14)/($F$14-$D$14),$D$14+SQRT(Z814*($F$14-$D$14)*($E$14-$D$14)),$F$14-SQRT((1-Z814)*($F$14-$D$14)*($F$14-$E$14)))</x:f>
        <x:v>1.0930150617710879</x:v>
      </x:c>
      <x:c r="G814" s="258" t="n">
        <x:f>IF(AA814&lt;($E$15-$D$15)/($F$15-$D$15),$D$15+SQRT(AA814*($F$15-$D$15)*($E$15-$D$15)),$F$15-SQRT((1-AA814)*($F$15-$D$15)*($F$15-$E$15)))</x:f>
        <x:v>0.09890659350431523</x:v>
      </x:c>
      <x:c r="H814" s="258" t="n">
        <x:f>IF(AB814&lt;($E$16-$D$16)/($F$16-$D$16),$D$16+SQRT(AB814*($F$16-$D$16)*($E$16-$D$16)),$F$16-SQRT((1-AB814)*($F$16-$D$16)*($F$16-$E$16)))</x:f>
        <x:v>0.02731044462946666</x:v>
      </x:c>
      <x:c r="I814" s="262" t="n">
        <x:f>'Historical Inputs'!$N$9*(1+D814)^5</x:f>
        <x:v>556804.3000083786</x:v>
      </x:c>
      <x:c r="J814" s="262" t="n">
        <x:f>I814*(1+H814)*('Terminal Value'!$E$10+E814)*(1-'Assumptions'!$E$15)*(1-H814/'Terminal Value'!$E$12)</x:f>
        <x:v>171085.38029458508</x:v>
      </x:c>
      <x:c r="K814" s="264" t="n">
        <x:f>((SUM((('Historical Inputs'!$N$9*(1+(D814))^1)*(('Assumptions'!E37+(E814))*(1-'Assumptions'!E42-(0))+'Assumptions'!E47-'Assumptions'!E52*(F814)+'Assumptions'!E57-'Assumptions'!E62*(1)-'Assumptions'!E67-(0))+('Working Capital'!$E$6))*'DCF'!E12/(1+(G814))^'DCF'!E13,(('Historical Inputs'!$N$9*(1+(D814))^2)*(('Assumptions'!F37+(E814))*(1-'Assumptions'!F42-(0))+'Assumptions'!F47-'Assumptions'!F52*(F814)+'Assumptions'!F57-'Assumptions'!F62*(1)-'Assumptions'!F67-(0))+(('Historical Inputs'!$N$9*(1+(D814))^1)*('Assumptions'!E67+(0))))*'DCF'!F12/(1+(G814))^'DCF'!F13,(('Historical Inputs'!$N$9*(1+(D814))^3)*(('Assumptions'!G37+(E814))*(1-'Assumptions'!G42-(0))+'Assumptions'!G47-'Assumptions'!G52*(F814)+'Assumptions'!G57-'Assumptions'!G62*(1)-'Assumptions'!G67-(0))+(('Historical Inputs'!$N$9*(1+(D814))^2)*('Assumptions'!F67+(0))))*'DCF'!G12/(1+(G814))^'DCF'!G13,(('Historical Inputs'!$N$9*(1+(D814))^4)*(('Assumptions'!H37+(E814))*(1-'Assumptions'!H42-(0))+'Assumptions'!H47-'Assumptions'!H52*(F814)+'Assumptions'!H57-'Assumptions'!H62*(1)-'Assumptions'!H67-(0))+(('Historical Inputs'!$N$9*(1+(D814))^3)*('Assumptions'!G67+(0))))*'DCF'!H12/(1+(G814))^'DCF'!H13,(('Historical Inputs'!$N$9*(1+(D814))^5)*(('Assumptions'!I37+(E814))*(1-'Assumptions'!I42-(0))+'Assumptions'!I47-'Assumptions'!I52*(F814)+'Assumptions'!I57-'Assumptions'!I62*(1)-'Assumptions'!I67-(0))+(('Historical Inputs'!$N$9*(1+(D814))^4)*('Assumptions'!H67+(0))))*'DCF'!I12/(1+(G814))^'DCF'!I13)+('Historical Inputs'!$N$9*(1+(D814))^5)*(1+(H814))*('Terminal Value'!$E$10+(E814))*(1-'Assumptions'!$E$15-(0))*(1-(H814)/('Terminal Value'!$E$12))/((G814)-(H814))/(1+(G814))^'DCF'!$E$19)+'Equity Bridge'!$E$17)/'Equity Bridge'!$E$20</x:f>
        <x:v>255.92870091654234</x:v>
      </x:c>
      <x:c r="X814" s="255" t="n">
        <x:v>0.049946643900192655</x:v>
      </x:c>
      <x:c r="Y814" s="255" t="n">
        <x:v>0.9421637662762823</x:v>
      </x:c>
      <x:c r="Z814" s="255" t="n">
        <x:v>0.8364888998879412</x:v>
      </x:c>
      <x:c r="AA814" s="255" t="n">
        <x:v>0.5497769485636377</x:v>
      </x:c>
      <x:c r="AB814" s="255" t="n">
        <x:v>0.26721300340248977</x:v>
      </x:c>
    </x:row>
    <x:row r="815" ht="24" customHeight="1">
      <x:c r="C815" s="256" t="n">
        <x:f>784</x:f>
        <x:v>784</x:v>
      </x:c>
      <x:c r="D815" s="258" t="n">
        <x:f>IF(X815&lt;($E$12-$D$12)/($F$12-$D$12),$D$12+SQRT(X815*($F$12-$D$12)*($E$12-$D$12)),$F$12-SQRT((1-X815)*($F$12-$D$12)*($F$12-$E$12)))</x:f>
        <x:v>0.13932113655276349</x:v>
      </x:c>
      <x:c r="E815" s="258" t="n">
        <x:f>IF(Y815&lt;($E$13-$D$13)/($F$13-$D$13),$D$13+SQRT(Y815*($F$13-$D$13)*($E$13-$D$13)),$F$13-SQRT((1-Y815)*($F$13-$D$13)*($F$13-$E$13)))</x:f>
        <x:v>-0.04408687647875709</x:v>
      </x:c>
      <x:c r="F815" s="260" t="n">
        <x:f>IF(Z815&lt;($E$14-$D$14)/($F$14-$D$14),$D$14+SQRT(Z815*($F$14-$D$14)*($E$14-$D$14)),$F$14-SQRT((1-Z815)*($F$14-$D$14)*($F$14-$E$14)))</x:f>
        <x:v>1.0918583284854733</x:v>
      </x:c>
      <x:c r="G815" s="258" t="n">
        <x:f>IF(AA815&lt;($E$15-$D$15)/($F$15-$D$15),$D$15+SQRT(AA815*($F$15-$D$15)*($E$15-$D$15)),$F$15-SQRT((1-AA815)*($F$15-$D$15)*($F$15-$E$15)))</x:f>
        <x:v>0.09112336594073409</x:v>
      </x:c>
      <x:c r="H815" s="258" t="n">
        <x:f>IF(AB815&lt;($E$16-$D$16)/($F$16-$D$16),$D$16+SQRT(AB815*($F$16-$D$16)*($E$16-$D$16)),$F$16-SQRT((1-AB815)*($F$16-$D$16)*($F$16-$E$16)))</x:f>
        <x:v>0.03095973528321897</x:v>
      </x:c>
      <x:c r="I815" s="262" t="n">
        <x:f>'Historical Inputs'!$N$9*(1+D815)^5</x:f>
        <x:v>637027.5252694902</x:v>
      </x:c>
      <x:c r="J815" s="262" t="n">
        <x:f>I815*(1+H815)*('Terminal Value'!$E$10+E815)*(1-'Assumptions'!$E$15)*(1-H815/'Terminal Value'!$E$12)</x:f>
        <x:v>158049.83965405344</x:v>
      </x:c>
      <x:c r="K815" s="264" t="n">
        <x:f>((SUM((('Historical Inputs'!$N$9*(1+(D815))^1)*(('Assumptions'!E37+(E815))*(1-'Assumptions'!E42-(0))+'Assumptions'!E47-'Assumptions'!E52*(F815)+'Assumptions'!E57-'Assumptions'!E62*(1)-'Assumptions'!E67-(0))+('Working Capital'!$E$6))*'DCF'!E12/(1+(G815))^'DCF'!E13,(('Historical Inputs'!$N$9*(1+(D815))^2)*(('Assumptions'!F37+(E815))*(1-'Assumptions'!F42-(0))+'Assumptions'!F47-'Assumptions'!F52*(F815)+'Assumptions'!F57-'Assumptions'!F62*(1)-'Assumptions'!F67-(0))+(('Historical Inputs'!$N$9*(1+(D815))^1)*('Assumptions'!E67+(0))))*'DCF'!F12/(1+(G815))^'DCF'!F13,(('Historical Inputs'!$N$9*(1+(D815))^3)*(('Assumptions'!G37+(E815))*(1-'Assumptions'!G42-(0))+'Assumptions'!G47-'Assumptions'!G52*(F815)+'Assumptions'!G57-'Assumptions'!G62*(1)-'Assumptions'!G67-(0))+(('Historical Inputs'!$N$9*(1+(D815))^2)*('Assumptions'!F67+(0))))*'DCF'!G12/(1+(G815))^'DCF'!G13,(('Historical Inputs'!$N$9*(1+(D815))^4)*(('Assumptions'!H37+(E815))*(1-'Assumptions'!H42-(0))+'Assumptions'!H47-'Assumptions'!H52*(F815)+'Assumptions'!H57-'Assumptions'!H62*(1)-'Assumptions'!H67-(0))+(('Historical Inputs'!$N$9*(1+(D815))^3)*('Assumptions'!G67+(0))))*'DCF'!H12/(1+(G815))^'DCF'!H13,(('Historical Inputs'!$N$9*(1+(D815))^5)*(('Assumptions'!I37+(E815))*(1-'Assumptions'!I42-(0))+'Assumptions'!I47-'Assumptions'!I52*(F815)+'Assumptions'!I57-'Assumptions'!I62*(1)-'Assumptions'!I67-(0))+(('Historical Inputs'!$N$9*(1+(D815))^4)*('Assumptions'!H67+(0))))*'DCF'!I12/(1+(G815))^'DCF'!I13)+('Historical Inputs'!$N$9*(1+(D815))^5)*(1+(H815))*('Terminal Value'!$E$10+(E815))*(1-'Assumptions'!$E$15-(0))*(1-(H815)/('Terminal Value'!$E$12))/((G815)-(H815))/(1+(G815))^'DCF'!$E$19)+'Equity Bridge'!$E$17)/'Equity Bridge'!$E$20</x:f>
        <x:v>274.59914221239393</x:v>
      </x:c>
      <x:c r="X815" s="255" t="n">
        <x:v>0.42438053311102863</x:v>
      </x:c>
      <x:c r="Y815" s="255" t="n">
        <x:v>0.006993005955495235</x:v>
      </x:c>
      <x:c r="Z815" s="255" t="n">
        <x:v>0.832933984029203</x:v>
      </x:c>
      <x:c r="AA815" s="255" t="n">
        <x:v>0.14161830113165674</x:v>
      </x:c>
      <x:c r="AB815" s="255" t="n">
        <x:v>0.5913680692526203</x:v>
      </x:c>
    </x:row>
    <x:row r="816" ht="24" customHeight="1">
      <x:c r="C816" s="256" t="n">
        <x:f>785</x:f>
        <x:v>785</x:v>
      </x:c>
      <x:c r="D816" s="258" t="n">
        <x:f>IF(X816&lt;($E$12-$D$12)/($F$12-$D$12),$D$12+SQRT(X816*($F$12-$D$12)*($E$12-$D$12)),$F$12-SQRT((1-X816)*($F$12-$D$12)*($F$12-$E$12)))</x:f>
        <x:v>0.14506827293349742</x:v>
      </x:c>
      <x:c r="E816" s="258" t="n">
        <x:f>IF(Y816&lt;($E$13-$D$13)/($F$13-$D$13),$D$13+SQRT(Y816*($F$13-$D$13)*($E$13-$D$13)),$F$13-SQRT((1-Y816)*($F$13-$D$13)*($F$13-$E$13)))</x:f>
        <x:v>-0.0010857649630814786</x:v>
      </x:c>
      <x:c r="F816" s="260" t="n">
        <x:f>IF(Z816&lt;($E$14-$D$14)/($F$14-$D$14),$D$14+SQRT(Z816*($F$14-$D$14)*($E$14-$D$14)),$F$14-SQRT((1-Z816)*($F$14-$D$14)*($F$14-$E$14)))</x:f>
        <x:v>1.0273810078050634</x:v>
      </x:c>
      <x:c r="G816" s="258" t="n">
        <x:f>IF(AA816&lt;($E$15-$D$15)/($F$15-$D$15),$D$15+SQRT(AA816*($F$15-$D$15)*($E$15-$D$15)),$F$15-SQRT((1-AA816)*($F$15-$D$15)*($F$15-$E$15)))</x:f>
        <x:v>0.0974394327133061</x:v>
      </x:c>
      <x:c r="H816" s="258" t="n">
        <x:f>IF(AB816&lt;($E$16-$D$16)/($F$16-$D$16),$D$16+SQRT(AB816*($F$16-$D$16)*($E$16-$D$16)),$F$16-SQRT((1-AB816)*($F$16-$D$16)*($F$16-$E$16)))</x:f>
        <x:v>0.025082554162016484</x:v>
      </x:c>
      <x:c r="I816" s="262" t="n">
        <x:f>'Historical Inputs'!$N$9*(1+D816)^5</x:f>
        <x:v>653257.3937599297</x:v>
      </x:c>
      <x:c r="J816" s="262" t="n">
        <x:f>I816*(1+H816)*('Terminal Value'!$E$10+E816)*(1-'Assumptions'!$E$15)*(1-H816/'Terminal Value'!$E$12)</x:f>
        <x:v>186902.80912831167</x:v>
      </x:c>
      <x:c r="K816" s="264" t="n">
        <x:f>((SUM((('Historical Inputs'!$N$9*(1+(D816))^1)*(('Assumptions'!E37+(E816))*(1-'Assumptions'!E42-(0))+'Assumptions'!E47-'Assumptions'!E52*(F816)+'Assumptions'!E57-'Assumptions'!E62*(1)-'Assumptions'!E67-(0))+('Working Capital'!$E$6))*'DCF'!E12/(1+(G816))^'DCF'!E13,(('Historical Inputs'!$N$9*(1+(D816))^2)*(('Assumptions'!F37+(E816))*(1-'Assumptions'!F42-(0))+'Assumptions'!F47-'Assumptions'!F52*(F816)+'Assumptions'!F57-'Assumptions'!F62*(1)-'Assumptions'!F67-(0))+(('Historical Inputs'!$N$9*(1+(D816))^1)*('Assumptions'!E67+(0))))*'DCF'!F12/(1+(G816))^'DCF'!F13,(('Historical Inputs'!$N$9*(1+(D816))^3)*(('Assumptions'!G37+(E816))*(1-'Assumptions'!G42-(0))+'Assumptions'!G47-'Assumptions'!G52*(F816)+'Assumptions'!G57-'Assumptions'!G62*(1)-'Assumptions'!G67-(0))+(('Historical Inputs'!$N$9*(1+(D816))^2)*('Assumptions'!F67+(0))))*'DCF'!G12/(1+(G816))^'DCF'!G13,(('Historical Inputs'!$N$9*(1+(D816))^4)*(('Assumptions'!H37+(E816))*(1-'Assumptions'!H42-(0))+'Assumptions'!H47-'Assumptions'!H52*(F816)+'Assumptions'!H57-'Assumptions'!H62*(1)-'Assumptions'!H67-(0))+(('Historical Inputs'!$N$9*(1+(D816))^3)*('Assumptions'!G67+(0))))*'DCF'!H12/(1+(G816))^'DCF'!H13,(('Historical Inputs'!$N$9*(1+(D816))^5)*(('Assumptions'!I37+(E816))*(1-'Assumptions'!I42-(0))+'Assumptions'!I47-'Assumptions'!I52*(F816)+'Assumptions'!I57-'Assumptions'!I62*(1)-'Assumptions'!I67-(0))+(('Historical Inputs'!$N$9*(1+(D816))^4)*('Assumptions'!H67+(0))))*'DCF'!I12/(1+(G816))^'DCF'!I13)+('Historical Inputs'!$N$9*(1+(D816))^5)*(1+(H816))*('Terminal Value'!$E$10+(E816))*(1-'Assumptions'!$E$15-(0))*(1-(H816)/('Terminal Value'!$E$12))/((G816)-(H816))/(1+(G816))^'DCF'!$E$19)+'Equity Bridge'!$E$17)/'Equity Bridge'!$E$20</x:f>
        <x:v>277.5887320407742</x:v>
      </x:c>
      <x:c r="X816" s="255" t="n">
        <x:v>0.5355688960339602</x:v>
      </x:c>
      <x:c r="Y816" s="255" t="n">
        <x:v>0.47852047784938145</x:v>
      </x:c>
      <x:c r="Z816" s="255" t="n">
        <x:v>0.5743240504800624</x:v>
      </x:c>
      <x:c r="AA816" s="255" t="n">
        <x:v>0.45436269945417695</x:v>
      </x:c>
      <x:c r="AB816" s="255" t="n">
        <x:v>0.12916178404915546</x:v>
      </x:c>
    </x:row>
    <x:row r="817" ht="24" customHeight="1">
      <x:c r="C817" s="256" t="n">
        <x:f>786</x:f>
        <x:v>786</x:v>
      </x:c>
      <x:c r="D817" s="258" t="n">
        <x:f>IF(X817&lt;($E$12-$D$12)/($F$12-$D$12),$D$12+SQRT(X817*($F$12-$D$12)*($E$12-$D$12)),$F$12-SQRT((1-X817)*($F$12-$D$12)*($F$12-$E$12)))</x:f>
        <x:v>0.14262088633330022</x:v>
      </x:c>
      <x:c r="E817" s="258" t="n">
        <x:f>IF(Y817&lt;($E$13-$D$13)/($F$13-$D$13),$D$13+SQRT(Y817*($F$13-$D$13)*($E$13-$D$13)),$F$13-SQRT((1-Y817)*($F$13-$D$13)*($F$13-$E$13)))</x:f>
        <x:v>0.008163819506063999</x:v>
      </x:c>
      <x:c r="F817" s="260" t="n">
        <x:f>IF(Z817&lt;($E$14-$D$14)/($F$14-$D$14),$D$14+SQRT(Z817*($F$14-$D$14)*($E$14-$D$14)),$F$14-SQRT((1-Z817)*($F$14-$D$14)*($F$14-$E$14)))</x:f>
        <x:v>1.0865701762496283</x:v>
      </x:c>
      <x:c r="G817" s="258" t="n">
        <x:f>IF(AA817&lt;($E$15-$D$15)/($F$15-$D$15),$D$15+SQRT(AA817*($F$15-$D$15)*($E$15-$D$15)),$F$15-SQRT((1-AA817)*($F$15-$D$15)*($F$15-$E$15)))</x:f>
        <x:v>0.0897342593179816</x:v>
      </x:c>
      <x:c r="H817" s="258" t="n">
        <x:f>IF(AB817&lt;($E$16-$D$16)/($F$16-$D$16),$D$16+SQRT(AB817*($F$16-$D$16)*($E$16-$D$16)),$F$16-SQRT((1-AB817)*($F$16-$D$16)*($F$16-$E$16)))</x:f>
        <x:v>0.03102632734934095</x:v>
      </x:c>
      <x:c r="I817" s="262" t="n">
        <x:f>'Historical Inputs'!$N$9*(1+D817)^5</x:f>
        <x:v>646306.0450310705</x:v>
      </x:c>
      <x:c r="J817" s="262" t="n">
        <x:f>I817*(1+H817)*('Terminal Value'!$E$10+E817)*(1-'Assumptions'!$E$15)*(1-H817/'Terminal Value'!$E$12)</x:f>
        <x:v>183832.16984939468</x:v>
      </x:c>
      <x:c r="K817" s="264" t="n">
        <x:f>((SUM((('Historical Inputs'!$N$9*(1+(D817))^1)*(('Assumptions'!E37+(E817))*(1-'Assumptions'!E42-(0))+'Assumptions'!E47-'Assumptions'!E52*(F817)+'Assumptions'!E57-'Assumptions'!E62*(1)-'Assumptions'!E67-(0))+('Working Capital'!$E$6))*'DCF'!E12/(1+(G817))^'DCF'!E13,(('Historical Inputs'!$N$9*(1+(D817))^2)*(('Assumptions'!F37+(E817))*(1-'Assumptions'!F42-(0))+'Assumptions'!F47-'Assumptions'!F52*(F817)+'Assumptions'!F57-'Assumptions'!F62*(1)-'Assumptions'!F67-(0))+(('Historical Inputs'!$N$9*(1+(D817))^1)*('Assumptions'!E67+(0))))*'DCF'!F12/(1+(G817))^'DCF'!F13,(('Historical Inputs'!$N$9*(1+(D817))^3)*(('Assumptions'!G37+(E817))*(1-'Assumptions'!G42-(0))+'Assumptions'!G47-'Assumptions'!G52*(F817)+'Assumptions'!G57-'Assumptions'!G62*(1)-'Assumptions'!G67-(0))+(('Historical Inputs'!$N$9*(1+(D817))^2)*('Assumptions'!F67+(0))))*'DCF'!G12/(1+(G817))^'DCF'!G13,(('Historical Inputs'!$N$9*(1+(D817))^4)*(('Assumptions'!H37+(E817))*(1-'Assumptions'!H42-(0))+'Assumptions'!H47-'Assumptions'!H52*(F817)+'Assumptions'!H57-'Assumptions'!H62*(1)-'Assumptions'!H67-(0))+(('Historical Inputs'!$N$9*(1+(D817))^3)*('Assumptions'!G67+(0))))*'DCF'!H12/(1+(G817))^'DCF'!H13,(('Historical Inputs'!$N$9*(1+(D817))^5)*(('Assumptions'!I37+(E817))*(1-'Assumptions'!I42-(0))+'Assumptions'!I47-'Assumptions'!I52*(F817)+'Assumptions'!I57-'Assumptions'!I62*(1)-'Assumptions'!I67-(0))+(('Historical Inputs'!$N$9*(1+(D817))^4)*('Assumptions'!H67+(0))))*'DCF'!I12/(1+(G817))^'DCF'!I13)+('Historical Inputs'!$N$9*(1+(D817))^5)*(1+(H817))*('Terminal Value'!$E$10+(E817))*(1-'Assumptions'!$E$15-(0))*(1-(H817)/('Terminal Value'!$E$12))/((G817)-(H817))/(1+(G817))^'DCF'!$E$19)+'Equity Bridge'!$E$17)/'Equity Bridge'!$E$20</x:f>
        <x:v>332.9819464075954</x:v>
      </x:c>
      <x:c r="X817" s="255" t="n">
        <x:v>0.4873582238178864</x:v>
      </x:c>
      <x:c r="Y817" s="255" t="n">
        <x:v>0.6499468003357617</x:v>
      </x:c>
      <x:c r="Z817" s="255" t="n">
        <x:v>0.81619535834228</x:v>
      </x:c>
      <x:c r="AA817" s="255" t="n">
        <x:v>0.09662085708351176</x:v>
      </x:c>
      <x:c r="AB817" s="255" t="n">
        <x:v>0.597365995794069</x:v>
      </x:c>
    </x:row>
    <x:row r="818" ht="24" customHeight="1">
      <x:c r="C818" s="256" t="n">
        <x:f>787</x:f>
        <x:v>787</x:v>
      </x:c>
      <x:c r="D818" s="258" t="n">
        <x:f>IF(X818&lt;($E$12-$D$12)/($F$12-$D$12),$D$12+SQRT(X818*($F$12-$D$12)*($E$12-$D$12)),$F$12-SQRT((1-X818)*($F$12-$D$12)*($F$12-$E$12)))</x:f>
        <x:v>0.16834560631928702</x:v>
      </x:c>
      <x:c r="E818" s="258" t="n">
        <x:f>IF(Y818&lt;($E$13-$D$13)/($F$13-$D$13),$D$13+SQRT(Y818*($F$13-$D$13)*($E$13-$D$13)),$F$13-SQRT((1-Y818)*($F$13-$D$13)*($F$13-$E$13)))</x:f>
        <x:v>0.0018464680304270606</x:v>
      </x:c>
      <x:c r="F818" s="260" t="n">
        <x:f>IF(Z818&lt;($E$14-$D$14)/($F$14-$D$14),$D$14+SQRT(Z818*($F$14-$D$14)*($E$14-$D$14)),$F$14-SQRT((1-Z818)*($F$14-$D$14)*($F$14-$E$14)))</x:f>
        <x:v>0.9013777300790607</x:v>
      </x:c>
      <x:c r="G818" s="258" t="n">
        <x:f>IF(AA818&lt;($E$15-$D$15)/($F$15-$D$15),$D$15+SQRT(AA818*($F$15-$D$15)*($E$15-$D$15)),$F$15-SQRT((1-AA818)*($F$15-$D$15)*($F$15-$E$15)))</x:f>
        <x:v>0.09490033439461641</x:v>
      </x:c>
      <x:c r="H818" s="258" t="n">
        <x:f>IF(AB818&lt;($E$16-$D$16)/($F$16-$D$16),$D$16+SQRT(AB818*($F$16-$D$16)*($E$16-$D$16)),$F$16-SQRT((1-AB818)*($F$16-$D$16)*($F$16-$E$16)))</x:f>
        <x:v>0.034758988977680164</x:v>
      </x:c>
      <x:c r="I818" s="262" t="n">
        <x:f>'Historical Inputs'!$N$9*(1+D818)^5</x:f>
        <x:v>722410.5411407826</x:v>
      </x:c>
      <x:c r="J818" s="262" t="n">
        <x:f>I818*(1+H818)*('Terminal Value'!$E$10+E818)*(1-'Assumptions'!$E$15)*(1-H818/'Terminal Value'!$E$12)</x:f>
        <x:v>198546.0597117352</x:v>
      </x:c>
      <x:c r="K818" s="264" t="n">
        <x:f>((SUM((('Historical Inputs'!$N$9*(1+(D818))^1)*(('Assumptions'!E37+(E818))*(1-'Assumptions'!E42-(0))+'Assumptions'!E47-'Assumptions'!E52*(F818)+'Assumptions'!E57-'Assumptions'!E62*(1)-'Assumptions'!E67-(0))+('Working Capital'!$E$6))*'DCF'!E12/(1+(G818))^'DCF'!E13,(('Historical Inputs'!$N$9*(1+(D818))^2)*(('Assumptions'!F37+(E818))*(1-'Assumptions'!F42-(0))+'Assumptions'!F47-'Assumptions'!F52*(F818)+'Assumptions'!F57-'Assumptions'!F62*(1)-'Assumptions'!F67-(0))+(('Historical Inputs'!$N$9*(1+(D818))^1)*('Assumptions'!E67+(0))))*'DCF'!F12/(1+(G818))^'DCF'!F13,(('Historical Inputs'!$N$9*(1+(D818))^3)*(('Assumptions'!G37+(E818))*(1-'Assumptions'!G42-(0))+'Assumptions'!G47-'Assumptions'!G52*(F818)+'Assumptions'!G57-'Assumptions'!G62*(1)-'Assumptions'!G67-(0))+(('Historical Inputs'!$N$9*(1+(D818))^2)*('Assumptions'!F67+(0))))*'DCF'!G12/(1+(G818))^'DCF'!G13,(('Historical Inputs'!$N$9*(1+(D818))^4)*(('Assumptions'!H37+(E818))*(1-'Assumptions'!H42-(0))+'Assumptions'!H47-'Assumptions'!H52*(F818)+'Assumptions'!H57-'Assumptions'!H62*(1)-'Assumptions'!H67-(0))+(('Historical Inputs'!$N$9*(1+(D818))^3)*('Assumptions'!G67+(0))))*'DCF'!H12/(1+(G818))^'DCF'!H13,(('Historical Inputs'!$N$9*(1+(D818))^5)*(('Assumptions'!I37+(E818))*(1-'Assumptions'!I42-(0))+'Assumptions'!I47-'Assumptions'!I52*(F818)+'Assumptions'!I57-'Assumptions'!I62*(1)-'Assumptions'!I67-(0))+(('Historical Inputs'!$N$9*(1+(D818))^4)*('Assumptions'!H67+(0))))*'DCF'!I12/(1+(G818))^'DCF'!I13)+('Historical Inputs'!$N$9*(1+(D818))^5)*(1+(H818))*('Terminal Value'!$E$10+(E818))*(1-'Assumptions'!$E$15-(0))*(1-(H818)/('Terminal Value'!$E$12))/((G818)-(H818))/(1+(G818))^'DCF'!$E$19)+'Equity Bridge'!$E$17)/'Equity Bridge'!$E$20</x:f>
        <x:v>356.69431669854754</x:v>
      </x:c>
      <x:c r="X818" s="255" t="n">
        <x:v>0.8758842754898085</x:v>
      </x:c>
      <x:c r="Y818" s="255" t="n">
        <x:v>0.5362474717710634</x:v>
      </x:c>
      <x:c r="Z818" s="255" t="n">
        <x:v>0.050279450439558615</x:v>
      </x:c>
      <x:c r="AA818" s="255" t="n">
        <x:v>0.3073261760836815</x:v>
      </x:c>
      <x:c r="AB818" s="255" t="n">
        <x:v>0.8626590173196098</x:v>
      </x:c>
    </x:row>
    <x:row r="819" ht="24" customHeight="1">
      <x:c r="C819" s="256" t="n">
        <x:f>788</x:f>
        <x:v>788</x:v>
      </x:c>
      <x:c r="D819" s="258" t="n">
        <x:f>IF(X819&lt;($E$12-$D$12)/($F$12-$D$12),$D$12+SQRT(X819*($F$12-$D$12)*($E$12-$D$12)),$F$12-SQRT((1-X819)*($F$12-$D$12)*($F$12-$E$12)))</x:f>
        <x:v>0.12346120702580918</x:v>
      </x:c>
      <x:c r="E819" s="258" t="n">
        <x:f>IF(Y819&lt;($E$13-$D$13)/($F$13-$D$13),$D$13+SQRT(Y819*($F$13-$D$13)*($E$13-$D$13)),$F$13-SQRT((1-Y819)*($F$13-$D$13)*($F$13-$E$13)))</x:f>
        <x:v>-0.01780609939593842</x:v>
      </x:c>
      <x:c r="F819" s="260" t="n">
        <x:f>IF(Z819&lt;($E$14-$D$14)/($F$14-$D$14),$D$14+SQRT(Z819*($F$14-$D$14)*($E$14-$D$14)),$F$14-SQRT((1-Z819)*($F$14-$D$14)*($F$14-$E$14)))</x:f>
        <x:v>1.1475121530217147</x:v>
      </x:c>
      <x:c r="G819" s="258" t="n">
        <x:f>IF(AA819&lt;($E$15-$D$15)/($F$15-$D$15),$D$15+SQRT(AA819*($F$15-$D$15)*($E$15-$D$15)),$F$15-SQRT((1-AA819)*($F$15-$D$15)*($F$15-$E$15)))</x:f>
        <x:v>0.09834969916916791</x:v>
      </x:c>
      <x:c r="H819" s="258" t="n">
        <x:f>IF(AB819&lt;($E$16-$D$16)/($F$16-$D$16),$D$16+SQRT(AB819*($F$16-$D$16)*($E$16-$D$16)),$F$16-SQRT((1-AB819)*($F$16-$D$16)*($F$16-$E$16)))</x:f>
        <x:v>0.031256866591071096</x:v>
      </x:c>
      <x:c r="I819" s="262" t="n">
        <x:f>'Historical Inputs'!$N$9*(1+D819)^5</x:f>
        <x:v>593906.1607586256</x:v>
      </x:c>
      <x:c r="J819" s="262" t="n">
        <x:f>I819*(1+H819)*('Terminal Value'!$E$10+E819)*(1-'Assumptions'!$E$15)*(1-H819/'Terminal Value'!$E$12)</x:f>
        <x:v>157999.07201997325</x:v>
      </x:c>
      <x:c r="K819" s="264" t="n">
        <x:f>((SUM((('Historical Inputs'!$N$9*(1+(D819))^1)*(('Assumptions'!E37+(E819))*(1-'Assumptions'!E42-(0))+'Assumptions'!E47-'Assumptions'!E52*(F819)+'Assumptions'!E57-'Assumptions'!E62*(1)-'Assumptions'!E67-(0))+('Working Capital'!$E$6))*'DCF'!E12/(1+(G819))^'DCF'!E13,(('Historical Inputs'!$N$9*(1+(D819))^2)*(('Assumptions'!F37+(E819))*(1-'Assumptions'!F42-(0))+'Assumptions'!F47-'Assumptions'!F52*(F819)+'Assumptions'!F57-'Assumptions'!F62*(1)-'Assumptions'!F67-(0))+(('Historical Inputs'!$N$9*(1+(D819))^1)*('Assumptions'!E67+(0))))*'DCF'!F12/(1+(G819))^'DCF'!F13,(('Historical Inputs'!$N$9*(1+(D819))^3)*(('Assumptions'!G37+(E819))*(1-'Assumptions'!G42-(0))+'Assumptions'!G47-'Assumptions'!G52*(F819)+'Assumptions'!G57-'Assumptions'!G62*(1)-'Assumptions'!G67-(0))+(('Historical Inputs'!$N$9*(1+(D819))^2)*('Assumptions'!F67+(0))))*'DCF'!G12/(1+(G819))^'DCF'!G13,(('Historical Inputs'!$N$9*(1+(D819))^4)*(('Assumptions'!H37+(E819))*(1-'Assumptions'!H42-(0))+'Assumptions'!H47-'Assumptions'!H52*(F819)+'Assumptions'!H57-'Assumptions'!H62*(1)-'Assumptions'!H67-(0))+(('Historical Inputs'!$N$9*(1+(D819))^3)*('Assumptions'!G67+(0))))*'DCF'!H12/(1+(G819))^'DCF'!H13,(('Historical Inputs'!$N$9*(1+(D819))^5)*(('Assumptions'!I37+(E819))*(1-'Assumptions'!I42-(0))+'Assumptions'!I47-'Assumptions'!I52*(F819)+'Assumptions'!I57-'Assumptions'!I62*(1)-'Assumptions'!I67-(0))+(('Historical Inputs'!$N$9*(1+(D819))^4)*('Assumptions'!H67+(0))))*'DCF'!I12/(1+(G819))^'DCF'!I13)+('Historical Inputs'!$N$9*(1+(D819))^5)*(1+(H819))*('Terminal Value'!$E$10+(E819))*(1-'Assumptions'!$E$15-(0))*(1-(H819)/('Terminal Value'!$E$12))/((G819)-(H819))/(1+(G819))^'DCF'!$E$19)+'Equity Bridge'!$E$17)/'Equity Bridge'!$E$20</x:f>
        <x:v>242.79105566993877</x:v>
      </x:c>
      <x:c r="X819" s="255" t="n">
        <x:v>0.18245856071618127</x:v>
      </x:c>
      <x:c r="Y819" s="255" t="n">
        <x:v>0.2072894472208393</x:v>
      </x:c>
      <x:c r="Z819" s="255" t="n">
        <x:v>0.9606432274226303</x:v>
      </x:c>
      <x:c r="AA819" s="255" t="n">
        <x:v>0.513857949658589</x:v>
      </x:c>
      <x:c r="AB819" s="255" t="n">
        <x:v>0.6177880909683564</x:v>
      </x:c>
    </x:row>
    <x:row r="820" ht="24" customHeight="1">
      <x:c r="C820" s="256" t="n">
        <x:f>789</x:f>
        <x:v>789</x:v>
      </x:c>
      <x:c r="D820" s="258" t="n">
        <x:f>IF(X820&lt;($E$12-$D$12)/($F$12-$D$12),$D$12+SQRT(X820*($F$12-$D$12)*($E$12-$D$12)),$F$12-SQRT((1-X820)*($F$12-$D$12)*($F$12-$E$12)))</x:f>
        <x:v>0.16547553282179128</x:v>
      </x:c>
      <x:c r="E820" s="258" t="n">
        <x:f>IF(Y820&lt;($E$13-$D$13)/($F$13-$D$13),$D$13+SQRT(Y820*($F$13-$D$13)*($E$13-$D$13)),$F$13-SQRT((1-Y820)*($F$13-$D$13)*($F$13-$E$13)))</x:f>
        <x:v>-0.000336835874770014</x:v>
      </x:c>
      <x:c r="F820" s="260" t="n">
        <x:f>IF(Z820&lt;($E$14-$D$14)/($F$14-$D$14),$D$14+SQRT(Z820*($F$14-$D$14)*($E$14-$D$14)),$F$14-SQRT((1-Z820)*($F$14-$D$14)*($F$14-$E$14)))</x:f>
        <x:v>1.1728221713354468</x:v>
      </x:c>
      <x:c r="G820" s="258" t="n">
        <x:f>IF(AA820&lt;($E$15-$D$15)/($F$15-$D$15),$D$15+SQRT(AA820*($F$15-$D$15)*($E$15-$D$15)),$F$15-SQRT((1-AA820)*($F$15-$D$15)*($F$15-$E$15)))</x:f>
        <x:v>0.08954108993687306</x:v>
      </x:c>
      <x:c r="H820" s="258" t="n">
        <x:f>IF(AB820&lt;($E$16-$D$16)/($F$16-$D$16),$D$16+SQRT(AB820*($F$16-$D$16)*($E$16-$D$16)),$F$16-SQRT((1-AB820)*($F$16-$D$16)*($F$16-$E$16)))</x:f>
        <x:v>0.0318034556827146</x:v>
      </x:c>
      <x:c r="I820" s="262" t="n">
        <x:f>'Historical Inputs'!$N$9*(1+D820)^5</x:f>
        <x:v>713580.9202590928</x:v>
      </x:c>
      <x:c r="J820" s="262" t="n">
        <x:f>I820*(1+H820)*('Terminal Value'!$E$10+E820)*(1-'Assumptions'!$E$15)*(1-H820/'Terminal Value'!$E$12)</x:f>
        <x:v>197975.47327458457</x:v>
      </x:c>
      <x:c r="K820" s="264" t="n">
        <x:f>((SUM((('Historical Inputs'!$N$9*(1+(D820))^1)*(('Assumptions'!E37+(E820))*(1-'Assumptions'!E42-(0))+'Assumptions'!E47-'Assumptions'!E52*(F820)+'Assumptions'!E57-'Assumptions'!E62*(1)-'Assumptions'!E67-(0))+('Working Capital'!$E$6))*'DCF'!E12/(1+(G820))^'DCF'!E13,(('Historical Inputs'!$N$9*(1+(D820))^2)*(('Assumptions'!F37+(E820))*(1-'Assumptions'!F42-(0))+'Assumptions'!F47-'Assumptions'!F52*(F820)+'Assumptions'!F57-'Assumptions'!F62*(1)-'Assumptions'!F67-(0))+(('Historical Inputs'!$N$9*(1+(D820))^1)*('Assumptions'!E67+(0))))*'DCF'!F12/(1+(G820))^'DCF'!F13,(('Historical Inputs'!$N$9*(1+(D820))^3)*(('Assumptions'!G37+(E820))*(1-'Assumptions'!G42-(0))+'Assumptions'!G47-'Assumptions'!G52*(F820)+'Assumptions'!G57-'Assumptions'!G62*(1)-'Assumptions'!G67-(0))+(('Historical Inputs'!$N$9*(1+(D820))^2)*('Assumptions'!F67+(0))))*'DCF'!G12/(1+(G820))^'DCF'!G13,(('Historical Inputs'!$N$9*(1+(D820))^4)*(('Assumptions'!H37+(E820))*(1-'Assumptions'!H42-(0))+'Assumptions'!H47-'Assumptions'!H52*(F820)+'Assumptions'!H57-'Assumptions'!H62*(1)-'Assumptions'!H67-(0))+(('Historical Inputs'!$N$9*(1+(D820))^3)*('Assumptions'!G67+(0))))*'DCF'!H12/(1+(G820))^'DCF'!H13,(('Historical Inputs'!$N$9*(1+(D820))^5)*(('Assumptions'!I37+(E820))*(1-'Assumptions'!I42-(0))+'Assumptions'!I47-'Assumptions'!I52*(F820)+'Assumptions'!I57-'Assumptions'!I62*(1)-'Assumptions'!I67-(0))+(('Historical Inputs'!$N$9*(1+(D820))^4)*('Assumptions'!H67+(0))))*'DCF'!I12/(1+(G820))^'DCF'!I13)+('Historical Inputs'!$N$9*(1+(D820))^5)*(1+(H820))*('Terminal Value'!$E$10+(E820))*(1-'Assumptions'!$E$15-(0))*(1-(H820)/('Terminal Value'!$E$12))/((G820)-(H820))/(1+(G820))^'DCF'!$E$19)+'Equity Bridge'!$E$17)/'Equity Bridge'!$E$20</x:f>
        <x:v>356.1373736266968</x:v>
      </x:c>
      <x:c r="X820" s="255" t="n">
        <x:v>0.8456377737411687</x:v>
      </x:c>
      <x:c r="Y820" s="255" t="n">
        <x:v>0.49328597418590603</x:v>
      </x:c>
      <x:c r="Z820" s="255" t="n">
        <x:v>0.9894480804154312</x:v>
      </x:c>
      <x:c r="AA820" s="255" t="n">
        <x:v>0.09104272174704164</x:v>
      </x:c>
      <x:c r="AB820" s="255" t="n">
        <x:v>0.6640833062738823</x:v>
      </x:c>
    </x:row>
    <x:row r="821" ht="24" customHeight="1">
      <x:c r="C821" s="256" t="n">
        <x:f>790</x:f>
        <x:v>790</x:v>
      </x:c>
      <x:c r="D821" s="258" t="n">
        <x:f>IF(X821&lt;($E$12-$D$12)/($F$12-$D$12),$D$12+SQRT(X821*($F$12-$D$12)*($E$12-$D$12)),$F$12-SQRT((1-X821)*($F$12-$D$12)*($F$12-$E$12)))</x:f>
        <x:v>0.14226327019429738</x:v>
      </x:c>
      <x:c r="E821" s="258" t="n">
        <x:f>IF(Y821&lt;($E$13-$D$13)/($F$13-$D$13),$D$13+SQRT(Y821*($F$13-$D$13)*($E$13-$D$13)),$F$13-SQRT((1-Y821)*($F$13-$D$13)*($F$13-$E$13)))</x:f>
        <x:v>0.03484270147691475</x:v>
      </x:c>
      <x:c r="F821" s="260" t="n">
        <x:f>IF(Z821&lt;($E$14-$D$14)/($F$14-$D$14),$D$14+SQRT(Z821*($F$14-$D$14)*($E$14-$D$14)),$F$14-SQRT((1-Z821)*($F$14-$D$14)*($F$14-$E$14)))</x:f>
        <x:v>1.1079791828329386</x:v>
      </x:c>
      <x:c r="G821" s="258" t="n">
        <x:f>IF(AA821&lt;($E$15-$D$15)/($F$15-$D$15),$D$15+SQRT(AA821*($F$15-$D$15)*($E$15-$D$15)),$F$15-SQRT((1-AA821)*($F$15-$D$15)*($F$15-$E$15)))</x:f>
        <x:v>0.09528797624033448</x:v>
      </x:c>
      <x:c r="H821" s="258" t="n">
        <x:f>IF(AB821&lt;($E$16-$D$16)/($F$16-$D$16),$D$16+SQRT(AB821*($F$16-$D$16)*($E$16-$D$16)),$F$16-SQRT((1-AB821)*($F$16-$D$16)*($F$16-$E$16)))</x:f>
        <x:v>0.03161515909730739</x:v>
      </x:c>
      <x:c r="I821" s="262" t="n">
        <x:f>'Historical Inputs'!$N$9*(1+D821)^5</x:f>
        <x:v>645295.2774037025</x:v>
      </x:c>
      <x:c r="J821" s="262" t="n">
        <x:f>I821*(1+H821)*('Terminal Value'!$E$10+E821)*(1-'Assumptions'!$E$15)*(1-H821/'Terminal Value'!$E$12)</x:f>
        <x:v>194971.60616227787</x:v>
      </x:c>
      <x:c r="K821" s="264" t="n">
        <x:f>((SUM((('Historical Inputs'!$N$9*(1+(D821))^1)*(('Assumptions'!E37+(E821))*(1-'Assumptions'!E42-(0))+'Assumptions'!E47-'Assumptions'!E52*(F821)+'Assumptions'!E57-'Assumptions'!E62*(1)-'Assumptions'!E67-(0))+('Working Capital'!$E$6))*'DCF'!E12/(1+(G821))^'DCF'!E13,(('Historical Inputs'!$N$9*(1+(D821))^2)*(('Assumptions'!F37+(E821))*(1-'Assumptions'!F42-(0))+'Assumptions'!F47-'Assumptions'!F52*(F821)+'Assumptions'!F57-'Assumptions'!F62*(1)-'Assumptions'!F67-(0))+(('Historical Inputs'!$N$9*(1+(D821))^1)*('Assumptions'!E67+(0))))*'DCF'!F12/(1+(G821))^'DCF'!F13,(('Historical Inputs'!$N$9*(1+(D821))^3)*(('Assumptions'!G37+(E821))*(1-'Assumptions'!G42-(0))+'Assumptions'!G47-'Assumptions'!G52*(F821)+'Assumptions'!G57-'Assumptions'!G62*(1)-'Assumptions'!G67-(0))+(('Historical Inputs'!$N$9*(1+(D821))^2)*('Assumptions'!F67+(0))))*'DCF'!G12/(1+(G821))^'DCF'!G13,(('Historical Inputs'!$N$9*(1+(D821))^4)*(('Assumptions'!H37+(E821))*(1-'Assumptions'!H42-(0))+'Assumptions'!H47-'Assumptions'!H52*(F821)+'Assumptions'!H57-'Assumptions'!H62*(1)-'Assumptions'!H67-(0))+(('Historical Inputs'!$N$9*(1+(D821))^3)*('Assumptions'!G67+(0))))*'DCF'!H12/(1+(G821))^'DCF'!H13,(('Historical Inputs'!$N$9*(1+(D821))^5)*(('Assumptions'!I37+(E821))*(1-'Assumptions'!I42-(0))+'Assumptions'!I47-'Assumptions'!I52*(F821)+'Assumptions'!I57-'Assumptions'!I62*(1)-'Assumptions'!I67-(0))+(('Historical Inputs'!$N$9*(1+(D821))^4)*('Assumptions'!H67+(0))))*'DCF'!I12/(1+(G821))^'DCF'!I13)+('Historical Inputs'!$N$9*(1+(D821))^5)*(1+(H821))*('Terminal Value'!$E$10+(E821))*(1-'Assumptions'!$E$15-(0))*(1-(H821)/('Terminal Value'!$E$12))/((G821)-(H821))/(1+(G821))^'DCF'!$E$19)+'Equity Bridge'!$E$17)/'Equity Bridge'!$E$20</x:f>
        <x:v>323.57316013071267</x:v>
      </x:c>
      <x:c r="X821" s="255" t="n">
        <x:v>0.48032247582592535</x:v>
      </x:c>
      <x:c r="Y821" s="255" t="n">
        <x:v>0.9540512602964155</x:v>
      </x:c>
      <x:c r="Z821" s="255" t="n">
        <x:v>0.8790309886843752</x:v>
      </x:c>
      <x:c r="AA821" s="255" t="n">
        <x:v>0.327920787988622</x:v>
      </x:c>
      <x:c r="AB821" s="255" t="n">
        <x:v>0.6484722151826647</x:v>
      </x:c>
    </x:row>
    <x:row r="822" ht="24" customHeight="1">
      <x:c r="C822" s="256" t="n">
        <x:f>791</x:f>
        <x:v>791</x:v>
      </x:c>
      <x:c r="D822" s="258" t="n">
        <x:f>IF(X822&lt;($E$12-$D$12)/($F$12-$D$12),$D$12+SQRT(X822*($F$12-$D$12)*($E$12-$D$12)),$F$12-SQRT((1-X822)*($F$12-$D$12)*($F$12-$E$12)))</x:f>
        <x:v>0.12202154291634716</x:v>
      </x:c>
      <x:c r="E822" s="258" t="n">
        <x:f>IF(Y822&lt;($E$13-$D$13)/($F$13-$D$13),$D$13+SQRT(Y822*($F$13-$D$13)*($E$13-$D$13)),$F$13-SQRT((1-Y822)*($F$13-$D$13)*($F$13-$E$13)))</x:f>
        <x:v>0.011383950613665102</x:v>
      </x:c>
      <x:c r="F822" s="260" t="n">
        <x:f>IF(Z822&lt;($E$14-$D$14)/($F$14-$D$14),$D$14+SQRT(Z822*($F$14-$D$14)*($E$14-$D$14)),$F$14-SQRT((1-Z822)*($F$14-$D$14)*($F$14-$E$14)))</x:f>
        <x:v>1.1453688806222293</x:v>
      </x:c>
      <x:c r="G822" s="258" t="n">
        <x:f>IF(AA822&lt;($E$15-$D$15)/($F$15-$D$15),$D$15+SQRT(AA822*($F$15-$D$15)*($E$15-$D$15)),$F$15-SQRT((1-AA822)*($F$15-$D$15)*($F$15-$E$15)))</x:f>
        <x:v>0.10222240415782032</x:v>
      </x:c>
      <x:c r="H822" s="258" t="n">
        <x:f>IF(AB822&lt;($E$16-$D$16)/($F$16-$D$16),$D$16+SQRT(AB822*($F$16-$D$16)*($E$16-$D$16)),$F$16-SQRT((1-AB822)*($F$16-$D$16)*($F$16-$E$16)))</x:f>
        <x:v>0.024239485986192504</x:v>
      </x:c>
      <x:c r="I822" s="262" t="n">
        <x:f>'Historical Inputs'!$N$9*(1+D822)^5</x:f>
        <x:v>590110.5831577387</x:v>
      </x:c>
      <x:c r="J822" s="262" t="n">
        <x:f>I822*(1+H822)*('Terminal Value'!$E$10+E822)*(1-'Assumptions'!$E$15)*(1-H822/'Terminal Value'!$E$12)</x:f>
        <x:v>174808.9111947468</x:v>
      </x:c>
      <x:c r="K822" s="264" t="n">
        <x:f>((SUM((('Historical Inputs'!$N$9*(1+(D822))^1)*(('Assumptions'!E37+(E822))*(1-'Assumptions'!E42-(0))+'Assumptions'!E47-'Assumptions'!E52*(F822)+'Assumptions'!E57-'Assumptions'!E62*(1)-'Assumptions'!E67-(0))+('Working Capital'!$E$6))*'DCF'!E12/(1+(G822))^'DCF'!E13,(('Historical Inputs'!$N$9*(1+(D822))^2)*(('Assumptions'!F37+(E822))*(1-'Assumptions'!F42-(0))+'Assumptions'!F47-'Assumptions'!F52*(F822)+'Assumptions'!F57-'Assumptions'!F62*(1)-'Assumptions'!F67-(0))+(('Historical Inputs'!$N$9*(1+(D822))^1)*('Assumptions'!E67+(0))))*'DCF'!F12/(1+(G822))^'DCF'!F13,(('Historical Inputs'!$N$9*(1+(D822))^3)*(('Assumptions'!G37+(E822))*(1-'Assumptions'!G42-(0))+'Assumptions'!G47-'Assumptions'!G52*(F822)+'Assumptions'!G57-'Assumptions'!G62*(1)-'Assumptions'!G67-(0))+(('Historical Inputs'!$N$9*(1+(D822))^2)*('Assumptions'!F67+(0))))*'DCF'!G12/(1+(G822))^'DCF'!G13,(('Historical Inputs'!$N$9*(1+(D822))^4)*(('Assumptions'!H37+(E822))*(1-'Assumptions'!H42-(0))+'Assumptions'!H47-'Assumptions'!H52*(F822)+'Assumptions'!H57-'Assumptions'!H62*(1)-'Assumptions'!H67-(0))+(('Historical Inputs'!$N$9*(1+(D822))^3)*('Assumptions'!G67+(0))))*'DCF'!H12/(1+(G822))^'DCF'!H13,(('Historical Inputs'!$N$9*(1+(D822))^5)*(('Assumptions'!I37+(E822))*(1-'Assumptions'!I42-(0))+'Assumptions'!I47-'Assumptions'!I52*(F822)+'Assumptions'!I57-'Assumptions'!I62*(1)-'Assumptions'!I67-(0))+(('Historical Inputs'!$N$9*(1+(D822))^4)*('Assumptions'!H67+(0))))*'DCF'!I12/(1+(G822))^'DCF'!I13)+('Historical Inputs'!$N$9*(1+(D822))^5)*(1+(H822))*('Terminal Value'!$E$10+(E822))*(1-'Assumptions'!$E$15-(0))*(1-(H822)/('Terminal Value'!$E$12))/((G822)-(H822))/(1+(G822))^'DCF'!$E$19)+'Equity Bridge'!$E$17)/'Equity Bridge'!$E$20</x:f>
        <x:v>234.9460056332909</x:v>
      </x:c>
      <x:c r="X822" s="255" t="n">
        <x:v>0.16547953471074528</x:v>
      </x:c>
      <x:c r="Y822" s="255" t="n">
        <x:v>0.7017601459584288</x:v>
      </x:c>
      <x:c r="Z822" s="255" t="n">
        <x:v>0.9573634399361682</x:v>
      </x:c>
      <x:c r="AA822" s="255" t="n">
        <x:v>0.7351067496668846</x:v>
      </x:c>
      <x:c r="AB822" s="255" t="n">
        <x:v>0.08986620713561322</x:v>
      </x:c>
    </x:row>
    <x:row r="823" ht="24" customHeight="1">
      <x:c r="C823" s="256" t="n">
        <x:f>792</x:f>
        <x:v>792</x:v>
      </x:c>
      <x:c r="D823" s="258" t="n">
        <x:f>IF(X823&lt;($E$12-$D$12)/($F$12-$D$12),$D$12+SQRT(X823*($F$12-$D$12)*($E$12-$D$12)),$F$12-SQRT((1-X823)*($F$12-$D$12)*($F$12-$E$12)))</x:f>
        <x:v>0.16910975312803178</x:v>
      </x:c>
      <x:c r="E823" s="258" t="n">
        <x:f>IF(Y823&lt;($E$13-$D$13)/($F$13-$D$13),$D$13+SQRT(Y823*($F$13-$D$13)*($E$13-$D$13)),$F$13-SQRT((1-Y823)*($F$13-$D$13)*($F$13-$E$13)))</x:f>
        <x:v>0.03179545176276939</x:v>
      </x:c>
      <x:c r="F823" s="260" t="n">
        <x:f>IF(Z823&lt;($E$14-$D$14)/($F$14-$D$14),$D$14+SQRT(Z823*($F$14-$D$14)*($E$14-$D$14)),$F$14-SQRT((1-Z823)*($F$14-$D$14)*($F$14-$E$14)))</x:f>
        <x:v>1.1197738124924013</x:v>
      </x:c>
      <x:c r="G823" s="258" t="n">
        <x:f>IF(AA823&lt;($E$15-$D$15)/($F$15-$D$15),$D$15+SQRT(AA823*($F$15-$D$15)*($E$15-$D$15)),$F$15-SQRT((1-AA823)*($F$15-$D$15)*($F$15-$E$15)))</x:f>
        <x:v>0.09969539066564265</x:v>
      </x:c>
      <x:c r="H823" s="258" t="n">
        <x:f>IF(AB823&lt;($E$16-$D$16)/($F$16-$D$16),$D$16+SQRT(AB823*($F$16-$D$16)*($E$16-$D$16)),$F$16-SQRT((1-AB823)*($F$16-$D$16)*($F$16-$E$16)))</x:f>
        <x:v>0.031236908798009375</x:v>
      </x:c>
      <x:c r="I823" s="262" t="n">
        <x:f>'Historical Inputs'!$N$9*(1+D823)^5</x:f>
        <x:v>724776.0667070431</x:v>
      </x:c>
      <x:c r="J823" s="262" t="n">
        <x:f>I823*(1+H823)*('Terminal Value'!$E$10+E823)*(1-'Assumptions'!$E$15)*(1-H823/'Terminal Value'!$E$12)</x:f>
        <x:v>217860.1601888703</x:v>
      </x:c>
      <x:c r="K823" s="264" t="n">
        <x:f>((SUM((('Historical Inputs'!$N$9*(1+(D823))^1)*(('Assumptions'!E37+(E823))*(1-'Assumptions'!E42-(0))+'Assumptions'!E47-'Assumptions'!E52*(F823)+'Assumptions'!E57-'Assumptions'!E62*(1)-'Assumptions'!E67-(0))+('Working Capital'!$E$6))*'DCF'!E12/(1+(G823))^'DCF'!E13,(('Historical Inputs'!$N$9*(1+(D823))^2)*(('Assumptions'!F37+(E823))*(1-'Assumptions'!F42-(0))+'Assumptions'!F47-'Assumptions'!F52*(F823)+'Assumptions'!F57-'Assumptions'!F62*(1)-'Assumptions'!F67-(0))+(('Historical Inputs'!$N$9*(1+(D823))^1)*('Assumptions'!E67+(0))))*'DCF'!F12/(1+(G823))^'DCF'!F13,(('Historical Inputs'!$N$9*(1+(D823))^3)*(('Assumptions'!G37+(E823))*(1-'Assumptions'!G42-(0))+'Assumptions'!G47-'Assumptions'!G52*(F823)+'Assumptions'!G57-'Assumptions'!G62*(1)-'Assumptions'!G67-(0))+(('Historical Inputs'!$N$9*(1+(D823))^2)*('Assumptions'!F67+(0))))*'DCF'!G12/(1+(G823))^'DCF'!G13,(('Historical Inputs'!$N$9*(1+(D823))^4)*(('Assumptions'!H37+(E823))*(1-'Assumptions'!H42-(0))+'Assumptions'!H47-'Assumptions'!H52*(F823)+'Assumptions'!H57-'Assumptions'!H62*(1)-'Assumptions'!H67-(0))+(('Historical Inputs'!$N$9*(1+(D823))^3)*('Assumptions'!G67+(0))))*'DCF'!H12/(1+(G823))^'DCF'!H13,(('Historical Inputs'!$N$9*(1+(D823))^5)*(('Assumptions'!I37+(E823))*(1-'Assumptions'!I42-(0))+'Assumptions'!I47-'Assumptions'!I52*(F823)+'Assumptions'!I57-'Assumptions'!I62*(1)-'Assumptions'!I67-(0))+(('Historical Inputs'!$N$9*(1+(D823))^4)*('Assumptions'!H67+(0))))*'DCF'!I12/(1+(G823))^'DCF'!I13)+('Historical Inputs'!$N$9*(1+(D823))^5)*(1+(H823))*('Terminal Value'!$E$10+(E823))*(1-'Assumptions'!$E$15-(0))*(1-(H823)/('Terminal Value'!$E$12))/((G823)-(H823))/(1+(G823))^'DCF'!$E$19)+'Equity Bridge'!$E$17)/'Equity Bridge'!$E$20</x:f>
        <x:v>331.7030225265195</x:v>
      </x:c>
      <x:c r="X823" s="255" t="n">
        <x:v>0.8833818828850707</x:v>
      </x:c>
      <x:c r="Y823" s="255" t="n">
        <x:v>0.9337188846956688</x:v>
      </x:c>
      <x:c r="Z823" s="255" t="n">
        <x:v>0.9080536976856514</x:v>
      </x:c>
      <x:c r="AA823" s="255" t="n">
        <x:v>0.598294555028836</x:v>
      </x:c>
      <x:c r="AB823" s="255" t="n">
        <x:v>0.6160411629279727</x:v>
      </x:c>
    </x:row>
    <x:row r="824" ht="24" customHeight="1">
      <x:c r="C824" s="256" t="n">
        <x:f>793</x:f>
        <x:v>793</x:v>
      </x:c>
      <x:c r="D824" s="258" t="n">
        <x:f>IF(X824&lt;($E$12-$D$12)/($F$12-$D$12),$D$12+SQRT(X824*($F$12-$D$12)*($E$12-$D$12)),$F$12-SQRT((1-X824)*($F$12-$D$12)*($F$12-$E$12)))</x:f>
        <x:v>0.1430597313674653</x:v>
      </x:c>
      <x:c r="E824" s="258" t="n">
        <x:f>IF(Y824&lt;($E$13-$D$13)/($F$13-$D$13),$D$13+SQRT(Y824*($F$13-$D$13)*($E$13-$D$13)),$F$13-SQRT((1-Y824)*($F$13-$D$13)*($F$13-$E$13)))</x:f>
        <x:v>0.022604745574741493</x:v>
      </x:c>
      <x:c r="F824" s="260" t="n">
        <x:f>IF(Z824&lt;($E$14-$D$14)/($F$14-$D$14),$D$14+SQRT(Z824*($F$14-$D$14)*($E$14-$D$14)),$F$14-SQRT((1-Z824)*($F$14-$D$14)*($F$14-$E$14)))</x:f>
        <x:v>1.0574371607446142</x:v>
      </x:c>
      <x:c r="G824" s="258" t="n">
        <x:f>IF(AA824&lt;($E$15-$D$15)/($F$15-$D$15),$D$15+SQRT(AA824*($F$15-$D$15)*($E$15-$D$15)),$F$15-SQRT((1-AA824)*($F$15-$D$15)*($F$15-$E$15)))</x:f>
        <x:v>0.09315359035512802</x:v>
      </x:c>
      <x:c r="H824" s="258" t="n">
        <x:f>IF(AB824&lt;($E$16-$D$16)/($F$16-$D$16),$D$16+SQRT(AB824*($F$16-$D$16)*($E$16-$D$16)),$F$16-SQRT((1-AB824)*($F$16-$D$16)*($F$16-$E$16)))</x:f>
        <x:v>0.024974090567947527</x:v>
      </x:c>
      <x:c r="I824" s="262" t="n">
        <x:f>'Historical Inputs'!$N$9*(1+D824)^5</x:f>
        <x:v>647548.128695843</x:v>
      </x:c>
      <x:c r="J824" s="262" t="n">
        <x:f>I824*(1+H824)*('Terminal Value'!$E$10+E824)*(1-'Assumptions'!$E$15)*(1-H824/'Terminal Value'!$E$12)</x:f>
        <x:v>196372.9407542573</x:v>
      </x:c>
      <x:c r="K824" s="264" t="n">
        <x:f>((SUM((('Historical Inputs'!$N$9*(1+(D824))^1)*(('Assumptions'!E37+(E824))*(1-'Assumptions'!E42-(0))+'Assumptions'!E47-'Assumptions'!E52*(F824)+'Assumptions'!E57-'Assumptions'!E62*(1)-'Assumptions'!E67-(0))+('Working Capital'!$E$6))*'DCF'!E12/(1+(G824))^'DCF'!E13,(('Historical Inputs'!$N$9*(1+(D824))^2)*(('Assumptions'!F37+(E824))*(1-'Assumptions'!F42-(0))+'Assumptions'!F47-'Assumptions'!F52*(F824)+'Assumptions'!F57-'Assumptions'!F62*(1)-'Assumptions'!F67-(0))+(('Historical Inputs'!$N$9*(1+(D824))^1)*('Assumptions'!E67+(0))))*'DCF'!F12/(1+(G824))^'DCF'!F13,(('Historical Inputs'!$N$9*(1+(D824))^3)*(('Assumptions'!G37+(E824))*(1-'Assumptions'!G42-(0))+'Assumptions'!G47-'Assumptions'!G52*(F824)+'Assumptions'!G57-'Assumptions'!G62*(1)-'Assumptions'!G67-(0))+(('Historical Inputs'!$N$9*(1+(D824))^2)*('Assumptions'!F67+(0))))*'DCF'!G12/(1+(G824))^'DCF'!G13,(('Historical Inputs'!$N$9*(1+(D824))^4)*(('Assumptions'!H37+(E824))*(1-'Assumptions'!H42-(0))+'Assumptions'!H47-'Assumptions'!H52*(F824)+'Assumptions'!H57-'Assumptions'!H62*(1)-'Assumptions'!H67-(0))+(('Historical Inputs'!$N$9*(1+(D824))^3)*('Assumptions'!G67+(0))))*'DCF'!H12/(1+(G824))^'DCF'!H13,(('Historical Inputs'!$N$9*(1+(D824))^5)*(('Assumptions'!I37+(E824))*(1-'Assumptions'!I42-(0))+'Assumptions'!I47-'Assumptions'!I52*(F824)+'Assumptions'!I57-'Assumptions'!I62*(1)-'Assumptions'!I67-(0))+(('Historical Inputs'!$N$9*(1+(D824))^4)*('Assumptions'!H67+(0))))*'DCF'!I12/(1+(G824))^'DCF'!I13)+('Historical Inputs'!$N$9*(1+(D824))^5)*(1+(H824))*('Terminal Value'!$E$10+(E824))*(1-'Assumptions'!$E$15-(0))*(1-(H824)/('Terminal Value'!$E$12))/((G824)-(H824))/(1+(G824))^'DCF'!$E$19)+'Equity Bridge'!$E$17)/'Equity Bridge'!$E$20</x:f>
        <x:v>311.1964459903272</x:v>
      </x:c>
      <x:c r="X824" s="255" t="n">
        <x:v>0.496061975533169</x:v>
      </x:c>
      <x:c r="Y824" s="255" t="n">
        <x:v>0.8499000069950708</x:v>
      </x:c>
      <x:c r="Z824" s="255" t="n">
        <x:v>0.7096548123349005</x:v>
      </x:c>
      <x:c r="AA824" s="255" t="n">
        <x:v>0.22281021350793329</x:v>
      </x:c>
      <x:c r="AB824" s="255" t="n">
        <x:v>0.12370788489072293</x:v>
      </x:c>
    </x:row>
    <x:row r="825" ht="24" customHeight="1">
      <x:c r="C825" s="256" t="n">
        <x:f>794</x:f>
        <x:v>794</x:v>
      </x:c>
      <x:c r="D825" s="258" t="n">
        <x:f>IF(X825&lt;($E$12-$D$12)/($F$12-$D$12),$D$12+SQRT(X825*($F$12-$D$12)*($E$12-$D$12)),$F$12-SQRT((1-X825)*($F$12-$D$12)*($F$12-$E$12)))</x:f>
        <x:v>0.10378972064939745</x:v>
      </x:c>
      <x:c r="E825" s="258" t="n">
        <x:f>IF(Y825&lt;($E$13-$D$13)/($F$13-$D$13),$D$13+SQRT(Y825*($F$13-$D$13)*($E$13-$D$13)),$F$13-SQRT((1-Y825)*($F$13-$D$13)*($F$13-$E$13)))</x:f>
        <x:v>-0.0033607181839582917</x:v>
      </x:c>
      <x:c r="F825" s="260" t="n">
        <x:f>IF(Z825&lt;($E$14-$D$14)/($F$14-$D$14),$D$14+SQRT(Z825*($F$14-$D$14)*($E$14-$D$14)),$F$14-SQRT((1-Z825)*($F$14-$D$14)*($F$14-$E$14)))</x:f>
        <x:v>1.0476026095401163</x:v>
      </x:c>
      <x:c r="G825" s="258" t="n">
        <x:f>IF(AA825&lt;($E$15-$D$15)/($F$15-$D$15),$D$15+SQRT(AA825*($F$15-$D$15)*($E$15-$D$15)),$F$15-SQRT((1-AA825)*($F$15-$D$15)*($F$15-$E$15)))</x:f>
        <x:v>0.09319202587727599</x:v>
      </x:c>
      <x:c r="H825" s="258" t="n">
        <x:f>IF(AB825&lt;($E$16-$D$16)/($F$16-$D$16),$D$16+SQRT(AB825*($F$16-$D$16)*($E$16-$D$16)),$F$16-SQRT((1-AB825)*($F$16-$D$16)*($F$16-$E$16)))</x:f>
        <x:v>0.03301334433328955</x:v>
      </x:c>
      <x:c r="I825" s="262" t="n">
        <x:f>'Historical Inputs'!$N$9*(1+D825)^5</x:f>
        <x:v>543699.7737221404</x:v>
      </x:c>
      <x:c r="J825" s="262" t="n">
        <x:f>I825*(1+H825)*('Terminal Value'!$E$10+E825)*(1-'Assumptions'!$E$15)*(1-H825/'Terminal Value'!$E$12)</x:f>
        <x:v>148799.8746318116</x:v>
      </x:c>
      <x:c r="K825" s="264" t="n">
        <x:f>((SUM((('Historical Inputs'!$N$9*(1+(D825))^1)*(('Assumptions'!E37+(E825))*(1-'Assumptions'!E42-(0))+'Assumptions'!E47-'Assumptions'!E52*(F825)+'Assumptions'!E57-'Assumptions'!E62*(1)-'Assumptions'!E67-(0))+('Working Capital'!$E$6))*'DCF'!E12/(1+(G825))^'DCF'!E13,(('Historical Inputs'!$N$9*(1+(D825))^2)*(('Assumptions'!F37+(E825))*(1-'Assumptions'!F42-(0))+'Assumptions'!F47-'Assumptions'!F52*(F825)+'Assumptions'!F57-'Assumptions'!F62*(1)-'Assumptions'!F67-(0))+(('Historical Inputs'!$N$9*(1+(D825))^1)*('Assumptions'!E67+(0))))*'DCF'!F12/(1+(G825))^'DCF'!F13,(('Historical Inputs'!$N$9*(1+(D825))^3)*(('Assumptions'!G37+(E825))*(1-'Assumptions'!G42-(0))+'Assumptions'!G47-'Assumptions'!G52*(F825)+'Assumptions'!G57-'Assumptions'!G62*(1)-'Assumptions'!G67-(0))+(('Historical Inputs'!$N$9*(1+(D825))^2)*('Assumptions'!F67+(0))))*'DCF'!G12/(1+(G825))^'DCF'!G13,(('Historical Inputs'!$N$9*(1+(D825))^4)*(('Assumptions'!H37+(E825))*(1-'Assumptions'!H42-(0))+'Assumptions'!H47-'Assumptions'!H52*(F825)+'Assumptions'!H57-'Assumptions'!H62*(1)-'Assumptions'!H67-(0))+(('Historical Inputs'!$N$9*(1+(D825))^3)*('Assumptions'!G67+(0))))*'DCF'!H12/(1+(G825))^'DCF'!H13,(('Historical Inputs'!$N$9*(1+(D825))^5)*(('Assumptions'!I37+(E825))*(1-'Assumptions'!I42-(0))+'Assumptions'!I47-'Assumptions'!I52*(F825)+'Assumptions'!I57-'Assumptions'!I62*(1)-'Assumptions'!I67-(0))+(('Historical Inputs'!$N$9*(1+(D825))^4)*('Assumptions'!H67+(0))))*'DCF'!I12/(1+(G825))^'DCF'!I13)+('Historical Inputs'!$N$9*(1+(D825))^5)*(1+(H825))*('Terminal Value'!$E$10+(E825))*(1-'Assumptions'!$E$15-(0))*(1-(H825)/('Terminal Value'!$E$12))/((G825)-(H825))/(1+(G825))^'DCF'!$E$19)+'Equity Bridge'!$E$17)/'Equity Bridge'!$E$20</x:f>
        <x:v>264.1305772573156</x:v>
      </x:c>
      <x:c r="X825" s="255" t="n">
        <x:v>0.0221875489006379</x:v>
      </x:c>
      <x:c r="Y825" s="255" t="n">
        <x:v>0.4350445216632318</x:v>
      </x:c>
      <x:c r="Z825" s="255" t="n">
        <x:v>0.6682147911573966</x:v>
      </x:c>
      <x:c r="AA825" s="255" t="n">
        <x:v>0.2245240002842137</x:v>
      </x:c>
      <x:c r="AB825" s="255" t="n">
        <x:v>0.7559332129741136</x:v>
      </x:c>
    </x:row>
    <x:row r="826" ht="24" customHeight="1">
      <x:c r="C826" s="256" t="n">
        <x:f>795</x:f>
        <x:v>795</x:v>
      </x:c>
      <x:c r="D826" s="258" t="n">
        <x:f>IF(X826&lt;($E$12-$D$12)/($F$12-$D$12),$D$12+SQRT(X826*($F$12-$D$12)*($E$12-$D$12)),$F$12-SQRT((1-X826)*($F$12-$D$12)*($F$12-$E$12)))</x:f>
        <x:v>0.11645863498053262</x:v>
      </x:c>
      <x:c r="E826" s="258" t="n">
        <x:f>IF(Y826&lt;($E$13-$D$13)/($F$13-$D$13),$D$13+SQRT(Y826*($F$13-$D$13)*($E$13-$D$13)),$F$13-SQRT((1-Y826)*($F$13-$D$13)*($F$13-$E$13)))</x:f>
        <x:v>0.0035821777928095877</x:v>
      </x:c>
      <x:c r="F826" s="260" t="n">
        <x:f>IF(Z826&lt;($E$14-$D$14)/($F$14-$D$14),$D$14+SQRT(Z826*($F$14-$D$14)*($E$14-$D$14)),$F$14-SQRT((1-Z826)*($F$14-$D$14)*($F$14-$E$14)))</x:f>
        <x:v>0.9487571657941429</x:v>
      </x:c>
      <x:c r="G826" s="258" t="n">
        <x:f>IF(AA826&lt;($E$15-$D$15)/($F$15-$D$15),$D$15+SQRT(AA826*($F$15-$D$15)*($E$15-$D$15)),$F$15-SQRT((1-AA826)*($F$15-$D$15)*($F$15-$E$15)))</x:f>
        <x:v>0.10852933155588915</x:v>
      </x:c>
      <x:c r="H826" s="258" t="n">
        <x:f>IF(AB826&lt;($E$16-$D$16)/($F$16-$D$16),$D$16+SQRT(AB826*($F$16-$D$16)*($E$16-$D$16)),$F$16-SQRT((1-AB826)*($F$16-$D$16)*($F$16-$E$16)))</x:f>
        <x:v>0.03043989879880305</x:v>
      </x:c>
      <x:c r="I826" s="262" t="n">
        <x:f>'Historical Inputs'!$N$9*(1+D826)^5</x:f>
        <x:v>575626.2769862573</x:v>
      </x:c>
      <x:c r="J826" s="262" t="n">
        <x:f>I826*(1+H826)*('Terminal Value'!$E$10+E826)*(1-'Assumptions'!$E$15)*(1-H826/'Terminal Value'!$E$12)</x:f>
        <x:v>162359.95237080823</x:v>
      </x:c>
      <x:c r="K826" s="264" t="n">
        <x:f>((SUM((('Historical Inputs'!$N$9*(1+(D826))^1)*(('Assumptions'!E37+(E826))*(1-'Assumptions'!E42-(0))+'Assumptions'!E47-'Assumptions'!E52*(F826)+'Assumptions'!E57-'Assumptions'!E62*(1)-'Assumptions'!E67-(0))+('Working Capital'!$E$6))*'DCF'!E12/(1+(G826))^'DCF'!E13,(('Historical Inputs'!$N$9*(1+(D826))^2)*(('Assumptions'!F37+(E826))*(1-'Assumptions'!F42-(0))+'Assumptions'!F47-'Assumptions'!F52*(F826)+'Assumptions'!F57-'Assumptions'!F62*(1)-'Assumptions'!F67-(0))+(('Historical Inputs'!$N$9*(1+(D826))^1)*('Assumptions'!E67+(0))))*'DCF'!F12/(1+(G826))^'DCF'!F13,(('Historical Inputs'!$N$9*(1+(D826))^3)*(('Assumptions'!G37+(E826))*(1-'Assumptions'!G42-(0))+'Assumptions'!G47-'Assumptions'!G52*(F826)+'Assumptions'!G57-'Assumptions'!G62*(1)-'Assumptions'!G67-(0))+(('Historical Inputs'!$N$9*(1+(D826))^2)*('Assumptions'!F67+(0))))*'DCF'!G12/(1+(G826))^'DCF'!G13,(('Historical Inputs'!$N$9*(1+(D826))^4)*(('Assumptions'!H37+(E826))*(1-'Assumptions'!H42-(0))+'Assumptions'!H47-'Assumptions'!H52*(F826)+'Assumptions'!H57-'Assumptions'!H62*(1)-'Assumptions'!H67-(0))+(('Historical Inputs'!$N$9*(1+(D826))^3)*('Assumptions'!G67+(0))))*'DCF'!H12/(1+(G826))^'DCF'!H13,(('Historical Inputs'!$N$9*(1+(D826))^5)*(('Assumptions'!I37+(E826))*(1-'Assumptions'!I42-(0))+'Assumptions'!I47-'Assumptions'!I52*(F826)+'Assumptions'!I57-'Assumptions'!I62*(1)-'Assumptions'!I67-(0))+(('Historical Inputs'!$N$9*(1+(D826))^4)*('Assumptions'!H67+(0))))*'DCF'!I12/(1+(G826))^'DCF'!I13)+('Historical Inputs'!$N$9*(1+(D826))^5)*(1+(H826))*('Terminal Value'!$E$10+(E826))*(1-'Assumptions'!$E$15-(0))*(1-(H826)/('Terminal Value'!$E$12))/((G826)-(H826))/(1+(G826))^'DCF'!$E$19)+'Equity Bridge'!$E$17)/'Equity Bridge'!$E$20</x:f>
        <x:v>224.89251402757756</x:v>
      </x:c>
      <x:c r="X826" s="255" t="n">
        <x:v>0.10766297059398378</x:v>
      </x:c>
      <x:c r="Y826" s="255" t="n">
        <x:v>0.5690771563083321</x:v>
      </x:c>
      <x:c r="Z826" s="255" t="n">
        <x:v>0.18577100563222526</x:v>
      </x:c>
      <x:c r="AA826" s="255" t="n">
        <x:v>0.9527518466780913</x:v>
      </x:c>
      <x:c r="AB826" s="255" t="n">
        <x:v>0.5430223251143633</x:v>
      </x:c>
    </x:row>
    <x:row r="827" ht="24" customHeight="1">
      <x:c r="C827" s="256" t="n">
        <x:f>796</x:f>
        <x:v>796</x:v>
      </x:c>
      <x:c r="D827" s="258" t="n">
        <x:f>IF(X827&lt;($E$12-$D$12)/($F$12-$D$12),$D$12+SQRT(X827*($F$12-$D$12)*($E$12-$D$12)),$F$12-SQRT((1-X827)*($F$12-$D$12)*($F$12-$E$12)))</x:f>
        <x:v>0.12718800833513433</x:v>
      </x:c>
      <x:c r="E827" s="258" t="n">
        <x:f>IF(Y827&lt;($E$13-$D$13)/($F$13-$D$13),$D$13+SQRT(Y827*($F$13-$D$13)*($E$13-$D$13)),$F$13-SQRT((1-Y827)*($F$13-$D$13)*($F$13-$E$13)))</x:f>
        <x:v>0.003740525978063368</x:v>
      </x:c>
      <x:c r="F827" s="260" t="n">
        <x:f>IF(Z827&lt;($E$14-$D$14)/($F$14-$D$14),$D$14+SQRT(Z827*($F$14-$D$14)*($E$14-$D$14)),$F$14-SQRT((1-Z827)*($F$14-$D$14)*($F$14-$E$14)))</x:f>
        <x:v>0.9320993129951757</x:v>
      </x:c>
      <x:c r="G827" s="258" t="n">
        <x:f>IF(AA827&lt;($E$15-$D$15)/($F$15-$D$15),$D$15+SQRT(AA827*($F$15-$D$15)*($E$15-$D$15)),$F$15-SQRT((1-AA827)*($F$15-$D$15)*($F$15-$E$15)))</x:f>
        <x:v>0.10259961328847014</x:v>
      </x:c>
      <x:c r="H827" s="258" t="n">
        <x:f>IF(AB827&lt;($E$16-$D$16)/($F$16-$D$16),$D$16+SQRT(AB827*($F$16-$D$16)*($E$16-$D$16)),$F$16-SQRT((1-AB827)*($F$16-$D$16)*($F$16-$E$16)))</x:f>
        <x:v>0.0229088563860604</x:v>
      </x:c>
      <x:c r="I827" s="262" t="n">
        <x:f>'Historical Inputs'!$N$9*(1+D827)^5</x:f>
        <x:v>603822.4072672738</x:v>
      </x:c>
      <x:c r="J827" s="262" t="n">
        <x:f>I827*(1+H827)*('Terminal Value'!$E$10+E827)*(1-'Assumptions'!$E$15)*(1-H827/'Terminal Value'!$E$12)</x:f>
        <x:v>176646.62421714046</x:v>
      </x:c>
      <x:c r="K827" s="264" t="n">
        <x:f>((SUM((('Historical Inputs'!$N$9*(1+(D827))^1)*(('Assumptions'!E37+(E827))*(1-'Assumptions'!E42-(0))+'Assumptions'!E47-'Assumptions'!E52*(F827)+'Assumptions'!E57-'Assumptions'!E62*(1)-'Assumptions'!E67-(0))+('Working Capital'!$E$6))*'DCF'!E12/(1+(G827))^'DCF'!E13,(('Historical Inputs'!$N$9*(1+(D827))^2)*(('Assumptions'!F37+(E827))*(1-'Assumptions'!F42-(0))+'Assumptions'!F47-'Assumptions'!F52*(F827)+'Assumptions'!F57-'Assumptions'!F62*(1)-'Assumptions'!F67-(0))+(('Historical Inputs'!$N$9*(1+(D827))^1)*('Assumptions'!E67+(0))))*'DCF'!F12/(1+(G827))^'DCF'!F13,(('Historical Inputs'!$N$9*(1+(D827))^3)*(('Assumptions'!G37+(E827))*(1-'Assumptions'!G42-(0))+'Assumptions'!G47-'Assumptions'!G52*(F827)+'Assumptions'!G57-'Assumptions'!G62*(1)-'Assumptions'!G67-(0))+(('Historical Inputs'!$N$9*(1+(D827))^2)*('Assumptions'!F67+(0))))*'DCF'!G12/(1+(G827))^'DCF'!G13,(('Historical Inputs'!$N$9*(1+(D827))^4)*(('Assumptions'!H37+(E827))*(1-'Assumptions'!H42-(0))+'Assumptions'!H47-'Assumptions'!H52*(F827)+'Assumptions'!H57-'Assumptions'!H62*(1)-'Assumptions'!H67-(0))+(('Historical Inputs'!$N$9*(1+(D827))^3)*('Assumptions'!G67+(0))))*'DCF'!H12/(1+(G827))^'DCF'!H13,(('Historical Inputs'!$N$9*(1+(D827))^5)*(('Assumptions'!I37+(E827))*(1-'Assumptions'!I42-(0))+'Assumptions'!I47-'Assumptions'!I52*(F827)+'Assumptions'!I57-'Assumptions'!I62*(1)-'Assumptions'!I67-(0))+(('Historical Inputs'!$N$9*(1+(D827))^4)*('Assumptions'!H67+(0))))*'DCF'!I12/(1+(G827))^'DCF'!I13)+('Historical Inputs'!$N$9*(1+(D827))^5)*(1+(H827))*('Terminal Value'!$E$10+(E827))*(1-'Assumptions'!$E$15-(0))*(1-(H827)/('Terminal Value'!$E$12))/((G827)-(H827))/(1+(G827))^'DCF'!$E$19)+'Equity Bridge'!$E$17)/'Equity Bridge'!$E$20</x:f>
        <x:v>244.65881849869842</x:v>
      </x:c>
      <x:c r="X827" s="255" t="n">
        <x:v>0.2302623690958323</x:v>
      </x:c>
      <x:c r="Y827" s="255" t="n">
        <x:v>0.572012212642754</x:v>
      </x:c>
      <x:c r="Z827" s="255" t="n">
        <x:v>0.1283866132243776</x:v>
      </x:c>
      <x:c r="AA827" s="255" t="n">
        <x:v>0.7530943619879467</x:v>
      </x:c>
      <x:c r="AB827" s="255" t="n">
        <x:v>0.042307227373621914</x:v>
      </x:c>
    </x:row>
    <x:row r="828" ht="24" customHeight="1">
      <x:c r="C828" s="256" t="n">
        <x:f>797</x:f>
        <x:v>797</x:v>
      </x:c>
      <x:c r="D828" s="258" t="n">
        <x:f>IF(X828&lt;($E$12-$D$12)/($F$12-$D$12),$D$12+SQRT(X828*($F$12-$D$12)*($E$12-$D$12)),$F$12-SQRT((1-X828)*($F$12-$D$12)*($F$12-$E$12)))</x:f>
        <x:v>0.17042030093292068</x:v>
      </x:c>
      <x:c r="E828" s="258" t="n">
        <x:f>IF(Y828&lt;($E$13-$D$13)/($F$13-$D$13),$D$13+SQRT(Y828*($F$13-$D$13)*($E$13-$D$13)),$F$13-SQRT((1-Y828)*($F$13-$D$13)*($F$13-$E$13)))</x:f>
        <x:v>0.009306430304555482</x:v>
      </x:c>
      <x:c r="F828" s="260" t="n">
        <x:f>IF(Z828&lt;($E$14-$D$14)/($F$14-$D$14),$D$14+SQRT(Z828*($F$14-$D$14)*($E$14-$D$14)),$F$14-SQRT((1-Z828)*($F$14-$D$14)*($F$14-$E$14)))</x:f>
        <x:v>1.1760549810758045</x:v>
      </x:c>
      <x:c r="G828" s="258" t="n">
        <x:f>IF(AA828&lt;($E$15-$D$15)/($F$15-$D$15),$D$15+SQRT(AA828*($F$15-$D$15)*($E$15-$D$15)),$F$15-SQRT((1-AA828)*($F$15-$D$15)*($F$15-$E$15)))</x:f>
        <x:v>0.10882371927206597</x:v>
      </x:c>
      <x:c r="H828" s="258" t="n">
        <x:f>IF(AB828&lt;($E$16-$D$16)/($F$16-$D$16),$D$16+SQRT(AB828*($F$16-$D$16)*($E$16-$D$16)),$F$16-SQRT((1-AB828)*($F$16-$D$16)*($F$16-$E$16)))</x:f>
        <x:v>0.03324780956069628</x:v>
      </x:c>
      <x:c r="I828" s="262" t="n">
        <x:f>'Historical Inputs'!$N$9*(1+D828)^5</x:f>
        <x:v>728847.4791719584</x:v>
      </x:c>
      <x:c r="J828" s="262" t="n">
        <x:f>I828*(1+H828)*('Terminal Value'!$E$10+E828)*(1-'Assumptions'!$E$15)*(1-H828/'Terminal Value'!$E$12)</x:f>
        <x:v>205599.1219977999</x:v>
      </x:c>
      <x:c r="K828" s="264" t="n">
        <x:f>((SUM((('Historical Inputs'!$N$9*(1+(D828))^1)*(('Assumptions'!E37+(E828))*(1-'Assumptions'!E42-(0))+'Assumptions'!E47-'Assumptions'!E52*(F828)+'Assumptions'!E57-'Assumptions'!E62*(1)-'Assumptions'!E67-(0))+('Working Capital'!$E$6))*'DCF'!E12/(1+(G828))^'DCF'!E13,(('Historical Inputs'!$N$9*(1+(D828))^2)*(('Assumptions'!F37+(E828))*(1-'Assumptions'!F42-(0))+'Assumptions'!F47-'Assumptions'!F52*(F828)+'Assumptions'!F57-'Assumptions'!F62*(1)-'Assumptions'!F67-(0))+(('Historical Inputs'!$N$9*(1+(D828))^1)*('Assumptions'!E67+(0))))*'DCF'!F12/(1+(G828))^'DCF'!F13,(('Historical Inputs'!$N$9*(1+(D828))^3)*(('Assumptions'!G37+(E828))*(1-'Assumptions'!G42-(0))+'Assumptions'!G47-'Assumptions'!G52*(F828)+'Assumptions'!G57-'Assumptions'!G62*(1)-'Assumptions'!G67-(0))+(('Historical Inputs'!$N$9*(1+(D828))^2)*('Assumptions'!F67+(0))))*'DCF'!G12/(1+(G828))^'DCF'!G13,(('Historical Inputs'!$N$9*(1+(D828))^4)*(('Assumptions'!H37+(E828))*(1-'Assumptions'!H42-(0))+'Assumptions'!H47-'Assumptions'!H52*(F828)+'Assumptions'!H57-'Assumptions'!H62*(1)-'Assumptions'!H67-(0))+(('Historical Inputs'!$N$9*(1+(D828))^3)*('Assumptions'!G67+(0))))*'DCF'!H12/(1+(G828))^'DCF'!H13,(('Historical Inputs'!$N$9*(1+(D828))^5)*(('Assumptions'!I37+(E828))*(1-'Assumptions'!I42-(0))+'Assumptions'!I47-'Assumptions'!I52*(F828)+'Assumptions'!I57-'Assumptions'!I62*(1)-'Assumptions'!I67-(0))+(('Historical Inputs'!$N$9*(1+(D828))^4)*('Assumptions'!H67+(0))))*'DCF'!I12/(1+(G828))^'DCF'!I13)+('Historical Inputs'!$N$9*(1+(D828))^5)*(1+(H828))*('Terminal Value'!$E$10+(E828))*(1-'Assumptions'!$E$15-(0))*(1-(H828)/('Terminal Value'!$E$12))/((G828)-(H828))/(1+(G828))^'DCF'!$E$19)+'Equity Bridge'!$E$17)/'Equity Bridge'!$E$20</x:f>
        <x:v>273.4049997512012</x:v>
      </x:c>
      <x:c r="X828" s="255" t="n">
        <x:v>0.8956968357697949</x:v>
      </x:c>
      <x:c r="Y828" s="255" t="n">
        <x:v>0.6688066770883999</x:v>
      </x:c>
      <x:c r="Z828" s="255" t="n">
        <x:v>0.9918090866959989</x:v>
      </x:c>
      <x:c r="AA828" s="255" t="n">
        <x:v>0.9585922946973547</x:v>
      </x:c>
      <x:c r="AB828" s="255" t="n">
        <x:v>0.772039621356877</x:v>
      </x:c>
    </x:row>
    <x:row r="829" ht="24" customHeight="1">
      <x:c r="C829" s="256" t="n">
        <x:f>798</x:f>
        <x:v>798</x:v>
      </x:c>
      <x:c r="D829" s="258" t="n">
        <x:f>IF(X829&lt;($E$12-$D$12)/($F$12-$D$12),$D$12+SQRT(X829*($F$12-$D$12)*($E$12-$D$12)),$F$12-SQRT((1-X829)*($F$12-$D$12)*($F$12-$E$12)))</x:f>
        <x:v>0.14285257355911155</x:v>
      </x:c>
      <x:c r="E829" s="258" t="n">
        <x:f>IF(Y829&lt;($E$13-$D$13)/($F$13-$D$13),$D$13+SQRT(Y829*($F$13-$D$13)*($E$13-$D$13)),$F$13-SQRT((1-Y829)*($F$13-$D$13)*($F$13-$E$13)))</x:f>
        <x:v>-0.014212382141775975</x:v>
      </x:c>
      <x:c r="F829" s="260" t="n">
        <x:f>IF(Z829&lt;($E$14-$D$14)/($F$14-$D$14),$D$14+SQRT(Z829*($F$14-$D$14)*($E$14-$D$14)),$F$14-SQRT((1-Z829)*($F$14-$D$14)*($F$14-$E$14)))</x:f>
        <x:v>0.9352596216826795</x:v>
      </x:c>
      <x:c r="G829" s="258" t="n">
        <x:f>IF(AA829&lt;($E$15-$D$15)/($F$15-$D$15),$D$15+SQRT(AA829*($F$15-$D$15)*($E$15-$D$15)),$F$15-SQRT((1-AA829)*($F$15-$D$15)*($F$15-$E$15)))</x:f>
        <x:v>0.0962792819897618</x:v>
      </x:c>
      <x:c r="H829" s="258" t="n">
        <x:f>IF(AB829&lt;($E$16-$D$16)/($F$16-$D$16),$D$16+SQRT(AB829*($F$16-$D$16)*($E$16-$D$16)),$F$16-SQRT((1-AB829)*($F$16-$D$16)*($F$16-$E$16)))</x:f>
        <x:v>0.035196016384920675</x:v>
      </x:c>
      <x:c r="I829" s="262" t="n">
        <x:f>'Historical Inputs'!$N$9*(1+D829)^5</x:f>
        <x:v>646961.5625088422</x:v>
      </x:c>
      <x:c r="J829" s="262" t="n">
        <x:f>I829*(1+H829)*('Terminal Value'!$E$10+E829)*(1-'Assumptions'!$E$15)*(1-H829/'Terminal Value'!$E$12)</x:f>
        <x:v>170324.47231311005</x:v>
      </x:c>
      <x:c r="K829" s="264" t="n">
        <x:f>((SUM((('Historical Inputs'!$N$9*(1+(D829))^1)*(('Assumptions'!E37+(E829))*(1-'Assumptions'!E42-(0))+'Assumptions'!E47-'Assumptions'!E52*(F829)+'Assumptions'!E57-'Assumptions'!E62*(1)-'Assumptions'!E67-(0))+('Working Capital'!$E$6))*'DCF'!E12/(1+(G829))^'DCF'!E13,(('Historical Inputs'!$N$9*(1+(D829))^2)*(('Assumptions'!F37+(E829))*(1-'Assumptions'!F42-(0))+'Assumptions'!F47-'Assumptions'!F52*(F829)+'Assumptions'!F57-'Assumptions'!F62*(1)-'Assumptions'!F67-(0))+(('Historical Inputs'!$N$9*(1+(D829))^1)*('Assumptions'!E67+(0))))*'DCF'!F12/(1+(G829))^'DCF'!F13,(('Historical Inputs'!$N$9*(1+(D829))^3)*(('Assumptions'!G37+(E829))*(1-'Assumptions'!G42-(0))+'Assumptions'!G47-'Assumptions'!G52*(F829)+'Assumptions'!G57-'Assumptions'!G62*(1)-'Assumptions'!G67-(0))+(('Historical Inputs'!$N$9*(1+(D829))^2)*('Assumptions'!F67+(0))))*'DCF'!G12/(1+(G829))^'DCF'!G13,(('Historical Inputs'!$N$9*(1+(D829))^4)*(('Assumptions'!H37+(E829))*(1-'Assumptions'!H42-(0))+'Assumptions'!H47-'Assumptions'!H52*(F829)+'Assumptions'!H57-'Assumptions'!H62*(1)-'Assumptions'!H67-(0))+(('Historical Inputs'!$N$9*(1+(D829))^3)*('Assumptions'!G67+(0))))*'DCF'!H12/(1+(G829))^'DCF'!H13,(('Historical Inputs'!$N$9*(1+(D829))^5)*(('Assumptions'!I37+(E829))*(1-'Assumptions'!I42-(0))+'Assumptions'!I47-'Assumptions'!I52*(F829)+'Assumptions'!I57-'Assumptions'!I62*(1)-'Assumptions'!I67-(0))+(('Historical Inputs'!$N$9*(1+(D829))^4)*('Assumptions'!H67+(0))))*'DCF'!I12/(1+(G829))^'DCF'!I13)+('Historical Inputs'!$N$9*(1+(D829))^5)*(1+(H829))*('Terminal Value'!$E$10+(E829))*(1-'Assumptions'!$E$15-(0))*(1-(H829)/('Terminal Value'!$E$12))/((G829)-(H829))/(1+(G829))^'DCF'!$E$19)+'Equity Bridge'!$E$17)/'Equity Bridge'!$E$20</x:f>
        <x:v>299.5108290641628</x:v>
      </x:c>
      <x:c r="X829" s="255" t="n">
        <x:v>0.4919437503412104</x:v>
      </x:c>
      <x:c r="Y829" s="255" t="n">
        <x:v>0.256150718393255</x:v>
      </x:c>
      <x:c r="Z829" s="255" t="n">
        <x:v>0.1384610112280693</x:v>
      </x:c>
      <x:c r="AA829" s="255" t="n">
        <x:v>0.38362450423331584</x:v>
      </x:c>
      <x:c r="AB829" s="255" t="n">
        <x:v>0.8846087071302471</x:v>
      </x:c>
    </x:row>
    <x:row r="830" ht="24" customHeight="1">
      <x:c r="C830" s="256" t="n">
        <x:f>799</x:f>
        <x:v>799</x:v>
      </x:c>
      <x:c r="D830" s="258" t="n">
        <x:f>IF(X830&lt;($E$12-$D$12)/($F$12-$D$12),$D$12+SQRT(X830*($F$12-$D$12)*($E$12-$D$12)),$F$12-SQRT((1-X830)*($F$12-$D$12)*($F$12-$E$12)))</x:f>
        <x:v>0.13391739134552605</x:v>
      </x:c>
      <x:c r="E830" s="258" t="n">
        <x:f>IF(Y830&lt;($E$13-$D$13)/($F$13-$D$13),$D$13+SQRT(Y830*($F$13-$D$13)*($E$13-$D$13)),$F$13-SQRT((1-Y830)*($F$13-$D$13)*($F$13-$E$13)))</x:f>
        <x:v>-0.010950512041216234</x:v>
      </x:c>
      <x:c r="F830" s="260" t="n">
        <x:f>IF(Z830&lt;($E$14-$D$14)/($F$14-$D$14),$D$14+SQRT(Z830*($F$14-$D$14)*($E$14-$D$14)),$F$14-SQRT((1-Z830)*($F$14-$D$14)*($F$14-$E$14)))</x:f>
        <x:v>0.978685975359121</x:v>
      </x:c>
      <x:c r="G830" s="258" t="n">
        <x:f>IF(AA830&lt;($E$15-$D$15)/($F$15-$D$15),$D$15+SQRT(AA830*($F$15-$D$15)*($E$15-$D$15)),$F$15-SQRT((1-AA830)*($F$15-$D$15)*($F$15-$E$15)))</x:f>
        <x:v>0.10226918953427701</x:v>
      </x:c>
      <x:c r="H830" s="258" t="n">
        <x:f>IF(AB830&lt;($E$16-$D$16)/($F$16-$D$16),$D$16+SQRT(AB830*($F$16-$D$16)*($E$16-$D$16)),$F$16-SQRT((1-AB830)*($F$16-$D$16)*($F$16-$E$16)))</x:f>
        <x:v>0.034370103327164926</x:v>
      </x:c>
      <x:c r="I830" s="262" t="n">
        <x:f>'Historical Inputs'!$N$9*(1+D830)^5</x:f>
        <x:v>622063.1961507389</x:v>
      </x:c>
      <x:c r="J830" s="262" t="n">
        <x:f>I830*(1+H830)*('Terminal Value'!$E$10+E830)*(1-'Assumptions'!$E$15)*(1-H830/'Terminal Value'!$E$12)</x:f>
        <x:v>165849.4506307814</x:v>
      </x:c>
      <x:c r="K830" s="264" t="n">
        <x:f>((SUM((('Historical Inputs'!$N$9*(1+(D830))^1)*(('Assumptions'!E37+(E830))*(1-'Assumptions'!E42-(0))+'Assumptions'!E47-'Assumptions'!E52*(F830)+'Assumptions'!E57-'Assumptions'!E62*(1)-'Assumptions'!E67-(0))+('Working Capital'!$E$6))*'DCF'!E12/(1+(G830))^'DCF'!E13,(('Historical Inputs'!$N$9*(1+(D830))^2)*(('Assumptions'!F37+(E830))*(1-'Assumptions'!F42-(0))+'Assumptions'!F47-'Assumptions'!F52*(F830)+'Assumptions'!F57-'Assumptions'!F62*(1)-'Assumptions'!F67-(0))+(('Historical Inputs'!$N$9*(1+(D830))^1)*('Assumptions'!E67+(0))))*'DCF'!F12/(1+(G830))^'DCF'!F13,(('Historical Inputs'!$N$9*(1+(D830))^3)*(('Assumptions'!G37+(E830))*(1-'Assumptions'!G42-(0))+'Assumptions'!G47-'Assumptions'!G52*(F830)+'Assumptions'!G57-'Assumptions'!G62*(1)-'Assumptions'!G67-(0))+(('Historical Inputs'!$N$9*(1+(D830))^2)*('Assumptions'!F67+(0))))*'DCF'!G12/(1+(G830))^'DCF'!G13,(('Historical Inputs'!$N$9*(1+(D830))^4)*(('Assumptions'!H37+(E830))*(1-'Assumptions'!H42-(0))+'Assumptions'!H47-'Assumptions'!H52*(F830)+'Assumptions'!H57-'Assumptions'!H62*(1)-'Assumptions'!H67-(0))+(('Historical Inputs'!$N$9*(1+(D830))^3)*('Assumptions'!G67+(0))))*'DCF'!H12/(1+(G830))^'DCF'!H13,(('Historical Inputs'!$N$9*(1+(D830))^5)*(('Assumptions'!I37+(E830))*(1-'Assumptions'!I42-(0))+'Assumptions'!I47-'Assumptions'!I52*(F830)+'Assumptions'!I57-'Assumptions'!I62*(1)-'Assumptions'!I67-(0))+(('Historical Inputs'!$N$9*(1+(D830))^4)*('Assumptions'!H67+(0))))*'DCF'!I12/(1+(G830))^'DCF'!I13)+('Historical Inputs'!$N$9*(1+(D830))^5)*(1+(H830))*('Terminal Value'!$E$10+(E830))*(1-'Assumptions'!$E$15-(0))*(1-(H830)/('Terminal Value'!$E$12))/((G830)-(H830))/(1+(G830))^'DCF'!$E$19)+'Equity Bridge'!$E$17)/'Equity Bridge'!$E$20</x:f>
        <x:v>259.5681561855744</x:v>
      </x:c>
      <x:c r="X830" s="255" t="n">
        <x:v>0.3306531298919473</x:v>
      </x:c>
      <x:c r="Y830" s="255" t="n">
        <x:v>0.3049725019686397</x:v>
      </x:c>
      <x:c r="Z830" s="255" t="n">
        <x:v>0.3154301000786348</x:v>
      </x:c>
      <x:c r="AA830" s="255" t="n">
        <x:v>0.7373721126587646</x:v>
      </x:c>
      <x:c r="AB830" s="255" t="n">
        <x:v>0.841521317266003</x:v>
      </x:c>
    </x:row>
    <x:row r="831" ht="24" customHeight="1">
      <x:c r="C831" s="256" t="n">
        <x:f>800</x:f>
        <x:v>800</x:v>
      </x:c>
      <x:c r="D831" s="258" t="n">
        <x:f>IF(X831&lt;($E$12-$D$12)/($F$12-$D$12),$D$12+SQRT(X831*($F$12-$D$12)*($E$12-$D$12)),$F$12-SQRT((1-X831)*($F$12-$D$12)*($F$12-$E$12)))</x:f>
        <x:v>0.13494448324192107</x:v>
      </x:c>
      <x:c r="E831" s="258" t="n">
        <x:f>IF(Y831&lt;($E$13-$D$13)/($F$13-$D$13),$D$13+SQRT(Y831*($F$13-$D$13)*($E$13-$D$13)),$F$13-SQRT((1-Y831)*($F$13-$D$13)*($F$13-$E$13)))</x:f>
        <x:v>-0.022518125626213126</x:v>
      </x:c>
      <x:c r="F831" s="260" t="n">
        <x:f>IF(Z831&lt;($E$14-$D$14)/($F$14-$D$14),$D$14+SQRT(Z831*($F$14-$D$14)*($E$14-$D$14)),$F$14-SQRT((1-Z831)*($F$14-$D$14)*($F$14-$E$14)))</x:f>
        <x:v>0.9953553743206918</x:v>
      </x:c>
      <x:c r="G831" s="258" t="n">
        <x:f>IF(AA831&lt;($E$15-$D$15)/($F$15-$D$15),$D$15+SQRT(AA831*($F$15-$D$15)*($E$15-$D$15)),$F$15-SQRT((1-AA831)*($F$15-$D$15)*($F$15-$E$15)))</x:f>
        <x:v>0.09659131023103258</x:v>
      </x:c>
      <x:c r="H831" s="258" t="n">
        <x:f>IF(AB831&lt;($E$16-$D$16)/($F$16-$D$16),$D$16+SQRT(AB831*($F$16-$D$16)*($E$16-$D$16)),$F$16-SQRT((1-AB831)*($F$16-$D$16)*($F$16-$E$16)))</x:f>
        <x:v>0.032770422640879614</x:v>
      </x:c>
      <x:c r="I831" s="262" t="n">
        <x:f>'Historical Inputs'!$N$9*(1+D831)^5</x:f>
        <x:v>624885.600014197</x:v>
      </x:c>
      <x:c r="J831" s="262" t="n">
        <x:f>I831*(1+H831)*('Terminal Value'!$E$10+E831)*(1-'Assumptions'!$E$15)*(1-H831/'Terminal Value'!$E$12)</x:f>
        <x:v>162957.1778945891</x:v>
      </x:c>
      <x:c r="K831" s="264" t="n">
        <x:f>((SUM((('Historical Inputs'!$N$9*(1+(D831))^1)*(('Assumptions'!E37+(E831))*(1-'Assumptions'!E42-(0))+'Assumptions'!E47-'Assumptions'!E52*(F831)+'Assumptions'!E57-'Assumptions'!E62*(1)-'Assumptions'!E67-(0))+('Working Capital'!$E$6))*'DCF'!E12/(1+(G831))^'DCF'!E13,(('Historical Inputs'!$N$9*(1+(D831))^2)*(('Assumptions'!F37+(E831))*(1-'Assumptions'!F42-(0))+'Assumptions'!F47-'Assumptions'!F52*(F831)+'Assumptions'!F57-'Assumptions'!F62*(1)-'Assumptions'!F67-(0))+(('Historical Inputs'!$N$9*(1+(D831))^1)*('Assumptions'!E67+(0))))*'DCF'!F12/(1+(G831))^'DCF'!F13,(('Historical Inputs'!$N$9*(1+(D831))^3)*(('Assumptions'!G37+(E831))*(1-'Assumptions'!G42-(0))+'Assumptions'!G47-'Assumptions'!G52*(F831)+'Assumptions'!G57-'Assumptions'!G62*(1)-'Assumptions'!G67-(0))+(('Historical Inputs'!$N$9*(1+(D831))^2)*('Assumptions'!F67+(0))))*'DCF'!G12/(1+(G831))^'DCF'!G13,(('Historical Inputs'!$N$9*(1+(D831))^4)*(('Assumptions'!H37+(E831))*(1-'Assumptions'!H42-(0))+'Assumptions'!H47-'Assumptions'!H52*(F831)+'Assumptions'!H57-'Assumptions'!H62*(1)-'Assumptions'!H67-(0))+(('Historical Inputs'!$N$9*(1+(D831))^3)*('Assumptions'!G67+(0))))*'DCF'!H12/(1+(G831))^'DCF'!H13,(('Historical Inputs'!$N$9*(1+(D831))^5)*(('Assumptions'!I37+(E831))*(1-'Assumptions'!I42-(0))+'Assumptions'!I47-'Assumptions'!I52*(F831)+'Assumptions'!I57-'Assumptions'!I62*(1)-'Assumptions'!I67-(0))+(('Historical Inputs'!$N$9*(1+(D831))^4)*('Assumptions'!H67+(0))))*'DCF'!I12/(1+(G831))^'DCF'!I13)+('Historical Inputs'!$N$9*(1+(D831))^5)*(1+(H831))*('Terminal Value'!$E$10+(E831))*(1-'Assumptions'!$E$15-(0))*(1-(H831)/('Terminal Value'!$E$12))/((G831)-(H831))/(1+(G831))^'DCF'!$E$19)+'Equity Bridge'!$E$17)/'Equity Bridge'!$E$20</x:f>
        <x:v>271.89337460155497</x:v>
      </x:c>
      <x:c r="X831" s="255" t="n">
        <x:v>0.347568887859825</x:v>
      </x:c>
      <x:c r="Y831" s="255" t="n">
        <x:v>0.15105068381932074</x:v>
      </x:c>
      <x:c r="Z831" s="255" t="n">
        <x:v>0.40244161607444584</x:v>
      </x:c>
      <x:c r="AA831" s="255" t="n">
        <x:v>0.40206180482563714</x:v>
      </x:c>
      <x:c r="AB831" s="255" t="n">
        <x:v>0.7386660560424694</x:v>
      </x:c>
    </x:row>
    <x:row r="832" ht="24" customHeight="1">
      <x:c r="C832" s="256" t="n">
        <x:f>801</x:f>
        <x:v>801</x:v>
      </x:c>
      <x:c r="D832" s="258" t="n">
        <x:f>IF(X832&lt;($E$12-$D$12)/($F$12-$D$12),$D$12+SQRT(X832*($F$12-$D$12)*($E$12-$D$12)),$F$12-SQRT((1-X832)*($F$12-$D$12)*($F$12-$E$12)))</x:f>
        <x:v>0.15190868902542665</x:v>
      </x:c>
      <x:c r="E832" s="258" t="n">
        <x:f>IF(Y832&lt;($E$13-$D$13)/($F$13-$D$13),$D$13+SQRT(Y832*($F$13-$D$13)*($E$13-$D$13)),$F$13-SQRT((1-Y832)*($F$13-$D$13)*($F$13-$E$13)))</x:f>
        <x:v>0.037095219024990786</x:v>
      </x:c>
      <x:c r="F832" s="260" t="n">
        <x:f>IF(Z832&lt;($E$14-$D$14)/($F$14-$D$14),$D$14+SQRT(Z832*($F$14-$D$14)*($E$14-$D$14)),$F$14-SQRT((1-Z832)*($F$14-$D$14)*($F$14-$E$14)))</x:f>
        <x:v>0.980308993386963</x:v>
      </x:c>
      <x:c r="G832" s="258" t="n">
        <x:f>IF(AA832&lt;($E$15-$D$15)/($F$15-$D$15),$D$15+SQRT(AA832*($F$15-$D$15)*($E$15-$D$15)),$F$15-SQRT((1-AA832)*($F$15-$D$15)*($F$15-$E$15)))</x:f>
        <x:v>0.09800455632804683</x:v>
      </x:c>
      <x:c r="H832" s="258" t="n">
        <x:f>IF(AB832&lt;($E$16-$D$16)/($F$16-$D$16),$D$16+SQRT(AB832*($F$16-$D$16)*($E$16-$D$16)),$F$16-SQRT((1-AB832)*($F$16-$D$16)*($F$16-$E$16)))</x:f>
        <x:v>0.0292106713999981</x:v>
      </x:c>
      <x:c r="I832" s="262" t="n">
        <x:f>'Historical Inputs'!$N$9*(1+D832)^5</x:f>
        <x:v>673004.0801143824</x:v>
      </x:c>
      <x:c r="J832" s="262" t="n">
        <x:f>I832*(1+H832)*('Terminal Value'!$E$10+E832)*(1-'Assumptions'!$E$15)*(1-H832/'Terminal Value'!$E$12)</x:f>
        <x:v>206832.48815947195</x:v>
      </x:c>
      <x:c r="K832" s="264" t="n">
        <x:f>((SUM((('Historical Inputs'!$N$9*(1+(D832))^1)*(('Assumptions'!E37+(E832))*(1-'Assumptions'!E42-(0))+'Assumptions'!E47-'Assumptions'!E52*(F832)+'Assumptions'!E57-'Assumptions'!E62*(1)-'Assumptions'!E67-(0))+('Working Capital'!$E$6))*'DCF'!E12/(1+(G832))^'DCF'!E13,(('Historical Inputs'!$N$9*(1+(D832))^2)*(('Assumptions'!F37+(E832))*(1-'Assumptions'!F42-(0))+'Assumptions'!F47-'Assumptions'!F52*(F832)+'Assumptions'!F57-'Assumptions'!F62*(1)-'Assumptions'!F67-(0))+(('Historical Inputs'!$N$9*(1+(D832))^1)*('Assumptions'!E67+(0))))*'DCF'!F12/(1+(G832))^'DCF'!F13,(('Historical Inputs'!$N$9*(1+(D832))^3)*(('Assumptions'!G37+(E832))*(1-'Assumptions'!G42-(0))+'Assumptions'!G47-'Assumptions'!G52*(F832)+'Assumptions'!G57-'Assumptions'!G62*(1)-'Assumptions'!G67-(0))+(('Historical Inputs'!$N$9*(1+(D832))^2)*('Assumptions'!F67+(0))))*'DCF'!G12/(1+(G832))^'DCF'!G13,(('Historical Inputs'!$N$9*(1+(D832))^4)*(('Assumptions'!H37+(E832))*(1-'Assumptions'!H42-(0))+'Assumptions'!H47-'Assumptions'!H52*(F832)+'Assumptions'!H57-'Assumptions'!H62*(1)-'Assumptions'!H67-(0))+(('Historical Inputs'!$N$9*(1+(D832))^3)*('Assumptions'!G67+(0))))*'DCF'!H12/(1+(G832))^'DCF'!H13,(('Historical Inputs'!$N$9*(1+(D832))^5)*(('Assumptions'!I37+(E832))*(1-'Assumptions'!I42-(0))+'Assumptions'!I47-'Assumptions'!I52*(F832)+'Assumptions'!I57-'Assumptions'!I62*(1)-'Assumptions'!I67-(0))+(('Historical Inputs'!$N$9*(1+(D832))^4)*('Assumptions'!H67+(0))))*'DCF'!I12/(1+(G832))^'DCF'!I13)+('Historical Inputs'!$N$9*(1+(D832))^5)*(1+(H832))*('Terminal Value'!$E$10+(E832))*(1-'Assumptions'!$E$15-(0))*(1-(H832)/('Terminal Value'!$E$12))/((G832)-(H832))/(1+(G832))^'DCF'!$E$19)+'Equity Bridge'!$E$17)/'Equity Bridge'!$E$20</x:f>
        <x:v>325.7977788835527</x:v>
      </x:c>
      <x:c r="X832" s="255" t="n">
        <x:v>0.6580630749216568</x:v>
      </x:c>
      <x:c r="Y832" s="255" t="n">
        <x:v>0.9666933255974081</x:v>
      </x:c>
      <x:c r="Z832" s="255" t="n">
        <x:v>0.3234368334766393</x:v>
      </x:c>
      <x:c r="AA832" s="255" t="n">
        <x:v>0.490986791714508</x:v>
      </x:c>
      <x:c r="AB832" s="255" t="n">
        <x:v>0.424182338193715</x:v>
      </x:c>
    </x:row>
    <x:row r="833" ht="24" customHeight="1">
      <x:c r="C833" s="256" t="n">
        <x:f>802</x:f>
        <x:v>802</x:v>
      </x:c>
      <x:c r="D833" s="258" t="n">
        <x:f>IF(X833&lt;($E$12-$D$12)/($F$12-$D$12),$D$12+SQRT(X833*($F$12-$D$12)*($E$12-$D$12)),$F$12-SQRT((1-X833)*($F$12-$D$12)*($F$12-$E$12)))</x:f>
        <x:v>0.18054387631389504</x:v>
      </x:c>
      <x:c r="E833" s="258" t="n">
        <x:f>IF(Y833&lt;($E$13-$D$13)/($F$13-$D$13),$D$13+SQRT(Y833*($F$13-$D$13)*($E$13-$D$13)),$F$13-SQRT((1-Y833)*($F$13-$D$13)*($F$13-$E$13)))</x:f>
        <x:v>-0.011131045336279413</x:v>
      </x:c>
      <x:c r="F833" s="260" t="n">
        <x:f>IF(Z833&lt;($E$14-$D$14)/($F$14-$D$14),$D$14+SQRT(Z833*($F$14-$D$14)*($E$14-$D$14)),$F$14-SQRT((1-Z833)*($F$14-$D$14)*($F$14-$E$14)))</x:f>
        <x:v>1.1077263515057914</x:v>
      </x:c>
      <x:c r="G833" s="258" t="n">
        <x:f>IF(AA833&lt;($E$15-$D$15)/($F$15-$D$15),$D$15+SQRT(AA833*($F$15-$D$15)*($E$15-$D$15)),$F$15-SQRT((1-AA833)*($F$15-$D$15)*($F$15-$E$15)))</x:f>
        <x:v>0.08752671779593801</x:v>
      </x:c>
      <x:c r="H833" s="258" t="n">
        <x:f>IF(AB833&lt;($E$16-$D$16)/($F$16-$D$16),$D$16+SQRT(AB833*($F$16-$D$16)*($E$16-$D$16)),$F$16-SQRT((1-AB833)*($F$16-$D$16)*($F$16-$E$16)))</x:f>
        <x:v>0.023838110644599737</x:v>
      </x:c>
      <x:c r="I833" s="262" t="n">
        <x:f>'Historical Inputs'!$N$9*(1+D833)^5</x:f>
        <x:v>760918.4067412005</x:v>
      </x:c>
      <x:c r="J833" s="262" t="n">
        <x:f>I833*(1+H833)*('Terminal Value'!$E$10+E833)*(1-'Assumptions'!$E$15)*(1-H833/'Terminal Value'!$E$12)</x:f>
        <x:v>213473.8117114549</x:v>
      </x:c>
      <x:c r="K833" s="264" t="n">
        <x:f>((SUM((('Historical Inputs'!$N$9*(1+(D833))^1)*(('Assumptions'!E37+(E833))*(1-'Assumptions'!E42-(0))+'Assumptions'!E47-'Assumptions'!E52*(F833)+'Assumptions'!E57-'Assumptions'!E62*(1)-'Assumptions'!E67-(0))+('Working Capital'!$E$6))*'DCF'!E12/(1+(G833))^'DCF'!E13,(('Historical Inputs'!$N$9*(1+(D833))^2)*(('Assumptions'!F37+(E833))*(1-'Assumptions'!F42-(0))+'Assumptions'!F47-'Assumptions'!F52*(F833)+'Assumptions'!F57-'Assumptions'!F62*(1)-'Assumptions'!F67-(0))+(('Historical Inputs'!$N$9*(1+(D833))^1)*('Assumptions'!E67+(0))))*'DCF'!F12/(1+(G833))^'DCF'!F13,(('Historical Inputs'!$N$9*(1+(D833))^3)*(('Assumptions'!G37+(E833))*(1-'Assumptions'!G42-(0))+'Assumptions'!G47-'Assumptions'!G52*(F833)+'Assumptions'!G57-'Assumptions'!G62*(1)-'Assumptions'!G67-(0))+(('Historical Inputs'!$N$9*(1+(D833))^2)*('Assumptions'!F67+(0))))*'DCF'!G12/(1+(G833))^'DCF'!G13,(('Historical Inputs'!$N$9*(1+(D833))^4)*(('Assumptions'!H37+(E833))*(1-'Assumptions'!H42-(0))+'Assumptions'!H47-'Assumptions'!H52*(F833)+'Assumptions'!H57-'Assumptions'!H62*(1)-'Assumptions'!H67-(0))+(('Historical Inputs'!$N$9*(1+(D833))^3)*('Assumptions'!G67+(0))))*'DCF'!H12/(1+(G833))^'DCF'!H13,(('Historical Inputs'!$N$9*(1+(D833))^5)*(('Assumptions'!I37+(E833))*(1-'Assumptions'!I42-(0))+'Assumptions'!I47-'Assumptions'!I52*(F833)+'Assumptions'!I57-'Assumptions'!I62*(1)-'Assumptions'!I67-(0))+(('Historical Inputs'!$N$9*(1+(D833))^4)*('Assumptions'!H67+(0))))*'DCF'!I12/(1+(G833))^'DCF'!I13)+('Historical Inputs'!$N$9*(1+(D833))^5)*(1+(H833))*('Terminal Value'!$E$10+(E833))*(1-'Assumptions'!$E$15-(0))*(1-(H833)/('Terminal Value'!$E$12))/((G833)-(H833))/(1+(G833))^'DCF'!$E$19)+'Equity Bridge'!$E$17)/'Equity Bridge'!$E$20</x:f>
        <x:v>356.81707064236764</x:v>
      </x:c>
      <x:c r="X833" s="255" t="n">
        <x:v>0.9676751862373174</x:v>
      </x:c>
      <x:c r="Y833" s="255" t="n">
        <x:v>0.30215912733007333</x:v>
      </x:c>
      <x:c r="Z833" s="255" t="n">
        <x:v>0.8783653399081033</x:v>
      </x:c>
      <x:c r="AA833" s="255" t="n">
        <x:v>0.042755673792313376</x:v>
      </x:c>
      <x:c r="AB833" s="255" t="n">
        <x:v>0.07365546660094913</x:v>
      </x:c>
    </x:row>
    <x:row r="834" ht="24" customHeight="1">
      <x:c r="C834" s="256" t="n">
        <x:f>803</x:f>
        <x:v>803</x:v>
      </x:c>
      <x:c r="D834" s="258" t="n">
        <x:f>IF(X834&lt;($E$12-$D$12)/($F$12-$D$12),$D$12+SQRT(X834*($F$12-$D$12)*($E$12-$D$12)),$F$12-SQRT((1-X834)*($F$12-$D$12)*($F$12-$E$12)))</x:f>
        <x:v>0.14728318675550311</x:v>
      </x:c>
      <x:c r="E834" s="258" t="n">
        <x:f>IF(Y834&lt;($E$13-$D$13)/($F$13-$D$13),$D$13+SQRT(Y834*($F$13-$D$13)*($E$13-$D$13)),$F$13-SQRT((1-Y834)*($F$13-$D$13)*($F$13-$E$13)))</x:f>
        <x:v>0.0027659875250452826</x:v>
      </x:c>
      <x:c r="F834" s="260" t="n">
        <x:f>IF(Z834&lt;($E$14-$D$14)/($F$14-$D$14),$D$14+SQRT(Z834*($F$14-$D$14)*($E$14-$D$14)),$F$14-SQRT((1-Z834)*($F$14-$D$14)*($F$14-$E$14)))</x:f>
        <x:v>1.0233992163373047</x:v>
      </x:c>
      <x:c r="G834" s="258" t="n">
        <x:f>IF(AA834&lt;($E$15-$D$15)/($F$15-$D$15),$D$15+SQRT(AA834*($F$15-$D$15)*($E$15-$D$15)),$F$15-SQRT((1-AA834)*($F$15-$D$15)*($F$15-$E$15)))</x:f>
        <x:v>0.0958514583050551</x:v>
      </x:c>
      <x:c r="H834" s="258" t="n">
        <x:f>IF(AB834&lt;($E$16-$D$16)/($F$16-$D$16),$D$16+SQRT(AB834*($F$16-$D$16)*($E$16-$D$16)),$F$16-SQRT((1-AB834)*($F$16-$D$16)*($F$16-$E$16)))</x:f>
        <x:v>0.027119766312449764</x:v>
      </x:c>
      <x:c r="I834" s="262" t="n">
        <x:f>'Historical Inputs'!$N$9*(1+D834)^5</x:f>
        <x:v>659599.885449311</x:v>
      </x:c>
      <x:c r="J834" s="262" t="n">
        <x:f>I834*(1+H834)*('Terminal Value'!$E$10+E834)*(1-'Assumptions'!$E$15)*(1-H834/'Terminal Value'!$E$12)</x:f>
        <x:v>188694.73358592927</x:v>
      </x:c>
      <x:c r="K834" s="264" t="n">
        <x:f>((SUM((('Historical Inputs'!$N$9*(1+(D834))^1)*(('Assumptions'!E37+(E834))*(1-'Assumptions'!E42-(0))+'Assumptions'!E47-'Assumptions'!E52*(F834)+'Assumptions'!E57-'Assumptions'!E62*(1)-'Assumptions'!E67-(0))+('Working Capital'!$E$6))*'DCF'!E12/(1+(G834))^'DCF'!E13,(('Historical Inputs'!$N$9*(1+(D834))^2)*(('Assumptions'!F37+(E834))*(1-'Assumptions'!F42-(0))+'Assumptions'!F47-'Assumptions'!F52*(F834)+'Assumptions'!F57-'Assumptions'!F62*(1)-'Assumptions'!F67-(0))+(('Historical Inputs'!$N$9*(1+(D834))^1)*('Assumptions'!E67+(0))))*'DCF'!F12/(1+(G834))^'DCF'!F13,(('Historical Inputs'!$N$9*(1+(D834))^3)*(('Assumptions'!G37+(E834))*(1-'Assumptions'!G42-(0))+'Assumptions'!G47-'Assumptions'!G52*(F834)+'Assumptions'!G57-'Assumptions'!G62*(1)-'Assumptions'!G67-(0))+(('Historical Inputs'!$N$9*(1+(D834))^2)*('Assumptions'!F67+(0))))*'DCF'!G12/(1+(G834))^'DCF'!G13,(('Historical Inputs'!$N$9*(1+(D834))^4)*(('Assumptions'!H37+(E834))*(1-'Assumptions'!H42-(0))+'Assumptions'!H47-'Assumptions'!H52*(F834)+'Assumptions'!H57-'Assumptions'!H62*(1)-'Assumptions'!H67-(0))+(('Historical Inputs'!$N$9*(1+(D834))^3)*('Assumptions'!G67+(0))))*'DCF'!H12/(1+(G834))^'DCF'!H13,(('Historical Inputs'!$N$9*(1+(D834))^5)*(('Assumptions'!I37+(E834))*(1-'Assumptions'!I42-(0))+'Assumptions'!I47-'Assumptions'!I52*(F834)+'Assumptions'!I57-'Assumptions'!I62*(1)-'Assumptions'!I67-(0))+(('Historical Inputs'!$N$9*(1+(D834))^4)*('Assumptions'!H67+(0))))*'DCF'!I12/(1+(G834))^'DCF'!I13)+('Historical Inputs'!$N$9*(1+(D834))^5)*(1+(H834))*('Terminal Value'!$E$10+(E834))*(1-'Assumptions'!$E$15-(0))*(1-(H834)/('Terminal Value'!$E$12))/((G834)-(H834))/(1+(G834))^'DCF'!$E$19)+'Equity Bridge'!$E$17)/'Equity Bridge'!$E$20</x:f>
        <x:v>294.93746403647043</x:v>
      </x:c>
      <x:c r="X834" s="255" t="n">
        <x:v>0.5772812977810948</x:v>
      </x:c>
      <x:c r="Y834" s="255" t="n">
        <x:v>0.5537896131031644</x:v>
      </x:c>
      <x:c r="Z834" s="255" t="n">
        <x:v>0.5544594744245989</x:v>
      </x:c>
      <x:c r="AA834" s="255" t="n">
        <x:v>0.35904840871680765</x:v>
      </x:c>
      <x:c r="AB834" s="255" t="n">
        <x:v>0.2534553617194727</x:v>
      </x:c>
    </x:row>
    <x:row r="835" ht="24" customHeight="1">
      <x:c r="C835" s="256" t="n">
        <x:f>804</x:f>
        <x:v>804</x:v>
      </x:c>
      <x:c r="D835" s="258" t="n">
        <x:f>IF(X835&lt;($E$12-$D$12)/($F$12-$D$12),$D$12+SQRT(X835*($F$12-$D$12)*($E$12-$D$12)),$F$12-SQRT((1-X835)*($F$12-$D$12)*($F$12-$E$12)))</x:f>
        <x:v>0.16381267876341724</x:v>
      </x:c>
      <x:c r="E835" s="258" t="n">
        <x:f>IF(Y835&lt;($E$13-$D$13)/($F$13-$D$13),$D$13+SQRT(Y835*($F$13-$D$13)*($E$13-$D$13)),$F$13-SQRT((1-Y835)*($F$13-$D$13)*($F$13-$E$13)))</x:f>
        <x:v>0.023967191946188775</x:v>
      </x:c>
      <x:c r="F835" s="260" t="n">
        <x:f>IF(Z835&lt;($E$14-$D$14)/($F$14-$D$14),$D$14+SQRT(Z835*($F$14-$D$14)*($E$14-$D$14)),$F$14-SQRT((1-Z835)*($F$14-$D$14)*($F$14-$E$14)))</x:f>
        <x:v>0.9502267195714604</x:v>
      </x:c>
      <x:c r="G835" s="258" t="n">
        <x:f>IF(AA835&lt;($E$15-$D$15)/($F$15-$D$15),$D$15+SQRT(AA835*($F$15-$D$15)*($E$15-$D$15)),$F$15-SQRT((1-AA835)*($F$15-$D$15)*($F$15-$E$15)))</x:f>
        <x:v>0.09720720208950492</x:v>
      </x:c>
      <x:c r="H835" s="258" t="n">
        <x:f>IF(AB835&lt;($E$16-$D$16)/($F$16-$D$16),$D$16+SQRT(AB835*($F$16-$D$16)*($E$16-$D$16)),$F$16-SQRT((1-AB835)*($F$16-$D$16)*($F$16-$E$16)))</x:f>
        <x:v>0.028324187019150418</x:v>
      </x:c>
      <x:c r="I835" s="262" t="n">
        <x:f>'Historical Inputs'!$N$9*(1+D835)^5</x:f>
        <x:v>708504.8813780325</x:v>
      </x:c>
      <x:c r="J835" s="262" t="n">
        <x:f>I835*(1+H835)*('Terminal Value'!$E$10+E835)*(1-'Assumptions'!$E$15)*(1-H835/'Terminal Value'!$E$12)</x:f>
        <x:v>212116.40224195708</x:v>
      </x:c>
      <x:c r="K835" s="264" t="n">
        <x:f>((SUM((('Historical Inputs'!$N$9*(1+(D835))^1)*(('Assumptions'!E37+(E835))*(1-'Assumptions'!E42-(0))+'Assumptions'!E47-'Assumptions'!E52*(F835)+'Assumptions'!E57-'Assumptions'!E62*(1)-'Assumptions'!E67-(0))+('Working Capital'!$E$6))*'DCF'!E12/(1+(G835))^'DCF'!E13,(('Historical Inputs'!$N$9*(1+(D835))^2)*(('Assumptions'!F37+(E835))*(1-'Assumptions'!F42-(0))+'Assumptions'!F47-'Assumptions'!F52*(F835)+'Assumptions'!F57-'Assumptions'!F62*(1)-'Assumptions'!F67-(0))+(('Historical Inputs'!$N$9*(1+(D835))^1)*('Assumptions'!E67+(0))))*'DCF'!F12/(1+(G835))^'DCF'!F13,(('Historical Inputs'!$N$9*(1+(D835))^3)*(('Assumptions'!G37+(E835))*(1-'Assumptions'!G42-(0))+'Assumptions'!G47-'Assumptions'!G52*(F835)+'Assumptions'!G57-'Assumptions'!G62*(1)-'Assumptions'!G67-(0))+(('Historical Inputs'!$N$9*(1+(D835))^2)*('Assumptions'!F67+(0))))*'DCF'!G12/(1+(G835))^'DCF'!G13,(('Historical Inputs'!$N$9*(1+(D835))^4)*(('Assumptions'!H37+(E835))*(1-'Assumptions'!H42-(0))+'Assumptions'!H47-'Assumptions'!H52*(F835)+'Assumptions'!H57-'Assumptions'!H62*(1)-'Assumptions'!H67-(0))+(('Historical Inputs'!$N$9*(1+(D835))^3)*('Assumptions'!G67+(0))))*'DCF'!H12/(1+(G835))^'DCF'!H13,(('Historical Inputs'!$N$9*(1+(D835))^5)*(('Assumptions'!I37+(E835))*(1-'Assumptions'!I42-(0))+'Assumptions'!I47-'Assumptions'!I52*(F835)+'Assumptions'!I57-'Assumptions'!I62*(1)-'Assumptions'!I67-(0))+(('Historical Inputs'!$N$9*(1+(D835))^4)*('Assumptions'!H67+(0))))*'DCF'!I12/(1+(G835))^'DCF'!I13)+('Historical Inputs'!$N$9*(1+(D835))^5)*(1+(H835))*('Terminal Value'!$E$10+(E835))*(1-'Assumptions'!$E$15-(0))*(1-(H835)/('Terminal Value'!$E$12))/((G835)-(H835))/(1+(G835))^'DCF'!$E$19)+'Equity Bridge'!$E$17)/'Equity Bridge'!$E$20</x:f>
        <x:v>334.80476709593364</x:v>
      </x:c>
      <x:c r="X835" s="255" t="n">
        <x:v>0.8266061323219113</x:v>
      </x:c>
      <x:c r="Y835" s="255" t="n">
        <x:v>0.8644585809666843</x:v>
      </x:c>
      <x:c r="Z835" s="255" t="n">
        <x:v>0.19134086316297494</x:v>
      </x:c>
      <x:c r="AA835" s="255" t="n">
        <x:v>0.4397239666230077</x:v>
      </x:c>
      <x:c r="AB835" s="255" t="n">
        <x:v>0.3464604476489619</x:v>
      </x:c>
    </x:row>
    <x:row r="836" ht="24" customHeight="1">
      <x:c r="C836" s="256" t="n">
        <x:f>805</x:f>
        <x:v>805</x:v>
      </x:c>
      <x:c r="D836" s="258" t="n">
        <x:f>IF(X836&lt;($E$12-$D$12)/($F$12-$D$12),$D$12+SQRT(X836*($F$12-$D$12)*($E$12-$D$12)),$F$12-SQRT((1-X836)*($F$12-$D$12)*($F$12-$E$12)))</x:f>
        <x:v>0.10627198358654799</x:v>
      </x:c>
      <x:c r="E836" s="258" t="n">
        <x:f>IF(Y836&lt;($E$13-$D$13)/($F$13-$D$13),$D$13+SQRT(Y836*($F$13-$D$13)*($E$13-$D$13)),$F$13-SQRT((1-Y836)*($F$13-$D$13)*($F$13-$E$13)))</x:f>
        <x:v>-0.005727544313239831</x:v>
      </x:c>
      <x:c r="F836" s="260" t="n">
        <x:f>IF(Z836&lt;($E$14-$D$14)/($F$14-$D$14),$D$14+SQRT(Z836*($F$14-$D$14)*($E$14-$D$14)),$F$14-SQRT((1-Z836)*($F$14-$D$14)*($F$14-$E$14)))</x:f>
        <x:v>1.034440568971574</x:v>
      </x:c>
      <x:c r="G836" s="258" t="n">
        <x:f>IF(AA836&lt;($E$15-$D$15)/($F$15-$D$15),$D$15+SQRT(AA836*($F$15-$D$15)*($E$15-$D$15)),$F$15-SQRT((1-AA836)*($F$15-$D$15)*($F$15-$E$15)))</x:f>
        <x:v>0.10617975267698923</x:v>
      </x:c>
      <x:c r="H836" s="258" t="n">
        <x:f>IF(AB836&lt;($E$16-$D$16)/($F$16-$D$16),$D$16+SQRT(AB836*($F$16-$D$16)*($E$16-$D$16)),$F$16-SQRT((1-AB836)*($F$16-$D$16)*($F$16-$E$16)))</x:f>
        <x:v>0.03286166118132587</x:v>
      </x:c>
      <x:c r="I836" s="262" t="n">
        <x:f>'Historical Inputs'!$N$9*(1+D836)^5</x:f>
        <x:v>549840.8419589312</x:v>
      </x:c>
      <x:c r="J836" s="262" t="n">
        <x:f>I836*(1+H836)*('Terminal Value'!$E$10+E836)*(1-'Assumptions'!$E$15)*(1-H836/'Terminal Value'!$E$12)</x:f>
        <x:v>149696.50595101176</x:v>
      </x:c>
      <x:c r="K836" s="264" t="n">
        <x:f>((SUM((('Historical Inputs'!$N$9*(1+(D836))^1)*(('Assumptions'!E37+(E836))*(1-'Assumptions'!E42-(0))+'Assumptions'!E47-'Assumptions'!E52*(F836)+'Assumptions'!E57-'Assumptions'!E62*(1)-'Assumptions'!E67-(0))+('Working Capital'!$E$6))*'DCF'!E12/(1+(G836))^'DCF'!E13,(('Historical Inputs'!$N$9*(1+(D836))^2)*(('Assumptions'!F37+(E836))*(1-'Assumptions'!F42-(0))+'Assumptions'!F47-'Assumptions'!F52*(F836)+'Assumptions'!F57-'Assumptions'!F62*(1)-'Assumptions'!F67-(0))+(('Historical Inputs'!$N$9*(1+(D836))^1)*('Assumptions'!E67+(0))))*'DCF'!F12/(1+(G836))^'DCF'!F13,(('Historical Inputs'!$N$9*(1+(D836))^3)*(('Assumptions'!G37+(E836))*(1-'Assumptions'!G42-(0))+'Assumptions'!G47-'Assumptions'!G52*(F836)+'Assumptions'!G57-'Assumptions'!G62*(1)-'Assumptions'!G67-(0))+(('Historical Inputs'!$N$9*(1+(D836))^2)*('Assumptions'!F67+(0))))*'DCF'!G12/(1+(G836))^'DCF'!G13,(('Historical Inputs'!$N$9*(1+(D836))^4)*(('Assumptions'!H37+(E836))*(1-'Assumptions'!H42-(0))+'Assumptions'!H47-'Assumptions'!H52*(F836)+'Assumptions'!H57-'Assumptions'!H62*(1)-'Assumptions'!H67-(0))+(('Historical Inputs'!$N$9*(1+(D836))^3)*('Assumptions'!G67+(0))))*'DCF'!H12/(1+(G836))^'DCF'!H13,(('Historical Inputs'!$N$9*(1+(D836))^5)*(('Assumptions'!I37+(E836))*(1-'Assumptions'!I42-(0))+'Assumptions'!I47-'Assumptions'!I52*(F836)+'Assumptions'!I57-'Assumptions'!I62*(1)-'Assumptions'!I67-(0))+(('Historical Inputs'!$N$9*(1+(D836))^4)*('Assumptions'!H67+(0))))*'DCF'!I12/(1+(G836))^'DCF'!I13)+('Historical Inputs'!$N$9*(1+(D836))^5)*(1+(H836))*('Terminal Value'!$E$10+(E836))*(1-'Assumptions'!$E$15-(0))*(1-(H836)/('Terminal Value'!$E$12))/((G836)-(H836))/(1+(G836))^'DCF'!$E$19)+'Equity Bridge'!$E$17)/'Equity Bridge'!$E$20</x:f>
        <x:v>215.53921152206811</x:v>
      </x:c>
      <x:c r="X836" s="255" t="n">
        <x:v>0.03387784592540666</x:v>
      </x:c>
      <x:c r="Y836" s="255" t="n">
        <x:v>0.3920100665072286</x:v>
      </x:c>
      <x:c r="Z836" s="255" t="n">
        <x:v>0.608429639964913</x:v>
      </x:c>
      <x:c r="AA836" s="255" t="n">
        <x:v>0.8923329252275352</x:v>
      </x:c>
      <x:c r="AB836" s="255" t="n">
        <x:v>0.7452205945490504</x:v>
      </x:c>
    </x:row>
    <x:row r="837" ht="24" customHeight="1">
      <x:c r="C837" s="256" t="n">
        <x:f>806</x:f>
        <x:v>806</x:v>
      </x:c>
      <x:c r="D837" s="258" t="n">
        <x:f>IF(X837&lt;($E$12-$D$12)/($F$12-$D$12),$D$12+SQRT(X837*($F$12-$D$12)*($E$12-$D$12)),$F$12-SQRT((1-X837)*($F$12-$D$12)*($F$12-$E$12)))</x:f>
        <x:v>0.1329285901635742</x:v>
      </x:c>
      <x:c r="E837" s="258" t="n">
        <x:f>IF(Y837&lt;($E$13-$D$13)/($F$13-$D$13),$D$13+SQRT(Y837*($F$13-$D$13)*($E$13-$D$13)),$F$13-SQRT((1-Y837)*($F$13-$D$13)*($F$13-$E$13)))</x:f>
        <x:v>-0.012434596611017985</x:v>
      </x:c>
      <x:c r="F837" s="260" t="n">
        <x:f>IF(Z837&lt;($E$14-$D$14)/($F$14-$D$14),$D$14+SQRT(Z837*($F$14-$D$14)*($E$14-$D$14)),$F$14-SQRT((1-Z837)*($F$14-$D$14)*($F$14-$E$14)))</x:f>
        <x:v>0.9730830700276949</x:v>
      </x:c>
      <x:c r="G837" s="258" t="n">
        <x:f>IF(AA837&lt;($E$15-$D$15)/($F$15-$D$15),$D$15+SQRT(AA837*($F$15-$D$15)*($E$15-$D$15)),$F$15-SQRT((1-AA837)*($F$15-$D$15)*($F$15-$E$15)))</x:f>
        <x:v>0.10721842063406489</x:v>
      </x:c>
      <x:c r="H837" s="258" t="n">
        <x:f>IF(AB837&lt;($E$16-$D$16)/($F$16-$D$16),$D$16+SQRT(AB837*($F$16-$D$16)*($E$16-$D$16)),$F$16-SQRT((1-AB837)*($F$16-$D$16)*($F$16-$E$16)))</x:f>
        <x:v>0.03928428935767969</x:v>
      </x:c>
      <x:c r="I837" s="262" t="n">
        <x:f>'Historical Inputs'!$N$9*(1+D837)^5</x:f>
        <x:v>619355.6576336897</x:v>
      </x:c>
      <x:c r="J837" s="262" t="n">
        <x:f>I837*(1+H837)*('Terminal Value'!$E$10+E837)*(1-'Assumptions'!$E$15)*(1-H837/'Terminal Value'!$E$12)</x:f>
        <x:v>160375.4166805338</x:v>
      </x:c>
      <x:c r="K837" s="264" t="n">
        <x:f>((SUM((('Historical Inputs'!$N$9*(1+(D837))^1)*(('Assumptions'!E37+(E837))*(1-'Assumptions'!E42-(0))+'Assumptions'!E47-'Assumptions'!E52*(F837)+'Assumptions'!E57-'Assumptions'!E62*(1)-'Assumptions'!E67-(0))+('Working Capital'!$E$6))*'DCF'!E12/(1+(G837))^'DCF'!E13,(('Historical Inputs'!$N$9*(1+(D837))^2)*(('Assumptions'!F37+(E837))*(1-'Assumptions'!F42-(0))+'Assumptions'!F47-'Assumptions'!F52*(F837)+'Assumptions'!F57-'Assumptions'!F62*(1)-'Assumptions'!F67-(0))+(('Historical Inputs'!$N$9*(1+(D837))^1)*('Assumptions'!E67+(0))))*'DCF'!F12/(1+(G837))^'DCF'!F13,(('Historical Inputs'!$N$9*(1+(D837))^3)*(('Assumptions'!G37+(E837))*(1-'Assumptions'!G42-(0))+'Assumptions'!G47-'Assumptions'!G52*(F837)+'Assumptions'!G57-'Assumptions'!G62*(1)-'Assumptions'!G67-(0))+(('Historical Inputs'!$N$9*(1+(D837))^2)*('Assumptions'!F67+(0))))*'DCF'!G12/(1+(G837))^'DCF'!G13,(('Historical Inputs'!$N$9*(1+(D837))^4)*(('Assumptions'!H37+(E837))*(1-'Assumptions'!H42-(0))+'Assumptions'!H47-'Assumptions'!H52*(F837)+'Assumptions'!H57-'Assumptions'!H62*(1)-'Assumptions'!H67-(0))+(('Historical Inputs'!$N$9*(1+(D837))^3)*('Assumptions'!G67+(0))))*'DCF'!H12/(1+(G837))^'DCF'!H13,(('Historical Inputs'!$N$9*(1+(D837))^5)*(('Assumptions'!I37+(E837))*(1-'Assumptions'!I42-(0))+'Assumptions'!I47-'Assumptions'!I52*(F837)+'Assumptions'!I57-'Assumptions'!I62*(1)-'Assumptions'!I67-(0))+(('Historical Inputs'!$N$9*(1+(D837))^4)*('Assumptions'!H67+(0))))*'DCF'!I12/(1+(G837))^'DCF'!I13)+('Historical Inputs'!$N$9*(1+(D837))^5)*(1+(H837))*('Terminal Value'!$E$10+(E837))*(1-'Assumptions'!$E$15-(0))*(1-(H837)/('Terminal Value'!$E$12))/((G837)-(H837))/(1+(G837))^'DCF'!$E$19)+'Equity Bridge'!$E$17)/'Equity Bridge'!$E$20</x:f>
        <x:v>247.6587580419512</x:v>
      </x:c>
      <x:c r="X837" s="255" t="n">
        <x:v>0.31476666687165333</x:v>
      </x:c>
      <x:c r="Y837" s="255" t="n">
        <x:v>0.2822319063553883</x:v>
      </x:c>
      <x:c r="Z837" s="255" t="n">
        <x:v>0.2885608024274755</x:v>
      </x:c>
      <x:c r="AA837" s="255" t="n">
        <x:v>0.9220678313429174</x:v>
      </x:c>
      <x:c r="AB837" s="255" t="n">
        <x:v>0.9974387913823473</x:v>
      </x:c>
    </x:row>
    <x:row r="838" ht="24" customHeight="1">
      <x:c r="C838" s="256" t="n">
        <x:f>807</x:f>
        <x:v>807</x:v>
      </x:c>
      <x:c r="D838" s="258" t="n">
        <x:f>IF(X838&lt;($E$12-$D$12)/($F$12-$D$12),$D$12+SQRT(X838*($F$12-$D$12)*($E$12-$D$12)),$F$12-SQRT((1-X838)*($F$12-$D$12)*($F$12-$E$12)))</x:f>
        <x:v>0.14197628452990443</x:v>
      </x:c>
      <x:c r="E838" s="258" t="n">
        <x:f>IF(Y838&lt;($E$13-$D$13)/($F$13-$D$13),$D$13+SQRT(Y838*($F$13-$D$13)*($E$13-$D$13)),$F$13-SQRT((1-Y838)*($F$13-$D$13)*($F$13-$E$13)))</x:f>
        <x:v>-0.009183366264599244</x:v>
      </x:c>
      <x:c r="F838" s="260" t="n">
        <x:f>IF(Z838&lt;($E$14-$D$14)/($F$14-$D$14),$D$14+SQRT(Z838*($F$14-$D$14)*($E$14-$D$14)),$F$14-SQRT((1-Z838)*($F$14-$D$14)*($F$14-$E$14)))</x:f>
        <x:v>0.9237652220426137</x:v>
      </x:c>
      <x:c r="G838" s="258" t="n">
        <x:f>IF(AA838&lt;($E$15-$D$15)/($F$15-$D$15),$D$15+SQRT(AA838*($F$15-$D$15)*($E$15-$D$15)),$F$15-SQRT((1-AA838)*($F$15-$D$15)*($F$15-$E$15)))</x:f>
        <x:v>0.09577967204637199</x:v>
      </x:c>
      <x:c r="H838" s="258" t="n">
        <x:f>IF(AB838&lt;($E$16-$D$16)/($F$16-$D$16),$D$16+SQRT(AB838*($F$16-$D$16)*($E$16-$D$16)),$F$16-SQRT((1-AB838)*($F$16-$D$16)*($F$16-$E$16)))</x:f>
        <x:v>0.03094100575173126</x:v>
      </x:c>
      <x:c r="I838" s="262" t="n">
        <x:f>'Historical Inputs'!$N$9*(1+D838)^5</x:f>
        <x:v>644485.0549861264</x:v>
      </x:c>
      <x:c r="J838" s="262" t="n">
        <x:f>I838*(1+H838)*('Terminal Value'!$E$10+E838)*(1-'Assumptions'!$E$15)*(1-H838/'Terminal Value'!$E$12)</x:f>
        <x:v>175597.35784852895</x:v>
      </x:c>
      <x:c r="K838" s="264" t="n">
        <x:f>((SUM((('Historical Inputs'!$N$9*(1+(D838))^1)*(('Assumptions'!E37+(E838))*(1-'Assumptions'!E42-(0))+'Assumptions'!E47-'Assumptions'!E52*(F838)+'Assumptions'!E57-'Assumptions'!E62*(1)-'Assumptions'!E67-(0))+('Working Capital'!$E$6))*'DCF'!E12/(1+(G838))^'DCF'!E13,(('Historical Inputs'!$N$9*(1+(D838))^2)*(('Assumptions'!F37+(E838))*(1-'Assumptions'!F42-(0))+'Assumptions'!F47-'Assumptions'!F52*(F838)+'Assumptions'!F57-'Assumptions'!F62*(1)-'Assumptions'!F67-(0))+(('Historical Inputs'!$N$9*(1+(D838))^1)*('Assumptions'!E67+(0))))*'DCF'!F12/(1+(G838))^'DCF'!F13,(('Historical Inputs'!$N$9*(1+(D838))^3)*(('Assumptions'!G37+(E838))*(1-'Assumptions'!G42-(0))+'Assumptions'!G47-'Assumptions'!G52*(F838)+'Assumptions'!G57-'Assumptions'!G62*(1)-'Assumptions'!G67-(0))+(('Historical Inputs'!$N$9*(1+(D838))^2)*('Assumptions'!F67+(0))))*'DCF'!G12/(1+(G838))^'DCF'!G13,(('Historical Inputs'!$N$9*(1+(D838))^4)*(('Assumptions'!H37+(E838))*(1-'Assumptions'!H42-(0))+'Assumptions'!H47-'Assumptions'!H52*(F838)+'Assumptions'!H57-'Assumptions'!H62*(1)-'Assumptions'!H67-(0))+(('Historical Inputs'!$N$9*(1+(D838))^3)*('Assumptions'!G67+(0))))*'DCF'!H12/(1+(G838))^'DCF'!H13,(('Historical Inputs'!$N$9*(1+(D838))^5)*(('Assumptions'!I37+(E838))*(1-'Assumptions'!I42-(0))+'Assumptions'!I47-'Assumptions'!I52*(F838)+'Assumptions'!I57-'Assumptions'!I62*(1)-'Assumptions'!I67-(0))+(('Historical Inputs'!$N$9*(1+(D838))^4)*('Assumptions'!H67+(0))))*'DCF'!I12/(1+(G838))^'DCF'!I13)+('Historical Inputs'!$N$9*(1+(D838))^5)*(1+(H838))*('Terminal Value'!$E$10+(E838))*(1-'Assumptions'!$E$15-(0))*(1-(H838)/('Terminal Value'!$E$12))/((G838)-(H838))/(1+(G838))^'DCF'!$E$19)+'Equity Bridge'!$E$17)/'Equity Bridge'!$E$20</x:f>
        <x:v>294.7293449194427</x:v>
      </x:c>
      <x:c r="X838" s="255" t="n">
        <x:v>0.4747133116812928</x:v>
      </x:c>
      <x:c r="Y838" s="255" t="n">
        <x:v>0.3331995178979711</x:v>
      </x:c>
      <x:c r="Z838" s="255" t="n">
        <x:v>0.10364396158087819</x:v>
      </x:c>
      <x:c r="AA838" s="255" t="n">
        <x:v>0.35500438698064096</x:v>
      </x:c>
      <x:c r="AB838" s="255" t="n">
        <x:v>0.5896731160491695</x:v>
      </x:c>
    </x:row>
    <x:row r="839" ht="24" customHeight="1">
      <x:c r="C839" s="256" t="n">
        <x:f>808</x:f>
        <x:v>808</x:v>
      </x:c>
      <x:c r="D839" s="258" t="n">
        <x:f>IF(X839&lt;($E$12-$D$12)/($F$12-$D$12),$D$12+SQRT(X839*($F$12-$D$12)*($E$12-$D$12)),$F$12-SQRT((1-X839)*($F$12-$D$12)*($F$12-$E$12)))</x:f>
        <x:v>0.136691294474134</x:v>
      </x:c>
      <x:c r="E839" s="258" t="n">
        <x:f>IF(Y839&lt;($E$13-$D$13)/($F$13-$D$13),$D$13+SQRT(Y839*($F$13-$D$13)*($E$13-$D$13)),$F$13-SQRT((1-Y839)*($F$13-$D$13)*($F$13-$E$13)))</x:f>
        <x:v>0.000021636900546920246</x:v>
      </x:c>
      <x:c r="F839" s="260" t="n">
        <x:f>IF(Z839&lt;($E$14-$D$14)/($F$14-$D$14),$D$14+SQRT(Z839*($F$14-$D$14)*($E$14-$D$14)),$F$14-SQRT((1-Z839)*($F$14-$D$14)*($F$14-$E$14)))</x:f>
        <x:v>0.9237469404459832</x:v>
      </x:c>
      <x:c r="G839" s="258" t="n">
        <x:f>IF(AA839&lt;($E$15-$D$15)/($F$15-$D$15),$D$15+SQRT(AA839*($F$15-$D$15)*($E$15-$D$15)),$F$15-SQRT((1-AA839)*($F$15-$D$15)*($F$15-$E$15)))</x:f>
        <x:v>0.09884654368096953</x:v>
      </x:c>
      <x:c r="H839" s="258" t="n">
        <x:f>IF(AB839&lt;($E$16-$D$16)/($F$16-$D$16),$D$16+SQRT(AB839*($F$16-$D$16)*($E$16-$D$16)),$F$16-SQRT((1-AB839)*($F$16-$D$16)*($F$16-$E$16)))</x:f>
        <x:v>0.03357578537567891</x:v>
      </x:c>
      <x:c r="I839" s="262" t="n">
        <x:f>'Historical Inputs'!$N$9*(1+D839)^5</x:f>
        <x:v>629709.2827710453</x:v>
      </x:c>
      <x:c r="J839" s="262" t="n">
        <x:f>I839*(1+H839)*('Terminal Value'!$E$10+E839)*(1-'Assumptions'!$E$15)*(1-H839/'Terminal Value'!$E$12)</x:f>
        <x:v>173317.4982881283</x:v>
      </x:c>
      <x:c r="K839" s="264" t="n">
        <x:f>((SUM((('Historical Inputs'!$N$9*(1+(D839))^1)*(('Assumptions'!E37+(E839))*(1-'Assumptions'!E42-(0))+'Assumptions'!E47-'Assumptions'!E52*(F839)+'Assumptions'!E57-'Assumptions'!E62*(1)-'Assumptions'!E67-(0))+('Working Capital'!$E$6))*'DCF'!E12/(1+(G839))^'DCF'!E13,(('Historical Inputs'!$N$9*(1+(D839))^2)*(('Assumptions'!F37+(E839))*(1-'Assumptions'!F42-(0))+'Assumptions'!F47-'Assumptions'!F52*(F839)+'Assumptions'!F57-'Assumptions'!F62*(1)-'Assumptions'!F67-(0))+(('Historical Inputs'!$N$9*(1+(D839))^1)*('Assumptions'!E67+(0))))*'DCF'!F12/(1+(G839))^'DCF'!F13,(('Historical Inputs'!$N$9*(1+(D839))^3)*(('Assumptions'!G37+(E839))*(1-'Assumptions'!G42-(0))+'Assumptions'!G47-'Assumptions'!G52*(F839)+'Assumptions'!G57-'Assumptions'!G62*(1)-'Assumptions'!G67-(0))+(('Historical Inputs'!$N$9*(1+(D839))^2)*('Assumptions'!F67+(0))))*'DCF'!G12/(1+(G839))^'DCF'!G13,(('Historical Inputs'!$N$9*(1+(D839))^4)*(('Assumptions'!H37+(E839))*(1-'Assumptions'!H42-(0))+'Assumptions'!H47-'Assumptions'!H52*(F839)+'Assumptions'!H57-'Assumptions'!H62*(1)-'Assumptions'!H67-(0))+(('Historical Inputs'!$N$9*(1+(D839))^3)*('Assumptions'!G67+(0))))*'DCF'!H12/(1+(G839))^'DCF'!H13,(('Historical Inputs'!$N$9*(1+(D839))^5)*(('Assumptions'!I37+(E839))*(1-'Assumptions'!I42-(0))+'Assumptions'!I47-'Assumptions'!I52*(F839)+'Assumptions'!I57-'Assumptions'!I62*(1)-'Assumptions'!I67-(0))+(('Historical Inputs'!$N$9*(1+(D839))^4)*('Assumptions'!H67+(0))))*'DCF'!I12/(1+(G839))^'DCF'!I13)+('Historical Inputs'!$N$9*(1+(D839))^5)*(1+(H839))*('Terminal Value'!$E$10+(E839))*(1-'Assumptions'!$E$15-(0))*(1-(H839)/('Terminal Value'!$E$12))/((G839)-(H839))/(1+(G839))^'DCF'!$E$19)+'Equity Bridge'!$E$17)/'Equity Bridge'!$E$20</x:f>
        <x:v>287.5092293587119</x:v>
      </x:c>
      <x:c r="X839" s="255" t="n">
        <x:v>0.3773072080934917</x:v>
      </x:c>
      <x:c r="Y839" s="255" t="n">
        <x:v>0.5004326443798454</x:v>
      </x:c>
      <x:c r="Z839" s="255" t="n">
        <x:v>0.10359259476463589</x:v>
      </x:c>
      <x:c r="AA839" s="255" t="n">
        <x:v>0.5459701098428544</x:v>
      </x:c>
      <x:c r="AB839" s="255" t="n">
        <x:v>0.7936473323032951</x:v>
      </x:c>
    </x:row>
    <x:row r="840" ht="24" customHeight="1">
      <x:c r="C840" s="256" t="n">
        <x:f>809</x:f>
        <x:v>809</x:v>
      </x:c>
      <x:c r="D840" s="258" t="n">
        <x:f>IF(X840&lt;($E$12-$D$12)/($F$12-$D$12),$D$12+SQRT(X840*($F$12-$D$12)*($E$12-$D$12)),$F$12-SQRT((1-X840)*($F$12-$D$12)*($F$12-$E$12)))</x:f>
        <x:v>0.13927115048598834</x:v>
      </x:c>
      <x:c r="E840" s="258" t="n">
        <x:f>IF(Y840&lt;($E$13-$D$13)/($F$13-$D$13),$D$13+SQRT(Y840*($F$13-$D$13)*($E$13-$D$13)),$F$13-SQRT((1-Y840)*($F$13-$D$13)*($F$13-$E$13)))</x:f>
        <x:v>-0.0031267778287786263</x:v>
      </x:c>
      <x:c r="F840" s="260" t="n">
        <x:f>IF(Z840&lt;($E$14-$D$14)/($F$14-$D$14),$D$14+SQRT(Z840*($F$14-$D$14)*($E$14-$D$14)),$F$14-SQRT((1-Z840)*($F$14-$D$14)*($F$14-$E$14)))</x:f>
        <x:v>0.990054383076999</x:v>
      </x:c>
      <x:c r="G840" s="258" t="n">
        <x:f>IF(AA840&lt;($E$15-$D$15)/($F$15-$D$15),$D$15+SQRT(AA840*($F$15-$D$15)*($E$15-$D$15)),$F$15-SQRT((1-AA840)*($F$15-$D$15)*($F$15-$E$15)))</x:f>
        <x:v>0.09511112474909275</x:v>
      </x:c>
      <x:c r="H840" s="258" t="n">
        <x:f>IF(AB840&lt;($E$16-$D$16)/($F$16-$D$16),$D$16+SQRT(AB840*($F$16-$D$16)*($E$16-$D$16)),$F$16-SQRT((1-AB840)*($F$16-$D$16)*($F$16-$E$16)))</x:f>
        <x:v>0.035440732655506374</x:v>
      </x:c>
      <x:c r="I840" s="262" t="n">
        <x:f>'Historical Inputs'!$N$9*(1+D840)^5</x:f>
        <x:v>636887.7942251445</x:v>
      </x:c>
      <x:c r="J840" s="262" t="n">
        <x:f>I840*(1+H840)*('Terminal Value'!$E$10+E840)*(1-'Assumptions'!$E$15)*(1-H840/'Terminal Value'!$E$12)</x:f>
        <x:v>172275.01837836258</x:v>
      </x:c>
      <x:c r="K840" s="264" t="n">
        <x:f>((SUM((('Historical Inputs'!$N$9*(1+(D840))^1)*(('Assumptions'!E37+(E840))*(1-'Assumptions'!E42-(0))+'Assumptions'!E47-'Assumptions'!E52*(F840)+'Assumptions'!E57-'Assumptions'!E62*(1)-'Assumptions'!E67-(0))+('Working Capital'!$E$6))*'DCF'!E12/(1+(G840))^'DCF'!E13,(('Historical Inputs'!$N$9*(1+(D840))^2)*(('Assumptions'!F37+(E840))*(1-'Assumptions'!F42-(0))+'Assumptions'!F47-'Assumptions'!F52*(F840)+'Assumptions'!F57-'Assumptions'!F62*(1)-'Assumptions'!F67-(0))+(('Historical Inputs'!$N$9*(1+(D840))^1)*('Assumptions'!E67+(0))))*'DCF'!F12/(1+(G840))^'DCF'!F13,(('Historical Inputs'!$N$9*(1+(D840))^3)*(('Assumptions'!G37+(E840))*(1-'Assumptions'!G42-(0))+'Assumptions'!G47-'Assumptions'!G52*(F840)+'Assumptions'!G57-'Assumptions'!G62*(1)-'Assumptions'!G67-(0))+(('Historical Inputs'!$N$9*(1+(D840))^2)*('Assumptions'!F67+(0))))*'DCF'!G12/(1+(G840))^'DCF'!G13,(('Historical Inputs'!$N$9*(1+(D840))^4)*(('Assumptions'!H37+(E840))*(1-'Assumptions'!H42-(0))+'Assumptions'!H47-'Assumptions'!H52*(F840)+'Assumptions'!H57-'Assumptions'!H62*(1)-'Assumptions'!H67-(0))+(('Historical Inputs'!$N$9*(1+(D840))^3)*('Assumptions'!G67+(0))))*'DCF'!H12/(1+(G840))^'DCF'!H13,(('Historical Inputs'!$N$9*(1+(D840))^5)*(('Assumptions'!I37+(E840))*(1-'Assumptions'!I42-(0))+'Assumptions'!I47-'Assumptions'!I52*(F840)+'Assumptions'!I57-'Assumptions'!I62*(1)-'Assumptions'!I67-(0))+(('Historical Inputs'!$N$9*(1+(D840))^4)*('Assumptions'!H67+(0))))*'DCF'!I12/(1+(G840))^'DCF'!I13)+('Historical Inputs'!$N$9*(1+(D840))^5)*(1+(H840))*('Terminal Value'!$E$10+(E840))*(1-'Assumptions'!$E$15-(0))*(1-(H840)/('Terminal Value'!$E$12))/((G840)-(H840))/(1+(G840))^'DCF'!$E$19)+'Equity Bridge'!$E$17)/'Equity Bridge'!$E$20</x:f>
        <x:v>307.68266242357515</x:v>
      </x:c>
      <x:c r="X840" s="255" t="n">
        <x:v>0.4234600072665361</x:v>
      </x:c>
      <x:c r="Y840" s="255" t="n">
        <x:v>0.4394197913425357</x:v>
      </x:c>
      <x:c r="Z840" s="255" t="n">
        <x:v>0.37362343274435816</x:v>
      </x:c>
      <x:c r="AA840" s="255" t="n">
        <x:v>0.31844219163739385</x:v>
      </x:c>
      <x:c r="AB840" s="255" t="n">
        <x:v>0.8960654064071703</x:v>
      </x:c>
    </x:row>
    <x:row r="841" ht="24" customHeight="1">
      <x:c r="C841" s="256" t="n">
        <x:f>810</x:f>
        <x:v>810</x:v>
      </x:c>
      <x:c r="D841" s="258" t="n">
        <x:f>IF(X841&lt;($E$12-$D$12)/($F$12-$D$12),$D$12+SQRT(X841*($F$12-$D$12)*($E$12-$D$12)),$F$12-SQRT((1-X841)*($F$12-$D$12)*($F$12-$E$12)))</x:f>
        <x:v>0.14465766556044146</x:v>
      </x:c>
      <x:c r="E841" s="258" t="n">
        <x:f>IF(Y841&lt;($E$13-$D$13)/($F$13-$D$13),$D$13+SQRT(Y841*($F$13-$D$13)*($E$13-$D$13)),$F$13-SQRT((1-Y841)*($F$13-$D$13)*($F$13-$E$13)))</x:f>
        <x:v>0.023181731715293658</x:v>
      </x:c>
      <x:c r="F841" s="260" t="n">
        <x:f>IF(Z841&lt;($E$14-$D$14)/($F$14-$D$14),$D$14+SQRT(Z841*($F$14-$D$14)*($E$14-$D$14)),$F$14-SQRT((1-Z841)*($F$14-$D$14)*($F$14-$E$14)))</x:f>
        <x:v>1.1351088705098176</x:v>
      </x:c>
      <x:c r="G841" s="258" t="n">
        <x:f>IF(AA841&lt;($E$15-$D$15)/($F$15-$D$15),$D$15+SQRT(AA841*($F$15-$D$15)*($E$15-$D$15)),$F$15-SQRT((1-AA841)*($F$15-$D$15)*($F$15-$E$15)))</x:f>
        <x:v>0.10288873614835188</x:v>
      </x:c>
      <x:c r="H841" s="258" t="n">
        <x:f>IF(AB841&lt;($E$16-$D$16)/($F$16-$D$16),$D$16+SQRT(AB841*($F$16-$D$16)*($E$16-$D$16)),$F$16-SQRT((1-AB841)*($F$16-$D$16)*($F$16-$E$16)))</x:f>
        <x:v>0.03369757808877659</x:v>
      </x:c>
      <x:c r="I841" s="262" t="n">
        <x:f>'Historical Inputs'!$N$9*(1+D841)^5</x:f>
        <x:v>652086.9831910188</x:v>
      </x:c>
      <x:c r="J841" s="262" t="n">
        <x:f>I841*(1+H841)*('Terminal Value'!$E$10+E841)*(1-'Assumptions'!$E$15)*(1-H841/'Terminal Value'!$E$12)</x:f>
        <x:v>189751.189268339</x:v>
      </x:c>
      <x:c r="K841" s="264" t="n">
        <x:f>((SUM((('Historical Inputs'!$N$9*(1+(D841))^1)*(('Assumptions'!E37+(E841))*(1-'Assumptions'!E42-(0))+'Assumptions'!E47-'Assumptions'!E52*(F841)+'Assumptions'!E57-'Assumptions'!E62*(1)-'Assumptions'!E67-(0))+('Working Capital'!$E$6))*'DCF'!E12/(1+(G841))^'DCF'!E13,(('Historical Inputs'!$N$9*(1+(D841))^2)*(('Assumptions'!F37+(E841))*(1-'Assumptions'!F42-(0))+'Assumptions'!F47-'Assumptions'!F52*(F841)+'Assumptions'!F57-'Assumptions'!F62*(1)-'Assumptions'!F67-(0))+(('Historical Inputs'!$N$9*(1+(D841))^1)*('Assumptions'!E67+(0))))*'DCF'!F12/(1+(G841))^'DCF'!F13,(('Historical Inputs'!$N$9*(1+(D841))^3)*(('Assumptions'!G37+(E841))*(1-'Assumptions'!G42-(0))+'Assumptions'!G47-'Assumptions'!G52*(F841)+'Assumptions'!G57-'Assumptions'!G62*(1)-'Assumptions'!G67-(0))+(('Historical Inputs'!$N$9*(1+(D841))^2)*('Assumptions'!F67+(0))))*'DCF'!G12/(1+(G841))^'DCF'!G13,(('Historical Inputs'!$N$9*(1+(D841))^4)*(('Assumptions'!H37+(E841))*(1-'Assumptions'!H42-(0))+'Assumptions'!H47-'Assumptions'!H52*(F841)+'Assumptions'!H57-'Assumptions'!H62*(1)-'Assumptions'!H67-(0))+(('Historical Inputs'!$N$9*(1+(D841))^3)*('Assumptions'!G67+(0))))*'DCF'!H12/(1+(G841))^'DCF'!H13,(('Historical Inputs'!$N$9*(1+(D841))^5)*(('Assumptions'!I37+(E841))*(1-'Assumptions'!I42-(0))+'Assumptions'!I47-'Assumptions'!I52*(F841)+'Assumptions'!I57-'Assumptions'!I62*(1)-'Assumptions'!I67-(0))+(('Historical Inputs'!$N$9*(1+(D841))^4)*('Assumptions'!H67+(0))))*'DCF'!I12/(1+(G841))^'DCF'!I13)+('Historical Inputs'!$N$9*(1+(D841))^5)*(1+(H841))*('Terminal Value'!$E$10+(E841))*(1-'Assumptions'!$E$15-(0))*(1-(H841)/('Terminal Value'!$E$12))/((G841)-(H841))/(1+(G841))^'DCF'!$E$19)+'Equity Bridge'!$E$17)/'Equity Bridge'!$E$20</x:f>
        <x:v>283.1794883227775</x:v>
      </x:c>
      <x:c r="X841" s="255" t="n">
        <x:v>0.5276205141135482</x:v>
      </x:c>
      <x:c r="Y841" s="255" t="n">
        <x:v>0.8561560972419028</x:v>
      </x:c>
      <x:c r="Z841" s="255" t="n">
        <x:v>0.9398448759069767</x:v>
      </x:c>
      <x:c r="AA841" s="255" t="n">
        <x:v>0.7664533731289311</x:v>
      </x:c>
      <x:c r="AB841" s="255" t="n">
        <x:v>0.8013973902646554</x:v>
      </x:c>
    </x:row>
    <x:row r="842" ht="24" customHeight="1">
      <x:c r="C842" s="256" t="n">
        <x:f>811</x:f>
        <x:v>811</x:v>
      </x:c>
      <x:c r="D842" s="258" t="n">
        <x:f>IF(X842&lt;($E$12-$D$12)/($F$12-$D$12),$D$12+SQRT(X842*($F$12-$D$12)*($E$12-$D$12)),$F$12-SQRT((1-X842)*($F$12-$D$12)*($F$12-$E$12)))</x:f>
        <x:v>0.14396584233808263</x:v>
      </x:c>
      <x:c r="E842" s="258" t="n">
        <x:f>IF(Y842&lt;($E$13-$D$13)/($F$13-$D$13),$D$13+SQRT(Y842*($F$13-$D$13)*($E$13-$D$13)),$F$13-SQRT((1-Y842)*($F$13-$D$13)*($F$13-$E$13)))</x:f>
        <x:v>0.01526845219792837</x:v>
      </x:c>
      <x:c r="F842" s="260" t="n">
        <x:f>IF(Z842&lt;($E$14-$D$14)/($F$14-$D$14),$D$14+SQRT(Z842*($F$14-$D$14)*($E$14-$D$14)),$F$14-SQRT((1-Z842)*($F$14-$D$14)*($F$14-$E$14)))</x:f>
        <x:v>1.0763121335486576</x:v>
      </x:c>
      <x:c r="G842" s="258" t="n">
        <x:f>IF(AA842&lt;($E$15-$D$15)/($F$15-$D$15),$D$15+SQRT(AA842*($F$15-$D$15)*($E$15-$D$15)),$F$15-SQRT((1-AA842)*($F$15-$D$15)*($F$15-$E$15)))</x:f>
        <x:v>0.10783283978446297</x:v>
      </x:c>
      <x:c r="H842" s="258" t="n">
        <x:f>IF(AB842&lt;($E$16-$D$16)/($F$16-$D$16),$D$16+SQRT(AB842*($F$16-$D$16)*($E$16-$D$16)),$F$16-SQRT((1-AB842)*($F$16-$D$16)*($F$16-$E$16)))</x:f>
        <x:v>0.028737768144684685</x:v>
      </x:c>
      <x:c r="I842" s="262" t="n">
        <x:f>'Historical Inputs'!$N$9*(1+D842)^5</x:f>
        <x:v>650118.779322817</x:v>
      </x:c>
      <x:c r="J842" s="262" t="n">
        <x:f>I842*(1+H842)*('Terminal Value'!$E$10+E842)*(1-'Assumptions'!$E$15)*(1-H842/'Terminal Value'!$E$12)</x:f>
        <x:v>190260.18973917997</x:v>
      </x:c>
      <x:c r="K842" s="264" t="n">
        <x:f>((SUM((('Historical Inputs'!$N$9*(1+(D842))^1)*(('Assumptions'!E37+(E842))*(1-'Assumptions'!E42-(0))+'Assumptions'!E47-'Assumptions'!E52*(F842)+'Assumptions'!E57-'Assumptions'!E62*(1)-'Assumptions'!E67-(0))+('Working Capital'!$E$6))*'DCF'!E12/(1+(G842))^'DCF'!E13,(('Historical Inputs'!$N$9*(1+(D842))^2)*(('Assumptions'!F37+(E842))*(1-'Assumptions'!F42-(0))+'Assumptions'!F47-'Assumptions'!F52*(F842)+'Assumptions'!F57-'Assumptions'!F62*(1)-'Assumptions'!F67-(0))+(('Historical Inputs'!$N$9*(1+(D842))^1)*('Assumptions'!E67+(0))))*'DCF'!F12/(1+(G842))^'DCF'!F13,(('Historical Inputs'!$N$9*(1+(D842))^3)*(('Assumptions'!G37+(E842))*(1-'Assumptions'!G42-(0))+'Assumptions'!G47-'Assumptions'!G52*(F842)+'Assumptions'!G57-'Assumptions'!G62*(1)-'Assumptions'!G67-(0))+(('Historical Inputs'!$N$9*(1+(D842))^2)*('Assumptions'!F67+(0))))*'DCF'!G12/(1+(G842))^'DCF'!G13,(('Historical Inputs'!$N$9*(1+(D842))^4)*(('Assumptions'!H37+(E842))*(1-'Assumptions'!H42-(0))+'Assumptions'!H47-'Assumptions'!H52*(F842)+'Assumptions'!H57-'Assumptions'!H62*(1)-'Assumptions'!H67-(0))+(('Historical Inputs'!$N$9*(1+(D842))^3)*('Assumptions'!G67+(0))))*'DCF'!H12/(1+(G842))^'DCF'!H13,(('Historical Inputs'!$N$9*(1+(D842))^5)*(('Assumptions'!I37+(E842))*(1-'Assumptions'!I42-(0))+'Assumptions'!I47-'Assumptions'!I52*(F842)+'Assumptions'!I57-'Assumptions'!I62*(1)-'Assumptions'!I67-(0))+(('Historical Inputs'!$N$9*(1+(D842))^4)*('Assumptions'!H67+(0))))*'DCF'!I12/(1+(G842))^'DCF'!I13)+('Historical Inputs'!$N$9*(1+(D842))^5)*(1+(H842))*('Terminal Value'!$E$10+(E842))*(1-'Assumptions'!$E$15-(0))*(1-(H842)/('Terminal Value'!$E$12))/((G842)-(H842))/(1+(G842))^'DCF'!$E$19)+'Equity Bridge'!$E$17)/'Equity Bridge'!$E$20</x:f>
        <x:v>251.7470621743182</x:v>
      </x:c>
      <x:c r="X842" s="255" t="n">
        <x:v>0.5140759249368513</x:v>
      </x:c>
      <x:c r="Y842" s="255" t="n">
        <x:v>0.7587439174544827</x:v>
      </x:c>
      <x:c r="Z842" s="255" t="n">
        <x:v>0.7814473098959268</x:v>
      </x:c>
      <x:c r="AA842" s="255" t="n">
        <x:v>0.9374002900821321</x:v>
      </x:c>
      <x:c r="AB842" s="255" t="n">
        <x:v>0.38174296075133207</x:v>
      </x:c>
    </x:row>
    <x:row r="843" ht="24" customHeight="1">
      <x:c r="C843" s="256" t="n">
        <x:f>812</x:f>
        <x:v>812</x:v>
      </x:c>
      <x:c r="D843" s="258" t="n">
        <x:f>IF(X843&lt;($E$12-$D$12)/($F$12-$D$12),$D$12+SQRT(X843*($F$12-$D$12)*($E$12-$D$12)),$F$12-SQRT((1-X843)*($F$12-$D$12)*($F$12-$E$12)))</x:f>
        <x:v>0.1474604700489344</x:v>
      </x:c>
      <x:c r="E843" s="258" t="n">
        <x:f>IF(Y843&lt;($E$13-$D$13)/($F$13-$D$13),$D$13+SQRT(Y843*($F$13-$D$13)*($E$13-$D$13)),$F$13-SQRT((1-Y843)*($F$13-$D$13)*($F$13-$E$13)))</x:f>
        <x:v>0.03841354934267165</x:v>
      </x:c>
      <x:c r="F843" s="260" t="n">
        <x:f>IF(Z843&lt;($E$14-$D$14)/($F$14-$D$14),$D$14+SQRT(Z843*($F$14-$D$14)*($E$14-$D$14)),$F$14-SQRT((1-Z843)*($F$14-$D$14)*($F$14-$E$14)))</x:f>
        <x:v>0.9971697786879226</x:v>
      </x:c>
      <x:c r="G843" s="258" t="n">
        <x:f>IF(AA843&lt;($E$15-$D$15)/($F$15-$D$15),$D$15+SQRT(AA843*($F$15-$D$15)*($E$15-$D$15)),$F$15-SQRT((1-AA843)*($F$15-$D$15)*($F$15-$E$15)))</x:f>
        <x:v>0.09328773940145292</x:v>
      </x:c>
      <x:c r="H843" s="258" t="n">
        <x:f>IF(AB843&lt;($E$16-$D$16)/($F$16-$D$16),$D$16+SQRT(AB843*($F$16-$D$16)*($E$16-$D$16)),$F$16-SQRT((1-AB843)*($F$16-$D$16)*($F$16-$E$16)))</x:f>
        <x:v>0.03416890444398783</x:v>
      </x:c>
      <x:c r="I843" s="262" t="n">
        <x:f>'Historical Inputs'!$N$9*(1+D843)^5</x:f>
        <x:v>660109.6644904709</x:v>
      </x:c>
      <x:c r="J843" s="262" t="n">
        <x:f>I843*(1+H843)*('Terminal Value'!$E$10+E843)*(1-'Assumptions'!$E$15)*(1-H843/'Terminal Value'!$E$12)</x:f>
        <x:v>198526.04710132955</x:v>
      </x:c>
      <x:c r="K843" s="264" t="n">
        <x:f>((SUM((('Historical Inputs'!$N$9*(1+(D843))^1)*(('Assumptions'!E37+(E843))*(1-'Assumptions'!E42-(0))+'Assumptions'!E47-'Assumptions'!E52*(F843)+'Assumptions'!E57-'Assumptions'!E62*(1)-'Assumptions'!E67-(0))+('Working Capital'!$E$6))*'DCF'!E12/(1+(G843))^'DCF'!E13,(('Historical Inputs'!$N$9*(1+(D843))^2)*(('Assumptions'!F37+(E843))*(1-'Assumptions'!F42-(0))+'Assumptions'!F47-'Assumptions'!F52*(F843)+'Assumptions'!F57-'Assumptions'!F62*(1)-'Assumptions'!F67-(0))+(('Historical Inputs'!$N$9*(1+(D843))^1)*('Assumptions'!E67+(0))))*'DCF'!F12/(1+(G843))^'DCF'!F13,(('Historical Inputs'!$N$9*(1+(D843))^3)*(('Assumptions'!G37+(E843))*(1-'Assumptions'!G42-(0))+'Assumptions'!G47-'Assumptions'!G52*(F843)+'Assumptions'!G57-'Assumptions'!G62*(1)-'Assumptions'!G67-(0))+(('Historical Inputs'!$N$9*(1+(D843))^2)*('Assumptions'!F67+(0))))*'DCF'!G12/(1+(G843))^'DCF'!G13,(('Historical Inputs'!$N$9*(1+(D843))^4)*(('Assumptions'!H37+(E843))*(1-'Assumptions'!H42-(0))+'Assumptions'!H47-'Assumptions'!H52*(F843)+'Assumptions'!H57-'Assumptions'!H62*(1)-'Assumptions'!H67-(0))+(('Historical Inputs'!$N$9*(1+(D843))^3)*('Assumptions'!G67+(0))))*'DCF'!H12/(1+(G843))^'DCF'!H13,(('Historical Inputs'!$N$9*(1+(D843))^5)*(('Assumptions'!I37+(E843))*(1-'Assumptions'!I42-(0))+'Assumptions'!I47-'Assumptions'!I52*(F843)+'Assumptions'!I57-'Assumptions'!I62*(1)-'Assumptions'!I67-(0))+(('Historical Inputs'!$N$9*(1+(D843))^4)*('Assumptions'!H67+(0))))*'DCF'!I12/(1+(G843))^'DCF'!I13)+('Historical Inputs'!$N$9*(1+(D843))^5)*(1+(H843))*('Terminal Value'!$E$10+(E843))*(1-'Assumptions'!$E$15-(0))*(1-(H843)/('Terminal Value'!$E$12))/((G843)-(H843))/(1+(G843))^'DCF'!$E$19)+'Equity Bridge'!$E$17)/'Equity Bridge'!$E$20</x:f>
        <x:v>361.15595160272466</x:v>
      </x:c>
      <x:c r="X843" s="255" t="n">
        <x:v>0.5805351690650588</x:v>
      </x:c>
      <x:c r="Y843" s="255" t="n">
        <x:v>0.9731508322330591</x:v>
      </x:c>
      <x:c r="Z843" s="255" t="n">
        <x:v>0.412551309696231</x:v>
      </x:c>
      <x:c r="AA843" s="255" t="n">
        <x:v>0.22882026701773128</x:v>
      </x:c>
      <x:c r="AB843" s="255" t="n">
        <x:v>0.8299916230832758</x:v>
      </x:c>
    </x:row>
    <x:row r="844" ht="24" customHeight="1">
      <x:c r="C844" s="256" t="n">
        <x:f>813</x:f>
        <x:v>813</x:v>
      </x:c>
      <x:c r="D844" s="258" t="n">
        <x:f>IF(X844&lt;($E$12-$D$12)/($F$12-$D$12),$D$12+SQRT(X844*($F$12-$D$12)*($E$12-$D$12)),$F$12-SQRT((1-X844)*($F$12-$D$12)*($F$12-$E$12)))</x:f>
        <x:v>0.11970855040693644</x:v>
      </x:c>
      <x:c r="E844" s="258" t="n">
        <x:f>IF(Y844&lt;($E$13-$D$13)/($F$13-$D$13),$D$13+SQRT(Y844*($F$13-$D$13)*($E$13-$D$13)),$F$13-SQRT((1-Y844)*($F$13-$D$13)*($F$13-$E$13)))</x:f>
        <x:v>0.004459619638675055</x:v>
      </x:c>
      <x:c r="F844" s="260" t="n">
        <x:f>IF(Z844&lt;($E$14-$D$14)/($F$14-$D$14),$D$14+SQRT(Z844*($F$14-$D$14)*($E$14-$D$14)),$F$14-SQRT((1-Z844)*($F$14-$D$14)*($F$14-$E$14)))</x:f>
        <x:v>1.0200861352512982</x:v>
      </x:c>
      <x:c r="G844" s="258" t="n">
        <x:f>IF(AA844&lt;($E$15-$D$15)/($F$15-$D$15),$D$15+SQRT(AA844*($F$15-$D$15)*($E$15-$D$15)),$F$15-SQRT((1-AA844)*($F$15-$D$15)*($F$15-$E$15)))</x:f>
        <x:v>0.10290998794609428</x:v>
      </x:c>
      <x:c r="H844" s="258" t="n">
        <x:f>IF(AB844&lt;($E$16-$D$16)/($F$16-$D$16),$D$16+SQRT(AB844*($F$16-$D$16)*($E$16-$D$16)),$F$16-SQRT((1-AB844)*($F$16-$D$16)*($F$16-$E$16)))</x:f>
        <x:v>0.03257300410875329</x:v>
      </x:c>
      <x:c r="I844" s="262" t="n">
        <x:f>'Historical Inputs'!$N$9*(1+D844)^5</x:f>
        <x:v>584053.1882766176</x:v>
      </x:c>
      <x:c r="J844" s="262" t="n">
        <x:f>I844*(1+H844)*('Terminal Value'!$E$10+E844)*(1-'Assumptions'!$E$15)*(1-H844/'Terminal Value'!$E$12)</x:f>
        <x:v>163355.51864830375</x:v>
      </x:c>
      <x:c r="K844" s="264" t="n">
        <x:f>((SUM((('Historical Inputs'!$N$9*(1+(D844))^1)*(('Assumptions'!E37+(E844))*(1-'Assumptions'!E42-(0))+'Assumptions'!E47-'Assumptions'!E52*(F844)+'Assumptions'!E57-'Assumptions'!E62*(1)-'Assumptions'!E67-(0))+('Working Capital'!$E$6))*'DCF'!E12/(1+(G844))^'DCF'!E13,(('Historical Inputs'!$N$9*(1+(D844))^2)*(('Assumptions'!F37+(E844))*(1-'Assumptions'!F42-(0))+'Assumptions'!F47-'Assumptions'!F52*(F844)+'Assumptions'!F57-'Assumptions'!F62*(1)-'Assumptions'!F67-(0))+(('Historical Inputs'!$N$9*(1+(D844))^1)*('Assumptions'!E67+(0))))*'DCF'!F12/(1+(G844))^'DCF'!F13,(('Historical Inputs'!$N$9*(1+(D844))^3)*(('Assumptions'!G37+(E844))*(1-'Assumptions'!G42-(0))+'Assumptions'!G47-'Assumptions'!G52*(F844)+'Assumptions'!G57-'Assumptions'!G62*(1)-'Assumptions'!G67-(0))+(('Historical Inputs'!$N$9*(1+(D844))^2)*('Assumptions'!F67+(0))))*'DCF'!G12/(1+(G844))^'DCF'!G13,(('Historical Inputs'!$N$9*(1+(D844))^4)*(('Assumptions'!H37+(E844))*(1-'Assumptions'!H42-(0))+'Assumptions'!H47-'Assumptions'!H52*(F844)+'Assumptions'!H57-'Assumptions'!H62*(1)-'Assumptions'!H67-(0))+(('Historical Inputs'!$N$9*(1+(D844))^3)*('Assumptions'!G67+(0))))*'DCF'!H12/(1+(G844))^'DCF'!H13,(('Historical Inputs'!$N$9*(1+(D844))^5)*(('Assumptions'!I37+(E844))*(1-'Assumptions'!I42-(0))+'Assumptions'!I47-'Assumptions'!I52*(F844)+'Assumptions'!I57-'Assumptions'!I62*(1)-'Assumptions'!I67-(0))+(('Historical Inputs'!$N$9*(1+(D844))^4)*('Assumptions'!H67+(0))))*'DCF'!I12/(1+(G844))^'DCF'!I13)+('Historical Inputs'!$N$9*(1+(D844))^5)*(1+(H844))*('Terminal Value'!$E$10+(E844))*(1-'Assumptions'!$E$15-(0))*(1-(H844)/('Terminal Value'!$E$12))/((G844)-(H844))/(1+(G844))^'DCF'!$E$19)+'Equity Bridge'!$E$17)/'Equity Bridge'!$E$20</x:f>
        <x:v>246.8928684775345</x:v>
      </x:c>
      <x:c r="X844" s="255" t="n">
        <x:v>0.13993667285301248</x:v>
      </x:c>
      <x:c r="Y844" s="255" t="n">
        <x:v>0.5852147513091698</x:v>
      </x:c>
      <x:c r="Z844" s="255" t="n">
        <x:v>0.5375857324455118</x:v>
      </x:c>
      <x:c r="AA844" s="255" t="n">
        <x:v>0.7674206611939255</x:v>
      </x:c>
      <x:c r="AB844" s="255" t="n">
        <x:v>0.7241986601570221</x:v>
      </x:c>
    </x:row>
    <x:row r="845" ht="24" customHeight="1">
      <x:c r="C845" s="256" t="n">
        <x:f>814</x:f>
        <x:v>814</x:v>
      </x:c>
      <x:c r="D845" s="258" t="n">
        <x:f>IF(X845&lt;($E$12-$D$12)/($F$12-$D$12),$D$12+SQRT(X845*($F$12-$D$12)*($E$12-$D$12)),$F$12-SQRT((1-X845)*($F$12-$D$12)*($F$12-$E$12)))</x:f>
        <x:v>0.16638926043785884</x:v>
      </x:c>
      <x:c r="E845" s="258" t="n">
        <x:f>IF(Y845&lt;($E$13-$D$13)/($F$13-$D$13),$D$13+SQRT(Y845*($F$13-$D$13)*($E$13-$D$13)),$F$13-SQRT((1-Y845)*($F$13-$D$13)*($F$13-$E$13)))</x:f>
        <x:v>-0.00447842010011263</x:v>
      </x:c>
      <x:c r="F845" s="260" t="n">
        <x:f>IF(Z845&lt;($E$14-$D$14)/($F$14-$D$14),$D$14+SQRT(Z845*($F$14-$D$14)*($E$14-$D$14)),$F$14-SQRT((1-Z845)*($F$14-$D$14)*($F$14-$E$14)))</x:f>
        <x:v>0.9921912722611187</x:v>
      </x:c>
      <x:c r="G845" s="258" t="n">
        <x:f>IF(AA845&lt;($E$15-$D$15)/($F$15-$D$15),$D$15+SQRT(AA845*($F$15-$D$15)*($E$15-$D$15)),$F$15-SQRT((1-AA845)*($F$15-$D$15)*($F$15-$E$15)))</x:f>
        <x:v>0.09728346882335435</x:v>
      </x:c>
      <x:c r="H845" s="258" t="n">
        <x:f>IF(AB845&lt;($E$16-$D$16)/($F$16-$D$16),$D$16+SQRT(AB845*($F$16-$D$16)*($E$16-$D$16)),$F$16-SQRT((1-AB845)*($F$16-$D$16)*($F$16-$E$16)))</x:f>
        <x:v>0.0304427539964644</x:v>
      </x:c>
      <x:c r="I845" s="262" t="n">
        <x:f>'Historical Inputs'!$N$9*(1+D845)^5</x:f>
        <x:v>716382.5310004692</x:v>
      </x:c>
      <x:c r="J845" s="262" t="n">
        <x:f>I845*(1+H845)*('Terminal Value'!$E$10+E845)*(1-'Assumptions'!$E$15)*(1-H845/'Terminal Value'!$E$12)</x:f>
        <x:v>198022.886103411</x:v>
      </x:c>
      <x:c r="K845" s="264" t="n">
        <x:f>((SUM((('Historical Inputs'!$N$9*(1+(D845))^1)*(('Assumptions'!E37+(E845))*(1-'Assumptions'!E42-(0))+'Assumptions'!E47-'Assumptions'!E52*(F845)+'Assumptions'!E57-'Assumptions'!E62*(1)-'Assumptions'!E67-(0))+('Working Capital'!$E$6))*'DCF'!E12/(1+(G845))^'DCF'!E13,(('Historical Inputs'!$N$9*(1+(D845))^2)*(('Assumptions'!F37+(E845))*(1-'Assumptions'!F42-(0))+'Assumptions'!F47-'Assumptions'!F52*(F845)+'Assumptions'!F57-'Assumptions'!F62*(1)-'Assumptions'!F67-(0))+(('Historical Inputs'!$N$9*(1+(D845))^1)*('Assumptions'!E67+(0))))*'DCF'!F12/(1+(G845))^'DCF'!F13,(('Historical Inputs'!$N$9*(1+(D845))^3)*(('Assumptions'!G37+(E845))*(1-'Assumptions'!G42-(0))+'Assumptions'!G47-'Assumptions'!G52*(F845)+'Assumptions'!G57-'Assumptions'!G62*(1)-'Assumptions'!G67-(0))+(('Historical Inputs'!$N$9*(1+(D845))^2)*('Assumptions'!F67+(0))))*'DCF'!G12/(1+(G845))^'DCF'!G13,(('Historical Inputs'!$N$9*(1+(D845))^4)*(('Assumptions'!H37+(E845))*(1-'Assumptions'!H42-(0))+'Assumptions'!H47-'Assumptions'!H52*(F845)+'Assumptions'!H57-'Assumptions'!H62*(1)-'Assumptions'!H67-(0))+(('Historical Inputs'!$N$9*(1+(D845))^3)*('Assumptions'!G67+(0))))*'DCF'!H12/(1+(G845))^'DCF'!H13,(('Historical Inputs'!$N$9*(1+(D845))^5)*(('Assumptions'!I37+(E845))*(1-'Assumptions'!I42-(0))+'Assumptions'!I47-'Assumptions'!I52*(F845)+'Assumptions'!I57-'Assumptions'!I62*(1)-'Assumptions'!I67-(0))+(('Historical Inputs'!$N$9*(1+(D845))^4)*('Assumptions'!H67+(0))))*'DCF'!I12/(1+(G845))^'DCF'!I13)+('Historical Inputs'!$N$9*(1+(D845))^5)*(1+(H845))*('Terminal Value'!$E$10+(E845))*(1-'Assumptions'!$E$15-(0))*(1-(H845)/('Terminal Value'!$E$12))/((G845)-(H845))/(1+(G845))^'DCF'!$E$19)+'Equity Bridge'!$E$17)/'Equity Bridge'!$E$20</x:f>
        <x:v>316.0678020188015</x:v>
      </x:c>
      <x:c r="X845" s="255" t="n">
        <x:v>0.8556246795973658</x:v>
      </x:c>
      <x:c r="Y845" s="255" t="n">
        <x:v>0.41444284731636594</x:v>
      </x:c>
      <x:c r="Z845" s="255" t="n">
        <x:v>0.3851115791854396</x:v>
      </x:c>
      <x:c r="AA845" s="255" t="n">
        <x:v>0.4445050319585274</x:v>
      </x:c>
      <x:c r="AB845" s="255" t="n">
        <x:v>0.5432952441395141</x:v>
      </x:c>
    </x:row>
    <x:row r="846" ht="24" customHeight="1">
      <x:c r="C846" s="256" t="n">
        <x:f>815</x:f>
        <x:v>815</x:v>
      </x:c>
      <x:c r="D846" s="258" t="n">
        <x:f>IF(X846&lt;($E$12-$D$12)/($F$12-$D$12),$D$12+SQRT(X846*($F$12-$D$12)*($E$12-$D$12)),$F$12-SQRT((1-X846)*($F$12-$D$12)*($F$12-$E$12)))</x:f>
        <x:v>0.13764190563724044</x:v>
      </x:c>
      <x:c r="E846" s="258" t="n">
        <x:f>IF(Y846&lt;($E$13-$D$13)/($F$13-$D$13),$D$13+SQRT(Y846*($F$13-$D$13)*($E$13-$D$13)),$F$13-SQRT((1-Y846)*($F$13-$D$13)*($F$13-$E$13)))</x:f>
        <x:v>0.005750817134643441</x:v>
      </x:c>
      <x:c r="F846" s="260" t="n">
        <x:f>IF(Z846&lt;($E$14-$D$14)/($F$14-$D$14),$D$14+SQRT(Z846*($F$14-$D$14)*($E$14-$D$14)),$F$14-SQRT((1-Z846)*($F$14-$D$14)*($F$14-$E$14)))</x:f>
        <x:v>0.9597426095296728</x:v>
      </x:c>
      <x:c r="G846" s="258" t="n">
        <x:f>IF(AA846&lt;($E$15-$D$15)/($F$15-$D$15),$D$15+SQRT(AA846*($F$15-$D$15)*($E$15-$D$15)),$F$15-SQRT((1-AA846)*($F$15-$D$15)*($F$15-$E$15)))</x:f>
        <x:v>0.0889443941931779</x:v>
      </x:c>
      <x:c r="H846" s="258" t="n">
        <x:f>IF(AB846&lt;($E$16-$D$16)/($F$16-$D$16),$D$16+SQRT(AB846*($F$16-$D$16)*($E$16-$D$16)),$F$16-SQRT((1-AB846)*($F$16-$D$16)*($F$16-$E$16)))</x:f>
        <x:v>0.022279849388967574</x:v>
      </x:c>
      <x:c r="I846" s="262" t="n">
        <x:f>'Historical Inputs'!$N$9*(1+D846)^5</x:f>
        <x:v>632346.8095261282</x:v>
      </x:c>
      <x:c r="J846" s="262" t="n">
        <x:f>I846*(1+H846)*('Terminal Value'!$E$10+E846)*(1-'Assumptions'!$E$15)*(1-H846/'Terminal Value'!$E$12)</x:f>
        <x:v>186458.07621220345</x:v>
      </x:c>
      <x:c r="K846" s="264" t="n">
        <x:f>((SUM((('Historical Inputs'!$N$9*(1+(D846))^1)*(('Assumptions'!E37+(E846))*(1-'Assumptions'!E42-(0))+'Assumptions'!E47-'Assumptions'!E52*(F846)+'Assumptions'!E57-'Assumptions'!E62*(1)-'Assumptions'!E67-(0))+('Working Capital'!$E$6))*'DCF'!E12/(1+(G846))^'DCF'!E13,(('Historical Inputs'!$N$9*(1+(D846))^2)*(('Assumptions'!F37+(E846))*(1-'Assumptions'!F42-(0))+'Assumptions'!F47-'Assumptions'!F52*(F846)+'Assumptions'!F57-'Assumptions'!F62*(1)-'Assumptions'!F67-(0))+(('Historical Inputs'!$N$9*(1+(D846))^1)*('Assumptions'!E67+(0))))*'DCF'!F12/(1+(G846))^'DCF'!F13,(('Historical Inputs'!$N$9*(1+(D846))^3)*(('Assumptions'!G37+(E846))*(1-'Assumptions'!G42-(0))+'Assumptions'!G47-'Assumptions'!G52*(F846)+'Assumptions'!G57-'Assumptions'!G62*(1)-'Assumptions'!G67-(0))+(('Historical Inputs'!$N$9*(1+(D846))^2)*('Assumptions'!F67+(0))))*'DCF'!G12/(1+(G846))^'DCF'!G13,(('Historical Inputs'!$N$9*(1+(D846))^4)*(('Assumptions'!H37+(E846))*(1-'Assumptions'!H42-(0))+'Assumptions'!H47-'Assumptions'!H52*(F846)+'Assumptions'!H57-'Assumptions'!H62*(1)-'Assumptions'!H67-(0))+(('Historical Inputs'!$N$9*(1+(D846))^3)*('Assumptions'!G67+(0))))*'DCF'!H12/(1+(G846))^'DCF'!H13,(('Historical Inputs'!$N$9*(1+(D846))^5)*(('Assumptions'!I37+(E846))*(1-'Assumptions'!I42-(0))+'Assumptions'!I47-'Assumptions'!I52*(F846)+'Assumptions'!I57-'Assumptions'!I62*(1)-'Assumptions'!I67-(0))+(('Historical Inputs'!$N$9*(1+(D846))^4)*('Assumptions'!H67+(0))))*'DCF'!I12/(1+(G846))^'DCF'!I13)+('Historical Inputs'!$N$9*(1+(D846))^5)*(1+(H846))*('Terminal Value'!$E$10+(E846))*(1-'Assumptions'!$E$15-(0))*(1-(H846)/('Terminal Value'!$E$12))/((G846)-(H846))/(1+(G846))^'DCF'!$E$19)+'Equity Bridge'!$E$17)/'Equity Bridge'!$E$20</x:f>
        <x:v>310.7973280578143</x:v>
      </x:c>
      <x:c r="X846" s="255" t="n">
        <x:v>0.39400358218644416</x:v>
      </x:c>
      <x:c r="Y846" s="255" t="n">
        <x:v>0.608401963149647</x:v>
      </x:c>
      <x:c r="Z846" s="255" t="n">
        <x:v>0.22939886374061436</x:v>
      </x:c>
      <x:c r="AA846" s="255" t="n">
        <x:v>0.0748593445884349</x:v>
      </x:c>
      <x:c r="AB846" s="255" t="n">
        <x:v>0.02598856618187917</x:v>
      </x:c>
    </x:row>
    <x:row r="847" ht="24" customHeight="1">
      <x:c r="C847" s="256" t="n">
        <x:f>816</x:f>
        <x:v>816</x:v>
      </x:c>
      <x:c r="D847" s="258" t="n">
        <x:f>IF(X847&lt;($E$12-$D$12)/($F$12-$D$12),$D$12+SQRT(X847*($F$12-$D$12)*($E$12-$D$12)),$F$12-SQRT((1-X847)*($F$12-$D$12)*($F$12-$E$12)))</x:f>
        <x:v>0.1477678074407871</x:v>
      </x:c>
      <x:c r="E847" s="258" t="n">
        <x:f>IF(Y847&lt;($E$13-$D$13)/($F$13-$D$13),$D$13+SQRT(Y847*($F$13-$D$13)*($E$13-$D$13)),$F$13-SQRT((1-Y847)*($F$13-$D$13)*($F$13-$E$13)))</x:f>
        <x:v>-0.002724054088161884</x:v>
      </x:c>
      <x:c r="F847" s="260" t="n">
        <x:f>IF(Z847&lt;($E$14-$D$14)/($F$14-$D$14),$D$14+SQRT(Z847*($F$14-$D$14)*($E$14-$D$14)),$F$14-SQRT((1-Z847)*($F$14-$D$14)*($F$14-$E$14)))</x:f>
        <x:v>1.1404082701171525</x:v>
      </x:c>
      <x:c r="G847" s="258" t="n">
        <x:f>IF(AA847&lt;($E$15-$D$15)/($F$15-$D$15),$D$15+SQRT(AA847*($F$15-$D$15)*($E$15-$D$15)),$F$15-SQRT((1-AA847)*($F$15-$D$15)*($F$15-$E$15)))</x:f>
        <x:v>0.09826117844594819</x:v>
      </x:c>
      <x:c r="H847" s="258" t="n">
        <x:f>IF(AB847&lt;($E$16-$D$16)/($F$16-$D$16),$D$16+SQRT(AB847*($F$16-$D$16)*($E$16-$D$16)),$F$16-SQRT((1-AB847)*($F$16-$D$16)*($F$16-$E$16)))</x:f>
        <x:v>0.032443566720122725</x:v>
      </x:c>
      <x:c r="I847" s="262" t="n">
        <x:f>'Historical Inputs'!$N$9*(1+D847)^5</x:f>
        <x:v>660994.1615795253</x:v>
      </x:c>
      <x:c r="J847" s="262" t="n">
        <x:f>I847*(1+H847)*('Terminal Value'!$E$10+E847)*(1-'Assumptions'!$E$15)*(1-H847/'Terminal Value'!$E$12)</x:f>
        <x:v>181709.36669632202</x:v>
      </x:c>
      <x:c r="K847" s="264" t="n">
        <x:f>((SUM((('Historical Inputs'!$N$9*(1+(D847))^1)*(('Assumptions'!E37+(E847))*(1-'Assumptions'!E42-(0))+'Assumptions'!E47-'Assumptions'!E52*(F847)+'Assumptions'!E57-'Assumptions'!E62*(1)-'Assumptions'!E67-(0))+('Working Capital'!$E$6))*'DCF'!E12/(1+(G847))^'DCF'!E13,(('Historical Inputs'!$N$9*(1+(D847))^2)*(('Assumptions'!F37+(E847))*(1-'Assumptions'!F42-(0))+'Assumptions'!F47-'Assumptions'!F52*(F847)+'Assumptions'!F57-'Assumptions'!F62*(1)-'Assumptions'!F67-(0))+(('Historical Inputs'!$N$9*(1+(D847))^1)*('Assumptions'!E67+(0))))*'DCF'!F12/(1+(G847))^'DCF'!F13,(('Historical Inputs'!$N$9*(1+(D847))^3)*(('Assumptions'!G37+(E847))*(1-'Assumptions'!G42-(0))+'Assumptions'!G47-'Assumptions'!G52*(F847)+'Assumptions'!G57-'Assumptions'!G62*(1)-'Assumptions'!G67-(0))+(('Historical Inputs'!$N$9*(1+(D847))^2)*('Assumptions'!F67+(0))))*'DCF'!G12/(1+(G847))^'DCF'!G13,(('Historical Inputs'!$N$9*(1+(D847))^4)*(('Assumptions'!H37+(E847))*(1-'Assumptions'!H42-(0))+'Assumptions'!H47-'Assumptions'!H52*(F847)+'Assumptions'!H57-'Assumptions'!H62*(1)-'Assumptions'!H67-(0))+(('Historical Inputs'!$N$9*(1+(D847))^3)*('Assumptions'!G67+(0))))*'DCF'!H12/(1+(G847))^'DCF'!H13,(('Historical Inputs'!$N$9*(1+(D847))^5)*(('Assumptions'!I37+(E847))*(1-'Assumptions'!I42-(0))+'Assumptions'!I47-'Assumptions'!I52*(F847)+'Assumptions'!I57-'Assumptions'!I62*(1)-'Assumptions'!I67-(0))+(('Historical Inputs'!$N$9*(1+(D847))^4)*('Assumptions'!H67+(0))))*'DCF'!I12/(1+(G847))^'DCF'!I13)+('Historical Inputs'!$N$9*(1+(D847))^5)*(1+(H847))*('Terminal Value'!$E$10+(E847))*(1-'Assumptions'!$E$15-(0))*(1-(H847)/('Terminal Value'!$E$12))/((G847)-(H847))/(1+(G847))^'DCF'!$E$19)+'Equity Bridge'!$E$17)/'Equity Bridge'!$E$20</x:f>
        <x:v>284.8633109001778</x:v>
      </x:c>
      <x:c r="X847" s="255" t="n">
        <x:v>0.5861462749221839</x:v>
      </x:c>
      <x:c r="Y847" s="255" t="n">
        <x:v>0.4470030123718086</x:v>
      </x:c>
      <x:c r="Z847" s="255" t="n">
        <x:v>0.9492689389938537</x:v>
      </x:c>
      <x:c r="AA847" s="255" t="n">
        <x:v>0.508021510657207</x:v>
      </x:c>
      <x:c r="AB847" s="255" t="n">
        <x:v>0.7145015804338157</x:v>
      </x:c>
    </x:row>
    <x:row r="848" ht="24" customHeight="1">
      <x:c r="C848" s="256" t="n">
        <x:f>817</x:f>
        <x:v>817</x:v>
      </x:c>
      <x:c r="D848" s="258" t="n">
        <x:f>IF(X848&lt;($E$12-$D$12)/($F$12-$D$12),$D$12+SQRT(X848*($F$12-$D$12)*($E$12-$D$12)),$F$12-SQRT((1-X848)*($F$12-$D$12)*($F$12-$E$12)))</x:f>
        <x:v>0.11297744492277642</x:v>
      </x:c>
      <x:c r="E848" s="258" t="n">
        <x:f>IF(Y848&lt;($E$13-$D$13)/($F$13-$D$13),$D$13+SQRT(Y848*($F$13-$D$13)*($E$13-$D$13)),$F$13-SQRT((1-Y848)*($F$13-$D$13)*($F$13-$E$13)))</x:f>
        <x:v>0.01834825042405072</x:v>
      </x:c>
      <x:c r="F848" s="260" t="n">
        <x:f>IF(Z848&lt;($E$14-$D$14)/($F$14-$D$14),$D$14+SQRT(Z848*($F$14-$D$14)*($E$14-$D$14)),$F$14-SQRT((1-Z848)*($F$14-$D$14)*($F$14-$E$14)))</x:f>
        <x:v>0.9376947277152256</x:v>
      </x:c>
      <x:c r="G848" s="258" t="n">
        <x:f>IF(AA848&lt;($E$15-$D$15)/($F$15-$D$15),$D$15+SQRT(AA848*($F$15-$D$15)*($E$15-$D$15)),$F$15-SQRT((1-AA848)*($F$15-$D$15)*($F$15-$E$15)))</x:f>
        <x:v>0.1023672518510226</x:v>
      </x:c>
      <x:c r="H848" s="258" t="n">
        <x:f>IF(AB848&lt;($E$16-$D$16)/($F$16-$D$16),$D$16+SQRT(AB848*($F$16-$D$16)*($E$16-$D$16)),$F$16-SQRT((1-AB848)*($F$16-$D$16)*($F$16-$E$16)))</x:f>
        <x:v>0.02787263391265204</x:v>
      </x:c>
      <x:c r="I848" s="262" t="n">
        <x:f>'Historical Inputs'!$N$9*(1+D848)^5</x:f>
        <x:v>566707.8676679687</x:v>
      </x:c>
      <x:c r="J848" s="262" t="n">
        <x:f>I848*(1+H848)*('Terminal Value'!$E$10+E848)*(1-'Assumptions'!$E$15)*(1-H848/'Terminal Value'!$E$12)</x:f>
        <x:v>167782.40572024183</x:v>
      </x:c>
      <x:c r="K848" s="264" t="n">
        <x:f>((SUM((('Historical Inputs'!$N$9*(1+(D848))^1)*(('Assumptions'!E37+(E848))*(1-'Assumptions'!E42-(0))+'Assumptions'!E47-'Assumptions'!E52*(F848)+'Assumptions'!E57-'Assumptions'!E62*(1)-'Assumptions'!E67-(0))+('Working Capital'!$E$6))*'DCF'!E12/(1+(G848))^'DCF'!E13,(('Historical Inputs'!$N$9*(1+(D848))^2)*(('Assumptions'!F37+(E848))*(1-'Assumptions'!F42-(0))+'Assumptions'!F47-'Assumptions'!F52*(F848)+'Assumptions'!F57-'Assumptions'!F62*(1)-'Assumptions'!F67-(0))+(('Historical Inputs'!$N$9*(1+(D848))^1)*('Assumptions'!E67+(0))))*'DCF'!F12/(1+(G848))^'DCF'!F13,(('Historical Inputs'!$N$9*(1+(D848))^3)*(('Assumptions'!G37+(E848))*(1-'Assumptions'!G42-(0))+'Assumptions'!G47-'Assumptions'!G52*(F848)+'Assumptions'!G57-'Assumptions'!G62*(1)-'Assumptions'!G67-(0))+(('Historical Inputs'!$N$9*(1+(D848))^2)*('Assumptions'!F67+(0))))*'DCF'!G12/(1+(G848))^'DCF'!G13,(('Historical Inputs'!$N$9*(1+(D848))^4)*(('Assumptions'!H37+(E848))*(1-'Assumptions'!H42-(0))+'Assumptions'!H47-'Assumptions'!H52*(F848)+'Assumptions'!H57-'Assumptions'!H62*(1)-'Assumptions'!H67-(0))+(('Historical Inputs'!$N$9*(1+(D848))^3)*('Assumptions'!G67+(0))))*'DCF'!H12/(1+(G848))^'DCF'!H13,(('Historical Inputs'!$N$9*(1+(D848))^5)*(('Assumptions'!I37+(E848))*(1-'Assumptions'!I42-(0))+'Assumptions'!I47-'Assumptions'!I52*(F848)+'Assumptions'!I57-'Assumptions'!I62*(1)-'Assumptions'!I67-(0))+(('Historical Inputs'!$N$9*(1+(D848))^4)*('Assumptions'!H67+(0))))*'DCF'!I12/(1+(G848))^'DCF'!I13)+('Historical Inputs'!$N$9*(1+(D848))^5)*(1+(H848))*('Terminal Value'!$E$10+(E848))*(1-'Assumptions'!$E$15-(0))*(1-(H848)/('Terminal Value'!$E$12))/((G848)-(H848))/(1+(G848))^'DCF'!$E$19)+'Equity Bridge'!$E$17)/'Equity Bridge'!$E$20</x:f>
        <x:v>247.7734130257499</x:v>
      </x:c>
      <x:c r="X848" s="255" t="n">
        <x:v>0.07777901742272209</x:v>
      </x:c>
      <x:c r="Y848" s="255" t="n">
        <x:v>0.799633349756279</x:v>
      </x:c>
      <x:c r="Z848" s="255" t="n">
        <x:v>0.14648314798185802</x:v>
      </x:c>
      <x:c r="AA848" s="255" t="n">
        <x:v>0.7420887569419733</x:v>
      </x:c>
      <x:c r="AB848" s="255" t="n">
        <x:v>0.3098918236131951</x:v>
      </x:c>
    </x:row>
    <x:row r="849" ht="24" customHeight="1">
      <x:c r="C849" s="256" t="n">
        <x:f>818</x:f>
        <x:v>818</x:v>
      </x:c>
      <x:c r="D849" s="258" t="n">
        <x:f>IF(X849&lt;($E$12-$D$12)/($F$12-$D$12),$D$12+SQRT(X849*($F$12-$D$12)*($E$12-$D$12)),$F$12-SQRT((1-X849)*($F$12-$D$12)*($F$12-$E$12)))</x:f>
        <x:v>0.1469658536719469</x:v>
      </x:c>
      <x:c r="E849" s="258" t="n">
        <x:f>IF(Y849&lt;($E$13-$D$13)/($F$13-$D$13),$D$13+SQRT(Y849*($F$13-$D$13)*($E$13-$D$13)),$F$13-SQRT((1-Y849)*($F$13-$D$13)*($F$13-$E$13)))</x:f>
        <x:v>-0.03389195480864783</x:v>
      </x:c>
      <x:c r="F849" s="260" t="n">
        <x:f>IF(Z849&lt;($E$14-$D$14)/($F$14-$D$14),$D$14+SQRT(Z849*($F$14-$D$14)*($E$14-$D$14)),$F$14-SQRT((1-Z849)*($F$14-$D$14)*($F$14-$E$14)))</x:f>
        <x:v>0.9690806351911485</x:v>
      </x:c>
      <x:c r="G849" s="258" t="n">
        <x:f>IF(AA849&lt;($E$15-$D$15)/($F$15-$D$15),$D$15+SQRT(AA849*($F$15-$D$15)*($E$15-$D$15)),$F$15-SQRT((1-AA849)*($F$15-$D$15)*($F$15-$E$15)))</x:f>
        <x:v>0.10177612312127918</x:v>
      </x:c>
      <x:c r="H849" s="258" t="n">
        <x:f>IF(AB849&lt;($E$16-$D$16)/($F$16-$D$16),$D$16+SQRT(AB849*($F$16-$D$16)*($E$16-$D$16)),$F$16-SQRT((1-AB849)*($F$16-$D$16)*($F$16-$E$16)))</x:f>
        <x:v>0.027664130146999054</x:v>
      </x:c>
      <x:c r="I849" s="262" t="n">
        <x:f>'Historical Inputs'!$N$9*(1+D849)^5</x:f>
        <x:v>658688.1789495106</x:v>
      </x:c>
      <x:c r="J849" s="262" t="n">
        <x:f>I849*(1+H849)*('Terminal Value'!$E$10+E849)*(1-'Assumptions'!$E$15)*(1-H849/'Terminal Value'!$E$12)</x:f>
        <x:v>170834.66958995245</x:v>
      </x:c>
      <x:c r="K849" s="264" t="n">
        <x:f>((SUM((('Historical Inputs'!$N$9*(1+(D849))^1)*(('Assumptions'!E37+(E849))*(1-'Assumptions'!E42-(0))+'Assumptions'!E47-'Assumptions'!E52*(F849)+'Assumptions'!E57-'Assumptions'!E62*(1)-'Assumptions'!E67-(0))+('Working Capital'!$E$6))*'DCF'!E12/(1+(G849))^'DCF'!E13,(('Historical Inputs'!$N$9*(1+(D849))^2)*(('Assumptions'!F37+(E849))*(1-'Assumptions'!F42-(0))+'Assumptions'!F47-'Assumptions'!F52*(F849)+'Assumptions'!F57-'Assumptions'!F62*(1)-'Assumptions'!F67-(0))+(('Historical Inputs'!$N$9*(1+(D849))^1)*('Assumptions'!E67+(0))))*'DCF'!F12/(1+(G849))^'DCF'!F13,(('Historical Inputs'!$N$9*(1+(D849))^3)*(('Assumptions'!G37+(E849))*(1-'Assumptions'!G42-(0))+'Assumptions'!G47-'Assumptions'!G52*(F849)+'Assumptions'!G57-'Assumptions'!G62*(1)-'Assumptions'!G67-(0))+(('Historical Inputs'!$N$9*(1+(D849))^2)*('Assumptions'!F67+(0))))*'DCF'!G12/(1+(G849))^'DCF'!G13,(('Historical Inputs'!$N$9*(1+(D849))^4)*(('Assumptions'!H37+(E849))*(1-'Assumptions'!H42-(0))+'Assumptions'!H47-'Assumptions'!H52*(F849)+'Assumptions'!H57-'Assumptions'!H62*(1)-'Assumptions'!H67-(0))+(('Historical Inputs'!$N$9*(1+(D849))^3)*('Assumptions'!G67+(0))))*'DCF'!H12/(1+(G849))^'DCF'!H13,(('Historical Inputs'!$N$9*(1+(D849))^5)*(('Assumptions'!I37+(E849))*(1-'Assumptions'!I42-(0))+'Assumptions'!I47-'Assumptions'!I52*(F849)+'Assumptions'!I57-'Assumptions'!I62*(1)-'Assumptions'!I67-(0))+(('Historical Inputs'!$N$9*(1+(D849))^4)*('Assumptions'!H67+(0))))*'DCF'!I12/(1+(G849))^'DCF'!I13)+('Historical Inputs'!$N$9*(1+(D849))^5)*(1+(H849))*('Terminal Value'!$E$10+(E849))*(1-'Assumptions'!$E$15-(0))*(1-(H849)/('Terminal Value'!$E$12))/((G849)-(H849))/(1+(G849))^'DCF'!$E$19)+'Equity Bridge'!$E$17)/'Equity Bridge'!$E$20</x:f>
        <x:v>246.53689098488937</x:v>
      </x:c>
      <x:c r="X849" s="255" t="n">
        <x:v>0.5714255501855738</x:v>
      </x:c>
      <x:c r="Y849" s="255" t="n">
        <x:v>0.05189382397732878</x:v>
      </x:c>
      <x:c r="Z849" s="255" t="n">
        <x:v>0.2700990033814742</x:v>
      </x:c>
      <x:c r="AA849" s="255" t="n">
        <x:v>0.7130086866519721</x:v>
      </x:c>
      <x:c r="AB849" s="255" t="n">
        <x:v>0.29369445455069887</x:v>
      </x:c>
    </x:row>
    <x:row r="850" ht="24" customHeight="1">
      <x:c r="C850" s="256" t="n">
        <x:f>819</x:f>
        <x:v>819</x:v>
      </x:c>
      <x:c r="D850" s="258" t="n">
        <x:f>IF(X850&lt;($E$12-$D$12)/($F$12-$D$12),$D$12+SQRT(X850*($F$12-$D$12)*($E$12-$D$12)),$F$12-SQRT((1-X850)*($F$12-$D$12)*($F$12-$E$12)))</x:f>
        <x:v>0.14651524326392826</x:v>
      </x:c>
      <x:c r="E850" s="258" t="n">
        <x:f>IF(Y850&lt;($E$13-$D$13)/($F$13-$D$13),$D$13+SQRT(Y850*($F$13-$D$13)*($E$13-$D$13)),$F$13-SQRT((1-Y850)*($F$13-$D$13)*($F$13-$E$13)))</x:f>
        <x:v>0.006422767465034049</x:v>
      </x:c>
      <x:c r="F850" s="260" t="n">
        <x:f>IF(Z850&lt;($E$14-$D$14)/($F$14-$D$14),$D$14+SQRT(Z850*($F$14-$D$14)*($E$14-$D$14)),$F$14-SQRT((1-Z850)*($F$14-$D$14)*($F$14-$E$14)))</x:f>
        <x:v>0.987341894976652</x:v>
      </x:c>
      <x:c r="G850" s="258" t="n">
        <x:f>IF(AA850&lt;($E$15-$D$15)/($F$15-$D$15),$D$15+SQRT(AA850*($F$15-$D$15)*($E$15-$D$15)),$F$15-SQRT((1-AA850)*($F$15-$D$15)*($F$15-$E$15)))</x:f>
        <x:v>0.09363091343064124</x:v>
      </x:c>
      <x:c r="H850" s="258" t="n">
        <x:f>IF(AB850&lt;($E$16-$D$16)/($F$16-$D$16),$D$16+SQRT(AB850*($F$16-$D$16)*($E$16-$D$16)),$F$16-SQRT((1-AB850)*($F$16-$D$16)*($F$16-$E$16)))</x:f>
        <x:v>0.03202417899135129</x:v>
      </x:c>
      <x:c r="I850" s="262" t="n">
        <x:f>'Historical Inputs'!$N$9*(1+D850)^5</x:f>
        <x:v>657395.2955482022</x:v>
      </x:c>
      <x:c r="J850" s="262" t="n">
        <x:f>I850*(1+H850)*('Terminal Value'!$E$10+E850)*(1-'Assumptions'!$E$15)*(1-H850/'Terminal Value'!$E$12)</x:f>
        <x:v>185268.35984321788</x:v>
      </x:c>
      <x:c r="K850" s="264" t="n">
        <x:f>((SUM((('Historical Inputs'!$N$9*(1+(D850))^1)*(('Assumptions'!E37+(E850))*(1-'Assumptions'!E42-(0))+'Assumptions'!E47-'Assumptions'!E52*(F850)+'Assumptions'!E57-'Assumptions'!E62*(1)-'Assumptions'!E67-(0))+('Working Capital'!$E$6))*'DCF'!E12/(1+(G850))^'DCF'!E13,(('Historical Inputs'!$N$9*(1+(D850))^2)*(('Assumptions'!F37+(E850))*(1-'Assumptions'!F42-(0))+'Assumptions'!F47-'Assumptions'!F52*(F850)+'Assumptions'!F57-'Assumptions'!F62*(1)-'Assumptions'!F67-(0))+(('Historical Inputs'!$N$9*(1+(D850))^1)*('Assumptions'!E67+(0))))*'DCF'!F12/(1+(G850))^'DCF'!F13,(('Historical Inputs'!$N$9*(1+(D850))^3)*(('Assumptions'!G37+(E850))*(1-'Assumptions'!G42-(0))+'Assumptions'!G47-'Assumptions'!G52*(F850)+'Assumptions'!G57-'Assumptions'!G62*(1)-'Assumptions'!G67-(0))+(('Historical Inputs'!$N$9*(1+(D850))^2)*('Assumptions'!F67+(0))))*'DCF'!G12/(1+(G850))^'DCF'!G13,(('Historical Inputs'!$N$9*(1+(D850))^4)*(('Assumptions'!H37+(E850))*(1-'Assumptions'!H42-(0))+'Assumptions'!H47-'Assumptions'!H52*(F850)+'Assumptions'!H57-'Assumptions'!H62*(1)-'Assumptions'!H67-(0))+(('Historical Inputs'!$N$9*(1+(D850))^3)*('Assumptions'!G67+(0))))*'DCF'!H12/(1+(G850))^'DCF'!H13,(('Historical Inputs'!$N$9*(1+(D850))^5)*(('Assumptions'!I37+(E850))*(1-'Assumptions'!I42-(0))+'Assumptions'!I47-'Assumptions'!I52*(F850)+'Assumptions'!I57-'Assumptions'!I62*(1)-'Assumptions'!I67-(0))+(('Historical Inputs'!$N$9*(1+(D850))^4)*('Assumptions'!H67+(0))))*'DCF'!I12/(1+(G850))^'DCF'!I13)+('Historical Inputs'!$N$9*(1+(D850))^5)*(1+(H850))*('Terminal Value'!$E$10+(E850))*(1-'Assumptions'!$E$15-(0))*(1-(H850)/('Terminal Value'!$E$12))/((G850)-(H850))/(1+(G850))^'DCF'!$E$19)+'Equity Bridge'!$E$17)/'Equity Bridge'!$E$20</x:f>
        <x:v>323.56049024298636</x:v>
      </x:c>
      <x:c r="X850" s="255" t="n">
        <x:v>0.5630412273697776</x:v>
      </x:c>
      <x:c r="Y850" s="255" t="n">
        <x:v>0.6202049609187009</x:v>
      </x:c>
      <x:c r="Z850" s="255" t="n">
        <x:v>0.3592913545862423</x:v>
      </x:c>
      <x:c r="AA850" s="255" t="n">
        <x:v>0.24455892521157552</x:v>
      </x:c>
      <x:c r="AB850" s="255" t="n">
        <x:v>0.6819313961899899</x:v>
      </x:c>
    </x:row>
    <x:row r="851" ht="24" customHeight="1">
      <x:c r="C851" s="256" t="n">
        <x:f>820</x:f>
        <x:v>820</x:v>
      </x:c>
      <x:c r="D851" s="258" t="n">
        <x:f>IF(X851&lt;($E$12-$D$12)/($F$12-$D$12),$D$12+SQRT(X851*($F$12-$D$12)*($E$12-$D$12)),$F$12-SQRT((1-X851)*($F$12-$D$12)*($F$12-$E$12)))</x:f>
        <x:v>0.13720776266085158</x:v>
      </x:c>
      <x:c r="E851" s="258" t="n">
        <x:f>IF(Y851&lt;($E$13-$D$13)/($F$13-$D$13),$D$13+SQRT(Y851*($F$13-$D$13)*($E$13-$D$13)),$F$13-SQRT((1-Y851)*($F$13-$D$13)*($F$13-$E$13)))</x:f>
        <x:v>0.00984664505792291</x:v>
      </x:c>
      <x:c r="F851" s="260" t="n">
        <x:f>IF(Z851&lt;($E$14-$D$14)/($F$14-$D$14),$D$14+SQRT(Z851*($F$14-$D$14)*($E$14-$D$14)),$F$14-SQRT((1-Z851)*($F$14-$D$14)*($F$14-$E$14)))</x:f>
        <x:v>0.9997172890023521</x:v>
      </x:c>
      <x:c r="G851" s="258" t="n">
        <x:f>IF(AA851&lt;($E$15-$D$15)/($F$15-$D$15),$D$15+SQRT(AA851*($F$15-$D$15)*($E$15-$D$15)),$F$15-SQRT((1-AA851)*($F$15-$D$15)*($F$15-$E$15)))</x:f>
        <x:v>0.09672232854054155</x:v>
      </x:c>
      <x:c r="H851" s="258" t="n">
        <x:f>IF(AB851&lt;($E$16-$D$16)/($F$16-$D$16),$D$16+SQRT(AB851*($F$16-$D$16)*($E$16-$D$16)),$F$16-SQRT((1-AB851)*($F$16-$D$16)*($F$16-$E$16)))</x:f>
        <x:v>0.03708270571207742</x:v>
      </x:c>
      <x:c r="I851" s="262" t="n">
        <x:f>'Historical Inputs'!$N$9*(1+D851)^5</x:f>
        <x:v>631141.160037387</x:v>
      </x:c>
      <x:c r="J851" s="262" t="n">
        <x:f>I851*(1+H851)*('Terminal Value'!$E$10+E851)*(1-'Assumptions'!$E$15)*(1-H851/'Terminal Value'!$E$12)</x:f>
        <x:v>174818.93100557456</x:v>
      </x:c>
      <x:c r="K851" s="264" t="n">
        <x:f>((SUM((('Historical Inputs'!$N$9*(1+(D851))^1)*(('Assumptions'!E37+(E851))*(1-'Assumptions'!E42-(0))+'Assumptions'!E47-'Assumptions'!E52*(F851)+'Assumptions'!E57-'Assumptions'!E62*(1)-'Assumptions'!E67-(0))+('Working Capital'!$E$6))*'DCF'!E12/(1+(G851))^'DCF'!E13,(('Historical Inputs'!$N$9*(1+(D851))^2)*(('Assumptions'!F37+(E851))*(1-'Assumptions'!F42-(0))+'Assumptions'!F47-'Assumptions'!F52*(F851)+'Assumptions'!F57-'Assumptions'!F62*(1)-'Assumptions'!F67-(0))+(('Historical Inputs'!$N$9*(1+(D851))^1)*('Assumptions'!E67+(0))))*'DCF'!F12/(1+(G851))^'DCF'!F13,(('Historical Inputs'!$N$9*(1+(D851))^3)*(('Assumptions'!G37+(E851))*(1-'Assumptions'!G42-(0))+'Assumptions'!G47-'Assumptions'!G52*(F851)+'Assumptions'!G57-'Assumptions'!G62*(1)-'Assumptions'!G67-(0))+(('Historical Inputs'!$N$9*(1+(D851))^2)*('Assumptions'!F67+(0))))*'DCF'!G12/(1+(G851))^'DCF'!G13,(('Historical Inputs'!$N$9*(1+(D851))^4)*(('Assumptions'!H37+(E851))*(1-'Assumptions'!H42-(0))+'Assumptions'!H47-'Assumptions'!H52*(F851)+'Assumptions'!H57-'Assumptions'!H62*(1)-'Assumptions'!H67-(0))+(('Historical Inputs'!$N$9*(1+(D851))^3)*('Assumptions'!G67+(0))))*'DCF'!H12/(1+(G851))^'DCF'!H13,(('Historical Inputs'!$N$9*(1+(D851))^5)*(('Assumptions'!I37+(E851))*(1-'Assumptions'!I42-(0))+'Assumptions'!I47-'Assumptions'!I52*(F851)+'Assumptions'!I57-'Assumptions'!I62*(1)-'Assumptions'!I67-(0))+(('Historical Inputs'!$N$9*(1+(D851))^4)*('Assumptions'!H67+(0))))*'DCF'!I12/(1+(G851))^'DCF'!I13)+('Historical Inputs'!$N$9*(1+(D851))^5)*(1+(H851))*('Terminal Value'!$E$10+(E851))*(1-'Assumptions'!$E$15-(0))*(1-(H851)/('Terminal Value'!$E$12))/((G851)-(H851))/(1+(G851))^'DCF'!$E$19)+'Equity Bridge'!$E$17)/'Equity Bridge'!$E$20</x:f>
        <x:v>311.1883525582329</x:v>
      </x:c>
      <x:c r="X851" s="255" t="n">
        <x:v>0.3863335239854496</x:v>
      </x:c>
      <x:c r="Y851" s="255" t="n">
        <x:v>0.6775416173791147</x:v>
      </x:c>
      <x:c r="Z851" s="255" t="n">
        <x:v>0.42695745954693</x:v>
      </x:c>
      <x:c r="AA851" s="255" t="n">
        <x:v>0.4099324823455388</x:v>
      </x:c>
      <x:c r="AB851" s="255" t="n">
        <x:v>0.9574469701882713</x:v>
      </x:c>
    </x:row>
    <x:row r="852" ht="24" customHeight="1">
      <x:c r="C852" s="256" t="n">
        <x:f>821</x:f>
        <x:v>821</x:v>
      </x:c>
      <x:c r="D852" s="258" t="n">
        <x:f>IF(X852&lt;($E$12-$D$12)/($F$12-$D$12),$D$12+SQRT(X852*($F$12-$D$12)*($E$12-$D$12)),$F$12-SQRT((1-X852)*($F$12-$D$12)*($F$12-$E$12)))</x:f>
        <x:v>0.16678760511558563</x:v>
      </x:c>
      <x:c r="E852" s="258" t="n">
        <x:f>IF(Y852&lt;($E$13-$D$13)/($F$13-$D$13),$D$13+SQRT(Y852*($F$13-$D$13)*($E$13-$D$13)),$F$13-SQRT((1-Y852)*($F$13-$D$13)*($F$13-$E$13)))</x:f>
        <x:v>0.025863136922424257</x:v>
      </x:c>
      <x:c r="F852" s="260" t="n">
        <x:f>IF(Z852&lt;($E$14-$D$14)/($F$14-$D$14),$D$14+SQRT(Z852*($F$14-$D$14)*($E$14-$D$14)),$F$14-SQRT((1-Z852)*($F$14-$D$14)*($F$14-$E$14)))</x:f>
        <x:v>1.034038648427222</x:v>
      </x:c>
      <x:c r="G852" s="258" t="n">
        <x:f>IF(AA852&lt;($E$15-$D$15)/($F$15-$D$15),$D$15+SQRT(AA852*($F$15-$D$15)*($E$15-$D$15)),$F$15-SQRT((1-AA852)*($F$15-$D$15)*($F$15-$E$15)))</x:f>
        <x:v>0.08956039654835413</x:v>
      </x:c>
      <x:c r="H852" s="258" t="n">
        <x:f>IF(AB852&lt;($E$16-$D$16)/($F$16-$D$16),$D$16+SQRT(AB852*($F$16-$D$16)*($E$16-$D$16)),$F$16-SQRT((1-AB852)*($F$16-$D$16)*($F$16-$E$16)))</x:f>
        <x:v>0.03527923753714789</x:v>
      </x:c>
      <x:c r="I852" s="262" t="n">
        <x:f>'Historical Inputs'!$N$9*(1+D852)^5</x:f>
        <x:v>717606.6598638396</x:v>
      </x:c>
      <x:c r="J852" s="262" t="n">
        <x:f>I852*(1+H852)*('Terminal Value'!$E$10+E852)*(1-'Assumptions'!$E$15)*(1-H852/'Terminal Value'!$E$12)</x:f>
        <x:v>208459.81545340564</x:v>
      </x:c>
      <x:c r="K852" s="264" t="n">
        <x:f>((SUM((('Historical Inputs'!$N$9*(1+(D852))^1)*(('Assumptions'!E37+(E852))*(1-'Assumptions'!E42-(0))+'Assumptions'!E47-'Assumptions'!E52*(F852)+'Assumptions'!E57-'Assumptions'!E62*(1)-'Assumptions'!E67-(0))+('Working Capital'!$E$6))*'DCF'!E12/(1+(G852))^'DCF'!E13,(('Historical Inputs'!$N$9*(1+(D852))^2)*(('Assumptions'!F37+(E852))*(1-'Assumptions'!F42-(0))+'Assumptions'!F47-'Assumptions'!F52*(F852)+'Assumptions'!F57-'Assumptions'!F62*(1)-'Assumptions'!F67-(0))+(('Historical Inputs'!$N$9*(1+(D852))^1)*('Assumptions'!E67+(0))))*'DCF'!F12/(1+(G852))^'DCF'!F13,(('Historical Inputs'!$N$9*(1+(D852))^3)*(('Assumptions'!G37+(E852))*(1-'Assumptions'!G42-(0))+'Assumptions'!G47-'Assumptions'!G52*(F852)+'Assumptions'!G57-'Assumptions'!G62*(1)-'Assumptions'!G67-(0))+(('Historical Inputs'!$N$9*(1+(D852))^2)*('Assumptions'!F67+(0))))*'DCF'!G12/(1+(G852))^'DCF'!G13,(('Historical Inputs'!$N$9*(1+(D852))^4)*(('Assumptions'!H37+(E852))*(1-'Assumptions'!H42-(0))+'Assumptions'!H47-'Assumptions'!H52*(F852)+'Assumptions'!H57-'Assumptions'!H62*(1)-'Assumptions'!H67-(0))+(('Historical Inputs'!$N$9*(1+(D852))^3)*('Assumptions'!G67+(0))))*'DCF'!H12/(1+(G852))^'DCF'!H13,(('Historical Inputs'!$N$9*(1+(D852))^5)*(('Assumptions'!I37+(E852))*(1-'Assumptions'!I42-(0))+'Assumptions'!I47-'Assumptions'!I52*(F852)+'Assumptions'!I57-'Assumptions'!I62*(1)-'Assumptions'!I67-(0))+(('Historical Inputs'!$N$9*(1+(D852))^4)*('Assumptions'!H67+(0))))*'DCF'!I12/(1+(G852))^'DCF'!I13)+('Historical Inputs'!$N$9*(1+(D852))^5)*(1+(H852))*('Terminal Value'!$E$10+(E852))*(1-'Assumptions'!$E$15-(0))*(1-(H852)/('Terminal Value'!$E$12))/((G852)-(H852))/(1+(G852))^'DCF'!$E$19)+'Equity Bridge'!$E$17)/'Equity Bridge'!$E$20</x:f>
        <x:v>408.55055456663314</x:v>
      </x:c>
      <x:c r="X852" s="255" t="n">
        <x:v>0.8598739958014798</x:v>
      </x:c>
      <x:c r="Y852" s="255" t="n">
        <x:v>0.8834823681548721</x:v>
      </x:c>
      <x:c r="Z852" s="255" t="n">
        <x:v>0.6065261397733818</x:v>
      </x:c>
      <x:c r="AA852" s="255" t="n">
        <x:v>0.09159277774407115</x:v>
      </x:c>
      <x:c r="AB852" s="255" t="n">
        <x:v>0.8885720088466322</x:v>
      </x:c>
    </x:row>
    <x:row r="853" ht="24" customHeight="1">
      <x:c r="C853" s="256" t="n">
        <x:f>822</x:f>
        <x:v>822</x:v>
      </x:c>
      <x:c r="D853" s="258" t="n">
        <x:f>IF(X853&lt;($E$12-$D$12)/($F$12-$D$12),$D$12+SQRT(X853*($F$12-$D$12)*($E$12-$D$12)),$F$12-SQRT((1-X853)*($F$12-$D$12)*($F$12-$E$12)))</x:f>
        <x:v>0.13048170225254768</x:v>
      </x:c>
      <x:c r="E853" s="258" t="n">
        <x:f>IF(Y853&lt;($E$13-$D$13)/($F$13-$D$13),$D$13+SQRT(Y853*($F$13-$D$13)*($E$13-$D$13)),$F$13-SQRT((1-Y853)*($F$13-$D$13)*($F$13-$E$13)))</x:f>
        <x:v>-0.006080777807263439</x:v>
      </x:c>
      <x:c r="F853" s="260" t="n">
        <x:f>IF(Z853&lt;($E$14-$D$14)/($F$14-$D$14),$D$14+SQRT(Z853*($F$14-$D$14)*($E$14-$D$14)),$F$14-SQRT((1-Z853)*($F$14-$D$14)*($F$14-$E$14)))</x:f>
        <x:v>0.956811897752536</x:v>
      </x:c>
      <x:c r="G853" s="258" t="n">
        <x:f>IF(AA853&lt;($E$15-$D$15)/($F$15-$D$15),$D$15+SQRT(AA853*($F$15-$D$15)*($E$15-$D$15)),$F$15-SQRT((1-AA853)*($F$15-$D$15)*($F$15-$E$15)))</x:f>
        <x:v>0.08726895802642838</x:v>
      </x:c>
      <x:c r="H853" s="258" t="n">
        <x:f>IF(AB853&lt;($E$16-$D$16)/($F$16-$D$16),$D$16+SQRT(AB853*($F$16-$D$16)*($E$16-$D$16)),$F$16-SQRT((1-AB853)*($F$16-$D$16)*($F$16-$E$16)))</x:f>
        <x:v>0.03636383546121657</x:v>
      </x:c>
      <x:c r="I853" s="262" t="n">
        <x:f>'Historical Inputs'!$N$9*(1+D853)^5</x:f>
        <x:v>612696.0953693523</x:v>
      </x:c>
      <x:c r="J853" s="262" t="n">
        <x:f>I853*(1+H853)*('Terminal Value'!$E$10+E853)*(1-'Assumptions'!$E$15)*(1-H853/'Terminal Value'!$E$12)</x:f>
        <x:v>163720.7851982616</x:v>
      </x:c>
      <x:c r="K853" s="264" t="n">
        <x:f>((SUM((('Historical Inputs'!$N$9*(1+(D853))^1)*(('Assumptions'!E37+(E853))*(1-'Assumptions'!E42-(0))+'Assumptions'!E47-'Assumptions'!E52*(F853)+'Assumptions'!E57-'Assumptions'!E62*(1)-'Assumptions'!E67-(0))+('Working Capital'!$E$6))*'DCF'!E12/(1+(G853))^'DCF'!E13,(('Historical Inputs'!$N$9*(1+(D853))^2)*(('Assumptions'!F37+(E853))*(1-'Assumptions'!F42-(0))+'Assumptions'!F47-'Assumptions'!F52*(F853)+'Assumptions'!F57-'Assumptions'!F62*(1)-'Assumptions'!F67-(0))+(('Historical Inputs'!$N$9*(1+(D853))^1)*('Assumptions'!E67+(0))))*'DCF'!F12/(1+(G853))^'DCF'!F13,(('Historical Inputs'!$N$9*(1+(D853))^3)*(('Assumptions'!G37+(E853))*(1-'Assumptions'!G42-(0))+'Assumptions'!G47-'Assumptions'!G52*(F853)+'Assumptions'!G57-'Assumptions'!G62*(1)-'Assumptions'!G67-(0))+(('Historical Inputs'!$N$9*(1+(D853))^2)*('Assumptions'!F67+(0))))*'DCF'!G12/(1+(G853))^'DCF'!G13,(('Historical Inputs'!$N$9*(1+(D853))^4)*(('Assumptions'!H37+(E853))*(1-'Assumptions'!H42-(0))+'Assumptions'!H47-'Assumptions'!H52*(F853)+'Assumptions'!H57-'Assumptions'!H62*(1)-'Assumptions'!H67-(0))+(('Historical Inputs'!$N$9*(1+(D853))^3)*('Assumptions'!G67+(0))))*'DCF'!H12/(1+(G853))^'DCF'!H13,(('Historical Inputs'!$N$9*(1+(D853))^5)*(('Assumptions'!I37+(E853))*(1-'Assumptions'!I42-(0))+'Assumptions'!I47-'Assumptions'!I52*(F853)+'Assumptions'!I57-'Assumptions'!I62*(1)-'Assumptions'!I67-(0))+(('Historical Inputs'!$N$9*(1+(D853))^4)*('Assumptions'!H67+(0))))*'DCF'!I12/(1+(G853))^'DCF'!I13)+('Historical Inputs'!$N$9*(1+(D853))^5)*(1+(H853))*('Terminal Value'!$E$10+(E853))*(1-'Assumptions'!$E$15-(0))*(1-(H853)/('Terminal Value'!$E$12))/((G853)-(H853))/(1+(G853))^'DCF'!$E$19)+'Equity Bridge'!$E$17)/'Equity Bridge'!$E$20</x:f>
        <x:v>347.21853894501635</x:v>
      </x:c>
      <x:c r="X853" s="255" t="n">
        <x:v>0.27713536657086646</x:v>
      </x:c>
      <x:c r="Y853" s="255" t="n">
        <x:v>0.3857796156029927</x:v>
      </x:c>
      <x:c r="Z853" s="255" t="n">
        <x:v>0.2173101238380607</x:v>
      </x:c>
      <x:c r="AA853" s="255" t="n">
        <x:v>0.03787832210241948</x:v>
      </x:c>
      <x:c r="AB853" s="255" t="n">
        <x:v>0.9338915372344695</x:v>
      </x:c>
    </x:row>
    <x:row r="854" ht="24" customHeight="1">
      <x:c r="C854" s="256" t="n">
        <x:f>823</x:f>
        <x:v>823</x:v>
      </x:c>
      <x:c r="D854" s="258" t="n">
        <x:f>IF(X854&lt;($E$12-$D$12)/($F$12-$D$12),$D$12+SQRT(X854*($F$12-$D$12)*($E$12-$D$12)),$F$12-SQRT((1-X854)*($F$12-$D$12)*($F$12-$E$12)))</x:f>
        <x:v>0.1419964948975172</x:v>
      </x:c>
      <x:c r="E854" s="258" t="n">
        <x:f>IF(Y854&lt;($E$13-$D$13)/($F$13-$D$13),$D$13+SQRT(Y854*($F$13-$D$13)*($E$13-$D$13)),$F$13-SQRT((1-Y854)*($F$13-$D$13)*($F$13-$E$13)))</x:f>
        <x:v>0.0002453494233611367</x:v>
      </x:c>
      <x:c r="F854" s="260" t="n">
        <x:f>IF(Z854&lt;($E$14-$D$14)/($F$14-$D$14),$D$14+SQRT(Z854*($F$14-$D$14)*($E$14-$D$14)),$F$14-SQRT((1-Z854)*($F$14-$D$14)*($F$14-$E$14)))</x:f>
        <x:v>0.9608277446673428</x:v>
      </x:c>
      <x:c r="G854" s="258" t="n">
        <x:f>IF(AA854&lt;($E$15-$D$15)/($F$15-$D$15),$D$15+SQRT(AA854*($F$15-$D$15)*($E$15-$D$15)),$F$15-SQRT((1-AA854)*($F$15-$D$15)*($F$15-$E$15)))</x:f>
        <x:v>0.09922770405879783</x:v>
      </x:c>
      <x:c r="H854" s="258" t="n">
        <x:f>IF(AB854&lt;($E$16-$D$16)/($F$16-$D$16),$D$16+SQRT(AB854*($F$16-$D$16)*($E$16-$D$16)),$F$16-SQRT((1-AB854)*($F$16-$D$16)*($F$16-$E$16)))</x:f>
        <x:v>0.026664765139677</x:v>
      </x:c>
      <x:c r="I854" s="262" t="n">
        <x:f>'Historical Inputs'!$N$9*(1+D854)^5</x:f>
        <x:v>644542.0865598207</x:v>
      </x:c>
      <x:c r="J854" s="262" t="n">
        <x:f>I854*(1+H854)*('Terminal Value'!$E$10+E854)*(1-'Assumptions'!$E$15)*(1-H854/'Terminal Value'!$E$12)</x:f>
        <x:v>183633.99270627214</x:v>
      </x:c>
      <x:c r="K854" s="264" t="n">
        <x:f>((SUM((('Historical Inputs'!$N$9*(1+(D854))^1)*(('Assumptions'!E37+(E854))*(1-'Assumptions'!E42-(0))+'Assumptions'!E47-'Assumptions'!E52*(F854)+'Assumptions'!E57-'Assumptions'!E62*(1)-'Assumptions'!E67-(0))+('Working Capital'!$E$6))*'DCF'!E12/(1+(G854))^'DCF'!E13,(('Historical Inputs'!$N$9*(1+(D854))^2)*(('Assumptions'!F37+(E854))*(1-'Assumptions'!F42-(0))+'Assumptions'!F47-'Assumptions'!F52*(F854)+'Assumptions'!F57-'Assumptions'!F62*(1)-'Assumptions'!F67-(0))+(('Historical Inputs'!$N$9*(1+(D854))^1)*('Assumptions'!E67+(0))))*'DCF'!F12/(1+(G854))^'DCF'!F13,(('Historical Inputs'!$N$9*(1+(D854))^3)*(('Assumptions'!G37+(E854))*(1-'Assumptions'!G42-(0))+'Assumptions'!G47-'Assumptions'!G52*(F854)+'Assumptions'!G57-'Assumptions'!G62*(1)-'Assumptions'!G67-(0))+(('Historical Inputs'!$N$9*(1+(D854))^2)*('Assumptions'!F67+(0))))*'DCF'!G12/(1+(G854))^'DCF'!G13,(('Historical Inputs'!$N$9*(1+(D854))^4)*(('Assumptions'!H37+(E854))*(1-'Assumptions'!H42-(0))+'Assumptions'!H47-'Assumptions'!H52*(F854)+'Assumptions'!H57-'Assumptions'!H62*(1)-'Assumptions'!H67-(0))+(('Historical Inputs'!$N$9*(1+(D854))^3)*('Assumptions'!G67+(0))))*'DCF'!H12/(1+(G854))^'DCF'!H13,(('Historical Inputs'!$N$9*(1+(D854))^5)*(('Assumptions'!I37+(E854))*(1-'Assumptions'!I42-(0))+'Assumptions'!I47-'Assumptions'!I52*(F854)+'Assumptions'!I57-'Assumptions'!I62*(1)-'Assumptions'!I67-(0))+(('Historical Inputs'!$N$9*(1+(D854))^4)*('Assumptions'!H67+(0))))*'DCF'!I12/(1+(G854))^'DCF'!I13)+('Historical Inputs'!$N$9*(1+(D854))^5)*(1+(H854))*('Terminal Value'!$E$10+(E854))*(1-'Assumptions'!$E$15-(0))*(1-(H854)/('Terminal Value'!$E$12))/((G854)-(H854))/(1+(G854))^'DCF'!$E$19)+'Equity Bridge'!$E$17)/'Equity Bridge'!$E$20</x:f>
        <x:v>275.0736734717768</x:v>
      </x:c>
      <x:c r="X854" s="255" t="n">
        <x:v>0.4751072470567118</x:v>
      </x:c>
      <x:c r="Y854" s="255" t="n">
        <x:v>0.5048949491993141</x:v>
      </x:c>
      <x:c r="Z854" s="255" t="n">
        <x:v>0.2339578854866614</x:v>
      </x:c>
      <x:c r="AA854" s="255" t="n">
        <x:v>0.569861658079868</x:v>
      </x:c>
      <x:c r="AB854" s="255" t="n">
        <x:v>0.2220954718352689</x:v>
      </x:c>
    </x:row>
    <x:row r="855" ht="24" customHeight="1">
      <x:c r="C855" s="256" t="n">
        <x:f>824</x:f>
        <x:v>824</x:v>
      </x:c>
      <x:c r="D855" s="258" t="n">
        <x:f>IF(X855&lt;($E$12-$D$12)/($F$12-$D$12),$D$12+SQRT(X855*($F$12-$D$12)*($E$12-$D$12)),$F$12-SQRT((1-X855)*($F$12-$D$12)*($F$12-$E$12)))</x:f>
        <x:v>0.1316331987934587</x:v>
      </x:c>
      <x:c r="E855" s="258" t="n">
        <x:f>IF(Y855&lt;($E$13-$D$13)/($F$13-$D$13),$D$13+SQRT(Y855*($F$13-$D$13)*($E$13-$D$13)),$F$13-SQRT((1-Y855)*($F$13-$D$13)*($F$13-$E$13)))</x:f>
        <x:v>0.03707632029784996</x:v>
      </x:c>
      <x:c r="F855" s="260" t="n">
        <x:f>IF(Z855&lt;($E$14-$D$14)/($F$14-$D$14),$D$14+SQRT(Z855*($F$14-$D$14)*($E$14-$D$14)),$F$14-SQRT((1-Z855)*($F$14-$D$14)*($F$14-$E$14)))</x:f>
        <x:v>1.0556494582134068</x:v>
      </x:c>
      <x:c r="G855" s="258" t="n">
        <x:f>IF(AA855&lt;($E$15-$D$15)/($F$15-$D$15),$D$15+SQRT(AA855*($F$15-$D$15)*($E$15-$D$15)),$F$15-SQRT((1-AA855)*($F$15-$D$15)*($F$15-$E$15)))</x:f>
        <x:v>0.09548443801158149</x:v>
      </x:c>
      <x:c r="H855" s="258" t="n">
        <x:f>IF(AB855&lt;($E$16-$D$16)/($F$16-$D$16),$D$16+SQRT(AB855*($F$16-$D$16)*($E$16-$D$16)),$F$16-SQRT((1-AB855)*($F$16-$D$16)*($F$16-$E$16)))</x:f>
        <x:v>0.03608475323332996</x:v>
      </x:c>
      <x:c r="I855" s="262" t="n">
        <x:f>'Historical Inputs'!$N$9*(1+D855)^5</x:f>
        <x:v>615822.8870845814</x:v>
      </x:c>
      <x:c r="J855" s="262" t="n">
        <x:f>I855*(1+H855)*('Terminal Value'!$E$10+E855)*(1-'Assumptions'!$E$15)*(1-H855/'Terminal Value'!$E$12)</x:f>
        <x:v>182846.95383377795</x:v>
      </x:c>
      <x:c r="K855" s="264" t="n">
        <x:f>((SUM((('Historical Inputs'!$N$9*(1+(D855))^1)*(('Assumptions'!E37+(E855))*(1-'Assumptions'!E42-(0))+'Assumptions'!E47-'Assumptions'!E52*(F855)+'Assumptions'!E57-'Assumptions'!E62*(1)-'Assumptions'!E67-(0))+('Working Capital'!$E$6))*'DCF'!E12/(1+(G855))^'DCF'!E13,(('Historical Inputs'!$N$9*(1+(D855))^2)*(('Assumptions'!F37+(E855))*(1-'Assumptions'!F42-(0))+'Assumptions'!F47-'Assumptions'!F52*(F855)+'Assumptions'!F57-'Assumptions'!F62*(1)-'Assumptions'!F67-(0))+(('Historical Inputs'!$N$9*(1+(D855))^1)*('Assumptions'!E67+(0))))*'DCF'!F12/(1+(G855))^'DCF'!F13,(('Historical Inputs'!$N$9*(1+(D855))^3)*(('Assumptions'!G37+(E855))*(1-'Assumptions'!G42-(0))+'Assumptions'!G47-'Assumptions'!G52*(F855)+'Assumptions'!G57-'Assumptions'!G62*(1)-'Assumptions'!G67-(0))+(('Historical Inputs'!$N$9*(1+(D855))^2)*('Assumptions'!F67+(0))))*'DCF'!G12/(1+(G855))^'DCF'!G13,(('Historical Inputs'!$N$9*(1+(D855))^4)*(('Assumptions'!H37+(E855))*(1-'Assumptions'!H42-(0))+'Assumptions'!H47-'Assumptions'!H52*(F855)+'Assumptions'!H57-'Assumptions'!H62*(1)-'Assumptions'!H67-(0))+(('Historical Inputs'!$N$9*(1+(D855))^3)*('Assumptions'!G67+(0))))*'DCF'!H12/(1+(G855))^'DCF'!H13,(('Historical Inputs'!$N$9*(1+(D855))^5)*(('Assumptions'!I37+(E855))*(1-'Assumptions'!I42-(0))+'Assumptions'!I47-'Assumptions'!I52*(F855)+'Assumptions'!I57-'Assumptions'!I62*(1)-'Assumptions'!I67-(0))+(('Historical Inputs'!$N$9*(1+(D855))^4)*('Assumptions'!H67+(0))))*'DCF'!I12/(1+(G855))^'DCF'!I13)+('Historical Inputs'!$N$9*(1+(D855))^5)*(1+(H855))*('Terminal Value'!$E$10+(E855))*(1-'Assumptions'!$E$15-(0))*(1-(H855)/('Terminal Value'!$E$12))/((G855)-(H855))/(1+(G855))^'DCF'!$E$19)+'Equity Bridge'!$E$17)/'Equity Bridge'!$E$20</x:f>
        <x:v>326.5216223922327</x:v>
      </x:c>
      <x:c r="X855" s="255" t="n">
        <x:v>0.29454619172666063</x:v>
      </x:c>
      <x:c r="Y855" s="255" t="n">
        <x:v>0.966595700591247</x:v>
      </x:c>
      <x:c r="Z855" s="255" t="n">
        <x:v>0.7023274440845285</x:v>
      </x:c>
      <x:c r="AA855" s="255" t="n">
        <x:v>0.33861340572841925</x:v>
      </x:c>
      <x:c r="AB855" s="255" t="n">
        <x:v>0.923354213780399</x:v>
      </x:c>
    </x:row>
    <x:row r="856" ht="24" customHeight="1">
      <x:c r="C856" s="256" t="n">
        <x:f>825</x:f>
        <x:v>825</x:v>
      </x:c>
      <x:c r="D856" s="258" t="n">
        <x:f>IF(X856&lt;($E$12-$D$12)/($F$12-$D$12),$D$12+SQRT(X856*($F$12-$D$12)*($E$12-$D$12)),$F$12-SQRT((1-X856)*($F$12-$D$12)*($F$12-$E$12)))</x:f>
        <x:v>0.14757194020331632</x:v>
      </x:c>
      <x:c r="E856" s="258" t="n">
        <x:f>IF(Y856&lt;($E$13-$D$13)/($F$13-$D$13),$D$13+SQRT(Y856*($F$13-$D$13)*($E$13-$D$13)),$F$13-SQRT((1-Y856)*($F$13-$D$13)*($F$13-$E$13)))</x:f>
        <x:v>0.03178330807968934</x:v>
      </x:c>
      <x:c r="F856" s="260" t="n">
        <x:f>IF(Z856&lt;($E$14-$D$14)/($F$14-$D$14),$D$14+SQRT(Z856*($F$14-$D$14)*($E$14-$D$14)),$F$14-SQRT((1-Z856)*($F$14-$D$14)*($F$14-$E$14)))</x:f>
        <x:v>0.9877916697675125</x:v>
      </x:c>
      <x:c r="G856" s="258" t="n">
        <x:f>IF(AA856&lt;($E$15-$D$15)/($F$15-$D$15),$D$15+SQRT(AA856*($F$15-$D$15)*($E$15-$D$15)),$F$15-SQRT((1-AA856)*($F$15-$D$15)*($F$15-$E$15)))</x:f>
        <x:v>0.09754733897406369</x:v>
      </x:c>
      <x:c r="H856" s="258" t="n">
        <x:f>IF(AB856&lt;($E$16-$D$16)/($F$16-$D$16),$D$16+SQRT(AB856*($F$16-$D$16)*($E$16-$D$16)),$F$16-SQRT((1-AB856)*($F$16-$D$16)*($F$16-$E$16)))</x:f>
        <x:v>0.028563604407404825</x:v>
      </x:c>
      <x:c r="I856" s="262" t="n">
        <x:f>'Historical Inputs'!$N$9*(1+D856)^5</x:f>
        <x:v>660430.3588668017</x:v>
      </x:c>
      <x:c r="J856" s="262" t="n">
        <x:f>I856*(1+H856)*('Terminal Value'!$E$10+E856)*(1-'Assumptions'!$E$15)*(1-H856/'Terminal Value'!$E$12)</x:f>
        <x:v>201134.72196075402</x:v>
      </x:c>
      <x:c r="K856" s="264" t="n">
        <x:f>((SUM((('Historical Inputs'!$N$9*(1+(D856))^1)*(('Assumptions'!E37+(E856))*(1-'Assumptions'!E42-(0))+'Assumptions'!E47-'Assumptions'!E52*(F856)+'Assumptions'!E57-'Assumptions'!E62*(1)-'Assumptions'!E67-(0))+('Working Capital'!$E$6))*'DCF'!E12/(1+(G856))^'DCF'!E13,(('Historical Inputs'!$N$9*(1+(D856))^2)*(('Assumptions'!F37+(E856))*(1-'Assumptions'!F42-(0))+'Assumptions'!F47-'Assumptions'!F52*(F856)+'Assumptions'!F57-'Assumptions'!F62*(1)-'Assumptions'!F67-(0))+(('Historical Inputs'!$N$9*(1+(D856))^1)*('Assumptions'!E67+(0))))*'DCF'!F12/(1+(G856))^'DCF'!F13,(('Historical Inputs'!$N$9*(1+(D856))^3)*(('Assumptions'!G37+(E856))*(1-'Assumptions'!G42-(0))+'Assumptions'!G47-'Assumptions'!G52*(F856)+'Assumptions'!G57-'Assumptions'!G62*(1)-'Assumptions'!G67-(0))+(('Historical Inputs'!$N$9*(1+(D856))^2)*('Assumptions'!F67+(0))))*'DCF'!G12/(1+(G856))^'DCF'!G13,(('Historical Inputs'!$N$9*(1+(D856))^4)*(('Assumptions'!H37+(E856))*(1-'Assumptions'!H42-(0))+'Assumptions'!H47-'Assumptions'!H52*(F856)+'Assumptions'!H57-'Assumptions'!H62*(1)-'Assumptions'!H67-(0))+(('Historical Inputs'!$N$9*(1+(D856))^3)*('Assumptions'!G67+(0))))*'DCF'!H12/(1+(G856))^'DCF'!H13,(('Historical Inputs'!$N$9*(1+(D856))^5)*(('Assumptions'!I37+(E856))*(1-'Assumptions'!I42-(0))+'Assumptions'!I47-'Assumptions'!I52*(F856)+'Assumptions'!I57-'Assumptions'!I62*(1)-'Assumptions'!I67-(0))+(('Historical Inputs'!$N$9*(1+(D856))^4)*('Assumptions'!H67+(0))))*'DCF'!I12/(1+(G856))^'DCF'!I13)+('Historical Inputs'!$N$9*(1+(D856))^5)*(1+(H856))*('Terminal Value'!$E$10+(E856))*(1-'Assumptions'!$E$15-(0))*(1-(H856)/('Terminal Value'!$E$12))/((G856)-(H856))/(1+(G856))^'DCF'!$E$19)+'Equity Bridge'!$E$17)/'Equity Bridge'!$E$20</x:f>
        <x:v>316.04939546158056</x:v>
      </x:c>
      <x:c r="X856" s="255" t="n">
        <x:v>0.5825746634246974</x:v>
      </x:c>
      <x:c r="Y856" s="255" t="n">
        <x:v>0.9336304270960977</x:v>
      </x:c>
      <x:c r="Z856" s="255" t="n">
        <x:v>0.36164846204417567</x:v>
      </x:c>
      <x:c r="AA856" s="255" t="n">
        <x:v>0.46124616766212856</x:v>
      </x:c>
      <x:c r="AB856" s="255" t="n">
        <x:v>0.3666766022326169</x:v>
      </x:c>
    </x:row>
    <x:row r="857" ht="24" customHeight="1">
      <x:c r="C857" s="256" t="n">
        <x:f>826</x:f>
        <x:v>826</x:v>
      </x:c>
      <x:c r="D857" s="258" t="n">
        <x:f>IF(X857&lt;($E$12-$D$12)/($F$12-$D$12),$D$12+SQRT(X857*($F$12-$D$12)*($E$12-$D$12)),$F$12-SQRT((1-X857)*($F$12-$D$12)*($F$12-$E$12)))</x:f>
        <x:v>0.1922260418253587</x:v>
      </x:c>
      <x:c r="E857" s="258" t="n">
        <x:f>IF(Y857&lt;($E$13-$D$13)/($F$13-$D$13),$D$13+SQRT(Y857*($F$13-$D$13)*($E$13-$D$13)),$F$13-SQRT((1-Y857)*($F$13-$D$13)*($F$13-$E$13)))</x:f>
        <x:v>-0.0026185817321517924</x:v>
      </x:c>
      <x:c r="F857" s="260" t="n">
        <x:f>IF(Z857&lt;($E$14-$D$14)/($F$14-$D$14),$D$14+SQRT(Z857*($F$14-$D$14)*($E$14-$D$14)),$F$14-SQRT((1-Z857)*($F$14-$D$14)*($F$14-$E$14)))</x:f>
        <x:v>1.0875879471505192</x:v>
      </x:c>
      <x:c r="G857" s="258" t="n">
        <x:f>IF(AA857&lt;($E$15-$D$15)/($F$15-$D$15),$D$15+SQRT(AA857*($F$15-$D$15)*($E$15-$D$15)),$F$15-SQRT((1-AA857)*($F$15-$D$15)*($F$15-$E$15)))</x:f>
        <x:v>0.10481867562948083</x:v>
      </x:c>
      <x:c r="H857" s="258" t="n">
        <x:f>IF(AB857&lt;($E$16-$D$16)/($F$16-$D$16),$D$16+SQRT(AB857*($F$16-$D$16)*($E$16-$D$16)),$F$16-SQRT((1-AB857)*($F$16-$D$16)*($F$16-$E$16)))</x:f>
        <x:v>0.026710369560684472</x:v>
      </x:c>
      <x:c r="I857" s="262" t="n">
        <x:f>'Historical Inputs'!$N$9*(1+D857)^5</x:f>
        <x:v>799319.5689014267</x:v>
      </x:c>
      <x:c r="J857" s="262" t="n">
        <x:f>I857*(1+H857)*('Terminal Value'!$E$10+E857)*(1-'Assumptions'!$E$15)*(1-H857/'Terminal Value'!$E$12)</x:f>
        <x:v>226052.0844760913</x:v>
      </x:c>
      <x:c r="K857" s="264" t="n">
        <x:f>((SUM((('Historical Inputs'!$N$9*(1+(D857))^1)*(('Assumptions'!E37+(E857))*(1-'Assumptions'!E42-(0))+'Assumptions'!E47-'Assumptions'!E52*(F857)+'Assumptions'!E57-'Assumptions'!E62*(1)-'Assumptions'!E67-(0))+('Working Capital'!$E$6))*'DCF'!E12/(1+(G857))^'DCF'!E13,(('Historical Inputs'!$N$9*(1+(D857))^2)*(('Assumptions'!F37+(E857))*(1-'Assumptions'!F42-(0))+'Assumptions'!F47-'Assumptions'!F52*(F857)+'Assumptions'!F57-'Assumptions'!F62*(1)-'Assumptions'!F67-(0))+(('Historical Inputs'!$N$9*(1+(D857))^1)*('Assumptions'!E67+(0))))*'DCF'!F12/(1+(G857))^'DCF'!F13,(('Historical Inputs'!$N$9*(1+(D857))^3)*(('Assumptions'!G37+(E857))*(1-'Assumptions'!G42-(0))+'Assumptions'!G47-'Assumptions'!G52*(F857)+'Assumptions'!G57-'Assumptions'!G62*(1)-'Assumptions'!G67-(0))+(('Historical Inputs'!$N$9*(1+(D857))^2)*('Assumptions'!F67+(0))))*'DCF'!G12/(1+(G857))^'DCF'!G13,(('Historical Inputs'!$N$9*(1+(D857))^4)*(('Assumptions'!H37+(E857))*(1-'Assumptions'!H42-(0))+'Assumptions'!H47-'Assumptions'!H52*(F857)+'Assumptions'!H57-'Assumptions'!H62*(1)-'Assumptions'!H67-(0))+(('Historical Inputs'!$N$9*(1+(D857))^3)*('Assumptions'!G67+(0))))*'DCF'!H12/(1+(G857))^'DCF'!H13,(('Historical Inputs'!$N$9*(1+(D857))^5)*(('Assumptions'!I37+(E857))*(1-'Assumptions'!I42-(0))+'Assumptions'!I47-'Assumptions'!I52*(F857)+'Assumptions'!I57-'Assumptions'!I62*(1)-'Assumptions'!I67-(0))+(('Historical Inputs'!$N$9*(1+(D857))^4)*('Assumptions'!H67+(0))))*'DCF'!I12/(1+(G857))^'DCF'!I13)+('Historical Inputs'!$N$9*(1+(D857))^5)*(1+(H857))*('Terminal Value'!$E$10+(E857))*(1-'Assumptions'!$E$15-(0))*(1-(H857)/('Terminal Value'!$E$12))/((G857)-(H857))/(1+(G857))^'DCF'!$E$19)+'Equity Bridge'!$E$17)/'Equity Bridge'!$E$20</x:f>
        <x:v>299.5512109852045</x:v>
      </x:c>
      <x:c r="X857" s="255" t="n">
        <x:v>0.9997874160476319</x:v>
      </x:c>
      <x:c r="Y857" s="255" t="n">
        <x:v>0.44899975941455605</x:v>
      </x:c>
      <x:c r="Z857" s="255" t="n">
        <x:v>0.8194790053452218</x:v>
      </x:c>
      <x:c r="AA857" s="255" t="n">
        <x:v>0.8461098102297638</x:v>
      </x:c>
      <x:c r="AB857" s="255" t="n">
        <x:v>0.22514529820480378</x:v>
      </x:c>
    </x:row>
    <x:row r="858" ht="24" customHeight="1">
      <x:c r="C858" s="256" t="n">
        <x:f>827</x:f>
        <x:v>827</x:v>
      </x:c>
      <x:c r="D858" s="258" t="n">
        <x:f>IF(X858&lt;($E$12-$D$12)/($F$12-$D$12),$D$12+SQRT(X858*($F$12-$D$12)*($E$12-$D$12)),$F$12-SQRT((1-X858)*($F$12-$D$12)*($F$12-$E$12)))</x:f>
        <x:v>0.13314019620600467</x:v>
      </x:c>
      <x:c r="E858" s="258" t="n">
        <x:f>IF(Y858&lt;($E$13-$D$13)/($F$13-$D$13),$D$13+SQRT(Y858*($F$13-$D$13)*($E$13-$D$13)),$F$13-SQRT((1-Y858)*($F$13-$D$13)*($F$13-$E$13)))</x:f>
        <x:v>0.01717787210921324</x:v>
      </x:c>
      <x:c r="F858" s="260" t="n">
        <x:f>IF(Z858&lt;($E$14-$D$14)/($F$14-$D$14),$D$14+SQRT(Z858*($F$14-$D$14)*($E$14-$D$14)),$F$14-SQRT((1-Z858)*($F$14-$D$14)*($F$14-$E$14)))</x:f>
        <x:v>0.9781597219577659</x:v>
      </x:c>
      <x:c r="G858" s="258" t="n">
        <x:f>IF(AA858&lt;($E$15-$D$15)/($F$15-$D$15),$D$15+SQRT(AA858*($F$15-$D$15)*($E$15-$D$15)),$F$15-SQRT((1-AA858)*($F$15-$D$15)*($F$15-$E$15)))</x:f>
        <x:v>0.09886374692017813</x:v>
      </x:c>
      <x:c r="H858" s="258" t="n">
        <x:f>IF(AB858&lt;($E$16-$D$16)/($F$16-$D$16),$D$16+SQRT(AB858*($F$16-$D$16)*($E$16-$D$16)),$F$16-SQRT((1-AB858)*($F$16-$D$16)*($F$16-$E$16)))</x:f>
        <x:v>0.028513717870601196</x:v>
      </x:c>
      <x:c r="I858" s="262" t="n">
        <x:f>'Historical Inputs'!$N$9*(1+D858)^5</x:f>
        <x:v>619934.2835411634</x:v>
      </x:c>
      <x:c r="J858" s="262" t="n">
        <x:f>I858*(1+H858)*('Terminal Value'!$E$10+E858)*(1-'Assumptions'!$E$15)*(1-H858/'Terminal Value'!$E$12)</x:f>
        <x:v>182459.45930489758</x:v>
      </x:c>
      <x:c r="K858" s="264" t="n">
        <x:f>((SUM((('Historical Inputs'!$N$9*(1+(D858))^1)*(('Assumptions'!E37+(E858))*(1-'Assumptions'!E42-(0))+'Assumptions'!E47-'Assumptions'!E52*(F858)+'Assumptions'!E57-'Assumptions'!E62*(1)-'Assumptions'!E67-(0))+('Working Capital'!$E$6))*'DCF'!E12/(1+(G858))^'DCF'!E13,(('Historical Inputs'!$N$9*(1+(D858))^2)*(('Assumptions'!F37+(E858))*(1-'Assumptions'!F42-(0))+'Assumptions'!F47-'Assumptions'!F52*(F858)+'Assumptions'!F57-'Assumptions'!F62*(1)-'Assumptions'!F67-(0))+(('Historical Inputs'!$N$9*(1+(D858))^1)*('Assumptions'!E67+(0))))*'DCF'!F12/(1+(G858))^'DCF'!F13,(('Historical Inputs'!$N$9*(1+(D858))^3)*(('Assumptions'!G37+(E858))*(1-'Assumptions'!G42-(0))+'Assumptions'!G47-'Assumptions'!G52*(F858)+'Assumptions'!G57-'Assumptions'!G62*(1)-'Assumptions'!G67-(0))+(('Historical Inputs'!$N$9*(1+(D858))^2)*('Assumptions'!F67+(0))))*'DCF'!G12/(1+(G858))^'DCF'!G13,(('Historical Inputs'!$N$9*(1+(D858))^4)*(('Assumptions'!H37+(E858))*(1-'Assumptions'!H42-(0))+'Assumptions'!H47-'Assumptions'!H52*(F858)+'Assumptions'!H57-'Assumptions'!H62*(1)-'Assumptions'!H67-(0))+(('Historical Inputs'!$N$9*(1+(D858))^3)*('Assumptions'!G67+(0))))*'DCF'!H12/(1+(G858))^'DCF'!H13,(('Historical Inputs'!$N$9*(1+(D858))^5)*(('Assumptions'!I37+(E858))*(1-'Assumptions'!I42-(0))+'Assumptions'!I47-'Assumptions'!I52*(F858)+'Assumptions'!I57-'Assumptions'!I62*(1)-'Assumptions'!I67-(0))+(('Historical Inputs'!$N$9*(1+(D858))^4)*('Assumptions'!H67+(0))))*'DCF'!I12/(1+(G858))^'DCF'!I13)+('Historical Inputs'!$N$9*(1+(D858))^5)*(1+(H858))*('Terminal Value'!$E$10+(E858))*(1-'Assumptions'!$E$15-(0))*(1-(H858)/('Terminal Value'!$E$12))/((G858)-(H858))/(1+(G858))^'DCF'!$E$19)+'Equity Bridge'!$E$17)/'Equity Bridge'!$E$20</x:f>
        <x:v>281.5715436836854</x:v>
      </x:c>
      <x:c r="X858" s="255" t="n">
        <x:v>0.31813351972425685</x:v>
      </x:c>
      <x:c r="Y858" s="255" t="n">
        <x:v>0.7845415841441675</x:v>
      </x:c>
      <x:c r="Z858" s="255" t="n">
        <x:v>0.31285551109127363</x:v>
      </x:c>
      <x:c r="AA858" s="255" t="n">
        <x:v>0.5470623415115492</x:v>
      </x:c>
      <x:c r="AB858" s="255" t="n">
        <x:v>0.3624169599009711</x:v>
      </x:c>
    </x:row>
    <x:row r="859" ht="24" customHeight="1">
      <x:c r="C859" s="256" t="n">
        <x:f>828</x:f>
        <x:v>828</x:v>
      </x:c>
      <x:c r="D859" s="258" t="n">
        <x:f>IF(X859&lt;($E$12-$D$12)/($F$12-$D$12),$D$12+SQRT(X859*($F$12-$D$12)*($E$12-$D$12)),$F$12-SQRT((1-X859)*($F$12-$D$12)*($F$12-$E$12)))</x:f>
        <x:v>0.17217142726897508</x:v>
      </x:c>
      <x:c r="E859" s="258" t="n">
        <x:f>IF(Y859&lt;($E$13-$D$13)/($F$13-$D$13),$D$13+SQRT(Y859*($F$13-$D$13)*($E$13-$D$13)),$F$13-SQRT((1-Y859)*($F$13-$D$13)*($F$13-$E$13)))</x:f>
        <x:v>-0.024037185530281092</x:v>
      </x:c>
      <x:c r="F859" s="260" t="n">
        <x:f>IF(Z859&lt;($E$14-$D$14)/($F$14-$D$14),$D$14+SQRT(Z859*($F$14-$D$14)*($E$14-$D$14)),$F$14-SQRT((1-Z859)*($F$14-$D$14)*($F$14-$E$14)))</x:f>
        <x:v>0.9176885773082907</x:v>
      </x:c>
      <x:c r="G859" s="258" t="n">
        <x:f>IF(AA859&lt;($E$15-$D$15)/($F$15-$D$15),$D$15+SQRT(AA859*($F$15-$D$15)*($E$15-$D$15)),$F$15-SQRT((1-AA859)*($F$15-$D$15)*($F$15-$E$15)))</x:f>
        <x:v>0.09873504095634815</x:v>
      </x:c>
      <x:c r="H859" s="258" t="n">
        <x:f>IF(AB859&lt;($E$16-$D$16)/($F$16-$D$16),$D$16+SQRT(AB859*($F$16-$D$16)*($E$16-$D$16)),$F$16-SQRT((1-AB859)*($F$16-$D$16)*($F$16-$E$16)))</x:f>
        <x:v>0.03219123350660572</x:v>
      </x:c>
      <x:c r="I859" s="262" t="n">
        <x:f>'Historical Inputs'!$N$9*(1+D859)^5</x:f>
        <x:v>734316.1506475429</x:v>
      </x:c>
      <x:c r="J859" s="262" t="n">
        <x:f>I859*(1+H859)*('Terminal Value'!$E$10+E859)*(1-'Assumptions'!$E$15)*(1-H859/'Terminal Value'!$E$12)</x:f>
        <x:v>191277.01025972364</x:v>
      </x:c>
      <x:c r="K859" s="264" t="n">
        <x:f>((SUM((('Historical Inputs'!$N$9*(1+(D859))^1)*(('Assumptions'!E37+(E859))*(1-'Assumptions'!E42-(0))+'Assumptions'!E47-'Assumptions'!E52*(F859)+'Assumptions'!E57-'Assumptions'!E62*(1)-'Assumptions'!E67-(0))+('Working Capital'!$E$6))*'DCF'!E12/(1+(G859))^'DCF'!E13,(('Historical Inputs'!$N$9*(1+(D859))^2)*(('Assumptions'!F37+(E859))*(1-'Assumptions'!F42-(0))+'Assumptions'!F47-'Assumptions'!F52*(F859)+'Assumptions'!F57-'Assumptions'!F62*(1)-'Assumptions'!F67-(0))+(('Historical Inputs'!$N$9*(1+(D859))^1)*('Assumptions'!E67+(0))))*'DCF'!F12/(1+(G859))^'DCF'!F13,(('Historical Inputs'!$N$9*(1+(D859))^3)*(('Assumptions'!G37+(E859))*(1-'Assumptions'!G42-(0))+'Assumptions'!G47-'Assumptions'!G52*(F859)+'Assumptions'!G57-'Assumptions'!G62*(1)-'Assumptions'!G67-(0))+(('Historical Inputs'!$N$9*(1+(D859))^2)*('Assumptions'!F67+(0))))*'DCF'!G12/(1+(G859))^'DCF'!G13,(('Historical Inputs'!$N$9*(1+(D859))^4)*(('Assumptions'!H37+(E859))*(1-'Assumptions'!H42-(0))+'Assumptions'!H47-'Assumptions'!H52*(F859)+'Assumptions'!H57-'Assumptions'!H62*(1)-'Assumptions'!H67-(0))+(('Historical Inputs'!$N$9*(1+(D859))^3)*('Assumptions'!G67+(0))))*'DCF'!H12/(1+(G859))^'DCF'!H13,(('Historical Inputs'!$N$9*(1+(D859))^5)*(('Assumptions'!I37+(E859))*(1-'Assumptions'!I42-(0))+'Assumptions'!I47-'Assumptions'!I52*(F859)+'Assumptions'!I57-'Assumptions'!I62*(1)-'Assumptions'!I67-(0))+(('Historical Inputs'!$N$9*(1+(D859))^4)*('Assumptions'!H67+(0))))*'DCF'!I12/(1+(G859))^'DCF'!I13)+('Historical Inputs'!$N$9*(1+(D859))^5)*(1+(H859))*('Terminal Value'!$E$10+(E859))*(1-'Assumptions'!$E$15-(0))*(1-(H859)/('Terminal Value'!$E$12))/((G859)-(H859))/(1+(G859))^'DCF'!$E$19)+'Equity Bridge'!$E$17)/'Equity Bridge'!$E$20</x:f>
        <x:v>308.5045093715437</x:v>
      </x:c>
      <x:c r="X859" s="255" t="n">
        <x:v>0.9110795404348684</x:v>
      </x:c>
      <x:c r="Y859" s="255" t="n">
        <x:v>0.13481354703780912</x:v>
      </x:c>
      <x:c r="Z859" s="255" t="n">
        <x:v>0.08727130472419886</x:v>
      </x:c>
      <x:c r="AA859" s="255" t="n">
        <x:v>0.5388589234891518</x:v>
      </x:c>
      <x:c r="AB859" s="255" t="n">
        <x:v>0.6951158292582141</x:v>
      </x:c>
    </x:row>
    <x:row r="860" ht="24" customHeight="1">
      <x:c r="C860" s="256" t="n">
        <x:f>829</x:f>
        <x:v>829</x:v>
      </x:c>
      <x:c r="D860" s="258" t="n">
        <x:f>IF(X860&lt;($E$12-$D$12)/($F$12-$D$12),$D$12+SQRT(X860*($F$12-$D$12)*($E$12-$D$12)),$F$12-SQRT((1-X860)*($F$12-$D$12)*($F$12-$E$12)))</x:f>
        <x:v>0.15991758846796122</x:v>
      </x:c>
      <x:c r="E860" s="258" t="n">
        <x:f>IF(Y860&lt;($E$13-$D$13)/($F$13-$D$13),$D$13+SQRT(Y860*($F$13-$D$13)*($E$13-$D$13)),$F$13-SQRT((1-Y860)*($F$13-$D$13)*($F$13-$E$13)))</x:f>
        <x:v>-0.006241253536669204</x:v>
      </x:c>
      <x:c r="F860" s="260" t="n">
        <x:f>IF(Z860&lt;($E$14-$D$14)/($F$14-$D$14),$D$14+SQRT(Z860*($F$14-$D$14)*($E$14-$D$14)),$F$14-SQRT((1-Z860)*($F$14-$D$14)*($F$14-$E$14)))</x:f>
        <x:v>1.0196053279274202</x:v>
      </x:c>
      <x:c r="G860" s="258" t="n">
        <x:f>IF(AA860&lt;($E$15-$D$15)/($F$15-$D$15),$D$15+SQRT(AA860*($F$15-$D$15)*($E$15-$D$15)),$F$15-SQRT((1-AA860)*($F$15-$D$15)*($F$15-$E$15)))</x:f>
        <x:v>0.08942400999324604</x:v>
      </x:c>
      <x:c r="H860" s="258" t="n">
        <x:f>IF(AB860&lt;($E$16-$D$16)/($F$16-$D$16),$D$16+SQRT(AB860*($F$16-$D$16)*($E$16-$D$16)),$F$16-SQRT((1-AB860)*($F$16-$D$16)*($F$16-$E$16)))</x:f>
        <x:v>0.027796719682947738</x:v>
      </x:c>
      <x:c r="I860" s="262" t="n">
        <x:f>'Historical Inputs'!$N$9*(1+D860)^5</x:f>
        <x:v>696727.7294568485</x:v>
      </x:c>
      <x:c r="J860" s="262" t="n">
        <x:f>I860*(1+H860)*('Terminal Value'!$E$10+E860)*(1-'Assumptions'!$E$15)*(1-H860/'Terminal Value'!$E$12)</x:f>
        <x:v>194223.57693665128</x:v>
      </x:c>
      <x:c r="K860" s="264" t="n">
        <x:f>((SUM((('Historical Inputs'!$N$9*(1+(D860))^1)*(('Assumptions'!E37+(E860))*(1-'Assumptions'!E42-(0))+'Assumptions'!E47-'Assumptions'!E52*(F860)+'Assumptions'!E57-'Assumptions'!E62*(1)-'Assumptions'!E67-(0))+('Working Capital'!$E$6))*'DCF'!E12/(1+(G860))^'DCF'!E13,(('Historical Inputs'!$N$9*(1+(D860))^2)*(('Assumptions'!F37+(E860))*(1-'Assumptions'!F42-(0))+'Assumptions'!F47-'Assumptions'!F52*(F860)+'Assumptions'!F57-'Assumptions'!F62*(1)-'Assumptions'!F67-(0))+(('Historical Inputs'!$N$9*(1+(D860))^1)*('Assumptions'!E67+(0))))*'DCF'!F12/(1+(G860))^'DCF'!F13,(('Historical Inputs'!$N$9*(1+(D860))^3)*(('Assumptions'!G37+(E860))*(1-'Assumptions'!G42-(0))+'Assumptions'!G47-'Assumptions'!G52*(F860)+'Assumptions'!G57-'Assumptions'!G62*(1)-'Assumptions'!G67-(0))+(('Historical Inputs'!$N$9*(1+(D860))^2)*('Assumptions'!F67+(0))))*'DCF'!G12/(1+(G860))^'DCF'!G13,(('Historical Inputs'!$N$9*(1+(D860))^4)*(('Assumptions'!H37+(E860))*(1-'Assumptions'!H42-(0))+'Assumptions'!H47-'Assumptions'!H52*(F860)+'Assumptions'!H57-'Assumptions'!H62*(1)-'Assumptions'!H67-(0))+(('Historical Inputs'!$N$9*(1+(D860))^3)*('Assumptions'!G67+(0))))*'DCF'!H12/(1+(G860))^'DCF'!H13,(('Historical Inputs'!$N$9*(1+(D860))^5)*(('Assumptions'!I37+(E860))*(1-'Assumptions'!I42-(0))+'Assumptions'!I47-'Assumptions'!I52*(F860)+'Assumptions'!I57-'Assumptions'!I62*(1)-'Assumptions'!I67-(0))+(('Historical Inputs'!$N$9*(1+(D860))^4)*('Assumptions'!H67+(0))))*'DCF'!I12/(1+(G860))^'DCF'!I13)+('Historical Inputs'!$N$9*(1+(D860))^5)*(1+(H860))*('Terminal Value'!$E$10+(E860))*(1-'Assumptions'!$E$15-(0))*(1-(H860)/('Terminal Value'!$E$12))/((G860)-(H860))/(1+(G860))^'DCF'!$E$19)+'Equity Bridge'!$E$17)/'Equity Bridge'!$E$20</x:f>
        <x:v>339.64063157097985</x:v>
      </x:c>
      <x:c r="X860" s="255" t="n">
        <x:v>0.7776964366722134</x:v>
      </x:c>
      <x:c r="Y860" s="255" t="n">
        <x:v>0.38296557840841305</x:v>
      </x:c>
      <x:c r="Z860" s="255" t="n">
        <x:v>0.5351108898260912</x:v>
      </x:c>
      <x:c r="AA860" s="255" t="n">
        <x:v>0.08774253438798285</x:v>
      </x:c>
      <x:c r="AB860" s="255" t="n">
        <x:v>0.30394418907232335</x:v>
      </x:c>
    </x:row>
    <x:row r="861" ht="24" customHeight="1">
      <x:c r="C861" s="256" t="n">
        <x:f>830</x:f>
        <x:v>830</x:v>
      </x:c>
      <x:c r="D861" s="258" t="n">
        <x:f>IF(X861&lt;($E$12-$D$12)/($F$12-$D$12),$D$12+SQRT(X861*($F$12-$D$12)*($E$12-$D$12)),$F$12-SQRT((1-X861)*($F$12-$D$12)*($F$12-$E$12)))</x:f>
        <x:v>0.14171569717649152</x:v>
      </x:c>
      <x:c r="E861" s="258" t="n">
        <x:f>IF(Y861&lt;($E$13-$D$13)/($F$13-$D$13),$D$13+SQRT(Y861*($F$13-$D$13)*($E$13-$D$13)),$F$13-SQRT((1-Y861)*($F$13-$D$13)*($F$13-$E$13)))</x:f>
        <x:v>-0.026647606323831945</x:v>
      </x:c>
      <x:c r="F861" s="260" t="n">
        <x:f>IF(Z861&lt;($E$14-$D$14)/($F$14-$D$14),$D$14+SQRT(Z861*($F$14-$D$14)*($E$14-$D$14)),$F$14-SQRT((1-Z861)*($F$14-$D$14)*($F$14-$E$14)))</x:f>
        <x:v>0.984922865950049</x:v>
      </x:c>
      <x:c r="G861" s="258" t="n">
        <x:f>IF(AA861&lt;($E$15-$D$15)/($F$15-$D$15),$D$15+SQRT(AA861*($F$15-$D$15)*($E$15-$D$15)),$F$15-SQRT((1-AA861)*($F$15-$D$15)*($F$15-$E$15)))</x:f>
        <x:v>0.10736740322673298</x:v>
      </x:c>
      <x:c r="H861" s="258" t="n">
        <x:f>IF(AB861&lt;($E$16-$D$16)/($F$16-$D$16),$D$16+SQRT(AB861*($F$16-$D$16)*($E$16-$D$16)),$F$16-SQRT((1-AB861)*($F$16-$D$16)*($F$16-$E$16)))</x:f>
        <x:v>0.029568831277772475</x:v>
      </x:c>
      <x:c r="I861" s="262" t="n">
        <x:f>'Historical Inputs'!$N$9*(1+D861)^5</x:f>
        <x:v>643750.0658797993</x:v>
      </x:c>
      <x:c r="J861" s="262" t="n">
        <x:f>I861*(1+H861)*('Terminal Value'!$E$10+E861)*(1-'Assumptions'!$E$15)*(1-H861/'Terminal Value'!$E$12)</x:f>
        <x:v>168694.38468138434</x:v>
      </x:c>
      <x:c r="K861" s="264" t="n">
        <x:f>((SUM((('Historical Inputs'!$N$9*(1+(D861))^1)*(('Assumptions'!E37+(E861))*(1-'Assumptions'!E42-(0))+'Assumptions'!E47-'Assumptions'!E52*(F861)+'Assumptions'!E57-'Assumptions'!E62*(1)-'Assumptions'!E67-(0))+('Working Capital'!$E$6))*'DCF'!E12/(1+(G861))^'DCF'!E13,(('Historical Inputs'!$N$9*(1+(D861))^2)*(('Assumptions'!F37+(E861))*(1-'Assumptions'!F42-(0))+'Assumptions'!F47-'Assumptions'!F52*(F861)+'Assumptions'!F57-'Assumptions'!F62*(1)-'Assumptions'!F67-(0))+(('Historical Inputs'!$N$9*(1+(D861))^1)*('Assumptions'!E67+(0))))*'DCF'!F12/(1+(G861))^'DCF'!F13,(('Historical Inputs'!$N$9*(1+(D861))^3)*(('Assumptions'!G37+(E861))*(1-'Assumptions'!G42-(0))+'Assumptions'!G47-'Assumptions'!G52*(F861)+'Assumptions'!G57-'Assumptions'!G62*(1)-'Assumptions'!G67-(0))+(('Historical Inputs'!$N$9*(1+(D861))^2)*('Assumptions'!F67+(0))))*'DCF'!G12/(1+(G861))^'DCF'!G13,(('Historical Inputs'!$N$9*(1+(D861))^4)*(('Assumptions'!H37+(E861))*(1-'Assumptions'!H42-(0))+'Assumptions'!H47-'Assumptions'!H52*(F861)+'Assumptions'!H57-'Assumptions'!H62*(1)-'Assumptions'!H67-(0))+(('Historical Inputs'!$N$9*(1+(D861))^3)*('Assumptions'!G67+(0))))*'DCF'!H12/(1+(G861))^'DCF'!H13,(('Historical Inputs'!$N$9*(1+(D861))^5)*(('Assumptions'!I37+(E861))*(1-'Assumptions'!I42-(0))+'Assumptions'!I47-'Assumptions'!I52*(F861)+'Assumptions'!I57-'Assumptions'!I62*(1)-'Assumptions'!I67-(0))+(('Historical Inputs'!$N$9*(1+(D861))^4)*('Assumptions'!H67+(0))))*'DCF'!I12/(1+(G861))^'DCF'!I13)+('Historical Inputs'!$N$9*(1+(D861))^5)*(1+(H861))*('Terminal Value'!$E$10+(E861))*(1-'Assumptions'!$E$15-(0))*(1-(H861)/('Terminal Value'!$E$12))/((G861)-(H861))/(1+(G861))^'DCF'!$E$19)+'Equity Bridge'!$E$17)/'Equity Bridge'!$E$20</x:f>
        <x:v>229.4579738438359</x:v>
      </x:c>
      <x:c r="X861" s="255" t="n">
        <x:v>0.46964864334375456</x:v>
      </x:c>
      <x:c r="Y861" s="255" t="n">
        <x:v>0.10906685808134675</x:v>
      </x:c>
      <x:c r="Z861" s="255" t="n">
        <x:v>0.34674628106999805</x:v>
      </x:c>
      <x:c r="AA861" s="255" t="n">
        <x:v>0.9259396951567055</x:v>
      </x:c>
      <x:c r="AB861" s="255" t="n">
        <x:v>0.4578126601123841</x:v>
      </x:c>
    </x:row>
    <x:row r="862" ht="24" customHeight="1">
      <x:c r="C862" s="256" t="n">
        <x:f>831</x:f>
        <x:v>831</x:v>
      </x:c>
      <x:c r="D862" s="258" t="n">
        <x:f>IF(X862&lt;($E$12-$D$12)/($F$12-$D$12),$D$12+SQRT(X862*($F$12-$D$12)*($E$12-$D$12)),$F$12-SQRT((1-X862)*($F$12-$D$12)*($F$12-$E$12)))</x:f>
        <x:v>0.12580415078897889</x:v>
      </x:c>
      <x:c r="E862" s="258" t="n">
        <x:f>IF(Y862&lt;($E$13-$D$13)/($F$13-$D$13),$D$13+SQRT(Y862*($F$13-$D$13)*($E$13-$D$13)),$F$13-SQRT((1-Y862)*($F$13-$D$13)*($F$13-$E$13)))</x:f>
        <x:v>-0.025700848562374642</x:v>
      </x:c>
      <x:c r="F862" s="260" t="n">
        <x:f>IF(Z862&lt;($E$14-$D$14)/($F$14-$D$14),$D$14+SQRT(Z862*($F$14-$D$14)*($E$14-$D$14)),$F$14-SQRT((1-Z862)*($F$14-$D$14)*($F$14-$E$14)))</x:f>
        <x:v>1.0833393497034192</x:v>
      </x:c>
      <x:c r="G862" s="258" t="n">
        <x:f>IF(AA862&lt;($E$15-$D$15)/($F$15-$D$15),$D$15+SQRT(AA862*($F$15-$D$15)*($E$15-$D$15)),$F$15-SQRT((1-AA862)*($F$15-$D$15)*($F$15-$E$15)))</x:f>
        <x:v>0.09395695314190754</x:v>
      </x:c>
      <x:c r="H862" s="258" t="n">
        <x:f>IF(AB862&lt;($E$16-$D$16)/($F$16-$D$16),$D$16+SQRT(AB862*($F$16-$D$16)*($E$16-$D$16)),$F$16-SQRT((1-AB862)*($F$16-$D$16)*($F$16-$E$16)))</x:f>
        <x:v>0.033272578973732814</x:v>
      </x:c>
      <x:c r="I862" s="262" t="n">
        <x:f>'Historical Inputs'!$N$9*(1+D862)^5</x:f>
        <x:v>600124.9098202991</x:v>
      </x:c>
      <x:c r="J862" s="262" t="n">
        <x:f>I862*(1+H862)*('Terminal Value'!$E$10+E862)*(1-'Assumptions'!$E$15)*(1-H862/'Terminal Value'!$E$12)</x:f>
        <x:v>154789.83035595386</x:v>
      </x:c>
      <x:c r="K862" s="264" t="n">
        <x:f>((SUM((('Historical Inputs'!$N$9*(1+(D862))^1)*(('Assumptions'!E37+(E862))*(1-'Assumptions'!E42-(0))+'Assumptions'!E47-'Assumptions'!E52*(F862)+'Assumptions'!E57-'Assumptions'!E62*(1)-'Assumptions'!E67-(0))+('Working Capital'!$E$6))*'DCF'!E12/(1+(G862))^'DCF'!E13,(('Historical Inputs'!$N$9*(1+(D862))^2)*(('Assumptions'!F37+(E862))*(1-'Assumptions'!F42-(0))+'Assumptions'!F47-'Assumptions'!F52*(F862)+'Assumptions'!F57-'Assumptions'!F62*(1)-'Assumptions'!F67-(0))+(('Historical Inputs'!$N$9*(1+(D862))^1)*('Assumptions'!E67+(0))))*'DCF'!F12/(1+(G862))^'DCF'!F13,(('Historical Inputs'!$N$9*(1+(D862))^3)*(('Assumptions'!G37+(E862))*(1-'Assumptions'!G42-(0))+'Assumptions'!G47-'Assumptions'!G52*(F862)+'Assumptions'!G57-'Assumptions'!G62*(1)-'Assumptions'!G67-(0))+(('Historical Inputs'!$N$9*(1+(D862))^2)*('Assumptions'!F67+(0))))*'DCF'!G12/(1+(G862))^'DCF'!G13,(('Historical Inputs'!$N$9*(1+(D862))^4)*(('Assumptions'!H37+(E862))*(1-'Assumptions'!H42-(0))+'Assumptions'!H47-'Assumptions'!H52*(F862)+'Assumptions'!H57-'Assumptions'!H62*(1)-'Assumptions'!H67-(0))+(('Historical Inputs'!$N$9*(1+(D862))^3)*('Assumptions'!G67+(0))))*'DCF'!H12/(1+(G862))^'DCF'!H13,(('Historical Inputs'!$N$9*(1+(D862))^5)*(('Assumptions'!I37+(E862))*(1-'Assumptions'!I42-(0))+'Assumptions'!I47-'Assumptions'!I52*(F862)+'Assumptions'!I57-'Assumptions'!I62*(1)-'Assumptions'!I67-(0))+(('Historical Inputs'!$N$9*(1+(D862))^4)*('Assumptions'!H67+(0))))*'DCF'!I12/(1+(G862))^'DCF'!I13)+('Historical Inputs'!$N$9*(1+(D862))^5)*(1+(H862))*('Terminal Value'!$E$10+(E862))*(1-'Assumptions'!$E$15-(0))*(1-(H862)/('Terminal Value'!$E$12))/((G862)-(H862))/(1+(G862))^'DCF'!$E$19)+'Equity Bridge'!$E$17)/'Equity Bridge'!$E$20</x:f>
        <x:v>267.05182641799536</x:v>
      </x:c>
      <x:c r="X862" s="255" t="n">
        <x:v>0.21186312074580915</x:v>
      </x:c>
      <x:c r="Y862" s="255" t="n">
        <x:v>0.1180897521177301</x:v>
      </x:c>
      <x:c r="Z862" s="255" t="n">
        <x:v>0.8055756096054127</x:v>
      </x:c>
      <x:c r="AA862" s="255" t="n">
        <x:v>0.2599966360069875</x:v>
      </x:c>
      <x:c r="AB862" s="255" t="n">
        <x:v>0.773709031676691</x:v>
      </x:c>
    </x:row>
    <x:row r="863" ht="24" customHeight="1">
      <x:c r="C863" s="256" t="n">
        <x:f>832</x:f>
        <x:v>832</x:v>
      </x:c>
      <x:c r="D863" s="258" t="n">
        <x:f>IF(X863&lt;($E$12-$D$12)/($F$12-$D$12),$D$12+SQRT(X863*($F$12-$D$12)*($E$12-$D$12)),$F$12-SQRT((1-X863)*($F$12-$D$12)*($F$12-$E$12)))</x:f>
        <x:v>0.12913676317666606</x:v>
      </x:c>
      <x:c r="E863" s="258" t="n">
        <x:f>IF(Y863&lt;($E$13-$D$13)/($F$13-$D$13),$D$13+SQRT(Y863*($F$13-$D$13)*($E$13-$D$13)),$F$13-SQRT((1-Y863)*($F$13-$D$13)*($F$13-$E$13)))</x:f>
        <x:v>0.01894404226239305</x:v>
      </x:c>
      <x:c r="F863" s="260" t="n">
        <x:f>IF(Z863&lt;($E$14-$D$14)/($F$14-$D$14),$D$14+SQRT(Z863*($F$14-$D$14)*($E$14-$D$14)),$F$14-SQRT((1-Z863)*($F$14-$D$14)*($F$14-$E$14)))</x:f>
        <x:v>1.0063671093915145</x:v>
      </x:c>
      <x:c r="G863" s="258" t="n">
        <x:f>IF(AA863&lt;($E$15-$D$15)/($F$15-$D$15),$D$15+SQRT(AA863*($F$15-$D$15)*($E$15-$D$15)),$F$15-SQRT((1-AA863)*($F$15-$D$15)*($F$15-$E$15)))</x:f>
        <x:v>0.09792121611164806</x:v>
      </x:c>
      <x:c r="H863" s="258" t="n">
        <x:f>IF(AB863&lt;($E$16-$D$16)/($F$16-$D$16),$D$16+SQRT(AB863*($F$16-$D$16)*($E$16-$D$16)),$F$16-SQRT((1-AB863)*($F$16-$D$16)*($F$16-$E$16)))</x:f>
        <x:v>0.02962583197007168</x:v>
      </x:c>
      <x:c r="I863" s="262" t="n">
        <x:f>'Historical Inputs'!$N$9*(1+D863)^5</x:f>
        <x:v>609060.1208795735</x:v>
      </x:c>
      <x:c r="J863" s="262" t="n">
        <x:f>I863*(1+H863)*('Terminal Value'!$E$10+E863)*(1-'Assumptions'!$E$15)*(1-H863/'Terminal Value'!$E$12)</x:f>
        <x:v>179043.82711909432</x:v>
      </x:c>
      <x:c r="K863" s="264" t="n">
        <x:f>((SUM((('Historical Inputs'!$N$9*(1+(D863))^1)*(('Assumptions'!E37+(E863))*(1-'Assumptions'!E42-(0))+'Assumptions'!E47-'Assumptions'!E52*(F863)+'Assumptions'!E57-'Assumptions'!E62*(1)-'Assumptions'!E67-(0))+('Working Capital'!$E$6))*'DCF'!E12/(1+(G863))^'DCF'!E13,(('Historical Inputs'!$N$9*(1+(D863))^2)*(('Assumptions'!F37+(E863))*(1-'Assumptions'!F42-(0))+'Assumptions'!F47-'Assumptions'!F52*(F863)+'Assumptions'!F57-'Assumptions'!F62*(1)-'Assumptions'!F67-(0))+(('Historical Inputs'!$N$9*(1+(D863))^1)*('Assumptions'!E67+(0))))*'DCF'!F12/(1+(G863))^'DCF'!F13,(('Historical Inputs'!$N$9*(1+(D863))^3)*(('Assumptions'!G37+(E863))*(1-'Assumptions'!G42-(0))+'Assumptions'!G47-'Assumptions'!G52*(F863)+'Assumptions'!G57-'Assumptions'!G62*(1)-'Assumptions'!G67-(0))+(('Historical Inputs'!$N$9*(1+(D863))^2)*('Assumptions'!F67+(0))))*'DCF'!G12/(1+(G863))^'DCF'!G13,(('Historical Inputs'!$N$9*(1+(D863))^4)*(('Assumptions'!H37+(E863))*(1-'Assumptions'!H42-(0))+'Assumptions'!H47-'Assumptions'!H52*(F863)+'Assumptions'!H57-'Assumptions'!H62*(1)-'Assumptions'!H67-(0))+(('Historical Inputs'!$N$9*(1+(D863))^3)*('Assumptions'!G67+(0))))*'DCF'!H12/(1+(G863))^'DCF'!H13,(('Historical Inputs'!$N$9*(1+(D863))^5)*(('Assumptions'!I37+(E863))*(1-'Assumptions'!I42-(0))+'Assumptions'!I47-'Assumptions'!I52*(F863)+'Assumptions'!I57-'Assumptions'!I62*(1)-'Assumptions'!I67-(0))+(('Historical Inputs'!$N$9*(1+(D863))^4)*('Assumptions'!H67+(0))))*'DCF'!I12/(1+(G863))^'DCF'!I13)+('Historical Inputs'!$N$9*(1+(D863))^5)*(1+(H863))*('Terminal Value'!$E$10+(E863))*(1-'Assumptions'!$E$15-(0))*(1-(H863)/('Terminal Value'!$E$12))/((G863)-(H863))/(1+(G863))^'DCF'!$E$19)+'Equity Bridge'!$E$17)/'Equity Bridge'!$E$20</x:f>
        <x:v>282.91541293650744</x:v>
      </x:c>
      <x:c r="X863" s="255" t="n">
        <x:v>0.2574711678773156</x:v>
      </x:c>
      <x:c r="Y863" s="255" t="n">
        <x:v>0.8071054977999942</x:v>
      </x:c>
      <x:c r="Z863" s="255" t="n">
        <x:v>0.46437576678003245</x:v>
      </x:c>
      <x:c r="AA863" s="255" t="n">
        <x:v>0.48549651718818587</x:v>
      </x:c>
      <x:c r="AB863" s="255" t="n">
        <x:v>0.4632832055802706</x:v>
      </x:c>
    </x:row>
    <x:row r="864" ht="24" customHeight="1">
      <x:c r="C864" s="256" t="n">
        <x:f>833</x:f>
        <x:v>833</x:v>
      </x:c>
      <x:c r="D864" s="258" t="n">
        <x:f>IF(X864&lt;($E$12-$D$12)/($F$12-$D$12),$D$12+SQRT(X864*($F$12-$D$12)*($E$12-$D$12)),$F$12-SQRT((1-X864)*($F$12-$D$12)*($F$12-$E$12)))</x:f>
        <x:v>0.12275931263992221</x:v>
      </x:c>
      <x:c r="E864" s="258" t="n">
        <x:f>IF(Y864&lt;($E$13-$D$13)/($F$13-$D$13),$D$13+SQRT(Y864*($F$13-$D$13)*($E$13-$D$13)),$F$13-SQRT((1-Y864)*($F$13-$D$13)*($F$13-$E$13)))</x:f>
        <x:v>-0.01050354313597026</x:v>
      </x:c>
      <x:c r="F864" s="260" t="n">
        <x:f>IF(Z864&lt;($E$14-$D$14)/($F$14-$D$14),$D$14+SQRT(Z864*($F$14-$D$14)*($E$14-$D$14)),$F$14-SQRT((1-Z864)*($F$14-$D$14)*($F$14-$E$14)))</x:f>
        <x:v>0.9674587699246757</x:v>
      </x:c>
      <x:c r="G864" s="258" t="n">
        <x:f>IF(AA864&lt;($E$15-$D$15)/($F$15-$D$15),$D$15+SQRT(AA864*($F$15-$D$15)*($E$15-$D$15)),$F$15-SQRT((1-AA864)*($F$15-$D$15)*($F$15-$E$15)))</x:f>
        <x:v>0.0935469037186025</x:v>
      </x:c>
      <x:c r="H864" s="258" t="n">
        <x:f>IF(AB864&lt;($E$16-$D$16)/($F$16-$D$16),$D$16+SQRT(AB864*($F$16-$D$16)*($E$16-$D$16)),$F$16-SQRT((1-AB864)*($F$16-$D$16)*($F$16-$E$16)))</x:f>
        <x:v>0.022845014909257316</x:v>
      </x:c>
      <x:c r="I864" s="262" t="n">
        <x:f>'Historical Inputs'!$N$9*(1+D864)^5</x:f>
        <x:v>592053.23140079</x:v>
      </x:c>
      <x:c r="J864" s="262" t="n">
        <x:f>I864*(1+H864)*('Terminal Value'!$E$10+E864)*(1-'Assumptions'!$E$15)*(1-H864/'Terminal Value'!$E$12)</x:f>
        <x:v>167142.72144754144</x:v>
      </x:c>
      <x:c r="K864" s="264" t="n">
        <x:f>((SUM((('Historical Inputs'!$N$9*(1+(D864))^1)*(('Assumptions'!E37+(E864))*(1-'Assumptions'!E42-(0))+'Assumptions'!E47-'Assumptions'!E52*(F864)+'Assumptions'!E57-'Assumptions'!E62*(1)-'Assumptions'!E67-(0))+('Working Capital'!$E$6))*'DCF'!E12/(1+(G864))^'DCF'!E13,(('Historical Inputs'!$N$9*(1+(D864))^2)*(('Assumptions'!F37+(E864))*(1-'Assumptions'!F42-(0))+'Assumptions'!F47-'Assumptions'!F52*(F864)+'Assumptions'!F57-'Assumptions'!F62*(1)-'Assumptions'!F67-(0))+(('Historical Inputs'!$N$9*(1+(D864))^1)*('Assumptions'!E67+(0))))*'DCF'!F12/(1+(G864))^'DCF'!F13,(('Historical Inputs'!$N$9*(1+(D864))^3)*(('Assumptions'!G37+(E864))*(1-'Assumptions'!G42-(0))+'Assumptions'!G47-'Assumptions'!G52*(F864)+'Assumptions'!G57-'Assumptions'!G62*(1)-'Assumptions'!G67-(0))+(('Historical Inputs'!$N$9*(1+(D864))^2)*('Assumptions'!F67+(0))))*'DCF'!G12/(1+(G864))^'DCF'!G13,(('Historical Inputs'!$N$9*(1+(D864))^4)*(('Assumptions'!H37+(E864))*(1-'Assumptions'!H42-(0))+'Assumptions'!H47-'Assumptions'!H52*(F864)+'Assumptions'!H57-'Assumptions'!H62*(1)-'Assumptions'!H67-(0))+(('Historical Inputs'!$N$9*(1+(D864))^3)*('Assumptions'!G67+(0))))*'DCF'!H12/(1+(G864))^'DCF'!H13,(('Historical Inputs'!$N$9*(1+(D864))^5)*(('Assumptions'!I37+(E864))*(1-'Assumptions'!I42-(0))+'Assumptions'!I47-'Assumptions'!I52*(F864)+'Assumptions'!I57-'Assumptions'!I62*(1)-'Assumptions'!I67-(0))+(('Historical Inputs'!$N$9*(1+(D864))^4)*('Assumptions'!H67+(0))))*'DCF'!I12/(1+(G864))^'DCF'!I13)+('Historical Inputs'!$N$9*(1+(D864))^5)*(1+(H864))*('Terminal Value'!$E$10+(E864))*(1-'Assumptions'!$E$15-(0))*(1-(H864)/('Terminal Value'!$E$12))/((G864)-(H864))/(1+(G864))^'DCF'!$E$19)+'Equity Bridge'!$E$17)/'Equity Bridge'!$E$20</x:f>
        <x:v>260.65909115150174</x:v>
      </x:c>
      <x:c r="X864" s="255" t="n">
        <x:v>0.17407703265317065</x:v>
      </x:c>
      <x:c r="Y864" s="255" t="n">
        <x:v>0.31199402096243245</x:v>
      </x:c>
      <x:c r="Z864" s="255" t="n">
        <x:v>0.26279166918510277</x:v>
      </x:c>
      <x:c r="AA864" s="255" t="n">
        <x:v>0.24065768620517425</x:v>
      </x:c>
      <x:c r="AB864" s="255" t="n">
        <x:v>0.04047054916948212</x:v>
      </x:c>
    </x:row>
    <x:row r="865" ht="24" customHeight="1">
      <x:c r="C865" s="256" t="n">
        <x:f>834</x:f>
        <x:v>834</x:v>
      </x:c>
      <x:c r="D865" s="258" t="n">
        <x:f>IF(X865&lt;($E$12-$D$12)/($F$12-$D$12),$D$12+SQRT(X865*($F$12-$D$12)*($E$12-$D$12)),$F$12-SQRT((1-X865)*($F$12-$D$12)*($F$12-$E$12)))</x:f>
        <x:v>0.10667641289929715</x:v>
      </x:c>
      <x:c r="E865" s="258" t="n">
        <x:f>IF(Y865&lt;($E$13-$D$13)/($F$13-$D$13),$D$13+SQRT(Y865*($F$13-$D$13)*($E$13-$D$13)),$F$13-SQRT((1-Y865)*($F$13-$D$13)*($F$13-$E$13)))</x:f>
        <x:v>-0.003825001761216709</x:v>
      </x:c>
      <x:c r="F865" s="260" t="n">
        <x:f>IF(Z865&lt;($E$14-$D$14)/($F$14-$D$14),$D$14+SQRT(Z865*($F$14-$D$14)*($E$14-$D$14)),$F$14-SQRT((1-Z865)*($F$14-$D$14)*($F$14-$E$14)))</x:f>
        <x:v>0.975196824720477</x:v>
      </x:c>
      <x:c r="G865" s="258" t="n">
        <x:f>IF(AA865&lt;($E$15-$D$15)/($F$15-$D$15),$D$15+SQRT(AA865*($F$15-$D$15)*($E$15-$D$15)),$F$15-SQRT((1-AA865)*($F$15-$D$15)*($F$15-$E$15)))</x:f>
        <x:v>0.08742530771738598</x:v>
      </x:c>
      <x:c r="H865" s="258" t="n">
        <x:f>IF(AB865&lt;($E$16-$D$16)/($F$16-$D$16),$D$16+SQRT(AB865*($F$16-$D$16)*($E$16-$D$16)),$F$16-SQRT((1-AB865)*($F$16-$D$16)*($F$16-$E$16)))</x:f>
        <x:v>0.022860564575030738</x:v>
      </x:c>
      <x:c r="I865" s="262" t="n">
        <x:f>'Historical Inputs'!$N$9*(1+D865)^5</x:f>
        <x:v>550846.6271784571</x:v>
      </x:c>
      <x:c r="J865" s="262" t="n">
        <x:f>I865*(1+H865)*('Terminal Value'!$E$10+E865)*(1-'Assumptions'!$E$15)*(1-H865/'Terminal Value'!$E$12)</x:f>
        <x:v>158164.65627968078</x:v>
      </x:c>
      <x:c r="K865" s="264" t="n">
        <x:f>((SUM((('Historical Inputs'!$N$9*(1+(D865))^1)*(('Assumptions'!E37+(E865))*(1-'Assumptions'!E42-(0))+'Assumptions'!E47-'Assumptions'!E52*(F865)+'Assumptions'!E57-'Assumptions'!E62*(1)-'Assumptions'!E67-(0))+('Working Capital'!$E$6))*'DCF'!E12/(1+(G865))^'DCF'!E13,(('Historical Inputs'!$N$9*(1+(D865))^2)*(('Assumptions'!F37+(E865))*(1-'Assumptions'!F42-(0))+'Assumptions'!F47-'Assumptions'!F52*(F865)+'Assumptions'!F57-'Assumptions'!F62*(1)-'Assumptions'!F67-(0))+(('Historical Inputs'!$N$9*(1+(D865))^1)*('Assumptions'!E67+(0))))*'DCF'!F12/(1+(G865))^'DCF'!F13,(('Historical Inputs'!$N$9*(1+(D865))^3)*(('Assumptions'!G37+(E865))*(1-'Assumptions'!G42-(0))+'Assumptions'!G47-'Assumptions'!G52*(F865)+'Assumptions'!G57-'Assumptions'!G62*(1)-'Assumptions'!G67-(0))+(('Historical Inputs'!$N$9*(1+(D865))^2)*('Assumptions'!F67+(0))))*'DCF'!G12/(1+(G865))^'DCF'!G13,(('Historical Inputs'!$N$9*(1+(D865))^4)*(('Assumptions'!H37+(E865))*(1-'Assumptions'!H42-(0))+'Assumptions'!H47-'Assumptions'!H52*(F865)+'Assumptions'!H57-'Assumptions'!H62*(1)-'Assumptions'!H67-(0))+(('Historical Inputs'!$N$9*(1+(D865))^3)*('Assumptions'!G67+(0))))*'DCF'!H12/(1+(G865))^'DCF'!H13,(('Historical Inputs'!$N$9*(1+(D865))^5)*(('Assumptions'!I37+(E865))*(1-'Assumptions'!I42-(0))+'Assumptions'!I47-'Assumptions'!I52*(F865)+'Assumptions'!I57-'Assumptions'!I62*(1)-'Assumptions'!I67-(0))+(('Historical Inputs'!$N$9*(1+(D865))^4)*('Assumptions'!H67+(0))))*'DCF'!I12/(1+(G865))^'DCF'!I13)+('Historical Inputs'!$N$9*(1+(D865))^5)*(1+(H865))*('Terminal Value'!$E$10+(E865))*(1-'Assumptions'!$E$15-(0))*(1-(H865)/('Terminal Value'!$E$12))/((G865)-(H865))/(1+(G865))^'DCF'!$E$19)+'Equity Bridge'!$E$17)/'Equity Bridge'!$E$20</x:f>
        <x:v>272.92350488075164</x:v>
      </x:c>
      <x:c r="X865" s="255" t="n">
        <x:v>0.03601601135530952</x:v>
      </x:c>
      <x:c r="Y865" s="255" t="n">
        <x:v>0.42642609247032803</x:v>
      </x:c>
      <x:c r="Z865" s="255" t="n">
        <x:v>0.29855704609694933</x:v>
      </x:c>
      <x:c r="AA865" s="255" t="n">
        <x:v>0.04080154959487459</x:v>
      </x:c>
      <x:c r="AB865" s="255" t="n">
        <x:v>0.04091414843960406</x:v>
      </x:c>
    </x:row>
    <x:row r="866" ht="24" customHeight="1">
      <x:c r="C866" s="256" t="n">
        <x:f>835</x:f>
        <x:v>835</x:v>
      </x:c>
      <x:c r="D866" s="258" t="n">
        <x:f>IF(X866&lt;($E$12-$D$12)/($F$12-$D$12),$D$12+SQRT(X866*($F$12-$D$12)*($E$12-$D$12)),$F$12-SQRT((1-X866)*($F$12-$D$12)*($F$12-$E$12)))</x:f>
        <x:v>0.17646915356222875</x:v>
      </x:c>
      <x:c r="E866" s="258" t="n">
        <x:f>IF(Y866&lt;($E$13-$D$13)/($F$13-$D$13),$D$13+SQRT(Y866*($F$13-$D$13)*($E$13-$D$13)),$F$13-SQRT((1-Y866)*($F$13-$D$13)*($F$13-$E$13)))</x:f>
        <x:v>0.005983711353978655</x:v>
      </x:c>
      <x:c r="F866" s="260" t="n">
        <x:f>IF(Z866&lt;($E$14-$D$14)/($F$14-$D$14),$D$14+SQRT(Z866*($F$14-$D$14)*($E$14-$D$14)),$F$14-SQRT((1-Z866)*($F$14-$D$14)*($F$14-$E$14)))</x:f>
        <x:v>1.0778135273600356</x:v>
      </x:c>
      <x:c r="G866" s="258" t="n">
        <x:f>IF(AA866&lt;($E$15-$D$15)/($F$15-$D$15),$D$15+SQRT(AA866*($F$15-$D$15)*($E$15-$D$15)),$F$15-SQRT((1-AA866)*($F$15-$D$15)*($F$15-$E$15)))</x:f>
        <x:v>0.0850719671188608</x:v>
      </x:c>
      <x:c r="H866" s="258" t="n">
        <x:f>IF(AB866&lt;($E$16-$D$16)/($F$16-$D$16),$D$16+SQRT(AB866*($F$16-$D$16)*($E$16-$D$16)),$F$16-SQRT((1-AB866)*($F$16-$D$16)*($F$16-$E$16)))</x:f>
        <x:v>0.0302989547804689</x:v>
      </x:c>
      <x:c r="I866" s="262" t="n">
        <x:f>'Historical Inputs'!$N$9*(1+D866)^5</x:f>
        <x:v>747876.9519193317</x:v>
      </x:c>
      <x:c r="J866" s="262" t="n">
        <x:f>I866*(1+H866)*('Terminal Value'!$E$10+E866)*(1-'Assumptions'!$E$15)*(1-H866/'Terminal Value'!$E$12)</x:f>
        <x:v>212347.19401808866</x:v>
      </x:c>
      <x:c r="K866" s="264" t="n">
        <x:f>((SUM((('Historical Inputs'!$N$9*(1+(D866))^1)*(('Assumptions'!E37+(E866))*(1-'Assumptions'!E42-(0))+'Assumptions'!E47-'Assumptions'!E52*(F866)+'Assumptions'!E57-'Assumptions'!E62*(1)-'Assumptions'!E67-(0))+('Working Capital'!$E$6))*'DCF'!E12/(1+(G866))^'DCF'!E13,(('Historical Inputs'!$N$9*(1+(D866))^2)*(('Assumptions'!F37+(E866))*(1-'Assumptions'!F42-(0))+'Assumptions'!F47-'Assumptions'!F52*(F866)+'Assumptions'!F57-'Assumptions'!F62*(1)-'Assumptions'!F67-(0))+(('Historical Inputs'!$N$9*(1+(D866))^1)*('Assumptions'!E67+(0))))*'DCF'!F12/(1+(G866))^'DCF'!F13,(('Historical Inputs'!$N$9*(1+(D866))^3)*(('Assumptions'!G37+(E866))*(1-'Assumptions'!G42-(0))+'Assumptions'!G47-'Assumptions'!G52*(F866)+'Assumptions'!G57-'Assumptions'!G62*(1)-'Assumptions'!G67-(0))+(('Historical Inputs'!$N$9*(1+(D866))^2)*('Assumptions'!F67+(0))))*'DCF'!G12/(1+(G866))^'DCF'!G13,(('Historical Inputs'!$N$9*(1+(D866))^4)*(('Assumptions'!H37+(E866))*(1-'Assumptions'!H42-(0))+'Assumptions'!H47-'Assumptions'!H52*(F866)+'Assumptions'!H57-'Assumptions'!H62*(1)-'Assumptions'!H67-(0))+(('Historical Inputs'!$N$9*(1+(D866))^3)*('Assumptions'!G67+(0))))*'DCF'!H12/(1+(G866))^'DCF'!H13,(('Historical Inputs'!$N$9*(1+(D866))^5)*(('Assumptions'!I37+(E866))*(1-'Assumptions'!I42-(0))+'Assumptions'!I47-'Assumptions'!I52*(F866)+'Assumptions'!I57-'Assumptions'!I62*(1)-'Assumptions'!I67-(0))+(('Historical Inputs'!$N$9*(1+(D866))^4)*('Assumptions'!H67+(0))))*'DCF'!I12/(1+(G866))^'DCF'!I13)+('Historical Inputs'!$N$9*(1+(D866))^5)*(1+(H866))*('Terminal Value'!$E$10+(E866))*(1-'Assumptions'!$E$15-(0))*(1-(H866)/('Terminal Value'!$E$12))/((G866)-(H866))/(1+(G866))^'DCF'!$E$19)+'Equity Bridge'!$E$17)/'Equity Bridge'!$E$20</x:f>
        <x:v>413.7383823127732</x:v>
      </x:c>
      <x:c r="X866" s="255" t="n">
        <x:v>0.9436334958312673</x:v>
      </x:c>
      <x:c r="Y866" s="255" t="n">
        <x:v>0.6125132667660265</x:v>
      </x:c>
      <x:c r="Z866" s="255" t="n">
        <x:v>0.786720941482903</x:v>
      </x:c>
      <x:c r="AA866" s="255" t="n">
        <x:v>0.008291267041099726</x:v>
      </x:c>
      <x:c r="AB866" s="255" t="n">
        <x:v>0.529448608243064</x:v>
      </x:c>
    </x:row>
    <x:row r="867" ht="24" customHeight="1">
      <x:c r="C867" s="256" t="n">
        <x:f>836</x:f>
        <x:v>836</x:v>
      </x:c>
      <x:c r="D867" s="258" t="n">
        <x:f>IF(X867&lt;($E$12-$D$12)/($F$12-$D$12),$D$12+SQRT(X867*($F$12-$D$12)*($E$12-$D$12)),$F$12-SQRT((1-X867)*($F$12-$D$12)*($F$12-$E$12)))</x:f>
        <x:v>0.14715903109495296</x:v>
      </x:c>
      <x:c r="E867" s="258" t="n">
        <x:f>IF(Y867&lt;($E$13-$D$13)/($F$13-$D$13),$D$13+SQRT(Y867*($F$13-$D$13)*($E$13-$D$13)),$F$13-SQRT((1-Y867)*($F$13-$D$13)*($F$13-$E$13)))</x:f>
        <x:v>0.019589272828364958</x:v>
      </x:c>
      <x:c r="F867" s="260" t="n">
        <x:f>IF(Z867&lt;($E$14-$D$14)/($F$14-$D$14),$D$14+SQRT(Z867*($F$14-$D$14)*($E$14-$D$14)),$F$14-SQRT((1-Z867)*($F$14-$D$14)*($F$14-$E$14)))</x:f>
        <x:v>1.0033081467675293</x:v>
      </x:c>
      <x:c r="G867" s="258" t="n">
        <x:f>IF(AA867&lt;($E$15-$D$15)/($F$15-$D$15),$D$15+SQRT(AA867*($F$15-$D$15)*($E$15-$D$15)),$F$15-SQRT((1-AA867)*($F$15-$D$15)*($F$15-$E$15)))</x:f>
        <x:v>0.09568669180287898</x:v>
      </x:c>
      <x:c r="H867" s="258" t="n">
        <x:f>IF(AB867&lt;($E$16-$D$16)/($F$16-$D$16),$D$16+SQRT(AB867*($F$16-$D$16)*($E$16-$D$16)),$F$16-SQRT((1-AB867)*($F$16-$D$16)*($F$16-$E$16)))</x:f>
        <x:v>0.035799199337978545</x:v>
      </x:c>
      <x:c r="I867" s="262" t="n">
        <x:f>'Historical Inputs'!$N$9*(1+D867)^5</x:f>
        <x:v>659243.0627490352</x:v>
      </x:c>
      <x:c r="J867" s="262" t="n">
        <x:f>I867*(1+H867)*('Terminal Value'!$E$10+E867)*(1-'Assumptions'!$E$15)*(1-H867/'Terminal Value'!$E$12)</x:f>
        <x:v>188183.16896607436</x:v>
      </x:c>
      <x:c r="K867" s="264" t="n">
        <x:f>((SUM((('Historical Inputs'!$N$9*(1+(D867))^1)*(('Assumptions'!E37+(E867))*(1-'Assumptions'!E42-(0))+'Assumptions'!E47-'Assumptions'!E52*(F867)+'Assumptions'!E57-'Assumptions'!E62*(1)-'Assumptions'!E67-(0))+('Working Capital'!$E$6))*'DCF'!E12/(1+(G867))^'DCF'!E13,(('Historical Inputs'!$N$9*(1+(D867))^2)*(('Assumptions'!F37+(E867))*(1-'Assumptions'!F42-(0))+'Assumptions'!F47-'Assumptions'!F52*(F867)+'Assumptions'!F57-'Assumptions'!F62*(1)-'Assumptions'!F67-(0))+(('Historical Inputs'!$N$9*(1+(D867))^1)*('Assumptions'!E67+(0))))*'DCF'!F12/(1+(G867))^'DCF'!F13,(('Historical Inputs'!$N$9*(1+(D867))^3)*(('Assumptions'!G37+(E867))*(1-'Assumptions'!G42-(0))+'Assumptions'!G47-'Assumptions'!G52*(F867)+'Assumptions'!G57-'Assumptions'!G62*(1)-'Assumptions'!G67-(0))+(('Historical Inputs'!$N$9*(1+(D867))^2)*('Assumptions'!F67+(0))))*'DCF'!G12/(1+(G867))^'DCF'!G13,(('Historical Inputs'!$N$9*(1+(D867))^4)*(('Assumptions'!H37+(E867))*(1-'Assumptions'!H42-(0))+'Assumptions'!H47-'Assumptions'!H52*(F867)+'Assumptions'!H57-'Assumptions'!H62*(1)-'Assumptions'!H67-(0))+(('Historical Inputs'!$N$9*(1+(D867))^3)*('Assumptions'!G67+(0))))*'DCF'!H12/(1+(G867))^'DCF'!H13,(('Historical Inputs'!$N$9*(1+(D867))^5)*(('Assumptions'!I37+(E867))*(1-'Assumptions'!I42-(0))+'Assumptions'!I47-'Assumptions'!I52*(F867)+'Assumptions'!I57-'Assumptions'!I62*(1)-'Assumptions'!I67-(0))+(('Historical Inputs'!$N$9*(1+(D867))^4)*('Assumptions'!H67+(0))))*'DCF'!I12/(1+(G867))^'DCF'!I13)+('Historical Inputs'!$N$9*(1+(D867))^5)*(1+(H867))*('Terminal Value'!$E$10+(E867))*(1-'Assumptions'!$E$15-(0))*(1-(H867)/('Terminal Value'!$E$12))/((G867)-(H867))/(1+(G867))^'DCF'!$E$19)+'Equity Bridge'!$E$17)/'Equity Bridge'!$E$20</x:f>
        <x:v>334.5088306400643</x:v>
      </x:c>
      <x:c r="X867" s="255" t="n">
        <x:v>0.5749950501110025</x:v>
      </x:c>
      <x:c r="Y867" s="255" t="n">
        <x:v>0.8150375345784756</x:v>
      </x:c>
      <x:c r="Z867" s="255" t="n">
        <x:v>0.44731878388537394</x:v>
      </x:c>
      <x:c r="AA867" s="255" t="n">
        <x:v>0.3498004634920464</x:v>
      </x:c>
      <x:c r="AB867" s="255" t="n">
        <x:v>0.9117663689898005</x:v>
      </x:c>
    </x:row>
    <x:row r="868" ht="24" customHeight="1">
      <x:c r="C868" s="256" t="n">
        <x:f>837</x:f>
        <x:v>837</x:v>
      </x:c>
      <x:c r="D868" s="258" t="n">
        <x:f>IF(X868&lt;($E$12-$D$12)/($F$12-$D$12),$D$12+SQRT(X868*($F$12-$D$12)*($E$12-$D$12)),$F$12-SQRT((1-X868)*($F$12-$D$12)*($F$12-$E$12)))</x:f>
        <x:v>0.18223927129458412</x:v>
      </x:c>
      <x:c r="E868" s="258" t="n">
        <x:f>IF(Y868&lt;($E$13-$D$13)/($F$13-$D$13),$D$13+SQRT(Y868*($F$13-$D$13)*($E$13-$D$13)),$F$13-SQRT((1-Y868)*($F$13-$D$13)*($F$13-$E$13)))</x:f>
        <x:v>-0.01603266608474245</x:v>
      </x:c>
      <x:c r="F868" s="260" t="n">
        <x:f>IF(Z868&lt;($E$14-$D$14)/($F$14-$D$14),$D$14+SQRT(Z868*($F$14-$D$14)*($E$14-$D$14)),$F$14-SQRT((1-Z868)*($F$14-$D$14)*($F$14-$E$14)))</x:f>
        <x:v>0.9514478670107038</x:v>
      </x:c>
      <x:c r="G868" s="258" t="n">
        <x:f>IF(AA868&lt;($E$15-$D$15)/($F$15-$D$15),$D$15+SQRT(AA868*($F$15-$D$15)*($E$15-$D$15)),$F$15-SQRT((1-AA868)*($F$15-$D$15)*($F$15-$E$15)))</x:f>
        <x:v>0.09883417876447421</x:v>
      </x:c>
      <x:c r="H868" s="258" t="n">
        <x:f>IF(AB868&lt;($E$16-$D$16)/($F$16-$D$16),$D$16+SQRT(AB868*($F$16-$D$16)*($E$16-$D$16)),$F$16-SQRT((1-AB868)*($F$16-$D$16)*($F$16-$E$16)))</x:f>
        <x:v>0.02514553536113994</x:v>
      </x:c>
      <x:c r="I868" s="262" t="n">
        <x:f>'Historical Inputs'!$N$9*(1+D868)^5</x:f>
        <x:v>766397.9485684349</x:v>
      </x:c>
      <x:c r="J868" s="262" t="n">
        <x:f>I868*(1+H868)*('Terminal Value'!$E$10+E868)*(1-'Assumptions'!$E$15)*(1-H868/'Terminal Value'!$E$12)</x:f>
        <x:v>210994.36345987578</x:v>
      </x:c>
      <x:c r="K868" s="264" t="n">
        <x:f>((SUM((('Historical Inputs'!$N$9*(1+(D868))^1)*(('Assumptions'!E37+(E868))*(1-'Assumptions'!E42-(0))+'Assumptions'!E47-'Assumptions'!E52*(F868)+'Assumptions'!E57-'Assumptions'!E62*(1)-'Assumptions'!E67-(0))+('Working Capital'!$E$6))*'DCF'!E12/(1+(G868))^'DCF'!E13,(('Historical Inputs'!$N$9*(1+(D868))^2)*(('Assumptions'!F37+(E868))*(1-'Assumptions'!F42-(0))+'Assumptions'!F47-'Assumptions'!F52*(F868)+'Assumptions'!F57-'Assumptions'!F62*(1)-'Assumptions'!F67-(0))+(('Historical Inputs'!$N$9*(1+(D868))^1)*('Assumptions'!E67+(0))))*'DCF'!F12/(1+(G868))^'DCF'!F13,(('Historical Inputs'!$N$9*(1+(D868))^3)*(('Assumptions'!G37+(E868))*(1-'Assumptions'!G42-(0))+'Assumptions'!G47-'Assumptions'!G52*(F868)+'Assumptions'!G57-'Assumptions'!G62*(1)-'Assumptions'!G67-(0))+(('Historical Inputs'!$N$9*(1+(D868))^2)*('Assumptions'!F67+(0))))*'DCF'!G12/(1+(G868))^'DCF'!G13,(('Historical Inputs'!$N$9*(1+(D868))^4)*(('Assumptions'!H37+(E868))*(1-'Assumptions'!H42-(0))+'Assumptions'!H47-'Assumptions'!H52*(F868)+'Assumptions'!H57-'Assumptions'!H62*(1)-'Assumptions'!H67-(0))+(('Historical Inputs'!$N$9*(1+(D868))^3)*('Assumptions'!G67+(0))))*'DCF'!H12/(1+(G868))^'DCF'!H13,(('Historical Inputs'!$N$9*(1+(D868))^5)*(('Assumptions'!I37+(E868))*(1-'Assumptions'!I42-(0))+'Assumptions'!I47-'Assumptions'!I52*(F868)+'Assumptions'!I57-'Assumptions'!I62*(1)-'Assumptions'!I67-(0))+(('Historical Inputs'!$N$9*(1+(D868))^4)*('Assumptions'!H67+(0))))*'DCF'!I12/(1+(G868))^'DCF'!I13)+('Historical Inputs'!$N$9*(1+(D868))^5)*(1+(H868))*('Terminal Value'!$E$10+(E868))*(1-'Assumptions'!$E$15-(0))*(1-(H868)/('Terminal Value'!$E$12))/((G868)-(H868))/(1+(G868))^'DCF'!$E$19)+'Equity Bridge'!$E$17)/'Equity Bridge'!$E$20</x:f>
        <x:v>308.8351026136991</x:v>
      </x:c>
      <x:c r="X868" s="255" t="n">
        <x:v>0.9757218346452442</x:v>
      </x:c>
      <x:c r="Y868" s="255" t="n">
        <x:v>0.23075595466212118</x:v>
      </x:c>
      <x:c r="Z868" s="255" t="n">
        <x:v>0.19603180420993227</x:v>
      </x:c>
      <x:c r="AA868" s="255" t="n">
        <x:v>0.5451842502622019</x:v>
      </x:c>
      <x:c r="AB868" s="255" t="n">
        <x:v>0.1323826707637079</x:v>
      </x:c>
    </x:row>
    <x:row r="869" ht="24" customHeight="1">
      <x:c r="C869" s="256" t="n">
        <x:f>838</x:f>
        <x:v>838</x:v>
      </x:c>
      <x:c r="D869" s="258" t="n">
        <x:f>IF(X869&lt;($E$12-$D$12)/($F$12-$D$12),$D$12+SQRT(X869*($F$12-$D$12)*($E$12-$D$12)),$F$12-SQRT((1-X869)*($F$12-$D$12)*($F$12-$E$12)))</x:f>
        <x:v>0.13469053546860735</x:v>
      </x:c>
      <x:c r="E869" s="258" t="n">
        <x:f>IF(Y869&lt;($E$13-$D$13)/($F$13-$D$13),$D$13+SQRT(Y869*($F$13-$D$13)*($E$13-$D$13)),$F$13-SQRT((1-Y869)*($F$13-$D$13)*($F$13-$E$13)))</x:f>
        <x:v>-0.017126212537426612</x:v>
      </x:c>
      <x:c r="F869" s="260" t="n">
        <x:f>IF(Z869&lt;($E$14-$D$14)/($F$14-$D$14),$D$14+SQRT(Z869*($F$14-$D$14)*($E$14-$D$14)),$F$14-SQRT((1-Z869)*($F$14-$D$14)*($F$14-$E$14)))</x:f>
        <x:v>1.1024249495949676</x:v>
      </x:c>
      <x:c r="G869" s="258" t="n">
        <x:f>IF(AA869&lt;($E$15-$D$15)/($F$15-$D$15),$D$15+SQRT(AA869*($F$15-$D$15)*($E$15-$D$15)),$F$15-SQRT((1-AA869)*($F$15-$D$15)*($F$15-$E$15)))</x:f>
        <x:v>0.0927901295162725</x:v>
      </x:c>
      <x:c r="H869" s="258" t="n">
        <x:f>IF(AB869&lt;($E$16-$D$16)/($F$16-$D$16),$D$16+SQRT(AB869*($F$16-$D$16)*($E$16-$D$16)),$F$16-SQRT((1-AB869)*($F$16-$D$16)*($F$16-$E$16)))</x:f>
        <x:v>0.033335108492780444</x:v>
      </x:c>
      <x:c r="I869" s="262" t="n">
        <x:f>'Historical Inputs'!$N$9*(1+D869)^5</x:f>
        <x:v>624186.8111711794</x:v>
      </x:c>
      <x:c r="J869" s="262" t="n">
        <x:f>I869*(1+H869)*('Terminal Value'!$E$10+E869)*(1-'Assumptions'!$E$15)*(1-H869/'Terminal Value'!$E$12)</x:f>
        <x:v>164632.48092963934</x:v>
      </x:c>
      <x:c r="K869" s="264" t="n">
        <x:f>((SUM((('Historical Inputs'!$N$9*(1+(D869))^1)*(('Assumptions'!E37+(E869))*(1-'Assumptions'!E42-(0))+'Assumptions'!E47-'Assumptions'!E52*(F869)+'Assumptions'!E57-'Assumptions'!E62*(1)-'Assumptions'!E67-(0))+('Working Capital'!$E$6))*'DCF'!E12/(1+(G869))^'DCF'!E13,(('Historical Inputs'!$N$9*(1+(D869))^2)*(('Assumptions'!F37+(E869))*(1-'Assumptions'!F42-(0))+'Assumptions'!F47-'Assumptions'!F52*(F869)+'Assumptions'!F57-'Assumptions'!F62*(1)-'Assumptions'!F67-(0))+(('Historical Inputs'!$N$9*(1+(D869))^1)*('Assumptions'!E67+(0))))*'DCF'!F12/(1+(G869))^'DCF'!F13,(('Historical Inputs'!$N$9*(1+(D869))^3)*(('Assumptions'!G37+(E869))*(1-'Assumptions'!G42-(0))+'Assumptions'!G47-'Assumptions'!G52*(F869)+'Assumptions'!G57-'Assumptions'!G62*(1)-'Assumptions'!G67-(0))+(('Historical Inputs'!$N$9*(1+(D869))^2)*('Assumptions'!F67+(0))))*'DCF'!G12/(1+(G869))^'DCF'!G13,(('Historical Inputs'!$N$9*(1+(D869))^4)*(('Assumptions'!H37+(E869))*(1-'Assumptions'!H42-(0))+'Assumptions'!H47-'Assumptions'!H52*(F869)+'Assumptions'!H57-'Assumptions'!H62*(1)-'Assumptions'!H67-(0))+(('Historical Inputs'!$N$9*(1+(D869))^3)*('Assumptions'!G67+(0))))*'DCF'!H12/(1+(G869))^'DCF'!H13,(('Historical Inputs'!$N$9*(1+(D869))^5)*(('Assumptions'!I37+(E869))*(1-'Assumptions'!I42-(0))+'Assumptions'!I47-'Assumptions'!I52*(F869)+'Assumptions'!I57-'Assumptions'!I62*(1)-'Assumptions'!I67-(0))+(('Historical Inputs'!$N$9*(1+(D869))^4)*('Assumptions'!H67+(0))))*'DCF'!I12/(1+(G869))^'DCF'!I13)+('Historical Inputs'!$N$9*(1+(D869))^5)*(1+(H869))*('Terminal Value'!$E$10+(E869))*(1-'Assumptions'!$E$15-(0))*(1-(H869)/('Terminal Value'!$E$12))/((G869)-(H869))/(1+(G869))^'DCF'!$E$19)+'Equity Bridge'!$E$17)/'Equity Bridge'!$E$20</x:f>
        <x:v>289.4289951789246</x:v>
      </x:c>
      <x:c r="X869" s="255" t="n">
        <x:v>0.34334721055347506</x:v>
      </x:c>
      <x:c r="Y869" s="255" t="n">
        <x:v>0.21613718042688945</x:v>
      </x:c>
      <x:c r="Z869" s="255" t="n">
        <x:v>0.8639872791207913</x:v>
      </x:c>
      <x:c r="AA869" s="255" t="n">
        <x:v>0.20692860534387392</x:v>
      </x:c>
      <x:c r="AB869" s="255" t="n">
        <x:v>0.7778961059849631</x:v>
      </x:c>
    </x:row>
    <x:row r="870" ht="24" customHeight="1">
      <x:c r="C870" s="256" t="n">
        <x:f>839</x:f>
        <x:v>839</x:v>
      </x:c>
      <x:c r="D870" s="258" t="n">
        <x:f>IF(X870&lt;($E$12-$D$12)/($F$12-$D$12),$D$12+SQRT(X870*($F$12-$D$12)*($E$12-$D$12)),$F$12-SQRT((1-X870)*($F$12-$D$12)*($F$12-$E$12)))</x:f>
        <x:v>0.13861901646748725</x:v>
      </x:c>
      <x:c r="E870" s="258" t="n">
        <x:f>IF(Y870&lt;($E$13-$D$13)/($F$13-$D$13),$D$13+SQRT(Y870*($F$13-$D$13)*($E$13-$D$13)),$F$13-SQRT((1-Y870)*($F$13-$D$13)*($F$13-$E$13)))</x:f>
        <x:v>-0.010937957992587712</x:v>
      </x:c>
      <x:c r="F870" s="260" t="n">
        <x:f>IF(Z870&lt;($E$14-$D$14)/($F$14-$D$14),$D$14+SQRT(Z870*($F$14-$D$14)*($E$14-$D$14)),$F$14-SQRT((1-Z870)*($F$14-$D$14)*($F$14-$E$14)))</x:f>
        <x:v>0.9447400372138189</x:v>
      </x:c>
      <x:c r="G870" s="258" t="n">
        <x:f>IF(AA870&lt;($E$15-$D$15)/($F$15-$D$15),$D$15+SQRT(AA870*($F$15-$D$15)*($E$15-$D$15)),$F$15-SQRT((1-AA870)*($F$15-$D$15)*($F$15-$E$15)))</x:f>
        <x:v>0.09696120226375635</x:v>
      </x:c>
      <x:c r="H870" s="258" t="n">
        <x:f>IF(AB870&lt;($E$16-$D$16)/($F$16-$D$16),$D$16+SQRT(AB870*($F$16-$D$16)*($E$16-$D$16)),$F$16-SQRT((1-AB870)*($F$16-$D$16)*($F$16-$E$16)))</x:f>
        <x:v>0.037054252435051296</x:v>
      </x:c>
      <x:c r="I870" s="262" t="n">
        <x:f>'Historical Inputs'!$N$9*(1+D870)^5</x:f>
        <x:v>635067.0644518423</x:v>
      </x:c>
      <x:c r="J870" s="262" t="n">
        <x:f>I870*(1+H870)*('Terminal Value'!$E$10+E870)*(1-'Assumptions'!$E$15)*(1-H870/'Terminal Value'!$E$12)</x:f>
        <x:v>167010.1826782495</x:v>
      </x:c>
      <x:c r="K870" s="264" t="n">
        <x:f>((SUM((('Historical Inputs'!$N$9*(1+(D870))^1)*(('Assumptions'!E37+(E870))*(1-'Assumptions'!E42-(0))+'Assumptions'!E47-'Assumptions'!E52*(F870)+'Assumptions'!E57-'Assumptions'!E62*(1)-'Assumptions'!E67-(0))+('Working Capital'!$E$6))*'DCF'!E12/(1+(G870))^'DCF'!E13,(('Historical Inputs'!$N$9*(1+(D870))^2)*(('Assumptions'!F37+(E870))*(1-'Assumptions'!F42-(0))+'Assumptions'!F47-'Assumptions'!F52*(F870)+'Assumptions'!F57-'Assumptions'!F62*(1)-'Assumptions'!F67-(0))+(('Historical Inputs'!$N$9*(1+(D870))^1)*('Assumptions'!E67+(0))))*'DCF'!F12/(1+(G870))^'DCF'!F13,(('Historical Inputs'!$N$9*(1+(D870))^3)*(('Assumptions'!G37+(E870))*(1-'Assumptions'!G42-(0))+'Assumptions'!G47-'Assumptions'!G52*(F870)+'Assumptions'!G57-'Assumptions'!G62*(1)-'Assumptions'!G67-(0))+(('Historical Inputs'!$N$9*(1+(D870))^2)*('Assumptions'!F67+(0))))*'DCF'!G12/(1+(G870))^'DCF'!G13,(('Historical Inputs'!$N$9*(1+(D870))^4)*(('Assumptions'!H37+(E870))*(1-'Assumptions'!H42-(0))+'Assumptions'!H47-'Assumptions'!H52*(F870)+'Assumptions'!H57-'Assumptions'!H62*(1)-'Assumptions'!H67-(0))+(('Historical Inputs'!$N$9*(1+(D870))^3)*('Assumptions'!G67+(0))))*'DCF'!H12/(1+(G870))^'DCF'!H13,(('Historical Inputs'!$N$9*(1+(D870))^5)*(('Assumptions'!I37+(E870))*(1-'Assumptions'!I42-(0))+'Assumptions'!I47-'Assumptions'!I52*(F870)+'Assumptions'!I57-'Assumptions'!I62*(1)-'Assumptions'!I67-(0))+(('Historical Inputs'!$N$9*(1+(D870))^4)*('Assumptions'!H67+(0))))*'DCF'!I12/(1+(G870))^'DCF'!I13)+('Historical Inputs'!$N$9*(1+(D870))^5)*(1+(H870))*('Terminal Value'!$E$10+(E870))*(1-'Assumptions'!$E$15-(0))*(1-(H870)/('Terminal Value'!$E$12))/((G870)-(H870))/(1+(G870))^'DCF'!$E$19)+'Equity Bridge'!$E$17)/'Equity Bridge'!$E$20</x:f>
        <x:v>297.95502432063955</x:v>
      </x:c>
      <x:c r="X870" s="255" t="n">
        <x:v>0.4115421115698229</x:v>
      </x:c>
      <x:c r="Y870" s="255" t="n">
        <x:v>0.30516862515776844</x:v>
      </x:c>
      <x:c r="Z870" s="255" t="n">
        <x:v>0.17096523145287223</x:v>
      </x:c>
      <x:c r="AA870" s="255" t="n">
        <x:v>0.4244787201335587</x:v>
      </x:c>
      <x:c r="AB870" s="255" t="n">
        <x:v>0.956612856417994</x:v>
      </x:c>
    </x:row>
    <x:row r="871" ht="24" customHeight="1">
      <x:c r="C871" s="256" t="n">
        <x:f>840</x:f>
        <x:v>840</x:v>
      </x:c>
      <x:c r="D871" s="258" t="n">
        <x:f>IF(X871&lt;($E$12-$D$12)/($F$12-$D$12),$D$12+SQRT(X871*($F$12-$D$12)*($E$12-$D$12)),$F$12-SQRT((1-X871)*($F$12-$D$12)*($F$12-$E$12)))</x:f>
        <x:v>0.13159089834292725</x:v>
      </x:c>
      <x:c r="E871" s="258" t="n">
        <x:f>IF(Y871&lt;($E$13-$D$13)/($F$13-$D$13),$D$13+SQRT(Y871*($F$13-$D$13)*($E$13-$D$13)),$F$13-SQRT((1-Y871)*($F$13-$D$13)*($F$13-$E$13)))</x:f>
        <x:v>-0.0024629592865632183</x:v>
      </x:c>
      <x:c r="F871" s="260" t="n">
        <x:f>IF(Z871&lt;($E$14-$D$14)/($F$14-$D$14),$D$14+SQRT(Z871*($F$14-$D$14)*($E$14-$D$14)),$F$14-SQRT((1-Z871)*($F$14-$D$14)*($F$14-$E$14)))</x:f>
        <x:v>1.1210262996608746</x:v>
      </x:c>
      <x:c r="G871" s="258" t="n">
        <x:f>IF(AA871&lt;($E$15-$D$15)/($F$15-$D$15),$D$15+SQRT(AA871*($F$15-$D$15)*($E$15-$D$15)),$F$15-SQRT((1-AA871)*($F$15-$D$15)*($F$15-$E$15)))</x:f>
        <x:v>0.09951904211702378</x:v>
      </x:c>
      <x:c r="H871" s="258" t="n">
        <x:f>IF(AB871&lt;($E$16-$D$16)/($F$16-$D$16),$D$16+SQRT(AB871*($F$16-$D$16)*($E$16-$D$16)),$F$16-SQRT((1-AB871)*($F$16-$D$16)*($F$16-$E$16)))</x:f>
        <x:v>0.027638952520422273</x:v>
      </x:c>
      <x:c r="I871" s="262" t="n">
        <x:f>'Historical Inputs'!$N$9*(1+D871)^5</x:f>
        <x:v>615707.7983870921</x:v>
      </x:c>
      <x:c r="J871" s="262" t="n">
        <x:f>I871*(1+H871)*('Terminal Value'!$E$10+E871)*(1-'Assumptions'!$E$15)*(1-H871/'Terminal Value'!$E$12)</x:f>
        <x:v>173417.10368776342</x:v>
      </x:c>
      <x:c r="K871" s="264" t="n">
        <x:f>((SUM((('Historical Inputs'!$N$9*(1+(D871))^1)*(('Assumptions'!E37+(E871))*(1-'Assumptions'!E42-(0))+'Assumptions'!E47-'Assumptions'!E52*(F871)+'Assumptions'!E57-'Assumptions'!E62*(1)-'Assumptions'!E67-(0))+('Working Capital'!$E$6))*'DCF'!E12/(1+(G871))^'DCF'!E13,(('Historical Inputs'!$N$9*(1+(D871))^2)*(('Assumptions'!F37+(E871))*(1-'Assumptions'!F42-(0))+'Assumptions'!F47-'Assumptions'!F52*(F871)+'Assumptions'!F57-'Assumptions'!F62*(1)-'Assumptions'!F67-(0))+(('Historical Inputs'!$N$9*(1+(D871))^1)*('Assumptions'!E67+(0))))*'DCF'!F12/(1+(G871))^'DCF'!F13,(('Historical Inputs'!$N$9*(1+(D871))^3)*(('Assumptions'!G37+(E871))*(1-'Assumptions'!G42-(0))+'Assumptions'!G47-'Assumptions'!G52*(F871)+'Assumptions'!G57-'Assumptions'!G62*(1)-'Assumptions'!G67-(0))+(('Historical Inputs'!$N$9*(1+(D871))^2)*('Assumptions'!F67+(0))))*'DCF'!G12/(1+(G871))^'DCF'!G13,(('Historical Inputs'!$N$9*(1+(D871))^4)*(('Assumptions'!H37+(E871))*(1-'Assumptions'!H42-(0))+'Assumptions'!H47-'Assumptions'!H52*(F871)+'Assumptions'!H57-'Assumptions'!H62*(1)-'Assumptions'!H67-(0))+(('Historical Inputs'!$N$9*(1+(D871))^3)*('Assumptions'!G67+(0))))*'DCF'!H12/(1+(G871))^'DCF'!H13,(('Historical Inputs'!$N$9*(1+(D871))^5)*(('Assumptions'!I37+(E871))*(1-'Assumptions'!I42-(0))+'Assumptions'!I47-'Assumptions'!I52*(F871)+'Assumptions'!I57-'Assumptions'!I62*(1)-'Assumptions'!I67-(0))+(('Historical Inputs'!$N$9*(1+(D871))^4)*('Assumptions'!H67+(0))))*'DCF'!I12/(1+(G871))^'DCF'!I13)+('Historical Inputs'!$N$9*(1+(D871))^5)*(1+(H871))*('Terminal Value'!$E$10+(E871))*(1-'Assumptions'!$E$15-(0))*(1-(H871)/('Terminal Value'!$E$12))/((G871)-(H871))/(1+(G871))^'DCF'!$E$19)+'Equity Bridge'!$E$17)/'Equity Bridge'!$E$20</x:f>
        <x:v>252.36520810565798</x:v>
      </x:c>
      <x:c r="X871" s="255" t="n">
        <x:v>0.29389721776212563</x:v>
      </x:c>
      <x:c r="Y871" s="255" t="n">
        <x:v>0.45195404795818916</x:v>
      </x:c>
      <x:c r="Z871" s="255" t="n">
        <x:v>0.9109022093535147</x:v>
      </x:c>
      <x:c r="AA871" s="255" t="n">
        <x:v>0.5876876578195108</x:v>
      </x:c>
      <x:c r="AB871" s="255" t="n">
        <x:v>0.29176797804632915</x:v>
      </x:c>
    </x:row>
    <x:row r="872" ht="24" customHeight="1">
      <x:c r="C872" s="256" t="n">
        <x:f>841</x:f>
        <x:v>841</x:v>
      </x:c>
      <x:c r="D872" s="258" t="n">
        <x:f>IF(X872&lt;($E$12-$D$12)/($F$12-$D$12),$D$12+SQRT(X872*($F$12-$D$12)*($E$12-$D$12)),$F$12-SQRT((1-X872)*($F$12-$D$12)*($F$12-$E$12)))</x:f>
        <x:v>0.14494245734695832</x:v>
      </x:c>
      <x:c r="E872" s="258" t="n">
        <x:f>IF(Y872&lt;($E$13-$D$13)/($F$13-$D$13),$D$13+SQRT(Y872*($F$13-$D$13)*($E$13-$D$13)),$F$13-SQRT((1-Y872)*($F$13-$D$13)*($F$13-$E$13)))</x:f>
        <x:v>-0.013803735327038914</x:v>
      </x:c>
      <x:c r="F872" s="260" t="n">
        <x:f>IF(Z872&lt;($E$14-$D$14)/($F$14-$D$14),$D$14+SQRT(Z872*($F$14-$D$14)*($E$14-$D$14)),$F$14-SQRT((1-Z872)*($F$14-$D$14)*($F$14-$E$14)))</x:f>
        <x:v>1.0948486726674127</x:v>
      </x:c>
      <x:c r="G872" s="258" t="n">
        <x:f>IF(AA872&lt;($E$15-$D$15)/($F$15-$D$15),$D$15+SQRT(AA872*($F$15-$D$15)*($E$15-$D$15)),$F$15-SQRT((1-AA872)*($F$15-$D$15)*($F$15-$E$15)))</x:f>
        <x:v>0.09674688392750075</x:v>
      </x:c>
      <x:c r="H872" s="258" t="n">
        <x:f>IF(AB872&lt;($E$16-$D$16)/($F$16-$D$16),$D$16+SQRT(AB872*($F$16-$D$16)*($E$16-$D$16)),$F$16-SQRT((1-AB872)*($F$16-$D$16)*($F$16-$E$16)))</x:f>
        <x:v>0.028410567596752815</x:v>
      </x:c>
      <x:c r="I872" s="262" t="n">
        <x:f>'Historical Inputs'!$N$9*(1+D872)^5</x:f>
        <x:v>652898.5858850386</x:v>
      </x:c>
      <x:c r="J872" s="262" t="n">
        <x:f>I872*(1+H872)*('Terminal Value'!$E$10+E872)*(1-'Assumptions'!$E$15)*(1-H872/'Terminal Value'!$E$12)</x:f>
        <x:v>177979.8582412332</x:v>
      </x:c>
      <x:c r="K872" s="264" t="n">
        <x:f>((SUM((('Historical Inputs'!$N$9*(1+(D872))^1)*(('Assumptions'!E37+(E872))*(1-'Assumptions'!E42-(0))+'Assumptions'!E47-'Assumptions'!E52*(F872)+'Assumptions'!E57-'Assumptions'!E62*(1)-'Assumptions'!E67-(0))+('Working Capital'!$E$6))*'DCF'!E12/(1+(G872))^'DCF'!E13,(('Historical Inputs'!$N$9*(1+(D872))^2)*(('Assumptions'!F37+(E872))*(1-'Assumptions'!F42-(0))+'Assumptions'!F47-'Assumptions'!F52*(F872)+'Assumptions'!F57-'Assumptions'!F62*(1)-'Assumptions'!F67-(0))+(('Historical Inputs'!$N$9*(1+(D872))^1)*('Assumptions'!E67+(0))))*'DCF'!F12/(1+(G872))^'DCF'!F13,(('Historical Inputs'!$N$9*(1+(D872))^3)*(('Assumptions'!G37+(E872))*(1-'Assumptions'!G42-(0))+'Assumptions'!G47-'Assumptions'!G52*(F872)+'Assumptions'!G57-'Assumptions'!G62*(1)-'Assumptions'!G67-(0))+(('Historical Inputs'!$N$9*(1+(D872))^2)*('Assumptions'!F67+(0))))*'DCF'!G12/(1+(G872))^'DCF'!G13,(('Historical Inputs'!$N$9*(1+(D872))^4)*(('Assumptions'!H37+(E872))*(1-'Assumptions'!H42-(0))+'Assumptions'!H47-'Assumptions'!H52*(F872)+'Assumptions'!H57-'Assumptions'!H62*(1)-'Assumptions'!H67-(0))+(('Historical Inputs'!$N$9*(1+(D872))^3)*('Assumptions'!G67+(0))))*'DCF'!H12/(1+(G872))^'DCF'!H13,(('Historical Inputs'!$N$9*(1+(D872))^5)*(('Assumptions'!I37+(E872))*(1-'Assumptions'!I42-(0))+'Assumptions'!I47-'Assumptions'!I52*(F872)+'Assumptions'!I57-'Assumptions'!I62*(1)-'Assumptions'!I67-(0))+(('Historical Inputs'!$N$9*(1+(D872))^4)*('Assumptions'!H67+(0))))*'DCF'!I12/(1+(G872))^'DCF'!I13)+('Historical Inputs'!$N$9*(1+(D872))^5)*(1+(H872))*('Terminal Value'!$E$10+(E872))*(1-'Assumptions'!$E$15-(0))*(1-(H872)/('Terminal Value'!$E$12))/((G872)-(H872))/(1+(G872))^'DCF'!$E$19)+'Equity Bridge'!$E$17)/'Equity Bridge'!$E$20</x:f>
        <x:v>273.2401177907843</x:v>
      </x:c>
      <x:c r="X872" s="255" t="n">
        <x:v>0.5331405718389961</x:v>
      </x:c>
      <x:c r="Y872" s="255" t="n">
        <x:v>0.2620339152550102</x:v>
      </x:c>
      <x:c r="Z872" s="255" t="n">
        <x:v>0.84204569085993</x:v>
      </x:c>
      <x:c r="AA872" s="255" t="n">
        <x:v>0.41141609011687297</x:v>
      </x:c>
      <x:c r="AB872" s="255" t="n">
        <x:v>0.35368823649774217</x:v>
      </x:c>
    </x:row>
    <x:row r="873" ht="24" customHeight="1">
      <x:c r="C873" s="256" t="n">
        <x:f>842</x:f>
        <x:v>842</x:v>
      </x:c>
      <x:c r="D873" s="258" t="n">
        <x:f>IF(X873&lt;($E$12-$D$12)/($F$12-$D$12),$D$12+SQRT(X873*($F$12-$D$12)*($E$12-$D$12)),$F$12-SQRT((1-X873)*($F$12-$D$12)*($F$12-$E$12)))</x:f>
        <x:v>0.11098221049072596</x:v>
      </x:c>
      <x:c r="E873" s="258" t="n">
        <x:f>IF(Y873&lt;($E$13-$D$13)/($F$13-$D$13),$D$13+SQRT(Y873*($F$13-$D$13)*($E$13-$D$13)),$F$13-SQRT((1-Y873)*($F$13-$D$13)*($F$13-$E$13)))</x:f>
        <x:v>0.013486747764387921</x:v>
      </x:c>
      <x:c r="F873" s="260" t="n">
        <x:f>IF(Z873&lt;($E$14-$D$14)/($F$14-$D$14),$D$14+SQRT(Z873*($F$14-$D$14)*($E$14-$D$14)),$F$14-SQRT((1-Z873)*($F$14-$D$14)*($F$14-$E$14)))</x:f>
        <x:v>1.043221098204847</x:v>
      </x:c>
      <x:c r="G873" s="258" t="n">
        <x:f>IF(AA873&lt;($E$15-$D$15)/($F$15-$D$15),$D$15+SQRT(AA873*($F$15-$D$15)*($E$15-$D$15)),$F$15-SQRT((1-AA873)*($F$15-$D$15)*($F$15-$E$15)))</x:f>
        <x:v>0.09092157883190961</x:v>
      </x:c>
      <x:c r="H873" s="258" t="n">
        <x:f>IF(AB873&lt;($E$16-$D$16)/($F$16-$D$16),$D$16+SQRT(AB873*($F$16-$D$16)*($E$16-$D$16)),$F$16-SQRT((1-AB873)*($F$16-$D$16)*($F$16-$E$16)))</x:f>
        <x:v>0.034190082622487156</x:v>
      </x:c>
      <x:c r="I873" s="262" t="n">
        <x:f>'Historical Inputs'!$N$9*(1+D873)^5</x:f>
        <x:v>561646.3623716708</x:v>
      </x:c>
      <x:c r="J873" s="262" t="n">
        <x:f>I873*(1+H873)*('Terminal Value'!$E$10+E873)*(1-'Assumptions'!$E$15)*(1-H873/'Terminal Value'!$E$12)</x:f>
        <x:v>159292.52938253258</x:v>
      </x:c>
      <x:c r="K873" s="264" t="n">
        <x:f>((SUM((('Historical Inputs'!$N$9*(1+(D873))^1)*(('Assumptions'!E37+(E873))*(1-'Assumptions'!E42-(0))+'Assumptions'!E47-'Assumptions'!E52*(F873)+'Assumptions'!E57-'Assumptions'!E62*(1)-'Assumptions'!E67-(0))+('Working Capital'!$E$6))*'DCF'!E12/(1+(G873))^'DCF'!E13,(('Historical Inputs'!$N$9*(1+(D873))^2)*(('Assumptions'!F37+(E873))*(1-'Assumptions'!F42-(0))+'Assumptions'!F47-'Assumptions'!F52*(F873)+'Assumptions'!F57-'Assumptions'!F62*(1)-'Assumptions'!F67-(0))+(('Historical Inputs'!$N$9*(1+(D873))^1)*('Assumptions'!E67+(0))))*'DCF'!F12/(1+(G873))^'DCF'!F13,(('Historical Inputs'!$N$9*(1+(D873))^3)*(('Assumptions'!G37+(E873))*(1-'Assumptions'!G42-(0))+'Assumptions'!G47-'Assumptions'!G52*(F873)+'Assumptions'!G57-'Assumptions'!G62*(1)-'Assumptions'!G67-(0))+(('Historical Inputs'!$N$9*(1+(D873))^2)*('Assumptions'!F67+(0))))*'DCF'!G12/(1+(G873))^'DCF'!G13,(('Historical Inputs'!$N$9*(1+(D873))^4)*(('Assumptions'!H37+(E873))*(1-'Assumptions'!H42-(0))+'Assumptions'!H47-'Assumptions'!H52*(F873)+'Assumptions'!H57-'Assumptions'!H62*(1)-'Assumptions'!H67-(0))+(('Historical Inputs'!$N$9*(1+(D873))^3)*('Assumptions'!G67+(0))))*'DCF'!H12/(1+(G873))^'DCF'!H13,(('Historical Inputs'!$N$9*(1+(D873))^5)*(('Assumptions'!I37+(E873))*(1-'Assumptions'!I42-(0))+'Assumptions'!I47-'Assumptions'!I52*(F873)+'Assumptions'!I57-'Assumptions'!I62*(1)-'Assumptions'!I67-(0))+(('Historical Inputs'!$N$9*(1+(D873))^4)*('Assumptions'!H67+(0))))*'DCF'!I12/(1+(G873))^'DCF'!I13)+('Historical Inputs'!$N$9*(1+(D873))^5)*(1+(H873))*('Terminal Value'!$E$10+(E873))*(1-'Assumptions'!$E$15-(0))*(1-(H873)/('Terminal Value'!$E$12))/((G873)-(H873))/(1+(G873))^'DCF'!$E$19)+'Equity Bridge'!$E$17)/'Equity Bridge'!$E$20</x:f>
        <x:v>300.9725157751656</x:v>
      </x:c>
      <x:c r="X873" s="255" t="n">
        <x:v>0.06283646263961917</x:v>
      </x:c>
      <x:c r="Y873" s="255" t="n">
        <x:v>0.7333564822357139</x:v>
      </x:c>
      <x:c r="Z873" s="255" t="n">
        <x:v>0.6488625135986543</x:v>
      </x:c>
      <x:c r="AA873" s="255" t="n">
        <x:v>0.1345493820425181</x:v>
      </x:c>
      <x:c r="AB873" s="255" t="n">
        <x:v>0.8312243003323713</x:v>
      </x:c>
    </x:row>
    <x:row r="874" ht="24" customHeight="1">
      <x:c r="C874" s="256" t="n">
        <x:f>843</x:f>
        <x:v>843</x:v>
      </x:c>
      <x:c r="D874" s="258" t="n">
        <x:f>IF(X874&lt;($E$12-$D$12)/($F$12-$D$12),$D$12+SQRT(X874*($F$12-$D$12)*($E$12-$D$12)),$F$12-SQRT((1-X874)*($F$12-$D$12)*($F$12-$E$12)))</x:f>
        <x:v>0.11380316394395439</x:v>
      </x:c>
      <x:c r="E874" s="258" t="n">
        <x:f>IF(Y874&lt;($E$13-$D$13)/($F$13-$D$13),$D$13+SQRT(Y874*($F$13-$D$13)*($E$13-$D$13)),$F$13-SQRT((1-Y874)*($F$13-$D$13)*($F$13-$E$13)))</x:f>
        <x:v>-0.008027980010379049</x:v>
      </x:c>
      <x:c r="F874" s="260" t="n">
        <x:f>IF(Z874&lt;($E$14-$D$14)/($F$14-$D$14),$D$14+SQRT(Z874*($F$14-$D$14)*($E$14-$D$14)),$F$14-SQRT((1-Z874)*($F$14-$D$14)*($F$14-$E$14)))</x:f>
        <x:v>0.9327187909053418</x:v>
      </x:c>
      <x:c r="G874" s="258" t="n">
        <x:f>IF(AA874&lt;($E$15-$D$15)/($F$15-$D$15),$D$15+SQRT(AA874*($F$15-$D$15)*($E$15-$D$15)),$F$15-SQRT((1-AA874)*($F$15-$D$15)*($F$15-$E$15)))</x:f>
        <x:v>0.10338721568008631</x:v>
      </x:c>
      <x:c r="H874" s="258" t="n">
        <x:f>IF(AB874&lt;($E$16-$D$16)/($F$16-$D$16),$D$16+SQRT(AB874*($F$16-$D$16)*($E$16-$D$16)),$F$16-SQRT((1-AB874)*($F$16-$D$16)*($F$16-$E$16)))</x:f>
        <x:v>0.023814342340400422</x:v>
      </x:c>
      <x:c r="I874" s="262" t="n">
        <x:f>'Historical Inputs'!$N$9*(1+D874)^5</x:f>
        <x:v>568813.1947600552</x:v>
      </x:c>
      <x:c r="J874" s="262" t="n">
        <x:f>I874*(1+H874)*('Terminal Value'!$E$10+E874)*(1-'Assumptions'!$E$15)*(1-H874/'Terminal Value'!$E$12)</x:f>
        <x:v>160870.5259114619</x:v>
      </x:c>
      <x:c r="K874" s="264" t="n">
        <x:f>((SUM((('Historical Inputs'!$N$9*(1+(D874))^1)*(('Assumptions'!E37+(E874))*(1-'Assumptions'!E42-(0))+'Assumptions'!E47-'Assumptions'!E52*(F874)+'Assumptions'!E57-'Assumptions'!E62*(1)-'Assumptions'!E67-(0))+('Working Capital'!$E$6))*'DCF'!E12/(1+(G874))^'DCF'!E13,(('Historical Inputs'!$N$9*(1+(D874))^2)*(('Assumptions'!F37+(E874))*(1-'Assumptions'!F42-(0))+'Assumptions'!F47-'Assumptions'!F52*(F874)+'Assumptions'!F57-'Assumptions'!F62*(1)-'Assumptions'!F67-(0))+(('Historical Inputs'!$N$9*(1+(D874))^1)*('Assumptions'!E67+(0))))*'DCF'!F12/(1+(G874))^'DCF'!F13,(('Historical Inputs'!$N$9*(1+(D874))^3)*(('Assumptions'!G37+(E874))*(1-'Assumptions'!G42-(0))+'Assumptions'!G47-'Assumptions'!G52*(F874)+'Assumptions'!G57-'Assumptions'!G62*(1)-'Assumptions'!G67-(0))+(('Historical Inputs'!$N$9*(1+(D874))^2)*('Assumptions'!F67+(0))))*'DCF'!G12/(1+(G874))^'DCF'!G13,(('Historical Inputs'!$N$9*(1+(D874))^4)*(('Assumptions'!H37+(E874))*(1-'Assumptions'!H42-(0))+'Assumptions'!H47-'Assumptions'!H52*(F874)+'Assumptions'!H57-'Assumptions'!H62*(1)-'Assumptions'!H67-(0))+(('Historical Inputs'!$N$9*(1+(D874))^3)*('Assumptions'!G67+(0))))*'DCF'!H12/(1+(G874))^'DCF'!H13,(('Historical Inputs'!$N$9*(1+(D874))^5)*(('Assumptions'!I37+(E874))*(1-'Assumptions'!I42-(0))+'Assumptions'!I47-'Assumptions'!I52*(F874)+'Assumptions'!I57-'Assumptions'!I62*(1)-'Assumptions'!I67-(0))+(('Historical Inputs'!$N$9*(1+(D874))^4)*('Assumptions'!H67+(0))))*'DCF'!I12/(1+(G874))^'DCF'!I13)+('Historical Inputs'!$N$9*(1+(D874))^5)*(1+(H874))*('Terminal Value'!$E$10+(E874))*(1-'Assumptions'!$E$15-(0))*(1-(H874)/('Terminal Value'!$E$12))/((G874)-(H874))/(1+(G874))^'DCF'!$E$19)+'Equity Bridge'!$E$17)/'Equity Bridge'!$E$20</x:f>
        <x:v>222.8638017378801</x:v>
      </x:c>
      <x:c r="X874" s="255" t="n">
        <x:v>0.0844287911857643</x:v>
      </x:c>
      <x:c r="Y874" s="255" t="n">
        <x:v>0.3523300924018281</x:v>
      </x:c>
      <x:c r="Z874" s="255" t="n">
        <x:v>0.13033139750174594</x:v>
      </x:c>
      <x:c r="AA874" s="255" t="n">
        <x:v>0.7886133214253508</x:v>
      </x:c>
      <x:c r="AB874" s="255" t="n">
        <x:v>0.07274603744885688</x:v>
      </x:c>
    </x:row>
    <x:row r="875" ht="24" customHeight="1">
      <x:c r="C875" s="256" t="n">
        <x:f>844</x:f>
        <x:v>844</x:v>
      </x:c>
      <x:c r="D875" s="258" t="n">
        <x:f>IF(X875&lt;($E$12-$D$12)/($F$12-$D$12),$D$12+SQRT(X875*($F$12-$D$12)*($E$12-$D$12)),$F$12-SQRT((1-X875)*($F$12-$D$12)*($F$12-$E$12)))</x:f>
        <x:v>0.16506855258403055</x:v>
      </x:c>
      <x:c r="E875" s="258" t="n">
        <x:f>IF(Y875&lt;($E$13-$D$13)/($F$13-$D$13),$D$13+SQRT(Y875*($F$13-$D$13)*($E$13-$D$13)),$F$13-SQRT((1-Y875)*($F$13-$D$13)*($F$13-$E$13)))</x:f>
        <x:v>-0.016223656641746007</x:v>
      </x:c>
      <x:c r="F875" s="260" t="n">
        <x:f>IF(Z875&lt;($E$14-$D$14)/($F$14-$D$14),$D$14+SQRT(Z875*($F$14-$D$14)*($E$14-$D$14)),$F$14-SQRT((1-Z875)*($F$14-$D$14)*($F$14-$E$14)))</x:f>
        <x:v>1.04658022983213</x:v>
      </x:c>
      <x:c r="G875" s="258" t="n">
        <x:f>IF(AA875&lt;($E$15-$D$15)/($F$15-$D$15),$D$15+SQRT(AA875*($F$15-$D$15)*($E$15-$D$15)),$F$15-SQRT((1-AA875)*($F$15-$D$15)*($F$15-$E$15)))</x:f>
        <x:v>0.09745719539239693</x:v>
      </x:c>
      <x:c r="H875" s="258" t="n">
        <x:f>IF(AB875&lt;($E$16-$D$16)/($F$16-$D$16),$D$16+SQRT(AB875*($F$16-$D$16)*($E$16-$D$16)),$F$16-SQRT((1-AB875)*($F$16-$D$16)*($F$16-$E$16)))</x:f>
        <x:v>0.02726784821138974</x:v>
      </x:c>
      <x:c r="I875" s="262" t="n">
        <x:f>'Historical Inputs'!$N$9*(1+D875)^5</x:f>
        <x:v>712335.889486417</x:v>
      </x:c>
      <x:c r="J875" s="262" t="n">
        <x:f>I875*(1+H875)*('Terminal Value'!$E$10+E875)*(1-'Assumptions'!$E$15)*(1-H875/'Terminal Value'!$E$12)</x:f>
        <x:v>194034.9203152853</x:v>
      </x:c>
      <x:c r="K875" s="264" t="n">
        <x:f>((SUM((('Historical Inputs'!$N$9*(1+(D875))^1)*(('Assumptions'!E37+(E875))*(1-'Assumptions'!E42-(0))+'Assumptions'!E47-'Assumptions'!E52*(F875)+'Assumptions'!E57-'Assumptions'!E62*(1)-'Assumptions'!E67-(0))+('Working Capital'!$E$6))*'DCF'!E12/(1+(G875))^'DCF'!E13,(('Historical Inputs'!$N$9*(1+(D875))^2)*(('Assumptions'!F37+(E875))*(1-'Assumptions'!F42-(0))+'Assumptions'!F47-'Assumptions'!F52*(F875)+'Assumptions'!F57-'Assumptions'!F62*(1)-'Assumptions'!F67-(0))+(('Historical Inputs'!$N$9*(1+(D875))^1)*('Assumptions'!E67+(0))))*'DCF'!F12/(1+(G875))^'DCF'!F13,(('Historical Inputs'!$N$9*(1+(D875))^3)*(('Assumptions'!G37+(E875))*(1-'Assumptions'!G42-(0))+'Assumptions'!G47-'Assumptions'!G52*(F875)+'Assumptions'!G57-'Assumptions'!G62*(1)-'Assumptions'!G67-(0))+(('Historical Inputs'!$N$9*(1+(D875))^2)*('Assumptions'!F67+(0))))*'DCF'!G12/(1+(G875))^'DCF'!G13,(('Historical Inputs'!$N$9*(1+(D875))^4)*(('Assumptions'!H37+(E875))*(1-'Assumptions'!H42-(0))+'Assumptions'!H47-'Assumptions'!H52*(F875)+'Assumptions'!H57-'Assumptions'!H62*(1)-'Assumptions'!H67-(0))+(('Historical Inputs'!$N$9*(1+(D875))^3)*('Assumptions'!G67+(0))))*'DCF'!H12/(1+(G875))^'DCF'!H13,(('Historical Inputs'!$N$9*(1+(D875))^5)*(('Assumptions'!I37+(E875))*(1-'Assumptions'!I42-(0))+'Assumptions'!I47-'Assumptions'!I52*(F875)+'Assumptions'!I57-'Assumptions'!I62*(1)-'Assumptions'!I67-(0))+(('Historical Inputs'!$N$9*(1+(D875))^4)*('Assumptions'!H67+(0))))*'DCF'!I12/(1+(G875))^'DCF'!I13)+('Historical Inputs'!$N$9*(1+(D875))^5)*(1+(H875))*('Terminal Value'!$E$10+(E875))*(1-'Assumptions'!$E$15-(0))*(1-(H875)/('Terminal Value'!$E$12))/((G875)-(H875))/(1+(G875))^'DCF'!$E$19)+'Equity Bridge'!$E$17)/'Equity Bridge'!$E$20</x:f>
        <x:v>292.23130214212586</x:v>
      </x:c>
      <x:c r="X875" s="255" t="n">
        <x:v>0.8410820403582616</x:v>
      </x:c>
      <x:c r="Y875" s="255" t="n">
        <x:v>0.22816827413093377</x:v>
      </x:c>
      <x:c r="Z875" s="255" t="n">
        <x:v>0.6637482017376851</x:v>
      </x:c>
      <x:c r="AA875" s="255" t="n">
        <x:v>0.45549224359308205</x:v>
      </x:c>
      <x:c r="AB875" s="255" t="n">
        <x:v>0.2641080881190052</x:v>
      </x:c>
    </x:row>
    <x:row r="876" ht="24" customHeight="1">
      <x:c r="C876" s="256" t="n">
        <x:f>845</x:f>
        <x:v>845</x:v>
      </x:c>
      <x:c r="D876" s="258" t="n">
        <x:f>IF(X876&lt;($E$12-$D$12)/($F$12-$D$12),$D$12+SQRT(X876*($F$12-$D$12)*($E$12-$D$12)),$F$12-SQRT((1-X876)*($F$12-$D$12)*($F$12-$E$12)))</x:f>
        <x:v>0.13145892269759385</x:v>
      </x:c>
      <x:c r="E876" s="258" t="n">
        <x:f>IF(Y876&lt;($E$13-$D$13)/($F$13-$D$13),$D$13+SQRT(Y876*($F$13-$D$13)*($E$13-$D$13)),$F$13-SQRT((1-Y876)*($F$13-$D$13)*($F$13-$E$13)))</x:f>
        <x:v>-0.005684413227891177</x:v>
      </x:c>
      <x:c r="F876" s="260" t="n">
        <x:f>IF(Z876&lt;($E$14-$D$14)/($F$14-$D$14),$D$14+SQRT(Z876*($F$14-$D$14)*($E$14-$D$14)),$F$14-SQRT((1-Z876)*($F$14-$D$14)*($F$14-$E$14)))</x:f>
        <x:v>0.8696299526770643</x:v>
      </x:c>
      <x:c r="G876" s="258" t="n">
        <x:f>IF(AA876&lt;($E$15-$D$15)/($F$15-$D$15),$D$15+SQRT(AA876*($F$15-$D$15)*($E$15-$D$15)),$F$15-SQRT((1-AA876)*($F$15-$D$15)*($F$15-$E$15)))</x:f>
        <x:v>0.10654573390585713</x:v>
      </x:c>
      <x:c r="H876" s="258" t="n">
        <x:f>IF(AB876&lt;($E$16-$D$16)/($F$16-$D$16),$D$16+SQRT(AB876*($F$16-$D$16)*($E$16-$D$16)),$F$16-SQRT((1-AB876)*($F$16-$D$16)*($F$16-$E$16)))</x:f>
        <x:v>0.023601154791193804</x:v>
      </x:c>
      <x:c r="I876" s="262" t="n">
        <x:f>'Historical Inputs'!$N$9*(1+D876)^5</x:f>
        <x:v>615348.8370244885</x:v>
      </x:c>
      <x:c r="J876" s="262" t="n">
        <x:f>I876*(1+H876)*('Terminal Value'!$E$10+E876)*(1-'Assumptions'!$E$15)*(1-H876/'Terminal Value'!$E$12)</x:f>
        <x:v>175247.49741976388</x:v>
      </x:c>
      <x:c r="K876" s="264" t="n">
        <x:f>((SUM((('Historical Inputs'!$N$9*(1+(D876))^1)*(('Assumptions'!E37+(E876))*(1-'Assumptions'!E42-(0))+'Assumptions'!E47-'Assumptions'!E52*(F876)+'Assumptions'!E57-'Assumptions'!E62*(1)-'Assumptions'!E67-(0))+('Working Capital'!$E$6))*'DCF'!E12/(1+(G876))^'DCF'!E13,(('Historical Inputs'!$N$9*(1+(D876))^2)*(('Assumptions'!F37+(E876))*(1-'Assumptions'!F42-(0))+'Assumptions'!F47-'Assumptions'!F52*(F876)+'Assumptions'!F57-'Assumptions'!F62*(1)-'Assumptions'!F67-(0))+(('Historical Inputs'!$N$9*(1+(D876))^1)*('Assumptions'!E67+(0))))*'DCF'!F12/(1+(G876))^'DCF'!F13,(('Historical Inputs'!$N$9*(1+(D876))^3)*(('Assumptions'!G37+(E876))*(1-'Assumptions'!G42-(0))+'Assumptions'!G47-'Assumptions'!G52*(F876)+'Assumptions'!G57-'Assumptions'!G62*(1)-'Assumptions'!G67-(0))+(('Historical Inputs'!$N$9*(1+(D876))^2)*('Assumptions'!F67+(0))))*'DCF'!G12/(1+(G876))^'DCF'!G13,(('Historical Inputs'!$N$9*(1+(D876))^4)*(('Assumptions'!H37+(E876))*(1-'Assumptions'!H42-(0))+'Assumptions'!H47-'Assumptions'!H52*(F876)+'Assumptions'!H57-'Assumptions'!H62*(1)-'Assumptions'!H67-(0))+(('Historical Inputs'!$N$9*(1+(D876))^3)*('Assumptions'!G67+(0))))*'DCF'!H12/(1+(G876))^'DCF'!H13,(('Historical Inputs'!$N$9*(1+(D876))^5)*(('Assumptions'!I37+(E876))*(1-'Assumptions'!I42-(0))+'Assumptions'!I47-'Assumptions'!I52*(F876)+'Assumptions'!I57-'Assumptions'!I62*(1)-'Assumptions'!I67-(0))+(('Historical Inputs'!$N$9*(1+(D876))^4)*('Assumptions'!H67+(0))))*'DCF'!I12/(1+(G876))^'DCF'!I13)+('Historical Inputs'!$N$9*(1+(D876))^5)*(1+(H876))*('Terminal Value'!$E$10+(E876))*(1-'Assumptions'!$E$15-(0))*(1-(H876)/('Terminal Value'!$E$12))/((G876)-(H876))/(1+(G876))^'DCF'!$E$19)+'Equity Bridge'!$E$17)/'Equity Bridge'!$E$20</x:f>
        <x:v>235.03097969481527</x:v>
      </x:c>
      <x:c r="X876" s="255" t="n">
        <x:v>0.29187704603973996</x:v>
      </x:c>
      <x:c r="Y876" s="255" t="n">
        <x:v>0.39277424619126133</x:v>
      </x:c>
      <x:c r="Z876" s="255" t="n">
        <x:v>0.0073397150876911565</x:v>
      </x:c>
      <x:c r="AA876" s="255" t="n">
        <x:v>0.9033572980814986</x:v>
      </x:c>
      <x:c r="AB876" s="255" t="n">
        <x:v>0.06484157915069055</x:v>
      </x:c>
    </x:row>
    <x:row r="877" ht="24" customHeight="1">
      <x:c r="C877" s="256" t="n">
        <x:f>846</x:f>
        <x:v>846</x:v>
      </x:c>
      <x:c r="D877" s="258" t="n">
        <x:f>IF(X877&lt;($E$12-$D$12)/($F$12-$D$12),$D$12+SQRT(X877*($F$12-$D$12)*($E$12-$D$12)),$F$12-SQRT((1-X877)*($F$12-$D$12)*($F$12-$E$12)))</x:f>
        <x:v>0.1341474983876768</x:v>
      </x:c>
      <x:c r="E877" s="258" t="n">
        <x:f>IF(Y877&lt;($E$13-$D$13)/($F$13-$D$13),$D$13+SQRT(Y877*($F$13-$D$13)*($E$13-$D$13)),$F$13-SQRT((1-Y877)*($F$13-$D$13)*($F$13-$E$13)))</x:f>
        <x:v>-0.0492846942013656</x:v>
      </x:c>
      <x:c r="F877" s="260" t="n">
        <x:f>IF(Z877&lt;($E$14-$D$14)/($F$14-$D$14),$D$14+SQRT(Z877*($F$14-$D$14)*($E$14-$D$14)),$F$14-SQRT((1-Z877)*($F$14-$D$14)*($F$14-$E$14)))</x:f>
        <x:v>1.1184492029149895</x:v>
      </x:c>
      <x:c r="G877" s="258" t="n">
        <x:f>IF(AA877&lt;($E$15-$D$15)/($F$15-$D$15),$D$15+SQRT(AA877*($F$15-$D$15)*($E$15-$D$15)),$F$15-SQRT((1-AA877)*($F$15-$D$15)*($F$15-$E$15)))</x:f>
        <x:v>0.09540303416606638</x:v>
      </x:c>
      <x:c r="H877" s="258" t="n">
        <x:f>IF(AB877&lt;($E$16-$D$16)/($F$16-$D$16),$D$16+SQRT(AB877*($F$16-$D$16)*($E$16-$D$16)),$F$16-SQRT((1-AB877)*($F$16-$D$16)*($F$16-$E$16)))</x:f>
        <x:v>0.02801909077375663</x:v>
      </x:c>
      <x:c r="I877" s="262" t="n">
        <x:f>'Historical Inputs'!$N$9*(1+D877)^5</x:f>
        <x:v>622694.6320495792</x:v>
      </x:c>
      <x:c r="J877" s="262" t="n">
        <x:f>I877*(1+H877)*('Terminal Value'!$E$10+E877)*(1-'Assumptions'!$E$15)*(1-H877/'Terminal Value'!$E$12)</x:f>
        <x:v>154444.07547078616</x:v>
      </x:c>
      <x:c r="K877" s="264" t="n">
        <x:f>((SUM((('Historical Inputs'!$N$9*(1+(D877))^1)*(('Assumptions'!E37+(E877))*(1-'Assumptions'!E42-(0))+'Assumptions'!E47-'Assumptions'!E52*(F877)+'Assumptions'!E57-'Assumptions'!E62*(1)-'Assumptions'!E67-(0))+('Working Capital'!$E$6))*'DCF'!E12/(1+(G877))^'DCF'!E13,(('Historical Inputs'!$N$9*(1+(D877))^2)*(('Assumptions'!F37+(E877))*(1-'Assumptions'!F42-(0))+'Assumptions'!F47-'Assumptions'!F52*(F877)+'Assumptions'!F57-'Assumptions'!F62*(1)-'Assumptions'!F67-(0))+(('Historical Inputs'!$N$9*(1+(D877))^1)*('Assumptions'!E67+(0))))*'DCF'!F12/(1+(G877))^'DCF'!F13,(('Historical Inputs'!$N$9*(1+(D877))^3)*(('Assumptions'!G37+(E877))*(1-'Assumptions'!G42-(0))+'Assumptions'!G47-'Assumptions'!G52*(F877)+'Assumptions'!G57-'Assumptions'!G62*(1)-'Assumptions'!G67-(0))+(('Historical Inputs'!$N$9*(1+(D877))^2)*('Assumptions'!F67+(0))))*'DCF'!G12/(1+(G877))^'DCF'!G13,(('Historical Inputs'!$N$9*(1+(D877))^4)*(('Assumptions'!H37+(E877))*(1-'Assumptions'!H42-(0))+'Assumptions'!H47-'Assumptions'!H52*(F877)+'Assumptions'!H57-'Assumptions'!H62*(1)-'Assumptions'!H67-(0))+(('Historical Inputs'!$N$9*(1+(D877))^3)*('Assumptions'!G67+(0))))*'DCF'!H12/(1+(G877))^'DCF'!H13,(('Historical Inputs'!$N$9*(1+(D877))^5)*(('Assumptions'!I37+(E877))*(1-'Assumptions'!I42-(0))+'Assumptions'!I47-'Assumptions'!I52*(F877)+'Assumptions'!I57-'Assumptions'!I62*(1)-'Assumptions'!I67-(0))+(('Historical Inputs'!$N$9*(1+(D877))^4)*('Assumptions'!H67+(0))))*'DCF'!I12/(1+(G877))^'DCF'!I13)+('Historical Inputs'!$N$9*(1+(D877))^5)*(1+(H877))*('Terminal Value'!$E$10+(E877))*(1-'Assumptions'!$E$15-(0))*(1-(H877)/('Terminal Value'!$E$12))/((G877)-(H877))/(1+(G877))^'DCF'!$E$19)+'Equity Bridge'!$E$17)/'Equity Bridge'!$E$20</x:f>
        <x:v>237.18257003853762</x:v>
      </x:c>
      <x:c r="X877" s="255" t="n">
        <x:v>0.33440621468726994</x:v>
      </x:c>
      <x:c r="Y877" s="255" t="n">
        <x:v>0.00010233247711199933</x:v>
      </x:c>
      <x:c r="Z877" s="255" t="n">
        <x:v>0.904992392782849</x:v>
      </x:c>
      <x:c r="AA877" s="255" t="n">
        <x:v>0.33416211075009183</x:v>
      </x:c>
      <x:c r="AB877" s="255" t="n">
        <x:v>0.3215290841887436</x:v>
      </x:c>
    </x:row>
    <x:row r="878" ht="24" customHeight="1">
      <x:c r="C878" s="256" t="n">
        <x:f>847</x:f>
        <x:v>847</x:v>
      </x:c>
      <x:c r="D878" s="258" t="n">
        <x:f>IF(X878&lt;($E$12-$D$12)/($F$12-$D$12),$D$12+SQRT(X878*($F$12-$D$12)*($E$12-$D$12)),$F$12-SQRT((1-X878)*($F$12-$D$12)*($F$12-$E$12)))</x:f>
        <x:v>0.15770845897593427</x:v>
      </x:c>
      <x:c r="E878" s="258" t="n">
        <x:f>IF(Y878&lt;($E$13-$D$13)/($F$13-$D$13),$D$13+SQRT(Y878*($F$13-$D$13)*($E$13-$D$13)),$F$13-SQRT((1-Y878)*($F$13-$D$13)*($F$13-$E$13)))</x:f>
        <x:v>-0.014393201724463643</x:v>
      </x:c>
      <x:c r="F878" s="260" t="n">
        <x:f>IF(Z878&lt;($E$14-$D$14)/($F$14-$D$14),$D$14+SQRT(Z878*($F$14-$D$14)*($E$14-$D$14)),$F$14-SQRT((1-Z878)*($F$14-$D$14)*($F$14-$E$14)))</x:f>
        <x:v>1.0542021376791504</x:v>
      </x:c>
      <x:c r="G878" s="258" t="n">
        <x:f>IF(AA878&lt;($E$15-$D$15)/($F$15-$D$15),$D$15+SQRT(AA878*($F$15-$D$15)*($E$15-$D$15)),$F$15-SQRT((1-AA878)*($F$15-$D$15)*($F$15-$E$15)))</x:f>
        <x:v>0.09489894087924818</x:v>
      </x:c>
      <x:c r="H878" s="258" t="n">
        <x:f>IF(AB878&lt;($E$16-$D$16)/($F$16-$D$16),$D$16+SQRT(AB878*($F$16-$D$16)*($E$16-$D$16)),$F$16-SQRT((1-AB878)*($F$16-$D$16)*($F$16-$E$16)))</x:f>
        <x:v>0.036108245687715486</x:v>
      </x:c>
      <x:c r="I878" s="262" t="n">
        <x:f>'Historical Inputs'!$N$9*(1+D878)^5</x:f>
        <x:v>690118.164681504</x:v>
      </x:c>
      <x:c r="J878" s="262" t="n">
        <x:f>I878*(1+H878)*('Terminal Value'!$E$10+E878)*(1-'Assumptions'!$E$15)*(1-H878/'Terminal Value'!$E$12)</x:f>
        <x:v>180755.01932169244</x:v>
      </x:c>
      <x:c r="K878" s="264" t="n">
        <x:f>((SUM((('Historical Inputs'!$N$9*(1+(D878))^1)*(('Assumptions'!E37+(E878))*(1-'Assumptions'!E42-(0))+'Assumptions'!E47-'Assumptions'!E52*(F878)+'Assumptions'!E57-'Assumptions'!E62*(1)-'Assumptions'!E67-(0))+('Working Capital'!$E$6))*'DCF'!E12/(1+(G878))^'DCF'!E13,(('Historical Inputs'!$N$9*(1+(D878))^2)*(('Assumptions'!F37+(E878))*(1-'Assumptions'!F42-(0))+'Assumptions'!F47-'Assumptions'!F52*(F878)+'Assumptions'!F57-'Assumptions'!F62*(1)-'Assumptions'!F67-(0))+(('Historical Inputs'!$N$9*(1+(D878))^1)*('Assumptions'!E67+(0))))*'DCF'!F12/(1+(G878))^'DCF'!F13,(('Historical Inputs'!$N$9*(1+(D878))^3)*(('Assumptions'!G37+(E878))*(1-'Assumptions'!G42-(0))+'Assumptions'!G47-'Assumptions'!G52*(F878)+'Assumptions'!G57-'Assumptions'!G62*(1)-'Assumptions'!G67-(0))+(('Historical Inputs'!$N$9*(1+(D878))^2)*('Assumptions'!F67+(0))))*'DCF'!G12/(1+(G878))^'DCF'!G13,(('Historical Inputs'!$N$9*(1+(D878))^4)*(('Assumptions'!H37+(E878))*(1-'Assumptions'!H42-(0))+'Assumptions'!H47-'Assumptions'!H52*(F878)+'Assumptions'!H57-'Assumptions'!H62*(1)-'Assumptions'!H67-(0))+(('Historical Inputs'!$N$9*(1+(D878))^3)*('Assumptions'!G67+(0))))*'DCF'!H12/(1+(G878))^'DCF'!H13,(('Historical Inputs'!$N$9*(1+(D878))^5)*(('Assumptions'!I37+(E878))*(1-'Assumptions'!I42-(0))+'Assumptions'!I47-'Assumptions'!I52*(F878)+'Assumptions'!I57-'Assumptions'!I62*(1)-'Assumptions'!I67-(0))+(('Historical Inputs'!$N$9*(1+(D878))^4)*('Assumptions'!H67+(0))))*'DCF'!I12/(1+(G878))^'DCF'!I13)+('Historical Inputs'!$N$9*(1+(D878))^5)*(1+(H878))*('Terminal Value'!$E$10+(E878))*(1-'Assumptions'!$E$15-(0))*(1-(H878)/('Terminal Value'!$E$12))/((G878)-(H878))/(1+(G878))^'DCF'!$E$19)+'Equity Bridge'!$E$17)/'Equity Bridge'!$E$20</x:f>
        <x:v>321.0061809483981</x:v>
      </x:c>
      <x:c r="X878" s="255" t="n">
        <x:v>0.7472599358581699</x:v>
      </x:c>
      <x:c r="Y878" s="255" t="n">
        <x:v>0.25356881668694775</x:v>
      </x:c>
      <x:c r="Z878" s="255" t="n">
        <x:v>0.6963283334667224</x:v>
      </x:c>
      <x:c r="AA878" s="255" t="n">
        <x:v>0.3072533462118625</x:v>
      </x:c>
      <x:c r="AB878" s="255" t="n">
        <x:v>0.9242712418640745</x:v>
      </x:c>
    </x:row>
    <x:row r="879" ht="24" customHeight="1">
      <x:c r="C879" s="256" t="n">
        <x:f>848</x:f>
        <x:v>848</x:v>
      </x:c>
      <x:c r="D879" s="258" t="n">
        <x:f>IF(X879&lt;($E$12-$D$12)/($F$12-$D$12),$D$12+SQRT(X879*($F$12-$D$12)*($E$12-$D$12)),$F$12-SQRT((1-X879)*($F$12-$D$12)*($F$12-$E$12)))</x:f>
        <x:v>0.15186894619891605</x:v>
      </x:c>
      <x:c r="E879" s="258" t="n">
        <x:f>IF(Y879&lt;($E$13-$D$13)/($F$13-$D$13),$D$13+SQRT(Y879*($F$13-$D$13)*($E$13-$D$13)),$F$13-SQRT((1-Y879)*($F$13-$D$13)*($F$13-$E$13)))</x:f>
        <x:v>0.026183166343166222</x:v>
      </x:c>
      <x:c r="F879" s="260" t="n">
        <x:f>IF(Z879&lt;($E$14-$D$14)/($F$14-$D$14),$D$14+SQRT(Z879*($F$14-$D$14)*($E$14-$D$14)),$F$14-SQRT((1-Z879)*($F$14-$D$14)*($F$14-$E$14)))</x:f>
        <x:v>1.0131883591220399</x:v>
      </x:c>
      <x:c r="G879" s="258" t="n">
        <x:f>IF(AA879&lt;($E$15-$D$15)/($F$15-$D$15),$D$15+SQRT(AA879*($F$15-$D$15)*($E$15-$D$15)),$F$15-SQRT((1-AA879)*($F$15-$D$15)*($F$15-$E$15)))</x:f>
        <x:v>0.0995828952094008</x:v>
      </x:c>
      <x:c r="H879" s="258" t="n">
        <x:f>IF(AB879&lt;($E$16-$D$16)/($F$16-$D$16),$D$16+SQRT(AB879*($F$16-$D$16)*($E$16-$D$16)),$F$16-SQRT((1-AB879)*($F$16-$D$16)*($F$16-$E$16)))</x:f>
        <x:v>0.028200254928508715</x:v>
      </x:c>
      <x:c r="I879" s="262" t="n">
        <x:f>'Historical Inputs'!$N$9*(1+D879)^5</x:f>
        <x:v>672887.9891469525</x:v>
      </x:c>
      <x:c r="J879" s="262" t="n">
        <x:f>I879*(1+H879)*('Terminal Value'!$E$10+E879)*(1-'Assumptions'!$E$15)*(1-H879/'Terminal Value'!$E$12)</x:f>
        <x:v>202627.91778156935</x:v>
      </x:c>
      <x:c r="K879" s="264" t="n">
        <x:f>((SUM((('Historical Inputs'!$N$9*(1+(D879))^1)*(('Assumptions'!E37+(E879))*(1-'Assumptions'!E42-(0))+'Assumptions'!E47-'Assumptions'!E52*(F879)+'Assumptions'!E57-'Assumptions'!E62*(1)-'Assumptions'!E67-(0))+('Working Capital'!$E$6))*'DCF'!E12/(1+(G879))^'DCF'!E13,(('Historical Inputs'!$N$9*(1+(D879))^2)*(('Assumptions'!F37+(E879))*(1-'Assumptions'!F42-(0))+'Assumptions'!F47-'Assumptions'!F52*(F879)+'Assumptions'!F57-'Assumptions'!F62*(1)-'Assumptions'!F67-(0))+(('Historical Inputs'!$N$9*(1+(D879))^1)*('Assumptions'!E67+(0))))*'DCF'!F12/(1+(G879))^'DCF'!F13,(('Historical Inputs'!$N$9*(1+(D879))^3)*(('Assumptions'!G37+(E879))*(1-'Assumptions'!G42-(0))+'Assumptions'!G47-'Assumptions'!G52*(F879)+'Assumptions'!G57-'Assumptions'!G62*(1)-'Assumptions'!G67-(0))+(('Historical Inputs'!$N$9*(1+(D879))^2)*('Assumptions'!F67+(0))))*'DCF'!G12/(1+(G879))^'DCF'!G13,(('Historical Inputs'!$N$9*(1+(D879))^4)*(('Assumptions'!H37+(E879))*(1-'Assumptions'!H42-(0))+'Assumptions'!H47-'Assumptions'!H52*(F879)+'Assumptions'!H57-'Assumptions'!H62*(1)-'Assumptions'!H67-(0))+(('Historical Inputs'!$N$9*(1+(D879))^3)*('Assumptions'!G67+(0))))*'DCF'!H12/(1+(G879))^'DCF'!H13,(('Historical Inputs'!$N$9*(1+(D879))^5)*(('Assumptions'!I37+(E879))*(1-'Assumptions'!I42-(0))+'Assumptions'!I47-'Assumptions'!I52*(F879)+'Assumptions'!I57-'Assumptions'!I62*(1)-'Assumptions'!I67-(0))+(('Historical Inputs'!$N$9*(1+(D879))^4)*('Assumptions'!H67+(0))))*'DCF'!I12/(1+(G879))^'DCF'!I13)+('Historical Inputs'!$N$9*(1+(D879))^5)*(1+(H879))*('Terminal Value'!$E$10+(E879))*(1-'Assumptions'!$E$15-(0))*(1-(H879)/('Terminal Value'!$E$12))/((G879)-(H879))/(1+(G879))^'DCF'!$E$19)+'Equity Bridge'!$E$17)/'Equity Bridge'!$E$20</x:f>
        <x:v>304.9538118116155</x:v>
      </x:c>
      <x:c r="X879" s="255" t="n">
        <x:v>0.6574054391764061</x:v>
      </x:c>
      <x:c r="Y879" s="255" t="n">
        <x:v>0.8865516869125419</x:v>
      </x:c>
      <x:c r="Z879" s="255" t="n">
        <x:v>0.5014487261783441</x:v>
      </x:c>
      <x:c r="AA879" s="255" t="n">
        <x:v>0.5915442145023393</x:v>
      </x:c>
      <x:c r="AB879" s="255" t="n">
        <x:v>0.3362209044626574</x:v>
      </x:c>
    </x:row>
    <x:row r="880" ht="24" customHeight="1">
      <x:c r="C880" s="256" t="n">
        <x:f>849</x:f>
        <x:v>849</x:v>
      </x:c>
      <x:c r="D880" s="258" t="n">
        <x:f>IF(X880&lt;($E$12-$D$12)/($F$12-$D$12),$D$12+SQRT(X880*($F$12-$D$12)*($E$12-$D$12)),$F$12-SQRT((1-X880)*($F$12-$D$12)*($F$12-$E$12)))</x:f>
        <x:v>0.16143618113542238</x:v>
      </x:c>
      <x:c r="E880" s="258" t="n">
        <x:f>IF(Y880&lt;($E$13-$D$13)/($F$13-$D$13),$D$13+SQRT(Y880*($F$13-$D$13)*($E$13-$D$13)),$F$13-SQRT((1-Y880)*($F$13-$D$13)*($F$13-$E$13)))</x:f>
        <x:v>-0.009606038654566072</x:v>
      </x:c>
      <x:c r="F880" s="260" t="n">
        <x:f>IF(Z880&lt;($E$14-$D$14)/($F$14-$D$14),$D$14+SQRT(Z880*($F$14-$D$14)*($E$14-$D$14)),$F$14-SQRT((1-Z880)*($F$14-$D$14)*($F$14-$E$14)))</x:f>
        <x:v>0.9287110505799683</x:v>
      </x:c>
      <x:c r="G880" s="258" t="n">
        <x:f>IF(AA880&lt;($E$15-$D$15)/($F$15-$D$15),$D$15+SQRT(AA880*($F$15-$D$15)*($E$15-$D$15)),$F$15-SQRT((1-AA880)*($F$15-$D$15)*($F$15-$E$15)))</x:f>
        <x:v>0.09111016969720939</x:v>
      </x:c>
      <x:c r="H880" s="258" t="n">
        <x:f>IF(AB880&lt;($E$16-$D$16)/($F$16-$D$16),$D$16+SQRT(AB880*($F$16-$D$16)*($E$16-$D$16)),$F$16-SQRT((1-AB880)*($F$16-$D$16)*($F$16-$E$16)))</x:f>
        <x:v>0.024157857584241767</x:v>
      </x:c>
      <x:c r="I880" s="262" t="n">
        <x:f>'Historical Inputs'!$N$9*(1+D880)^5</x:f>
        <x:v>701300.5529918026</x:v>
      </x:c>
      <x:c r="J880" s="262" t="n">
        <x:f>I880*(1+H880)*('Terminal Value'!$E$10+E880)*(1-'Assumptions'!$E$15)*(1-H880/'Terminal Value'!$E$12)</x:f>
        <x:v>197222.80525346624</x:v>
      </x:c>
      <x:c r="K880" s="264" t="n">
        <x:f>((SUM((('Historical Inputs'!$N$9*(1+(D880))^1)*(('Assumptions'!E37+(E880))*(1-'Assumptions'!E42-(0))+'Assumptions'!E47-'Assumptions'!E52*(F880)+'Assumptions'!E57-'Assumptions'!E62*(1)-'Assumptions'!E67-(0))+('Working Capital'!$E$6))*'DCF'!E12/(1+(G880))^'DCF'!E13,(('Historical Inputs'!$N$9*(1+(D880))^2)*(('Assumptions'!F37+(E880))*(1-'Assumptions'!F42-(0))+'Assumptions'!F47-'Assumptions'!F52*(F880)+'Assumptions'!F57-'Assumptions'!F62*(1)-'Assumptions'!F67-(0))+(('Historical Inputs'!$N$9*(1+(D880))^1)*('Assumptions'!E67+(0))))*'DCF'!F12/(1+(G880))^'DCF'!F13,(('Historical Inputs'!$N$9*(1+(D880))^3)*(('Assumptions'!G37+(E880))*(1-'Assumptions'!G42-(0))+'Assumptions'!G47-'Assumptions'!G52*(F880)+'Assumptions'!G57-'Assumptions'!G62*(1)-'Assumptions'!G67-(0))+(('Historical Inputs'!$N$9*(1+(D880))^2)*('Assumptions'!F67+(0))))*'DCF'!G12/(1+(G880))^'DCF'!G13,(('Historical Inputs'!$N$9*(1+(D880))^4)*(('Assumptions'!H37+(E880))*(1-'Assumptions'!H42-(0))+'Assumptions'!H47-'Assumptions'!H52*(F880)+'Assumptions'!H57-'Assumptions'!H62*(1)-'Assumptions'!H67-(0))+(('Historical Inputs'!$N$9*(1+(D880))^3)*('Assumptions'!G67+(0))))*'DCF'!H12/(1+(G880))^'DCF'!H13,(('Historical Inputs'!$N$9*(1+(D880))^5)*(('Assumptions'!I37+(E880))*(1-'Assumptions'!I42-(0))+'Assumptions'!I47-'Assumptions'!I52*(F880)+'Assumptions'!I57-'Assumptions'!I62*(1)-'Assumptions'!I67-(0))+(('Historical Inputs'!$N$9*(1+(D880))^4)*('Assumptions'!H67+(0))))*'DCF'!I12/(1+(G880))^'DCF'!I13)+('Historical Inputs'!$N$9*(1+(D880))^5)*(1+(H880))*('Terminal Value'!$E$10+(E880))*(1-'Assumptions'!$E$15-(0))*(1-(H880)/('Terminal Value'!$E$12))/((G880)-(H880))/(1+(G880))^'DCF'!$E$19)+'Equity Bridge'!$E$17)/'Equity Bridge'!$E$20</x:f>
        <x:v>324.709709373889</x:v>
      </x:c>
      <x:c r="X880" s="255" t="n">
        <x:v>0.7974868195482456</x:v>
      </x:c>
      <x:c r="Y880" s="255" t="n">
        <x:v>0.326334422635282</x:v>
      </x:c>
      <x:c r="Z880" s="255" t="n">
        <x:v>0.11800818063623486</x:v>
      </x:c>
      <x:c r="AA880" s="255" t="n">
        <x:v>0.1411504855875464</x:v>
      </x:c>
      <x:c r="AB880" s="255" t="n">
        <x:v>0.08643889845418407</x:v>
      </x:c>
    </x:row>
    <x:row r="881" ht="24" customHeight="1">
      <x:c r="C881" s="256" t="n">
        <x:f>850</x:f>
        <x:v>850</x:v>
      </x:c>
      <x:c r="D881" s="258" t="n">
        <x:f>IF(X881&lt;($E$12-$D$12)/($F$12-$D$12),$D$12+SQRT(X881*($F$12-$D$12)*($E$12-$D$12)),$F$12-SQRT((1-X881)*($F$12-$D$12)*($F$12-$E$12)))</x:f>
        <x:v>0.16046723825275924</x:v>
      </x:c>
      <x:c r="E881" s="258" t="n">
        <x:f>IF(Y881&lt;($E$13-$D$13)/($F$13-$D$13),$D$13+SQRT(Y881*($F$13-$D$13)*($E$13-$D$13)),$F$13-SQRT((1-Y881)*($F$13-$D$13)*($F$13-$E$13)))</x:f>
        <x:v>0.014921856581477447</x:v>
      </x:c>
      <x:c r="F881" s="260" t="n">
        <x:f>IF(Z881&lt;($E$14-$D$14)/($F$14-$D$14),$D$14+SQRT(Z881*($F$14-$D$14)*($E$14-$D$14)),$F$14-SQRT((1-Z881)*($F$14-$D$14)*($F$14-$E$14)))</x:f>
        <x:v>0.9264523600162684</x:v>
      </x:c>
      <x:c r="G881" s="258" t="n">
        <x:f>IF(AA881&lt;($E$15-$D$15)/($F$15-$D$15),$D$15+SQRT(AA881*($F$15-$D$15)*($E$15-$D$15)),$F$15-SQRT((1-AA881)*($F$15-$D$15)*($F$15-$E$15)))</x:f>
        <x:v>0.09644223908459307</x:v>
      </x:c>
      <x:c r="H881" s="258" t="n">
        <x:f>IF(AB881&lt;($E$16-$D$16)/($F$16-$D$16),$D$16+SQRT(AB881*($F$16-$D$16)*($E$16-$D$16)),$F$16-SQRT((1-AB881)*($F$16-$D$16)*($F$16-$E$16)))</x:f>
        <x:v>0.02853744955147885</x:v>
      </x:c>
      <x:c r="I881" s="262" t="n">
        <x:f>'Historical Inputs'!$N$9*(1+D881)^5</x:f>
        <x:v>698380.0854738262</x:v>
      </x:c>
      <x:c r="J881" s="262" t="n">
        <x:f>I881*(1+H881)*('Terminal Value'!$E$10+E881)*(1-'Assumptions'!$E$15)*(1-H881/'Terminal Value'!$E$12)</x:f>
        <x:v>204412.5421325619</x:v>
      </x:c>
      <x:c r="K881" s="264" t="n">
        <x:f>((SUM((('Historical Inputs'!$N$9*(1+(D881))^1)*(('Assumptions'!E37+(E881))*(1-'Assumptions'!E42-(0))+'Assumptions'!E47-'Assumptions'!E52*(F881)+'Assumptions'!E57-'Assumptions'!E62*(1)-'Assumptions'!E67-(0))+('Working Capital'!$E$6))*'DCF'!E12/(1+(G881))^'DCF'!E13,(('Historical Inputs'!$N$9*(1+(D881))^2)*(('Assumptions'!F37+(E881))*(1-'Assumptions'!F42-(0))+'Assumptions'!F47-'Assumptions'!F52*(F881)+'Assumptions'!F57-'Assumptions'!F62*(1)-'Assumptions'!F67-(0))+(('Historical Inputs'!$N$9*(1+(D881))^1)*('Assumptions'!E67+(0))))*'DCF'!F12/(1+(G881))^'DCF'!F13,(('Historical Inputs'!$N$9*(1+(D881))^3)*(('Assumptions'!G37+(E881))*(1-'Assumptions'!G42-(0))+'Assumptions'!G47-'Assumptions'!G52*(F881)+'Assumptions'!G57-'Assumptions'!G62*(1)-'Assumptions'!G67-(0))+(('Historical Inputs'!$N$9*(1+(D881))^2)*('Assumptions'!F67+(0))))*'DCF'!G12/(1+(G881))^'DCF'!G13,(('Historical Inputs'!$N$9*(1+(D881))^4)*(('Assumptions'!H37+(E881))*(1-'Assumptions'!H42-(0))+'Assumptions'!H47-'Assumptions'!H52*(F881)+'Assumptions'!H57-'Assumptions'!H62*(1)-'Assumptions'!H67-(0))+(('Historical Inputs'!$N$9*(1+(D881))^3)*('Assumptions'!G67+(0))))*'DCF'!H12/(1+(G881))^'DCF'!H13,(('Historical Inputs'!$N$9*(1+(D881))^5)*(('Assumptions'!I37+(E881))*(1-'Assumptions'!I42-(0))+'Assumptions'!I47-'Assumptions'!I52*(F881)+'Assumptions'!I57-'Assumptions'!I62*(1)-'Assumptions'!I67-(0))+(('Historical Inputs'!$N$9*(1+(D881))^4)*('Assumptions'!H67+(0))))*'DCF'!I12/(1+(G881))^'DCF'!I13)+('Historical Inputs'!$N$9*(1+(D881))^5)*(1+(H881))*('Terminal Value'!$E$10+(E881))*(1-'Assumptions'!$E$15-(0))*(1-(H881)/('Terminal Value'!$E$12))/((G881)-(H881))/(1+(G881))^'DCF'!$E$19)+'Equity Bridge'!$E$17)/'Equity Bridge'!$E$20</x:f>
        <x:v>328.7432617439461</x:v>
      </x:c>
      <x:c r="X881" s="255" t="n">
        <x:v>0.7849660186432538</x:v>
      </x:c>
      <x:c r="Y881" s="255" t="n">
        <x:v>0.7539047708619125</x:v>
      </x:c>
      <x:c r="Z881" s="255" t="n">
        <x:v>0.11133263527727832</x:v>
      </x:c>
      <x:c r="AA881" s="255" t="n">
        <x:v>0.39319942223334126</x:v>
      </x:c>
      <x:c r="AB881" s="255" t="n">
        <x:v>0.36444022422023237</x:v>
      </x:c>
    </x:row>
    <x:row r="882" ht="24" customHeight="1">
      <x:c r="C882" s="256" t="n">
        <x:f>851</x:f>
        <x:v>851</x:v>
      </x:c>
      <x:c r="D882" s="258" t="n">
        <x:f>IF(X882&lt;($E$12-$D$12)/($F$12-$D$12),$D$12+SQRT(X882*($F$12-$D$12)*($E$12-$D$12)),$F$12-SQRT((1-X882)*($F$12-$D$12)*($F$12-$E$12)))</x:f>
        <x:v>0.1440760416693796</x:v>
      </x:c>
      <x:c r="E882" s="258" t="n">
        <x:f>IF(Y882&lt;($E$13-$D$13)/($F$13-$D$13),$D$13+SQRT(Y882*($F$13-$D$13)*($E$13-$D$13)),$F$13-SQRT((1-Y882)*($F$13-$D$13)*($F$13-$E$13)))</x:f>
        <x:v>-0.00970119086153004</x:v>
      </x:c>
      <x:c r="F882" s="260" t="n">
        <x:f>IF(Z882&lt;($E$14-$D$14)/($F$14-$D$14),$D$14+SQRT(Z882*($F$14-$D$14)*($E$14-$D$14)),$F$14-SQRT((1-Z882)*($F$14-$D$14)*($F$14-$E$14)))</x:f>
        <x:v>0.9843690550575919</x:v>
      </x:c>
      <x:c r="G882" s="258" t="n">
        <x:f>IF(AA882&lt;($E$15-$D$15)/($F$15-$D$15),$D$15+SQRT(AA882*($F$15-$D$15)*($E$15-$D$15)),$F$15-SQRT((1-AA882)*($F$15-$D$15)*($F$15-$E$15)))</x:f>
        <x:v>0.09110265099789575</x:v>
      </x:c>
      <x:c r="H882" s="258" t="n">
        <x:f>IF(AB882&lt;($E$16-$D$16)/($F$16-$D$16),$D$16+SQRT(AB882*($F$16-$D$16)*($E$16-$D$16)),$F$16-SQRT((1-AB882)*($F$16-$D$16)*($F$16-$E$16)))</x:f>
        <x:v>0.0348878293729603</x:v>
      </x:c>
      <x:c r="I882" s="262" t="n">
        <x:f>'Historical Inputs'!$N$9*(1+D882)^5</x:f>
        <x:v>650431.972497974</x:v>
      </x:c>
      <x:c r="J882" s="262" t="n">
        <x:f>I882*(1+H882)*('Terminal Value'!$E$10+E882)*(1-'Assumptions'!$E$15)*(1-H882/'Terminal Value'!$E$12)</x:f>
        <x:v>173512.77881048928</x:v>
      </x:c>
      <x:c r="K882" s="264" t="n">
        <x:f>((SUM((('Historical Inputs'!$N$9*(1+(D882))^1)*(('Assumptions'!E37+(E882))*(1-'Assumptions'!E42-(0))+'Assumptions'!E47-'Assumptions'!E52*(F882)+'Assumptions'!E57-'Assumptions'!E62*(1)-'Assumptions'!E67-(0))+('Working Capital'!$E$6))*'DCF'!E12/(1+(G882))^'DCF'!E13,(('Historical Inputs'!$N$9*(1+(D882))^2)*(('Assumptions'!F37+(E882))*(1-'Assumptions'!F42-(0))+'Assumptions'!F47-'Assumptions'!F52*(F882)+'Assumptions'!F57-'Assumptions'!F62*(1)-'Assumptions'!F67-(0))+(('Historical Inputs'!$N$9*(1+(D882))^1)*('Assumptions'!E67+(0))))*'DCF'!F12/(1+(G882))^'DCF'!F13,(('Historical Inputs'!$N$9*(1+(D882))^3)*(('Assumptions'!G37+(E882))*(1-'Assumptions'!G42-(0))+'Assumptions'!G47-'Assumptions'!G52*(F882)+'Assumptions'!G57-'Assumptions'!G62*(1)-'Assumptions'!G67-(0))+(('Historical Inputs'!$N$9*(1+(D882))^2)*('Assumptions'!F67+(0))))*'DCF'!G12/(1+(G882))^'DCF'!G13,(('Historical Inputs'!$N$9*(1+(D882))^4)*(('Assumptions'!H37+(E882))*(1-'Assumptions'!H42-(0))+'Assumptions'!H47-'Assumptions'!H52*(F882)+'Assumptions'!H57-'Assumptions'!H62*(1)-'Assumptions'!H67-(0))+(('Historical Inputs'!$N$9*(1+(D882))^3)*('Assumptions'!G67+(0))))*'DCF'!H12/(1+(G882))^'DCF'!H13,(('Historical Inputs'!$N$9*(1+(D882))^5)*(('Assumptions'!I37+(E882))*(1-'Assumptions'!I42-(0))+'Assumptions'!I47-'Assumptions'!I52*(F882)+'Assumptions'!I57-'Assumptions'!I62*(1)-'Assumptions'!I67-(0))+(('Historical Inputs'!$N$9*(1+(D882))^4)*('Assumptions'!H67+(0))))*'DCF'!I12/(1+(G882))^'DCF'!I13)+('Historical Inputs'!$N$9*(1+(D882))^5)*(1+(H882))*('Terminal Value'!$E$10+(E882))*(1-'Assumptions'!$E$15-(0))*(1-(H882)/('Terminal Value'!$E$12))/((G882)-(H882))/(1+(G882))^'DCF'!$E$19)+'Equity Bridge'!$E$17)/'Equity Bridge'!$E$20</x:f>
        <x:v>330.2792118155845</x:v>
      </x:c>
      <x:c r="X882" s="255" t="n">
        <x:v>0.5162462381656936</x:v>
      </x:c>
      <x:c r="Y882" s="255" t="n">
        <x:v>0.3247988035957661</x:v>
      </x:c>
      <x:c r="Z882" s="255" t="n">
        <x:v>0.34390558013467</x:v>
      </x:c>
      <x:c r="AA882" s="255" t="n">
        <x:v>0.14088428884343906</x:v>
      </x:c>
      <x:c r="AB882" s="255" t="n">
        <x:v>0.8693285574001623</x:v>
      </x:c>
    </x:row>
    <x:row r="883" ht="24" customHeight="1">
      <x:c r="C883" s="256" t="n">
        <x:f>852</x:f>
        <x:v>852</x:v>
      </x:c>
      <x:c r="D883" s="258" t="n">
        <x:f>IF(X883&lt;($E$12-$D$12)/($F$12-$D$12),$D$12+SQRT(X883*($F$12-$D$12)*($E$12-$D$12)),$F$12-SQRT((1-X883)*($F$12-$D$12)*($F$12-$E$12)))</x:f>
        <x:v>0.13547366085814957</x:v>
      </x:c>
      <x:c r="E883" s="258" t="n">
        <x:f>IF(Y883&lt;($E$13-$D$13)/($F$13-$D$13),$D$13+SQRT(Y883*($F$13-$D$13)*($E$13-$D$13)),$F$13-SQRT((1-Y883)*($F$13-$D$13)*($F$13-$E$13)))</x:f>
        <x:v>0.003871471369008922</x:v>
      </x:c>
      <x:c r="F883" s="260" t="n">
        <x:f>IF(Z883&lt;($E$14-$D$14)/($F$14-$D$14),$D$14+SQRT(Z883*($F$14-$D$14)*($E$14-$D$14)),$F$14-SQRT((1-Z883)*($F$14-$D$14)*($F$14-$E$14)))</x:f>
        <x:v>0.9820618107379107</x:v>
      </x:c>
      <x:c r="G883" s="258" t="n">
        <x:f>IF(AA883&lt;($E$15-$D$15)/($F$15-$D$15),$D$15+SQRT(AA883*($F$15-$D$15)*($E$15-$D$15)),$F$15-SQRT((1-AA883)*($F$15-$D$15)*($F$15-$E$15)))</x:f>
        <x:v>0.09293696793497773</x:v>
      </x:c>
      <x:c r="H883" s="258" t="n">
        <x:f>IF(AB883&lt;($E$16-$D$16)/($F$16-$D$16),$D$16+SQRT(AB883*($F$16-$D$16)*($E$16-$D$16)),$F$16-SQRT((1-AB883)*($F$16-$D$16)*($F$16-$E$16)))</x:f>
        <x:v>0.03229497130325675</x:v>
      </x:c>
      <x:c r="I883" s="262" t="n">
        <x:f>'Historical Inputs'!$N$9*(1+D883)^5</x:f>
        <x:v>626343.7505294306</x:v>
      </x:c>
      <x:c r="J883" s="262" t="n">
        <x:f>I883*(1+H883)*('Terminal Value'!$E$10+E883)*(1-'Assumptions'!$E$15)*(1-H883/'Terminal Value'!$E$12)</x:f>
        <x:v>175172.45375825115</x:v>
      </x:c>
      <x:c r="K883" s="264" t="n">
        <x:f>((SUM((('Historical Inputs'!$N$9*(1+(D883))^1)*(('Assumptions'!E37+(E883))*(1-'Assumptions'!E42-(0))+'Assumptions'!E47-'Assumptions'!E52*(F883)+'Assumptions'!E57-'Assumptions'!E62*(1)-'Assumptions'!E67-(0))+('Working Capital'!$E$6))*'DCF'!E12/(1+(G883))^'DCF'!E13,(('Historical Inputs'!$N$9*(1+(D883))^2)*(('Assumptions'!F37+(E883))*(1-'Assumptions'!F42-(0))+'Assumptions'!F47-'Assumptions'!F52*(F883)+'Assumptions'!F57-'Assumptions'!F62*(1)-'Assumptions'!F67-(0))+(('Historical Inputs'!$N$9*(1+(D883))^1)*('Assumptions'!E67+(0))))*'DCF'!F12/(1+(G883))^'DCF'!F13,(('Historical Inputs'!$N$9*(1+(D883))^3)*(('Assumptions'!G37+(E883))*(1-'Assumptions'!G42-(0))+'Assumptions'!G47-'Assumptions'!G52*(F883)+'Assumptions'!G57-'Assumptions'!G62*(1)-'Assumptions'!G67-(0))+(('Historical Inputs'!$N$9*(1+(D883))^2)*('Assumptions'!F67+(0))))*'DCF'!G12/(1+(G883))^'DCF'!G13,(('Historical Inputs'!$N$9*(1+(D883))^4)*(('Assumptions'!H37+(E883))*(1-'Assumptions'!H42-(0))+'Assumptions'!H47-'Assumptions'!H52*(F883)+'Assumptions'!H57-'Assumptions'!H62*(1)-'Assumptions'!H67-(0))+(('Historical Inputs'!$N$9*(1+(D883))^3)*('Assumptions'!G67+(0))))*'DCF'!H12/(1+(G883))^'DCF'!H13,(('Historical Inputs'!$N$9*(1+(D883))^5)*(('Assumptions'!I37+(E883))*(1-'Assumptions'!I42-(0))+'Assumptions'!I47-'Assumptions'!I52*(F883)+'Assumptions'!I57-'Assumptions'!I62*(1)-'Assumptions'!I67-(0))+(('Historical Inputs'!$N$9*(1+(D883))^4)*('Assumptions'!H67+(0))))*'DCF'!I12/(1+(G883))^'DCF'!I13)+('Historical Inputs'!$N$9*(1+(D883))^5)*(1+(H883))*('Terminal Value'!$E$10+(E883))*(1-'Assumptions'!$E$15-(0))*(1-(H883)/('Terminal Value'!$E$12))/((G883)-(H883))/(1+(G883))^'DCF'!$E$19)+'Equity Bridge'!$E$17)/'Equity Bridge'!$E$20</x:f>
        <x:v>311.765439602622</x:v>
      </x:c>
      <x:c r="X883" s="255" t="n">
        <x:v>0.35644892223319435</x:v>
      </x:c>
      <x:c r="Y883" s="255" t="n">
        <x:v>0.5744317692679672</x:v>
      </x:c>
      <x:c r="Z883" s="255" t="n">
        <x:v>0.33219660676906204</x:v>
      </x:c>
      <x:c r="AA883" s="255" t="n">
        <x:v>0.21327409997926805</x:v>
      </x:c>
      <x:c r="AB883" s="255" t="n">
        <x:v>0.7031626639118155</x:v>
      </x:c>
    </x:row>
    <x:row r="884" ht="24" customHeight="1">
      <x:c r="C884" s="256" t="n">
        <x:f>853</x:f>
        <x:v>853</x:v>
      </x:c>
      <x:c r="D884" s="258" t="n">
        <x:f>IF(X884&lt;($E$12-$D$12)/($F$12-$D$12),$D$12+SQRT(X884*($F$12-$D$12)*($E$12-$D$12)),$F$12-SQRT((1-X884)*($F$12-$D$12)*($F$12-$E$12)))</x:f>
        <x:v>0.14960036981667302</x:v>
      </x:c>
      <x:c r="E884" s="258" t="n">
        <x:f>IF(Y884&lt;($E$13-$D$13)/($F$13-$D$13),$D$13+SQRT(Y884*($F$13-$D$13)*($E$13-$D$13)),$F$13-SQRT((1-Y884)*($F$13-$D$13)*($F$13-$E$13)))</x:f>
        <x:v>0.019392532631686613</x:v>
      </x:c>
      <x:c r="F884" s="260" t="n">
        <x:f>IF(Z884&lt;($E$14-$D$14)/($F$14-$D$14),$D$14+SQRT(Z884*($F$14-$D$14)*($E$14-$D$14)),$F$14-SQRT((1-Z884)*($F$14-$D$14)*($F$14-$E$14)))</x:f>
        <x:v>1.003769167650149</x:v>
      </x:c>
      <x:c r="G884" s="258" t="n">
        <x:f>IF(AA884&lt;($E$15-$D$15)/($F$15-$D$15),$D$15+SQRT(AA884*($F$15-$D$15)*($E$15-$D$15)),$F$15-SQRT((1-AA884)*($F$15-$D$15)*($F$15-$E$15)))</x:f>
        <x:v>0.10493045747675786</x:v>
      </x:c>
      <x:c r="H884" s="258" t="n">
        <x:f>IF(AB884&lt;($E$16-$D$16)/($F$16-$D$16),$D$16+SQRT(AB884*($F$16-$D$16)*($E$16-$D$16)),$F$16-SQRT((1-AB884)*($F$16-$D$16)*($F$16-$E$16)))</x:f>
        <x:v>0.02579043338897128</x:v>
      </x:c>
      <x:c r="I884" s="262" t="n">
        <x:f>'Historical Inputs'!$N$9*(1+D884)^5</x:f>
        <x:v>666287.8596840599</x:v>
      </x:c>
      <x:c r="J884" s="262" t="n">
        <x:f>I884*(1+H884)*('Terminal Value'!$E$10+E884)*(1-'Assumptions'!$E$15)*(1-H884/'Terminal Value'!$E$12)</x:f>
        <x:v>199743.76411836228</x:v>
      </x:c>
      <x:c r="K884" s="264" t="n">
        <x:f>((SUM((('Historical Inputs'!$N$9*(1+(D884))^1)*(('Assumptions'!E37+(E884))*(1-'Assumptions'!E42-(0))+'Assumptions'!E47-'Assumptions'!E52*(F884)+'Assumptions'!E57-'Assumptions'!E62*(1)-'Assumptions'!E67-(0))+('Working Capital'!$E$6))*'DCF'!E12/(1+(G884))^'DCF'!E13,(('Historical Inputs'!$N$9*(1+(D884))^2)*(('Assumptions'!F37+(E884))*(1-'Assumptions'!F42-(0))+'Assumptions'!F47-'Assumptions'!F52*(F884)+'Assumptions'!F57-'Assumptions'!F62*(1)-'Assumptions'!F67-(0))+(('Historical Inputs'!$N$9*(1+(D884))^1)*('Assumptions'!E67+(0))))*'DCF'!F12/(1+(G884))^'DCF'!F13,(('Historical Inputs'!$N$9*(1+(D884))^3)*(('Assumptions'!G37+(E884))*(1-'Assumptions'!G42-(0))+'Assumptions'!G47-'Assumptions'!G52*(F884)+'Assumptions'!G57-'Assumptions'!G62*(1)-'Assumptions'!G67-(0))+(('Historical Inputs'!$N$9*(1+(D884))^2)*('Assumptions'!F67+(0))))*'DCF'!G12/(1+(G884))^'DCF'!G13,(('Historical Inputs'!$N$9*(1+(D884))^4)*(('Assumptions'!H37+(E884))*(1-'Assumptions'!H42-(0))+'Assumptions'!H47-'Assumptions'!H52*(F884)+'Assumptions'!H57-'Assumptions'!H62*(1)-'Assumptions'!H67-(0))+(('Historical Inputs'!$N$9*(1+(D884))^3)*('Assumptions'!G67+(0))))*'DCF'!H12/(1+(G884))^'DCF'!H13,(('Historical Inputs'!$N$9*(1+(D884))^5)*(('Assumptions'!I37+(E884))*(1-'Assumptions'!I42-(0))+'Assumptions'!I47-'Assumptions'!I52*(F884)+'Assumptions'!I57-'Assumptions'!I62*(1)-'Assumptions'!I67-(0))+(('Historical Inputs'!$N$9*(1+(D884))^4)*('Assumptions'!H67+(0))))*'DCF'!I12/(1+(G884))^'DCF'!I13)+('Historical Inputs'!$N$9*(1+(D884))^5)*(1+(H884))*('Terminal Value'!$E$10+(E884))*(1-'Assumptions'!$E$15-(0))*(1-(H884)/('Terminal Value'!$E$12))/((G884)-(H884))/(1+(G884))^'DCF'!$E$19)+'Equity Bridge'!$E$17)/'Equity Bridge'!$E$20</x:f>
        <x:v>271.00020615905163</x:v>
      </x:c>
      <x:c r="X884" s="255" t="n">
        <x:v>0.6188193470663036</x:v>
      </x:c>
      <x:c r="Y884" s="255" t="n">
        <x:v>0.8126365882595262</x:v>
      </x:c>
      <x:c r="Z884" s="255" t="n">
        <x:v>0.44990657764692454</x:v>
      </x:c>
      <x:c r="AA884" s="255" t="n">
        <x:v>0.8502163288931893</x:v>
      </x:c>
      <x:c r="AB884" s="255" t="n">
        <x:v>0.16764559416056712</x:v>
      </x:c>
    </x:row>
    <x:row r="885" ht="24" customHeight="1">
      <x:c r="C885" s="256" t="n">
        <x:f>854</x:f>
        <x:v>854</x:v>
      </x:c>
      <x:c r="D885" s="258" t="n">
        <x:f>IF(X885&lt;($E$12-$D$12)/($F$12-$D$12),$D$12+SQRT(X885*($F$12-$D$12)*($E$12-$D$12)),$F$12-SQRT((1-X885)*($F$12-$D$12)*($F$12-$E$12)))</x:f>
        <x:v>0.13368558485320514</x:v>
      </x:c>
      <x:c r="E885" s="258" t="n">
        <x:f>IF(Y885&lt;($E$13-$D$13)/($F$13-$D$13),$D$13+SQRT(Y885*($F$13-$D$13)*($E$13-$D$13)),$F$13-SQRT((1-Y885)*($F$13-$D$13)*($F$13-$E$13)))</x:f>
        <x:v>0.011403333404837165</x:v>
      </x:c>
      <x:c r="F885" s="260" t="n">
        <x:f>IF(Z885&lt;($E$14-$D$14)/($F$14-$D$14),$D$14+SQRT(Z885*($F$14-$D$14)*($E$14-$D$14)),$F$14-SQRT((1-Z885)*($F$14-$D$14)*($F$14-$E$14)))</x:f>
        <x:v>1.0513334027054086</x:v>
      </x:c>
      <x:c r="G885" s="258" t="n">
        <x:f>IF(AA885&lt;($E$15-$D$15)/($F$15-$D$15),$D$15+SQRT(AA885*($F$15-$D$15)*($E$15-$D$15)),$F$15-SQRT((1-AA885)*($F$15-$D$15)*($F$15-$E$15)))</x:f>
        <x:v>0.09203121842499402</x:v>
      </x:c>
      <x:c r="H885" s="258" t="n">
        <x:f>IF(AB885&lt;($E$16-$D$16)/($F$16-$D$16),$D$16+SQRT(AB885*($F$16-$D$16)*($E$16-$D$16)),$F$16-SQRT((1-AB885)*($F$16-$D$16)*($F$16-$E$16)))</x:f>
        <x:v>0.02783946680524737</x:v>
      </x:c>
      <x:c r="I885" s="262" t="n">
        <x:f>'Historical Inputs'!$N$9*(1+D885)^5</x:f>
        <x:v>621427.6148297264</x:v>
      </x:c>
      <x:c r="J885" s="262" t="n">
        <x:f>I885*(1+H885)*('Terminal Value'!$E$10+E885)*(1-'Assumptions'!$E$15)*(1-H885/'Terminal Value'!$E$12)</x:f>
        <x:v>180957.76957938963</x:v>
      </x:c>
      <x:c r="K885" s="264" t="n">
        <x:f>((SUM((('Historical Inputs'!$N$9*(1+(D885))^1)*(('Assumptions'!E37+(E885))*(1-'Assumptions'!E42-(0))+'Assumptions'!E47-'Assumptions'!E52*(F885)+'Assumptions'!E57-'Assumptions'!E62*(1)-'Assumptions'!E67-(0))+('Working Capital'!$E$6))*'DCF'!E12/(1+(G885))^'DCF'!E13,(('Historical Inputs'!$N$9*(1+(D885))^2)*(('Assumptions'!F37+(E885))*(1-'Assumptions'!F42-(0))+'Assumptions'!F47-'Assumptions'!F52*(F885)+'Assumptions'!F57-'Assumptions'!F62*(1)-'Assumptions'!F67-(0))+(('Historical Inputs'!$N$9*(1+(D885))^1)*('Assumptions'!E67+(0))))*'DCF'!F12/(1+(G885))^'DCF'!F13,(('Historical Inputs'!$N$9*(1+(D885))^3)*(('Assumptions'!G37+(E885))*(1-'Assumptions'!G42-(0))+'Assumptions'!G47-'Assumptions'!G52*(F885)+'Assumptions'!G57-'Assumptions'!G62*(1)-'Assumptions'!G67-(0))+(('Historical Inputs'!$N$9*(1+(D885))^2)*('Assumptions'!F67+(0))))*'DCF'!G12/(1+(G885))^'DCF'!G13,(('Historical Inputs'!$N$9*(1+(D885))^4)*(('Assumptions'!H37+(E885))*(1-'Assumptions'!H42-(0))+'Assumptions'!H47-'Assumptions'!H52*(F885)+'Assumptions'!H57-'Assumptions'!H62*(1)-'Assumptions'!H67-(0))+(('Historical Inputs'!$N$9*(1+(D885))^3)*('Assumptions'!G67+(0))))*'DCF'!H12/(1+(G885))^'DCF'!H13,(('Historical Inputs'!$N$9*(1+(D885))^5)*(('Assumptions'!I37+(E885))*(1-'Assumptions'!I42-(0))+'Assumptions'!I47-'Assumptions'!I52*(F885)+'Assumptions'!I57-'Assumptions'!I62*(1)-'Assumptions'!I67-(0))+(('Historical Inputs'!$N$9*(1+(D885))^4)*('Assumptions'!H67+(0))))*'DCF'!I12/(1+(G885))^'DCF'!I13)+('Historical Inputs'!$N$9*(1+(D885))^5)*(1+(H885))*('Terminal Value'!$E$10+(E885))*(1-'Assumptions'!$E$15-(0))*(1-(H885)/('Terminal Value'!$E$12))/((G885)-(H885))/(1+(G885))^'DCF'!$E$19)+'Equity Bridge'!$E$17)/'Equity Bridge'!$E$20</x:f>
        <x:v>303.58787633082466</x:v>
      </x:c>
      <x:c r="X885" s="255" t="n">
        <x:v>0.3268937416880121</x:v>
      </x:c>
      <x:c r="Y885" s="255" t="n">
        <x:v>0.7020594655483683</x:v>
      </x:c>
      <x:c r="Z885" s="255" t="n">
        <x:v>0.6842606121263969</x:v>
      </x:c>
      <x:c r="AA885" s="255" t="n">
        <x:v>0.17566044071772058</x:v>
      </x:c>
      <x:c r="AB885" s="255" t="n">
        <x:v>0.3072861989528769</x:v>
      </x:c>
    </x:row>
    <x:row r="886" ht="24" customHeight="1">
      <x:c r="C886" s="256" t="n">
        <x:f>855</x:f>
        <x:v>855</x:v>
      </x:c>
      <x:c r="D886" s="258" t="n">
        <x:f>IF(X886&lt;($E$12-$D$12)/($F$12-$D$12),$D$12+SQRT(X886*($F$12-$D$12)*($E$12-$D$12)),$F$12-SQRT((1-X886)*($F$12-$D$12)*($F$12-$E$12)))</x:f>
        <x:v>0.12686272641846746</x:v>
      </x:c>
      <x:c r="E886" s="258" t="n">
        <x:f>IF(Y886&lt;($E$13-$D$13)/($F$13-$D$13),$D$13+SQRT(Y886*($F$13-$D$13)*($E$13-$D$13)),$F$13-SQRT((1-Y886)*($F$13-$D$13)*($F$13-$E$13)))</x:f>
        <x:v>-0.01600860701999965</x:v>
      </x:c>
      <x:c r="F886" s="260" t="n">
        <x:f>IF(Z886&lt;($E$14-$D$14)/($F$14-$D$14),$D$14+SQRT(Z886*($F$14-$D$14)*($E$14-$D$14)),$F$14-SQRT((1-Z886)*($F$14-$D$14)*($F$14-$E$14)))</x:f>
        <x:v>1.0517801377810878</x:v>
      </x:c>
      <x:c r="G886" s="258" t="n">
        <x:f>IF(AA886&lt;($E$15-$D$15)/($F$15-$D$15),$D$15+SQRT(AA886*($F$15-$D$15)*($E$15-$D$15)),$F$15-SQRT((1-AA886)*($F$15-$D$15)*($F$15-$E$15)))</x:f>
        <x:v>0.08793045228305957</x:v>
      </x:c>
      <x:c r="H886" s="258" t="n">
        <x:f>IF(AB886&lt;($E$16-$D$16)/($F$16-$D$16),$D$16+SQRT(AB886*($F$16-$D$16)*($E$16-$D$16)),$F$16-SQRT((1-AB886)*($F$16-$D$16)*($F$16-$E$16)))</x:f>
        <x:v>0.025763828953963362</x:v>
      </x:c>
      <x:c r="I886" s="262" t="n">
        <x:f>'Historical Inputs'!$N$9*(1+D886)^5</x:f>
        <x:v>602951.6599719168</x:v>
      </x:c>
      <x:c r="J886" s="262" t="n">
        <x:f>I886*(1+H886)*('Terminal Value'!$E$10+E886)*(1-'Assumptions'!$E$15)*(1-H886/'Terminal Value'!$E$12)</x:f>
        <x:v>165519.69434908565</x:v>
      </x:c>
      <x:c r="K886" s="264" t="n">
        <x:f>((SUM((('Historical Inputs'!$N$9*(1+(D886))^1)*(('Assumptions'!E37+(E886))*(1-'Assumptions'!E42-(0))+'Assumptions'!E47-'Assumptions'!E52*(F886)+'Assumptions'!E57-'Assumptions'!E62*(1)-'Assumptions'!E67-(0))+('Working Capital'!$E$6))*'DCF'!E12/(1+(G886))^'DCF'!E13,(('Historical Inputs'!$N$9*(1+(D886))^2)*(('Assumptions'!F37+(E886))*(1-'Assumptions'!F42-(0))+'Assumptions'!F47-'Assumptions'!F52*(F886)+'Assumptions'!F57-'Assumptions'!F62*(1)-'Assumptions'!F67-(0))+(('Historical Inputs'!$N$9*(1+(D886))^1)*('Assumptions'!E67+(0))))*'DCF'!F12/(1+(G886))^'DCF'!F13,(('Historical Inputs'!$N$9*(1+(D886))^3)*(('Assumptions'!G37+(E886))*(1-'Assumptions'!G42-(0))+'Assumptions'!G47-'Assumptions'!G52*(F886)+'Assumptions'!G57-'Assumptions'!G62*(1)-'Assumptions'!G67-(0))+(('Historical Inputs'!$N$9*(1+(D886))^2)*('Assumptions'!F67+(0))))*'DCF'!G12/(1+(G886))^'DCF'!G13,(('Historical Inputs'!$N$9*(1+(D886))^4)*(('Assumptions'!H37+(E886))*(1-'Assumptions'!H42-(0))+'Assumptions'!H47-'Assumptions'!H52*(F886)+'Assumptions'!H57-'Assumptions'!H62*(1)-'Assumptions'!H67-(0))+(('Historical Inputs'!$N$9*(1+(D886))^3)*('Assumptions'!G67+(0))))*'DCF'!H12/(1+(G886))^'DCF'!H13,(('Historical Inputs'!$N$9*(1+(D886))^5)*(('Assumptions'!I37+(E886))*(1-'Assumptions'!I42-(0))+'Assumptions'!I47-'Assumptions'!I52*(F886)+'Assumptions'!I57-'Assumptions'!I62*(1)-'Assumptions'!I67-(0))+(('Historical Inputs'!$N$9*(1+(D886))^4)*('Assumptions'!H67+(0))))*'DCF'!I12/(1+(G886))^'DCF'!I13)+('Historical Inputs'!$N$9*(1+(D886))^5)*(1+(H886))*('Terminal Value'!$E$10+(E886))*(1-'Assumptions'!$E$15-(0))*(1-(H886)/('Terminal Value'!$E$12))/((G886)-(H886))/(1+(G886))^'DCF'!$E$19)+'Equity Bridge'!$E$17)/'Equity Bridge'!$E$20</x:f>
        <x:v>287.8332795324138</x:v>
      </x:c>
      <x:c r="X886" s="255" t="n">
        <x:v>0.22586867623046636</x:v>
      </x:c>
      <x:c r="Y886" s="255" t="n">
        <x:v>0.23108295934416345</x:v>
      </x:c>
      <x:c r="Z886" s="255" t="n">
        <x:v>0.6861553206258102</x:v>
      </x:c>
      <x:c r="AA886" s="255" t="n">
        <x:v>0.050988655712369324</x:v>
      </x:c>
      <x:c r="AB886" s="255" t="n">
        <x:v>0.16610862105273194</x:v>
      </x:c>
    </x:row>
    <x:row r="887" ht="24" customHeight="1">
      <x:c r="C887" s="256" t="n">
        <x:f>856</x:f>
        <x:v>856</x:v>
      </x:c>
      <x:c r="D887" s="258" t="n">
        <x:f>IF(X887&lt;($E$12-$D$12)/($F$12-$D$12),$D$12+SQRT(X887*($F$12-$D$12)*($E$12-$D$12)),$F$12-SQRT((1-X887)*($F$12-$D$12)*($F$12-$E$12)))</x:f>
        <x:v>0.1417231250854425</x:v>
      </x:c>
      <x:c r="E887" s="258" t="n">
        <x:f>IF(Y887&lt;($E$13-$D$13)/($F$13-$D$13),$D$13+SQRT(Y887*($F$13-$D$13)*($E$13-$D$13)),$F$13-SQRT((1-Y887)*($F$13-$D$13)*($F$13-$E$13)))</x:f>
        <x:v>-0.002905128014350812</x:v>
      </x:c>
      <x:c r="F887" s="260" t="n">
        <x:f>IF(Z887&lt;($E$14-$D$14)/($F$14-$D$14),$D$14+SQRT(Z887*($F$14-$D$14)*($E$14-$D$14)),$F$14-SQRT((1-Z887)*($F$14-$D$14)*($F$14-$E$14)))</x:f>
        <x:v>1.0566154354148227</x:v>
      </x:c>
      <x:c r="G887" s="258" t="n">
        <x:f>IF(AA887&lt;($E$15-$D$15)/($F$15-$D$15),$D$15+SQRT(AA887*($F$15-$D$15)*($E$15-$D$15)),$F$15-SQRT((1-AA887)*($F$15-$D$15)*($F$15-$E$15)))</x:f>
        <x:v>0.0871090192975173</x:v>
      </x:c>
      <x:c r="H887" s="258" t="n">
        <x:f>IF(AB887&lt;($E$16-$D$16)/($F$16-$D$16),$D$16+SQRT(AB887*($F$16-$D$16)*($E$16-$D$16)),$F$16-SQRT((1-AB887)*($F$16-$D$16)*($F$16-$E$16)))</x:f>
        <x:v>0.0325977845946989</x:v>
      </x:c>
      <x:c r="I887" s="262" t="n">
        <x:f>'Historical Inputs'!$N$9*(1+D887)^5</x:f>
        <x:v>643771.0070786797</x:v>
      </x:c>
      <x:c r="J887" s="262" t="n">
        <x:f>I887*(1+H887)*('Terminal Value'!$E$10+E887)*(1-'Assumptions'!$E$15)*(1-H887/'Terminal Value'!$E$12)</x:f>
        <x:v>176757.5909994102</x:v>
      </x:c>
      <x:c r="K887" s="264" t="n">
        <x:f>((SUM((('Historical Inputs'!$N$9*(1+(D887))^1)*(('Assumptions'!E37+(E887))*(1-'Assumptions'!E42-(0))+'Assumptions'!E47-'Assumptions'!E52*(F887)+'Assumptions'!E57-'Assumptions'!E62*(1)-'Assumptions'!E67-(0))+('Working Capital'!$E$6))*'DCF'!E12/(1+(G887))^'DCF'!E13,(('Historical Inputs'!$N$9*(1+(D887))^2)*(('Assumptions'!F37+(E887))*(1-'Assumptions'!F42-(0))+'Assumptions'!F47-'Assumptions'!F52*(F887)+'Assumptions'!F57-'Assumptions'!F62*(1)-'Assumptions'!F67-(0))+(('Historical Inputs'!$N$9*(1+(D887))^1)*('Assumptions'!E67+(0))))*'DCF'!F12/(1+(G887))^'DCF'!F13,(('Historical Inputs'!$N$9*(1+(D887))^3)*(('Assumptions'!G37+(E887))*(1-'Assumptions'!G42-(0))+'Assumptions'!G47-'Assumptions'!G52*(F887)+'Assumptions'!G57-'Assumptions'!G62*(1)-'Assumptions'!G67-(0))+(('Historical Inputs'!$N$9*(1+(D887))^2)*('Assumptions'!F67+(0))))*'DCF'!G12/(1+(G887))^'DCF'!G13,(('Historical Inputs'!$N$9*(1+(D887))^4)*(('Assumptions'!H37+(E887))*(1-'Assumptions'!H42-(0))+'Assumptions'!H47-'Assumptions'!H52*(F887)+'Assumptions'!H57-'Assumptions'!H62*(1)-'Assumptions'!H67-(0))+(('Historical Inputs'!$N$9*(1+(D887))^3)*('Assumptions'!G67+(0))))*'DCF'!H12/(1+(G887))^'DCF'!H13,(('Historical Inputs'!$N$9*(1+(D887))^5)*(('Assumptions'!I37+(E887))*(1-'Assumptions'!I42-(0))+'Assumptions'!I47-'Assumptions'!I52*(F887)+'Assumptions'!I57-'Assumptions'!I62*(1)-'Assumptions'!I67-(0))+(('Historical Inputs'!$N$9*(1+(D887))^4)*('Assumptions'!H67+(0))))*'DCF'!I12/(1+(G887))^'DCF'!I13)+('Historical Inputs'!$N$9*(1+(D887))^5)*(1+(H887))*('Terminal Value'!$E$10+(E887))*(1-'Assumptions'!$E$15-(0))*(1-(H887)/('Terminal Value'!$E$12))/((G887)-(H887))/(1+(G887))^'DCF'!$E$19)+'Equity Bridge'!$E$17)/'Equity Bridge'!$E$20</x:f>
        <x:v>346.1031812849408</x:v>
      </x:c>
      <x:c r="X887" s="255" t="n">
        <x:v>0.46979263302987617</x:v>
      </x:c>
      <x:c r="Y887" s="255" t="n">
        <x:v>0.443585393468937</x:v>
      </x:c>
      <x:c r="Z887" s="255" t="n">
        <x:v>0.7062980948388445</x:v>
      </x:c>
      <x:c r="AA887" s="255" t="n">
        <x:v>0.03500040638671309</x:v>
      </x:c>
      <x:c r="AB887" s="255" t="n">
        <x:v>0.7260360354676155</x:v>
      </x:c>
    </x:row>
    <x:row r="888" ht="24" customHeight="1">
      <x:c r="C888" s="256" t="n">
        <x:f>857</x:f>
        <x:v>857</x:v>
      </x:c>
      <x:c r="D888" s="258" t="n">
        <x:f>IF(X888&lt;($E$12-$D$12)/($F$12-$D$12),$D$12+SQRT(X888*($F$12-$D$12)*($E$12-$D$12)),$F$12-SQRT((1-X888)*($F$12-$D$12)*($F$12-$E$12)))</x:f>
        <x:v>0.15542968824170453</x:v>
      </x:c>
      <x:c r="E888" s="258" t="n">
        <x:f>IF(Y888&lt;($E$13-$D$13)/($F$13-$D$13),$D$13+SQRT(Y888*($F$13-$D$13)*($E$13-$D$13)),$F$13-SQRT((1-Y888)*($F$13-$D$13)*($F$13-$E$13)))</x:f>
        <x:v>0.0033164353139067612</x:v>
      </x:c>
      <x:c r="F888" s="260" t="n">
        <x:f>IF(Z888&lt;($E$14-$D$14)/($F$14-$D$14),$D$14+SQRT(Z888*($F$14-$D$14)*($E$14-$D$14)),$F$14-SQRT((1-Z888)*($F$14-$D$14)*($F$14-$E$14)))</x:f>
        <x:v>1.1183436705705867</x:v>
      </x:c>
      <x:c r="G888" s="258" t="n">
        <x:f>IF(AA888&lt;($E$15-$D$15)/($F$15-$D$15),$D$15+SQRT(AA888*($F$15-$D$15)*($E$15-$D$15)),$F$15-SQRT((1-AA888)*($F$15-$D$15)*($F$15-$E$15)))</x:f>
        <x:v>0.10529145057311777</x:v>
      </x:c>
      <x:c r="H888" s="258" t="n">
        <x:f>IF(AB888&lt;($E$16-$D$16)/($F$16-$D$16),$D$16+SQRT(AB888*($F$16-$D$16)*($E$16-$D$16)),$F$16-SQRT((1-AB888)*($F$16-$D$16)*($F$16-$E$16)))</x:f>
        <x:v>0.03436869563744571</x:v>
      </x:c>
      <x:c r="I888" s="262" t="n">
        <x:f>'Historical Inputs'!$N$9*(1+D888)^5</x:f>
        <x:v>683352.8935375032</x:v>
      </x:c>
      <x:c r="J888" s="262" t="n">
        <x:f>I888*(1+H888)*('Terminal Value'!$E$10+E888)*(1-'Assumptions'!$E$15)*(1-H888/'Terminal Value'!$E$12)</x:f>
        <x:v>188872.50464532556</x:v>
      </x:c>
      <x:c r="K888" s="264" t="n">
        <x:f>((SUM((('Historical Inputs'!$N$9*(1+(D888))^1)*(('Assumptions'!E37+(E888))*(1-'Assumptions'!E42-(0))+'Assumptions'!E47-'Assumptions'!E52*(F888)+'Assumptions'!E57-'Assumptions'!E62*(1)-'Assumptions'!E67-(0))+('Working Capital'!$E$6))*'DCF'!E12/(1+(G888))^'DCF'!E13,(('Historical Inputs'!$N$9*(1+(D888))^2)*(('Assumptions'!F37+(E888))*(1-'Assumptions'!F42-(0))+'Assumptions'!F47-'Assumptions'!F52*(F888)+'Assumptions'!F57-'Assumptions'!F62*(1)-'Assumptions'!F67-(0))+(('Historical Inputs'!$N$9*(1+(D888))^1)*('Assumptions'!E67+(0))))*'DCF'!F12/(1+(G888))^'DCF'!F13,(('Historical Inputs'!$N$9*(1+(D888))^3)*(('Assumptions'!G37+(E888))*(1-'Assumptions'!G42-(0))+'Assumptions'!G47-'Assumptions'!G52*(F888)+'Assumptions'!G57-'Assumptions'!G62*(1)-'Assumptions'!G67-(0))+(('Historical Inputs'!$N$9*(1+(D888))^2)*('Assumptions'!F67+(0))))*'DCF'!G12/(1+(G888))^'DCF'!G13,(('Historical Inputs'!$N$9*(1+(D888))^4)*(('Assumptions'!H37+(E888))*(1-'Assumptions'!H42-(0))+'Assumptions'!H47-'Assumptions'!H52*(F888)+'Assumptions'!H57-'Assumptions'!H62*(1)-'Assumptions'!H67-(0))+(('Historical Inputs'!$N$9*(1+(D888))^3)*('Assumptions'!G67+(0))))*'DCF'!H12/(1+(G888))^'DCF'!H13,(('Historical Inputs'!$N$9*(1+(D888))^5)*(('Assumptions'!I37+(E888))*(1-'Assumptions'!I42-(0))+'Assumptions'!I47-'Assumptions'!I52*(F888)+'Assumptions'!I57-'Assumptions'!I62*(1)-'Assumptions'!I67-(0))+(('Historical Inputs'!$N$9*(1+(D888))^4)*('Assumptions'!H67+(0))))*'DCF'!I12/(1+(G888))^'DCF'!I13)+('Historical Inputs'!$N$9*(1+(D888))^5)*(1+(H888))*('Terminal Value'!$E$10+(E888))*(1-'Assumptions'!$E$15-(0))*(1-(H888)/('Terminal Value'!$E$12))/((G888)-(H888))/(1+(G888))^'DCF'!$E$19)+'Equity Bridge'!$E$17)/'Equity Bridge'!$E$20</x:f>
        <x:v>272.5897071883011</x:v>
      </x:c>
      <x:c r="X888" s="255" t="n">
        <x:v>0.7138185667796182</x:v>
      </x:c>
      <x:c r="Y888" s="255" t="n">
        <x:v>0.5641289576398697</x:v>
      </x:c>
      <x:c r="Z888" s="255" t="n">
        <x:v>0.9047463409159303</x:v>
      </x:c>
      <x:c r="AA888" s="255" t="n">
        <x:v>0.8630988332436995</x:v>
      </x:c>
      <x:c r="AB888" s="255" t="n">
        <x:v>0.8414420558813853</x:v>
      </x:c>
    </x:row>
    <x:row r="889" ht="24" customHeight="1">
      <x:c r="C889" s="256" t="n">
        <x:f>858</x:f>
        <x:v>858</x:v>
      </x:c>
      <x:c r="D889" s="258" t="n">
        <x:f>IF(X889&lt;($E$12-$D$12)/($F$12-$D$12),$D$12+SQRT(X889*($F$12-$D$12)*($E$12-$D$12)),$F$12-SQRT((1-X889)*($F$12-$D$12)*($F$12-$E$12)))</x:f>
        <x:v>0.14275088982367318</x:v>
      </x:c>
      <x:c r="E889" s="258" t="n">
        <x:f>IF(Y889&lt;($E$13-$D$13)/($F$13-$D$13),$D$13+SQRT(Y889*($F$13-$D$13)*($E$13-$D$13)),$F$13-SQRT((1-Y889)*($F$13-$D$13)*($F$13-$E$13)))</x:f>
        <x:v>-0.011640385341651363</x:v>
      </x:c>
      <x:c r="F889" s="260" t="n">
        <x:f>IF(Z889&lt;($E$14-$D$14)/($F$14-$D$14),$D$14+SQRT(Z889*($F$14-$D$14)*($E$14-$D$14)),$F$14-SQRT((1-Z889)*($F$14-$D$14)*($F$14-$E$14)))</x:f>
        <x:v>0.9649956759755992</x:v>
      </x:c>
      <x:c r="G889" s="258" t="n">
        <x:f>IF(AA889&lt;($E$15-$D$15)/($F$15-$D$15),$D$15+SQRT(AA889*($F$15-$D$15)*($E$15-$D$15)),$F$15-SQRT((1-AA889)*($F$15-$D$15)*($F$15-$E$15)))</x:f>
        <x:v>0.09069140213367322</x:v>
      </x:c>
      <x:c r="H889" s="258" t="n">
        <x:f>IF(AB889&lt;($E$16-$D$16)/($F$16-$D$16),$D$16+SQRT(AB889*($F$16-$D$16)*($E$16-$D$16)),$F$16-SQRT((1-AB889)*($F$16-$D$16)*($F$16-$E$16)))</x:f>
        <x:v>0.030336881651333913</x:v>
      </x:c>
      <x:c r="I889" s="262" t="n">
        <x:f>'Historical Inputs'!$N$9*(1+D889)^5</x:f>
        <x:v>646673.8011449485</x:v>
      </x:c>
      <x:c r="J889" s="262" t="n">
        <x:f>I889*(1+H889)*('Terminal Value'!$E$10+E889)*(1-'Assumptions'!$E$15)*(1-H889/'Terminal Value'!$E$12)</x:f>
        <x:v>175608.69290391172</x:v>
      </x:c>
      <x:c r="K889" s="264" t="n">
        <x:f>((SUM((('Historical Inputs'!$N$9*(1+(D889))^1)*(('Assumptions'!E37+(E889))*(1-'Assumptions'!E42-(0))+'Assumptions'!E47-'Assumptions'!E52*(F889)+'Assumptions'!E57-'Assumptions'!E62*(1)-'Assumptions'!E67-(0))+('Working Capital'!$E$6))*'DCF'!E12/(1+(G889))^'DCF'!E13,(('Historical Inputs'!$N$9*(1+(D889))^2)*(('Assumptions'!F37+(E889))*(1-'Assumptions'!F42-(0))+'Assumptions'!F47-'Assumptions'!F52*(F889)+'Assumptions'!F57-'Assumptions'!F62*(1)-'Assumptions'!F67-(0))+(('Historical Inputs'!$N$9*(1+(D889))^1)*('Assumptions'!E67+(0))))*'DCF'!F12/(1+(G889))^'DCF'!F13,(('Historical Inputs'!$N$9*(1+(D889))^3)*(('Assumptions'!G37+(E889))*(1-'Assumptions'!G42-(0))+'Assumptions'!G47-'Assumptions'!G52*(F889)+'Assumptions'!G57-'Assumptions'!G62*(1)-'Assumptions'!G67-(0))+(('Historical Inputs'!$N$9*(1+(D889))^2)*('Assumptions'!F67+(0))))*'DCF'!G12/(1+(G889))^'DCF'!G13,(('Historical Inputs'!$N$9*(1+(D889))^4)*(('Assumptions'!H37+(E889))*(1-'Assumptions'!H42-(0))+'Assumptions'!H47-'Assumptions'!H52*(F889)+'Assumptions'!H57-'Assumptions'!H62*(1)-'Assumptions'!H67-(0))+(('Historical Inputs'!$N$9*(1+(D889))^3)*('Assumptions'!G67+(0))))*'DCF'!H12/(1+(G889))^'DCF'!H13,(('Historical Inputs'!$N$9*(1+(D889))^5)*(('Assumptions'!I37+(E889))*(1-'Assumptions'!I42-(0))+'Assumptions'!I47-'Assumptions'!I52*(F889)+'Assumptions'!I57-'Assumptions'!I62*(1)-'Assumptions'!I67-(0))+(('Historical Inputs'!$N$9*(1+(D889))^4)*('Assumptions'!H67+(0))))*'DCF'!I12/(1+(G889))^'DCF'!I13)+('Historical Inputs'!$N$9*(1+(D889))^5)*(1+(H889))*('Terminal Value'!$E$10+(E889))*(1-'Assumptions'!$E$15-(0))*(1-(H889)/('Terminal Value'!$E$12))/((G889)-(H889))/(1+(G889))^'DCF'!$E$19)+'Equity Bridge'!$E$17)/'Equity Bridge'!$E$20</x:f>
        <x:v>315.674929303434</x:v>
      </x:c>
      <x:c r="X889" s="255" t="n">
        <x:v>0.48992859387308385</x:v>
      </x:c>
      <x:c r="Y889" s="255" t="n">
        <x:v>0.29429200734739913</x:v>
      </x:c>
      <x:c r="Z889" s="255" t="n">
        <x:v>0.2518858189159048</x:v>
      </x:c>
      <x:c r="AA889" s="255" t="n">
        <x:v>0.12670688220162696</x:v>
      </x:c>
      <x:c r="AB889" s="255" t="n">
        <x:v>0.533120718898364</x:v>
      </x:c>
    </x:row>
    <x:row r="890" ht="24" customHeight="1">
      <x:c r="C890" s="256" t="n">
        <x:f>859</x:f>
        <x:v>859</x:v>
      </x:c>
      <x:c r="D890" s="258" t="n">
        <x:f>IF(X890&lt;($E$12-$D$12)/($F$12-$D$12),$D$12+SQRT(X890*($F$12-$D$12)*($E$12-$D$12)),$F$12-SQRT((1-X890)*($F$12-$D$12)*($F$12-$E$12)))</x:f>
        <x:v>0.1709167142560366</x:v>
      </x:c>
      <x:c r="E890" s="258" t="n">
        <x:f>IF(Y890&lt;($E$13-$D$13)/($F$13-$D$13),$D$13+SQRT(Y890*($F$13-$D$13)*($E$13-$D$13)),$F$13-SQRT((1-Y890)*($F$13-$D$13)*($F$13-$E$13)))</x:f>
        <x:v>0.0028853904860540736</x:v>
      </x:c>
      <x:c r="F890" s="260" t="n">
        <x:f>IF(Z890&lt;($E$14-$D$14)/($F$14-$D$14),$D$14+SQRT(Z890*($F$14-$D$14)*($E$14-$D$14)),$F$14-SQRT((1-Z890)*($F$14-$D$14)*($F$14-$E$14)))</x:f>
        <x:v>1.085267929903816</x:v>
      </x:c>
      <x:c r="G890" s="258" t="n">
        <x:f>IF(AA890&lt;($E$15-$D$15)/($F$15-$D$15),$D$15+SQRT(AA890*($F$15-$D$15)*($E$15-$D$15)),$F$15-SQRT((1-AA890)*($F$15-$D$15)*($F$15-$E$15)))</x:f>
        <x:v>0.10531298980163051</x:v>
      </x:c>
      <x:c r="H890" s="258" t="n">
        <x:f>IF(AB890&lt;($E$16-$D$16)/($F$16-$D$16),$D$16+SQRT(AB890*($F$16-$D$16)*($E$16-$D$16)),$F$16-SQRT((1-AB890)*($F$16-$D$16)*($F$16-$E$16)))</x:f>
        <x:v>0.03176873020857245</x:v>
      </x:c>
      <x:c r="I890" s="262" t="n">
        <x:f>'Historical Inputs'!$N$9*(1+D890)^5</x:f>
        <x:v>730394.4304659992</x:v>
      </x:c>
      <x:c r="J890" s="262" t="n">
        <x:f>I890*(1+H890)*('Terminal Value'!$E$10+E890)*(1-'Assumptions'!$E$15)*(1-H890/'Terminal Value'!$E$12)</x:f>
        <x:v>204309.25865096337</x:v>
      </x:c>
      <x:c r="K890" s="264" t="n">
        <x:f>((SUM((('Historical Inputs'!$N$9*(1+(D890))^1)*(('Assumptions'!E37+(E890))*(1-'Assumptions'!E42-(0))+'Assumptions'!E47-'Assumptions'!E52*(F890)+'Assumptions'!E57-'Assumptions'!E62*(1)-'Assumptions'!E67-(0))+('Working Capital'!$E$6))*'DCF'!E12/(1+(G890))^'DCF'!E13,(('Historical Inputs'!$N$9*(1+(D890))^2)*(('Assumptions'!F37+(E890))*(1-'Assumptions'!F42-(0))+'Assumptions'!F47-'Assumptions'!F52*(F890)+'Assumptions'!F57-'Assumptions'!F62*(1)-'Assumptions'!F67-(0))+(('Historical Inputs'!$N$9*(1+(D890))^1)*('Assumptions'!E67+(0))))*'DCF'!F12/(1+(G890))^'DCF'!F13,(('Historical Inputs'!$N$9*(1+(D890))^3)*(('Assumptions'!G37+(E890))*(1-'Assumptions'!G42-(0))+'Assumptions'!G47-'Assumptions'!G52*(F890)+'Assumptions'!G57-'Assumptions'!G62*(1)-'Assumptions'!G67-(0))+(('Historical Inputs'!$N$9*(1+(D890))^2)*('Assumptions'!F67+(0))))*'DCF'!G12/(1+(G890))^'DCF'!G13,(('Historical Inputs'!$N$9*(1+(D890))^4)*(('Assumptions'!H37+(E890))*(1-'Assumptions'!H42-(0))+'Assumptions'!H47-'Assumptions'!H52*(F890)+'Assumptions'!H57-'Assumptions'!H62*(1)-'Assumptions'!H67-(0))+(('Historical Inputs'!$N$9*(1+(D890))^3)*('Assumptions'!G67+(0))))*'DCF'!H12/(1+(G890))^'DCF'!H13,(('Historical Inputs'!$N$9*(1+(D890))^5)*(('Assumptions'!I37+(E890))*(1-'Assumptions'!I42-(0))+'Assumptions'!I47-'Assumptions'!I52*(F890)+'Assumptions'!I57-'Assumptions'!I62*(1)-'Assumptions'!I67-(0))+(('Historical Inputs'!$N$9*(1+(D890))^4)*('Assumptions'!H67+(0))))*'DCF'!I12/(1+(G890))^'DCF'!I13)+('Historical Inputs'!$N$9*(1+(D890))^5)*(1+(H890))*('Terminal Value'!$E$10+(E890))*(1-'Assumptions'!$E$15-(0))*(1-(H890)/('Terminal Value'!$E$12))/((G890)-(H890))/(1+(G890))^'DCF'!$E$19)+'Equity Bridge'!$E$17)/'Equity Bridge'!$E$20</x:f>
        <x:v>286.87506606469736</x:v>
      </x:c>
      <x:c r="X890" s="255" t="n">
        <x:v>0.9001821315353745</x:v>
      </x:c>
      <x:c r="Y890" s="255" t="n">
        <x:v>0.5560427140696792</x:v>
      </x:c>
      <x:c r="Z890" s="255" t="n">
        <x:v>0.8119507441634903</x:v>
      </x:c>
      <x:c r="AA890" s="255" t="n">
        <x:v>0.8638491785088575</x:v>
      </x:c>
      <x:c r="AB890" s="255" t="n">
        <x:v>0.6612309881036615</x:v>
      </x:c>
    </x:row>
    <x:row r="891" ht="24" customHeight="1">
      <x:c r="C891" s="256" t="n">
        <x:f>860</x:f>
        <x:v>860</x:v>
      </x:c>
      <x:c r="D891" s="258" t="n">
        <x:f>IF(X891&lt;($E$12-$D$12)/($F$12-$D$12),$D$12+SQRT(X891*($F$12-$D$12)*($E$12-$D$12)),$F$12-SQRT((1-X891)*($F$12-$D$12)*($F$12-$E$12)))</x:f>
        <x:v>0.14326706007004497</x:v>
      </x:c>
      <x:c r="E891" s="258" t="n">
        <x:f>IF(Y891&lt;($E$13-$D$13)/($F$13-$D$13),$D$13+SQRT(Y891*($F$13-$D$13)*($E$13-$D$13)),$F$13-SQRT((1-Y891)*($F$13-$D$13)*($F$13-$E$13)))</x:f>
        <x:v>0.019037235128136272</x:v>
      </x:c>
      <x:c r="F891" s="260" t="n">
        <x:f>IF(Z891&lt;($E$14-$D$14)/($F$14-$D$14),$D$14+SQRT(Z891*($F$14-$D$14)*($E$14-$D$14)),$F$14-SQRT((1-Z891)*($F$14-$D$14)*($F$14-$E$14)))</x:f>
        <x:v>1.0204862305075009</x:v>
      </x:c>
      <x:c r="G891" s="258" t="n">
        <x:f>IF(AA891&lt;($E$15-$D$15)/($F$15-$D$15),$D$15+SQRT(AA891*($F$15-$D$15)*($E$15-$D$15)),$F$15-SQRT((1-AA891)*($F$15-$D$15)*($F$15-$E$15)))</x:f>
        <x:v>0.08580674805381486</x:v>
      </x:c>
      <x:c r="H891" s="258" t="n">
        <x:f>IF(AB891&lt;($E$16-$D$16)/($F$16-$D$16),$D$16+SQRT(AB891*($F$16-$D$16)*($E$16-$D$16)),$F$16-SQRT((1-AB891)*($F$16-$D$16)*($F$16-$E$16)))</x:f>
        <x:v>0.028025766526884835</x:v>
      </x:c>
      <x:c r="I891" s="262" t="n">
        <x:f>'Historical Inputs'!$N$9*(1+D891)^5</x:f>
        <x:v>648135.6046654314</x:v>
      </x:c>
      <x:c r="J891" s="262" t="n">
        <x:f>I891*(1+H891)*('Terminal Value'!$E$10+E891)*(1-'Assumptions'!$E$15)*(1-H891/'Terminal Value'!$E$12)</x:f>
        <x:v>192063.95554106464</x:v>
      </x:c>
      <x:c r="K891" s="264" t="n">
        <x:f>((SUM((('Historical Inputs'!$N$9*(1+(D891))^1)*(('Assumptions'!E37+(E891))*(1-'Assumptions'!E42-(0))+'Assumptions'!E47-'Assumptions'!E52*(F891)+'Assumptions'!E57-'Assumptions'!E62*(1)-'Assumptions'!E67-(0))+('Working Capital'!$E$6))*'DCF'!E12/(1+(G891))^'DCF'!E13,(('Historical Inputs'!$N$9*(1+(D891))^2)*(('Assumptions'!F37+(E891))*(1-'Assumptions'!F42-(0))+'Assumptions'!F47-'Assumptions'!F52*(F891)+'Assumptions'!F57-'Assumptions'!F62*(1)-'Assumptions'!F67-(0))+(('Historical Inputs'!$N$9*(1+(D891))^1)*('Assumptions'!E67+(0))))*'DCF'!F12/(1+(G891))^'DCF'!F13,(('Historical Inputs'!$N$9*(1+(D891))^3)*(('Assumptions'!G37+(E891))*(1-'Assumptions'!G42-(0))+'Assumptions'!G47-'Assumptions'!G52*(F891)+'Assumptions'!G57-'Assumptions'!G62*(1)-'Assumptions'!G67-(0))+(('Historical Inputs'!$N$9*(1+(D891))^2)*('Assumptions'!F67+(0))))*'DCF'!G12/(1+(G891))^'DCF'!G13,(('Historical Inputs'!$N$9*(1+(D891))^4)*(('Assumptions'!H37+(E891))*(1-'Assumptions'!H42-(0))+'Assumptions'!H47-'Assumptions'!H52*(F891)+'Assumptions'!H57-'Assumptions'!H62*(1)-'Assumptions'!H67-(0))+(('Historical Inputs'!$N$9*(1+(D891))^3)*('Assumptions'!G67+(0))))*'DCF'!H12/(1+(G891))^'DCF'!H13,(('Historical Inputs'!$N$9*(1+(D891))^5)*(('Assumptions'!I37+(E891))*(1-'Assumptions'!I42-(0))+'Assumptions'!I47-'Assumptions'!I52*(F891)+'Assumptions'!I57-'Assumptions'!I62*(1)-'Assumptions'!I67-(0))+(('Historical Inputs'!$N$9*(1+(D891))^4)*('Assumptions'!H67+(0))))*'DCF'!I12/(1+(G891))^'DCF'!I13)+('Historical Inputs'!$N$9*(1+(D891))^5)*(1+(H891))*('Terminal Value'!$E$10+(E891))*(1-'Assumptions'!$E$15-(0))*(1-(H891)/('Terminal Value'!$E$12))/((G891)-(H891))/(1+(G891))^'DCF'!$E$19)+'Equity Bridge'!$E$17)/'Equity Bridge'!$E$20</x:f>
        <x:v>362.61406390442204</x:v>
      </x:c>
      <x:c r="X891" s="255" t="n">
        <x:v>0.5002007447264836</x:v>
      </x:c>
      <x:c r="Y891" s="255" t="n">
        <x:v>0.8082614382979363</x:v>
      </x:c>
      <x:c r="Z891" s="255" t="n">
        <x:v>0.5396400937513416</x:v>
      </x:c>
      <x:c r="AA891" s="255" t="n">
        <x:v>0.01579905712588825</x:v>
      </x:c>
      <x:c r="AB891" s="255" t="n">
        <x:v>0.32206464172032556</x:v>
      </x:c>
    </x:row>
    <x:row r="892" ht="24" customHeight="1">
      <x:c r="C892" s="256" t="n">
        <x:f>861</x:f>
        <x:v>861</x:v>
      </x:c>
      <x:c r="D892" s="258" t="n">
        <x:f>IF(X892&lt;($E$12-$D$12)/($F$12-$D$12),$D$12+SQRT(X892*($F$12-$D$12)*($E$12-$D$12)),$F$12-SQRT((1-X892)*($F$12-$D$12)*($F$12-$E$12)))</x:f>
        <x:v>0.11032786573118894</x:v>
      </x:c>
      <x:c r="E892" s="258" t="n">
        <x:f>IF(Y892&lt;($E$13-$D$13)/($F$13-$D$13),$D$13+SQRT(Y892*($F$13-$D$13)*($E$13-$D$13)),$F$13-SQRT((1-Y892)*($F$13-$D$13)*($F$13-$E$13)))</x:f>
        <x:v>0.045046556334804526</x:v>
      </x:c>
      <x:c r="F892" s="260" t="n">
        <x:f>IF(Z892&lt;($E$14-$D$14)/($F$14-$D$14),$D$14+SQRT(Z892*($F$14-$D$14)*($E$14-$D$14)),$F$14-SQRT((1-Z892)*($F$14-$D$14)*($F$14-$E$14)))</x:f>
        <x:v>1.0684688113116285</x:v>
      </x:c>
      <x:c r="G892" s="258" t="n">
        <x:f>IF(AA892&lt;($E$15-$D$15)/($F$15-$D$15),$D$15+SQRT(AA892*($F$15-$D$15)*($E$15-$D$15)),$F$15-SQRT((1-AA892)*($F$15-$D$15)*($F$15-$E$15)))</x:f>
        <x:v>0.09064140933229811</x:v>
      </x:c>
      <x:c r="H892" s="258" t="n">
        <x:f>IF(AB892&lt;($E$16-$D$16)/($F$16-$D$16),$D$16+SQRT(AB892*($F$16-$D$16)*($E$16-$D$16)),$F$16-SQRT((1-AB892)*($F$16-$D$16)*($F$16-$E$16)))</x:f>
        <x:v>0.036308586290444506</x:v>
      </x:c>
      <x:c r="I892" s="262" t="n">
        <x:f>'Historical Inputs'!$N$9*(1+D892)^5</x:f>
        <x:v>559994.3210793381</x:v>
      </x:c>
      <x:c r="J892" s="262" t="n">
        <x:f>I892*(1+H892)*('Terminal Value'!$E$10+E892)*(1-'Assumptions'!$E$15)*(1-H892/'Terminal Value'!$E$12)</x:f>
        <x:v>169107.96175259337</x:v>
      </x:c>
      <x:c r="K892" s="264" t="n">
        <x:f>((SUM((('Historical Inputs'!$N$9*(1+(D892))^1)*(('Assumptions'!E37+(E892))*(1-'Assumptions'!E42-(0))+'Assumptions'!E47-'Assumptions'!E52*(F892)+'Assumptions'!E57-'Assumptions'!E62*(1)-'Assumptions'!E67-(0))+('Working Capital'!$E$6))*'DCF'!E12/(1+(G892))^'DCF'!E13,(('Historical Inputs'!$N$9*(1+(D892))^2)*(('Assumptions'!F37+(E892))*(1-'Assumptions'!F42-(0))+'Assumptions'!F47-'Assumptions'!F52*(F892)+'Assumptions'!F57-'Assumptions'!F62*(1)-'Assumptions'!F67-(0))+(('Historical Inputs'!$N$9*(1+(D892))^1)*('Assumptions'!E67+(0))))*'DCF'!F12/(1+(G892))^'DCF'!F13,(('Historical Inputs'!$N$9*(1+(D892))^3)*(('Assumptions'!G37+(E892))*(1-'Assumptions'!G42-(0))+'Assumptions'!G47-'Assumptions'!G52*(F892)+'Assumptions'!G57-'Assumptions'!G62*(1)-'Assumptions'!G67-(0))+(('Historical Inputs'!$N$9*(1+(D892))^2)*('Assumptions'!F67+(0))))*'DCF'!G12/(1+(G892))^'DCF'!G13,(('Historical Inputs'!$N$9*(1+(D892))^4)*(('Assumptions'!H37+(E892))*(1-'Assumptions'!H42-(0))+'Assumptions'!H47-'Assumptions'!H52*(F892)+'Assumptions'!H57-'Assumptions'!H62*(1)-'Assumptions'!H67-(0))+(('Historical Inputs'!$N$9*(1+(D892))^3)*('Assumptions'!G67+(0))))*'DCF'!H12/(1+(G892))^'DCF'!H13,(('Historical Inputs'!$N$9*(1+(D892))^5)*(('Assumptions'!I37+(E892))*(1-'Assumptions'!I42-(0))+'Assumptions'!I47-'Assumptions'!I52*(F892)+'Assumptions'!I57-'Assumptions'!I62*(1)-'Assumptions'!I67-(0))+(('Historical Inputs'!$N$9*(1+(D892))^4)*('Assumptions'!H67+(0))))*'DCF'!I12/(1+(G892))^'DCF'!I13)+('Historical Inputs'!$N$9*(1+(D892))^5)*(1+(H892))*('Terminal Value'!$E$10+(E892))*(1-'Assumptions'!$E$15-(0))*(1-(H892)/('Terminal Value'!$E$12))/((G892)-(H892))/(1+(G892))^'DCF'!$E$19)+'Equity Bridge'!$E$17)/'Equity Bridge'!$E$20</x:f>
        <x:v>332.84619032437377</x:v>
      </x:c>
      <x:c r="X892" s="255" t="n">
        <x:v>0.05828274232667352</x:v>
      </x:c>
      <x:c r="Y892" s="255" t="n">
        <x:v>0.995092679171147</x:v>
      </x:c>
      <x:c r="Z892" s="255" t="n">
        <x:v>0.7528506628889149</x:v>
      </x:c>
      <x:c r="AA892" s="255" t="n">
        <x:v>0.12503467044613925</x:v>
      </x:c>
      <x:c r="AB892" s="255" t="n">
        <x:v>0.9318673241245288</x:v>
      </x:c>
    </x:row>
    <x:row r="893" ht="24" customHeight="1">
      <x:c r="C893" s="256" t="n">
        <x:f>862</x:f>
        <x:v>862</x:v>
      </x:c>
      <x:c r="D893" s="258" t="n">
        <x:f>IF(X893&lt;($E$12-$D$12)/($F$12-$D$12),$D$12+SQRT(X893*($F$12-$D$12)*($E$12-$D$12)),$F$12-SQRT((1-X893)*($F$12-$D$12)*($F$12-$E$12)))</x:f>
        <x:v>0.13183575092617617</x:v>
      </x:c>
      <x:c r="E893" s="258" t="n">
        <x:f>IF(Y893&lt;($E$13-$D$13)/($F$13-$D$13),$D$13+SQRT(Y893*($F$13-$D$13)*($E$13-$D$13)),$F$13-SQRT((1-Y893)*($F$13-$D$13)*($F$13-$E$13)))</x:f>
        <x:v>0.003619706118451048</x:v>
      </x:c>
      <x:c r="F893" s="260" t="n">
        <x:f>IF(Z893&lt;($E$14-$D$14)/($F$14-$D$14),$D$14+SQRT(Z893*($F$14-$D$14)*($E$14-$D$14)),$F$14-SQRT((1-Z893)*($F$14-$D$14)*($F$14-$E$14)))</x:f>
        <x:v>1.0245031759374532</x:v>
      </x:c>
      <x:c r="G893" s="258" t="n">
        <x:f>IF(AA893&lt;($E$15-$D$15)/($F$15-$D$15),$D$15+SQRT(AA893*($F$15-$D$15)*($E$15-$D$15)),$F$15-SQRT((1-AA893)*($F$15-$D$15)*($F$15-$E$15)))</x:f>
        <x:v>0.1107534388357307</x:v>
      </x:c>
      <x:c r="H893" s="258" t="n">
        <x:f>IF(AB893&lt;($E$16-$D$16)/($F$16-$D$16),$D$16+SQRT(AB893*($F$16-$D$16)*($E$16-$D$16)),$F$16-SQRT((1-AB893)*($F$16-$D$16)*($F$16-$E$16)))</x:f>
        <x:v>0.026161741880644428</x:v>
      </x:c>
      <x:c r="I893" s="262" t="n">
        <x:f>'Historical Inputs'!$N$9*(1+D893)^5</x:f>
        <x:v>616374.2181192499</x:v>
      </x:c>
      <x:c r="J893" s="262" t="n">
        <x:f>I893*(1+H893)*('Terminal Value'!$E$10+E893)*(1-'Assumptions'!$E$15)*(1-H893/'Terminal Value'!$E$12)</x:f>
        <x:v>177516.20236760093</x:v>
      </x:c>
      <x:c r="K893" s="264" t="n">
        <x:f>((SUM((('Historical Inputs'!$N$9*(1+(D893))^1)*(('Assumptions'!E37+(E893))*(1-'Assumptions'!E42-(0))+'Assumptions'!E47-'Assumptions'!E52*(F893)+'Assumptions'!E57-'Assumptions'!E62*(1)-'Assumptions'!E67-(0))+('Working Capital'!$E$6))*'DCF'!E12/(1+(G893))^'DCF'!E13,(('Historical Inputs'!$N$9*(1+(D893))^2)*(('Assumptions'!F37+(E893))*(1-'Assumptions'!F42-(0))+'Assumptions'!F47-'Assumptions'!F52*(F893)+'Assumptions'!F57-'Assumptions'!F62*(1)-'Assumptions'!F67-(0))+(('Historical Inputs'!$N$9*(1+(D893))^1)*('Assumptions'!E67+(0))))*'DCF'!F12/(1+(G893))^'DCF'!F13,(('Historical Inputs'!$N$9*(1+(D893))^3)*(('Assumptions'!G37+(E893))*(1-'Assumptions'!G42-(0))+'Assumptions'!G47-'Assumptions'!G52*(F893)+'Assumptions'!G57-'Assumptions'!G62*(1)-'Assumptions'!G67-(0))+(('Historical Inputs'!$N$9*(1+(D893))^2)*('Assumptions'!F67+(0))))*'DCF'!G12/(1+(G893))^'DCF'!G13,(('Historical Inputs'!$N$9*(1+(D893))^4)*(('Assumptions'!H37+(E893))*(1-'Assumptions'!H42-(0))+'Assumptions'!H47-'Assumptions'!H52*(F893)+'Assumptions'!H57-'Assumptions'!H62*(1)-'Assumptions'!H67-(0))+(('Historical Inputs'!$N$9*(1+(D893))^3)*('Assumptions'!G67+(0))))*'DCF'!H12/(1+(G893))^'DCF'!H13,(('Historical Inputs'!$N$9*(1+(D893))^5)*(('Assumptions'!I37+(E893))*(1-'Assumptions'!I42-(0))+'Assumptions'!I47-'Assumptions'!I52*(F893)+'Assumptions'!I57-'Assumptions'!I62*(1)-'Assumptions'!I67-(0))+(('Historical Inputs'!$N$9*(1+(D893))^4)*('Assumptions'!H67+(0))))*'DCF'!I12/(1+(G893))^'DCF'!I13)+('Historical Inputs'!$N$9*(1+(D893))^5)*(1+(H893))*('Terminal Value'!$E$10+(E893))*(1-'Assumptions'!$E$15-(0))*(1-(H893)/('Terminal Value'!$E$12))/((G893)-(H893))/(1+(G893))^'DCF'!$E$19)+'Equity Bridge'!$E$17)/'Equity Bridge'!$E$20</x:f>
        <x:v>222.66316646891082</x:v>
      </x:c>
      <x:c r="X893" s="255" t="n">
        <x:v>0.29766366779607034</x:v>
      </x:c>
      <x:c r="Y893" s="255" t="n">
        <x:v>0.5697736678922306</x:v>
      </x:c>
      <x:c r="Z893" s="255" t="n">
        <x:v>0.5600123534851362</x:v>
      </x:c>
      <x:c r="AA893" s="255" t="n">
        <x:v>0.987339028892405</x:v>
      </x:c>
      <x:c r="AB893" s="255" t="n">
        <x:v>0.18983531501843764</x:v>
      </x:c>
    </x:row>
    <x:row r="894" ht="24" customHeight="1">
      <x:c r="C894" s="256" t="n">
        <x:f>863</x:f>
        <x:v>863</x:v>
      </x:c>
      <x:c r="D894" s="258" t="n">
        <x:f>IF(X894&lt;($E$12-$D$12)/($F$12-$D$12),$D$12+SQRT(X894*($F$12-$D$12)*($E$12-$D$12)),$F$12-SQRT((1-X894)*($F$12-$D$12)*($F$12-$E$12)))</x:f>
        <x:v>0.15204403266814367</x:v>
      </x:c>
      <x:c r="E894" s="258" t="n">
        <x:f>IF(Y894&lt;($E$13-$D$13)/($F$13-$D$13),$D$13+SQRT(Y894*($F$13-$D$13)*($E$13-$D$13)),$F$13-SQRT((1-Y894)*($F$13-$D$13)*($F$13-$E$13)))</x:f>
        <x:v>0.011402280767967017</x:v>
      </x:c>
      <x:c r="F894" s="260" t="n">
        <x:f>IF(Z894&lt;($E$14-$D$14)/($F$14-$D$14),$D$14+SQRT(Z894*($F$14-$D$14)*($E$14-$D$14)),$F$14-SQRT((1-Z894)*($F$14-$D$14)*($F$14-$E$14)))</x:f>
        <x:v>1.0315088796039984</x:v>
      </x:c>
      <x:c r="G894" s="258" t="n">
        <x:f>IF(AA894&lt;($E$15-$D$15)/($F$15-$D$15),$D$15+SQRT(AA894*($F$15-$D$15)*($E$15-$D$15)),$F$15-SQRT((1-AA894)*($F$15-$D$15)*($F$15-$E$15)))</x:f>
        <x:v>0.09774565379875792</x:v>
      </x:c>
      <x:c r="H894" s="258" t="n">
        <x:f>IF(AB894&lt;($E$16-$D$16)/($F$16-$D$16),$D$16+SQRT(AB894*($F$16-$D$16)*($E$16-$D$16)),$F$16-SQRT((1-AB894)*($F$16-$D$16)*($F$16-$E$16)))</x:f>
        <x:v>0.036028710277526535</x:v>
      </x:c>
      <x:c r="I894" s="262" t="n">
        <x:f>'Historical Inputs'!$N$9*(1+D894)^5</x:f>
        <x:v>673399.5464897238</x:v>
      </x:c>
      <x:c r="J894" s="262" t="n">
        <x:f>I894*(1+H894)*('Terminal Value'!$E$10+E894)*(1-'Assumptions'!$E$15)*(1-H894/'Terminal Value'!$E$12)</x:f>
        <x:v>188251.78777509506</x:v>
      </x:c>
      <x:c r="K894" s="264" t="n">
        <x:f>((SUM((('Historical Inputs'!$N$9*(1+(D894))^1)*(('Assumptions'!E37+(E894))*(1-'Assumptions'!E42-(0))+'Assumptions'!E47-'Assumptions'!E52*(F894)+'Assumptions'!E57-'Assumptions'!E62*(1)-'Assumptions'!E67-(0))+('Working Capital'!$E$6))*'DCF'!E12/(1+(G894))^'DCF'!E13,(('Historical Inputs'!$N$9*(1+(D894))^2)*(('Assumptions'!F37+(E894))*(1-'Assumptions'!F42-(0))+'Assumptions'!F47-'Assumptions'!F52*(F894)+'Assumptions'!F57-'Assumptions'!F62*(1)-'Assumptions'!F67-(0))+(('Historical Inputs'!$N$9*(1+(D894))^1)*('Assumptions'!E67+(0))))*'DCF'!F12/(1+(G894))^'DCF'!F13,(('Historical Inputs'!$N$9*(1+(D894))^3)*(('Assumptions'!G37+(E894))*(1-'Assumptions'!G42-(0))+'Assumptions'!G47-'Assumptions'!G52*(F894)+'Assumptions'!G57-'Assumptions'!G62*(1)-'Assumptions'!G67-(0))+(('Historical Inputs'!$N$9*(1+(D894))^2)*('Assumptions'!F67+(0))))*'DCF'!G12/(1+(G894))^'DCF'!G13,(('Historical Inputs'!$N$9*(1+(D894))^4)*(('Assumptions'!H37+(E894))*(1-'Assumptions'!H42-(0))+'Assumptions'!H47-'Assumptions'!H52*(F894)+'Assumptions'!H57-'Assumptions'!H62*(1)-'Assumptions'!H67-(0))+(('Historical Inputs'!$N$9*(1+(D894))^3)*('Assumptions'!G67+(0))))*'DCF'!H12/(1+(G894))^'DCF'!H13,(('Historical Inputs'!$N$9*(1+(D894))^5)*(('Assumptions'!I37+(E894))*(1-'Assumptions'!I42-(0))+'Assumptions'!I47-'Assumptions'!I52*(F894)+'Assumptions'!I57-'Assumptions'!I62*(1)-'Assumptions'!I67-(0))+(('Historical Inputs'!$N$9*(1+(D894))^4)*('Assumptions'!H67+(0))))*'DCF'!I12/(1+(G894))^'DCF'!I13)+('Historical Inputs'!$N$9*(1+(D894))^5)*(1+(H894))*('Terminal Value'!$E$10+(E894))*(1-'Assumptions'!$E$15-(0))*(1-(H894)/('Terminal Value'!$E$12))/((G894)-(H894))/(1+(G894))^'DCF'!$E$19)+'Equity Bridge'!$E$17)/'Equity Bridge'!$E$20</x:f>
        <x:v>321.19284489678273</x:v>
      </x:c>
      <x:c r="X894" s="255" t="n">
        <x:v>0.6602979049339376</x:v>
      </x:c>
      <x:c r="Y894" s="255" t="n">
        <x:v>0.7020432140170303</x:v>
      </x:c>
      <x:c r="Z894" s="255" t="n">
        <x:v>0.594439176395716</x:v>
      </x:c>
      <x:c r="AA894" s="255" t="n">
        <x:v>0.47403185678174375</x:v>
      </x:c>
      <x:c r="AB894" s="255" t="n">
        <x:v>0.921144289700883</x:v>
      </x:c>
    </x:row>
    <x:row r="895" ht="24" customHeight="1">
      <x:c r="C895" s="256" t="n">
        <x:f>864</x:f>
        <x:v>864</x:v>
      </x:c>
      <x:c r="D895" s="258" t="n">
        <x:f>IF(X895&lt;($E$12-$D$12)/($F$12-$D$12),$D$12+SQRT(X895*($F$12-$D$12)*($E$12-$D$12)),$F$12-SQRT((1-X895)*($F$12-$D$12)*($F$12-$E$12)))</x:f>
        <x:v>0.1205961010080279</x:v>
      </x:c>
      <x:c r="E895" s="258" t="n">
        <x:f>IF(Y895&lt;($E$13-$D$13)/($F$13-$D$13),$D$13+SQRT(Y895*($F$13-$D$13)*($E$13-$D$13)),$F$13-SQRT((1-Y895)*($F$13-$D$13)*($F$13-$E$13)))</x:f>
        <x:v>0.012866243429498679</x:v>
      </x:c>
      <x:c r="F895" s="260" t="n">
        <x:f>IF(Z895&lt;($E$14-$D$14)/($F$14-$D$14),$D$14+SQRT(Z895*($F$14-$D$14)*($E$14-$D$14)),$F$14-SQRT((1-Z895)*($F$14-$D$14)*($F$14-$E$14)))</x:f>
        <x:v>0.9745229814011354</x:v>
      </x:c>
      <x:c r="G895" s="258" t="n">
        <x:f>IF(AA895&lt;($E$15-$D$15)/($F$15-$D$15),$D$15+SQRT(AA895*($F$15-$D$15)*($E$15-$D$15)),$F$15-SQRT((1-AA895)*($F$15-$D$15)*($F$15-$E$15)))</x:f>
        <x:v>0.0902624545902802</x:v>
      </x:c>
      <x:c r="H895" s="258" t="n">
        <x:f>IF(AB895&lt;($E$16-$D$16)/($F$16-$D$16),$D$16+SQRT(AB895*($F$16-$D$16)*($E$16-$D$16)),$F$16-SQRT((1-AB895)*($F$16-$D$16)*($F$16-$E$16)))</x:f>
        <x:v>0.02181159693547197</x:v>
      </x:c>
      <x:c r="I895" s="262" t="n">
        <x:f>'Historical Inputs'!$N$9*(1+D895)^5</x:f>
        <x:v>586371.6451870541</x:v>
      </x:c>
      <x:c r="J895" s="262" t="n">
        <x:f>I895*(1+H895)*('Terminal Value'!$E$10+E895)*(1-'Assumptions'!$E$15)*(1-H895/'Terminal Value'!$E$12)</x:f>
        <x:v>176316.3518621096</x:v>
      </x:c>
      <x:c r="K895" s="264" t="n">
        <x:f>((SUM((('Historical Inputs'!$N$9*(1+(D895))^1)*(('Assumptions'!E37+(E895))*(1-'Assumptions'!E42-(0))+'Assumptions'!E47-'Assumptions'!E52*(F895)+'Assumptions'!E57-'Assumptions'!E62*(1)-'Assumptions'!E67-(0))+('Working Capital'!$E$6))*'DCF'!E12/(1+(G895))^'DCF'!E13,(('Historical Inputs'!$N$9*(1+(D895))^2)*(('Assumptions'!F37+(E895))*(1-'Assumptions'!F42-(0))+'Assumptions'!F47-'Assumptions'!F52*(F895)+'Assumptions'!F57-'Assumptions'!F62*(1)-'Assumptions'!F67-(0))+(('Historical Inputs'!$N$9*(1+(D895))^1)*('Assumptions'!E67+(0))))*'DCF'!F12/(1+(G895))^'DCF'!F13,(('Historical Inputs'!$N$9*(1+(D895))^3)*(('Assumptions'!G37+(E895))*(1-'Assumptions'!G42-(0))+'Assumptions'!G47-'Assumptions'!G52*(F895)+'Assumptions'!G57-'Assumptions'!G62*(1)-'Assumptions'!G67-(0))+(('Historical Inputs'!$N$9*(1+(D895))^2)*('Assumptions'!F67+(0))))*'DCF'!G12/(1+(G895))^'DCF'!G13,(('Historical Inputs'!$N$9*(1+(D895))^4)*(('Assumptions'!H37+(E895))*(1-'Assumptions'!H42-(0))+'Assumptions'!H47-'Assumptions'!H52*(F895)+'Assumptions'!H57-'Assumptions'!H62*(1)-'Assumptions'!H67-(0))+(('Historical Inputs'!$N$9*(1+(D895))^3)*('Assumptions'!G67+(0))))*'DCF'!H12/(1+(G895))^'DCF'!H13,(('Historical Inputs'!$N$9*(1+(D895))^5)*(('Assumptions'!I37+(E895))*(1-'Assumptions'!I42-(0))+'Assumptions'!I47-'Assumptions'!I52*(F895)+'Assumptions'!I57-'Assumptions'!I62*(1)-'Assumptions'!I67-(0))+(('Historical Inputs'!$N$9*(1+(D895))^4)*('Assumptions'!H67+(0))))*'DCF'!I12/(1+(G895))^'DCF'!I13)+('Historical Inputs'!$N$9*(1+(D895))^5)*(1+(H895))*('Terminal Value'!$E$10+(E895))*(1-'Assumptions'!$E$15-(0))*(1-(H895)/('Terminal Value'!$E$12))/((G895)-(H895))/(1+(G895))^'DCF'!$E$19)+'Equity Bridge'!$E$17)/'Equity Bridge'!$E$20</x:f>
        <x:v>286.76512045405434</x:v>
      </x:c>
      <x:c r="X895" s="255" t="n">
        <x:v>0.1494850501036109</x:v>
      </x:c>
      <x:c r="Y895" s="255" t="n">
        <x:v>0.72421682459255</x:v>
      </x:c>
      <x:c r="Z895" s="255" t="n">
        <x:v>0.29535186470528585</x:v>
      </x:c>
      <x:c r="AA895" s="255" t="n">
        <x:v>0.11272022002188498</x:v>
      </x:c>
      <x:c r="AB895" s="255" t="n">
        <x:v>0.016409417283057226</x:v>
      </x:c>
    </x:row>
    <x:row r="896" ht="24" customHeight="1">
      <x:c r="C896" s="256" t="n">
        <x:f>865</x:f>
        <x:v>865</x:v>
      </x:c>
      <x:c r="D896" s="258" t="n">
        <x:f>IF(X896&lt;($E$12-$D$12)/($F$12-$D$12),$D$12+SQRT(X896*($F$12-$D$12)*($E$12-$D$12)),$F$12-SQRT((1-X896)*($F$12-$D$12)*($F$12-$E$12)))</x:f>
        <x:v>0.13283813542750816</x:v>
      </x:c>
      <x:c r="E896" s="258" t="n">
        <x:f>IF(Y896&lt;($E$13-$D$13)/($F$13-$D$13),$D$13+SQRT(Y896*($F$13-$D$13)*($E$13-$D$13)),$F$13-SQRT((1-Y896)*($F$13-$D$13)*($F$13-$E$13)))</x:f>
        <x:v>-0.03843098463216696</x:v>
      </x:c>
      <x:c r="F896" s="260" t="n">
        <x:f>IF(Z896&lt;($E$14-$D$14)/($F$14-$D$14),$D$14+SQRT(Z896*($F$14-$D$14)*($E$14-$D$14)),$F$14-SQRT((1-Z896)*($F$14-$D$14)*($F$14-$E$14)))</x:f>
        <x:v>1.0185251678829628</x:v>
      </x:c>
      <x:c r="G896" s="258" t="n">
        <x:f>IF(AA896&lt;($E$15-$D$15)/($F$15-$D$15),$D$15+SQRT(AA896*($F$15-$D$15)*($E$15-$D$15)),$F$15-SQRT((1-AA896)*($F$15-$D$15)*($F$15-$E$15)))</x:f>
        <x:v>0.0952691144416798</x:v>
      </x:c>
      <x:c r="H896" s="258" t="n">
        <x:f>IF(AB896&lt;($E$16-$D$16)/($F$16-$D$16),$D$16+SQRT(AB896*($F$16-$D$16)*($E$16-$D$16)),$F$16-SQRT((1-AB896)*($F$16-$D$16)*($F$16-$E$16)))</x:f>
        <x:v>0.023892234303145</x:v>
      </x:c>
      <x:c r="I896" s="262" t="n">
        <x:f>'Historical Inputs'!$N$9*(1+D896)^5</x:f>
        <x:v>619108.4456394116</x:v>
      </x:c>
      <x:c r="J896" s="262" t="n">
        <x:f>I896*(1+H896)*('Terminal Value'!$E$10+E896)*(1-'Assumptions'!$E$15)*(1-H896/'Terminal Value'!$E$12)</x:f>
        <x:v>161454.69654149664</x:v>
      </x:c>
      <x:c r="K896" s="264" t="n">
        <x:f>((SUM((('Historical Inputs'!$N$9*(1+(D896))^1)*(('Assumptions'!E37+(E896))*(1-'Assumptions'!E42-(0))+'Assumptions'!E47-'Assumptions'!E52*(F896)+'Assumptions'!E57-'Assumptions'!E62*(1)-'Assumptions'!E67-(0))+('Working Capital'!$E$6))*'DCF'!E12/(1+(G896))^'DCF'!E13,(('Historical Inputs'!$N$9*(1+(D896))^2)*(('Assumptions'!F37+(E896))*(1-'Assumptions'!F42-(0))+'Assumptions'!F47-'Assumptions'!F52*(F896)+'Assumptions'!F57-'Assumptions'!F62*(1)-'Assumptions'!F67-(0))+(('Historical Inputs'!$N$9*(1+(D896))^1)*('Assumptions'!E67+(0))))*'DCF'!F12/(1+(G896))^'DCF'!F13,(('Historical Inputs'!$N$9*(1+(D896))^3)*(('Assumptions'!G37+(E896))*(1-'Assumptions'!G42-(0))+'Assumptions'!G47-'Assumptions'!G52*(F896)+'Assumptions'!G57-'Assumptions'!G62*(1)-'Assumptions'!G67-(0))+(('Historical Inputs'!$N$9*(1+(D896))^2)*('Assumptions'!F67+(0))))*'DCF'!G12/(1+(G896))^'DCF'!G13,(('Historical Inputs'!$N$9*(1+(D896))^4)*(('Assumptions'!H37+(E896))*(1-'Assumptions'!H42-(0))+'Assumptions'!H47-'Assumptions'!H52*(F896)+'Assumptions'!H57-'Assumptions'!H62*(1)-'Assumptions'!H67-(0))+(('Historical Inputs'!$N$9*(1+(D896))^3)*('Assumptions'!G67+(0))))*'DCF'!H12/(1+(G896))^'DCF'!H13,(('Historical Inputs'!$N$9*(1+(D896))^5)*(('Assumptions'!I37+(E896))*(1-'Assumptions'!I42-(0))+'Assumptions'!I47-'Assumptions'!I52*(F896)+'Assumptions'!I57-'Assumptions'!I62*(1)-'Assumptions'!I67-(0))+(('Historical Inputs'!$N$9*(1+(D896))^4)*('Assumptions'!H67+(0))))*'DCF'!I12/(1+(G896))^'DCF'!I13)+('Historical Inputs'!$N$9*(1+(D896))^5)*(1+(H896))*('Terminal Value'!$E$10+(E896))*(1-'Assumptions'!$E$15-(0))*(1-(H896)/('Terminal Value'!$E$12))/((G896)-(H896))/(1+(G896))^'DCF'!$E$19)+'Equity Bridge'!$E$17)/'Equity Bridge'!$E$20</x:f>
        <x:v>242.92112849112925</x:v>
      </x:c>
      <x:c r="X896" s="255" t="n">
        <x:v>0.31333291078619074</x:v>
      </x:c>
      <x:c r="Y896" s="255" t="n">
        <x:v>0.026768423316231416</x:v>
      </x:c>
      <x:c r="Z896" s="255" t="n">
        <x:v>0.5295269329727594</x:v>
      </x:c>
      <x:c r="AA896" s="255" t="n">
        <x:v>0.3269032420655569</x:v>
      </x:c>
      <x:c r="AB896" s="255" t="n">
        <x:v>0.0757474393528933</x:v>
      </x:c>
    </x:row>
    <x:row r="897" ht="24" customHeight="1">
      <x:c r="C897" s="256" t="n">
        <x:f>866</x:f>
        <x:v>866</x:v>
      </x:c>
      <x:c r="D897" s="258" t="n">
        <x:f>IF(X897&lt;($E$12-$D$12)/($F$12-$D$12),$D$12+SQRT(X897*($F$12-$D$12)*($E$12-$D$12)),$F$12-SQRT((1-X897)*($F$12-$D$12)*($F$12-$E$12)))</x:f>
        <x:v>0.1036745892083957</x:v>
      </x:c>
      <x:c r="E897" s="258" t="n">
        <x:f>IF(Y897&lt;($E$13-$D$13)/($F$13-$D$13),$D$13+SQRT(Y897*($F$13-$D$13)*($E$13-$D$13)),$F$13-SQRT((1-Y897)*($F$13-$D$13)*($F$13-$E$13)))</x:f>
        <x:v>0.023404678931579458</x:v>
      </x:c>
      <x:c r="F897" s="260" t="n">
        <x:f>IF(Z897&lt;($E$14-$D$14)/($F$14-$D$14),$D$14+SQRT(Z897*($F$14-$D$14)*($E$14-$D$14)),$F$14-SQRT((1-Z897)*($F$14-$D$14)*($F$14-$E$14)))</x:f>
        <x:v>0.9356679631212526</x:v>
      </x:c>
      <x:c r="G897" s="258" t="n">
        <x:f>IF(AA897&lt;($E$15-$D$15)/($F$15-$D$15),$D$15+SQRT(AA897*($F$15-$D$15)*($E$15-$D$15)),$F$15-SQRT((1-AA897)*($F$15-$D$15)*($F$15-$E$15)))</x:f>
        <x:v>0.09601011956693305</x:v>
      </x:c>
      <x:c r="H897" s="258" t="n">
        <x:f>IF(AB897&lt;($E$16-$D$16)/($F$16-$D$16),$D$16+SQRT(AB897*($F$16-$D$16)*($E$16-$D$16)),$F$16-SQRT((1-AB897)*($F$16-$D$16)*($F$16-$E$16)))</x:f>
        <x:v>0.030586383715706718</x:v>
      </x:c>
      <x:c r="I897" s="262" t="n">
        <x:f>'Historical Inputs'!$N$9*(1+D897)^5</x:f>
        <x:v>543416.2782329606</x:v>
      </x:c>
      <x:c r="J897" s="262" t="n">
        <x:f>I897*(1+H897)*('Terminal Value'!$E$10+E897)*(1-'Assumptions'!$E$15)*(1-H897/'Terminal Value'!$E$12)</x:f>
        <x:v>160687.09566682598</x:v>
      </x:c>
      <x:c r="K897" s="264" t="n">
        <x:f>((SUM((('Historical Inputs'!$N$9*(1+(D897))^1)*(('Assumptions'!E37+(E897))*(1-'Assumptions'!E42-(0))+'Assumptions'!E47-'Assumptions'!E52*(F897)+'Assumptions'!E57-'Assumptions'!E62*(1)-'Assumptions'!E67-(0))+('Working Capital'!$E$6))*'DCF'!E12/(1+(G897))^'DCF'!E13,(('Historical Inputs'!$N$9*(1+(D897))^2)*(('Assumptions'!F37+(E897))*(1-'Assumptions'!F42-(0))+'Assumptions'!F47-'Assumptions'!F52*(F897)+'Assumptions'!F57-'Assumptions'!F62*(1)-'Assumptions'!F67-(0))+(('Historical Inputs'!$N$9*(1+(D897))^1)*('Assumptions'!E67+(0))))*'DCF'!F12/(1+(G897))^'DCF'!F13,(('Historical Inputs'!$N$9*(1+(D897))^3)*(('Assumptions'!G37+(E897))*(1-'Assumptions'!G42-(0))+'Assumptions'!G47-'Assumptions'!G52*(F897)+'Assumptions'!G57-'Assumptions'!G62*(1)-'Assumptions'!G67-(0))+(('Historical Inputs'!$N$9*(1+(D897))^2)*('Assumptions'!F67+(0))))*'DCF'!G12/(1+(G897))^'DCF'!G13,(('Historical Inputs'!$N$9*(1+(D897))^4)*(('Assumptions'!H37+(E897))*(1-'Assumptions'!H42-(0))+'Assumptions'!H47-'Assumptions'!H52*(F897)+'Assumptions'!H57-'Assumptions'!H62*(1)-'Assumptions'!H67-(0))+(('Historical Inputs'!$N$9*(1+(D897))^3)*('Assumptions'!G67+(0))))*'DCF'!H12/(1+(G897))^'DCF'!H13,(('Historical Inputs'!$N$9*(1+(D897))^5)*(('Assumptions'!I37+(E897))*(1-'Assumptions'!I42-(0))+'Assumptions'!I47-'Assumptions'!I52*(F897)+'Assumptions'!I57-'Assumptions'!I62*(1)-'Assumptions'!I67-(0))+(('Historical Inputs'!$N$9*(1+(D897))^4)*('Assumptions'!H67+(0))))*'DCF'!I12/(1+(G897))^'DCF'!I13)+('Historical Inputs'!$N$9*(1+(D897))^5)*(1+(H897))*('Terminal Value'!$E$10+(E897))*(1-'Assumptions'!$E$15-(0))*(1-(H897)/('Terminal Value'!$E$12))/((G897)-(H897))/(1+(G897))^'DCF'!$E$19)+'Equity Bridge'!$E$17)/'Equity Bridge'!$E$20</x:f>
        <x:v>271.07524563941814</x:v>
      </x:c>
      <x:c r="X897" s="255" t="n">
        <x:v>0.021705142033111913</x:v>
      </x:c>
      <x:c r="Y897" s="255" t="n">
        <x:v>0.8585377794535253</x:v>
      </x:c>
      <x:c r="Z897" s="255" t="n">
        <x:v>0.13979047438751013</x:v>
      </x:c>
      <x:c r="AA897" s="255" t="n">
        <x:v>0.3680677159204474</x:v>
      </x:c>
      <x:c r="AB897" s="255" t="n">
        <x:v>0.5569191422604416</x:v>
      </x:c>
    </x:row>
    <x:row r="898" ht="24" customHeight="1">
      <x:c r="C898" s="256" t="n">
        <x:f>867</x:f>
        <x:v>867</x:v>
      </x:c>
      <x:c r="D898" s="258" t="n">
        <x:f>IF(X898&lt;($E$12-$D$12)/($F$12-$D$12),$D$12+SQRT(X898*($F$12-$D$12)*($E$12-$D$12)),$F$12-SQRT((1-X898)*($F$12-$D$12)*($F$12-$E$12)))</x:f>
        <x:v>0.16193966584410957</x:v>
      </x:c>
      <x:c r="E898" s="258" t="n">
        <x:f>IF(Y898&lt;($E$13-$D$13)/($F$13-$D$13),$D$13+SQRT(Y898*($F$13-$D$13)*($E$13-$D$13)),$F$13-SQRT((1-Y898)*($F$13-$D$13)*($F$13-$E$13)))</x:f>
        <x:v>0.015939465693397638</x:v>
      </x:c>
      <x:c r="F898" s="260" t="n">
        <x:f>IF(Z898&lt;($E$14-$D$14)/($F$14-$D$14),$D$14+SQRT(Z898*($F$14-$D$14)*($E$14-$D$14)),$F$14-SQRT((1-Z898)*($F$14-$D$14)*($F$14-$E$14)))</x:f>
        <x:v>1.0098739540927966</x:v>
      </x:c>
      <x:c r="G898" s="258" t="n">
        <x:f>IF(AA898&lt;($E$15-$D$15)/($F$15-$D$15),$D$15+SQRT(AA898*($F$15-$D$15)*($E$15-$D$15)),$F$15-SQRT((1-AA898)*($F$15-$D$15)*($F$15-$E$15)))</x:f>
        <x:v>0.08566727706061504</x:v>
      </x:c>
      <x:c r="H898" s="258" t="n">
        <x:f>IF(AB898&lt;($E$16-$D$16)/($F$16-$D$16),$D$16+SQRT(AB898*($F$16-$D$16)*($E$16-$D$16)),$F$16-SQRT((1-AB898)*($F$16-$D$16)*($F$16-$E$16)))</x:f>
        <x:v>0.02510020882977858</x:v>
      </x:c>
      <x:c r="I898" s="262" t="n">
        <x:f>'Historical Inputs'!$N$9*(1+D898)^5</x:f>
        <x:v>702821.9468358376</x:v>
      </x:c>
      <x:c r="J898" s="262" t="n">
        <x:f>I898*(1+H898)*('Terminal Value'!$E$10+E898)*(1-'Assumptions'!$E$15)*(1-H898/'Terminal Value'!$E$12)</x:f>
        <x:v>209648.1567948688</x:v>
      </x:c>
      <x:c r="K898" s="264" t="n">
        <x:f>((SUM((('Historical Inputs'!$N$9*(1+(D898))^1)*(('Assumptions'!E37+(E898))*(1-'Assumptions'!E42-(0))+'Assumptions'!E47-'Assumptions'!E52*(F898)+'Assumptions'!E57-'Assumptions'!E62*(1)-'Assumptions'!E67-(0))+('Working Capital'!$E$6))*'DCF'!E12/(1+(G898))^'DCF'!E13,(('Historical Inputs'!$N$9*(1+(D898))^2)*(('Assumptions'!F37+(E898))*(1-'Assumptions'!F42-(0))+'Assumptions'!F47-'Assumptions'!F52*(F898)+'Assumptions'!F57-'Assumptions'!F62*(1)-'Assumptions'!F67-(0))+(('Historical Inputs'!$N$9*(1+(D898))^1)*('Assumptions'!E67+(0))))*'DCF'!F12/(1+(G898))^'DCF'!F13,(('Historical Inputs'!$N$9*(1+(D898))^3)*(('Assumptions'!G37+(E898))*(1-'Assumptions'!G42-(0))+'Assumptions'!G47-'Assumptions'!G52*(F898)+'Assumptions'!G57-'Assumptions'!G62*(1)-'Assumptions'!G67-(0))+(('Historical Inputs'!$N$9*(1+(D898))^2)*('Assumptions'!F67+(0))))*'DCF'!G12/(1+(G898))^'DCF'!G13,(('Historical Inputs'!$N$9*(1+(D898))^4)*(('Assumptions'!H37+(E898))*(1-'Assumptions'!H42-(0))+'Assumptions'!H47-'Assumptions'!H52*(F898)+'Assumptions'!H57-'Assumptions'!H62*(1)-'Assumptions'!H67-(0))+(('Historical Inputs'!$N$9*(1+(D898))^3)*('Assumptions'!G67+(0))))*'DCF'!H12/(1+(G898))^'DCF'!H13,(('Historical Inputs'!$N$9*(1+(D898))^5)*(('Assumptions'!I37+(E898))*(1-'Assumptions'!I42-(0))+'Assumptions'!I47-'Assumptions'!I52*(F898)+'Assumptions'!I57-'Assumptions'!I62*(1)-'Assumptions'!I67-(0))+(('Historical Inputs'!$N$9*(1+(D898))^4)*('Assumptions'!H67+(0))))*'DCF'!I12/(1+(G898))^'DCF'!I13)+('Historical Inputs'!$N$9*(1+(D898))^5)*(1+(H898))*('Terminal Value'!$E$10+(E898))*(1-'Assumptions'!$E$15-(0))*(1-(H898)/('Terminal Value'!$E$12))/((G898)-(H898))/(1+(G898))^'DCF'!$E$19)+'Equity Bridge'!$E$17)/'Equity Bridge'!$E$20</x:f>
        <x:v>379.05120611870035</x:v>
      </x:c>
      <x:c r="X898" s="255" t="n">
        <x:v>0.8038446428599918</x:v>
      </x:c>
      <x:c r="Y898" s="255" t="n">
        <x:v>0.7679760005497527</x:v>
      </x:c>
      <x:c r="Z898" s="255" t="n">
        <x:v>0.483601238109885</x:v>
      </x:c>
      <x:c r="AA898" s="255" t="n">
        <x:v>0.014189473057795166</x:v>
      </x:c>
      <x:c r="AB898" s="255" t="n">
        <x:v>0.1300606505367572</x:v>
      </x:c>
    </x:row>
    <x:row r="899" ht="24" customHeight="1">
      <x:c r="C899" s="256" t="n">
        <x:f>868</x:f>
        <x:v>868</x:v>
      </x:c>
      <x:c r="D899" s="258" t="n">
        <x:f>IF(X899&lt;($E$12-$D$12)/($F$12-$D$12),$D$12+SQRT(X899*($F$12-$D$12)*($E$12-$D$12)),$F$12-SQRT((1-X899)*($F$12-$D$12)*($F$12-$E$12)))</x:f>
        <x:v>0.14431933310069223</x:v>
      </x:c>
      <x:c r="E899" s="258" t="n">
        <x:f>IF(Y899&lt;($E$13-$D$13)/($F$13-$D$13),$D$13+SQRT(Y899*($F$13-$D$13)*($E$13-$D$13)),$F$13-SQRT((1-Y899)*($F$13-$D$13)*($F$13-$E$13)))</x:f>
        <x:v>0.0006334609054943</x:v>
      </x:c>
      <x:c r="F899" s="260" t="n">
        <x:f>IF(Z899&lt;($E$14-$D$14)/($F$14-$D$14),$D$14+SQRT(Z899*($F$14-$D$14)*($E$14-$D$14)),$F$14-SQRT((1-Z899)*($F$14-$D$14)*($F$14-$E$14)))</x:f>
        <x:v>0.9625019797868799</x:v>
      </x:c>
      <x:c r="G899" s="258" t="n">
        <x:f>IF(AA899&lt;($E$15-$D$15)/($F$15-$D$15),$D$15+SQRT(AA899*($F$15-$D$15)*($E$15-$D$15)),$F$15-SQRT((1-AA899)*($F$15-$D$15)*($F$15-$E$15)))</x:f>
        <x:v>0.0903273085358543</x:v>
      </x:c>
      <x:c r="H899" s="258" t="n">
        <x:f>IF(AB899&lt;($E$16-$D$16)/($F$16-$D$16),$D$16+SQRT(AB899*($F$16-$D$16)*($E$16-$D$16)),$F$16-SQRT((1-AB899)*($F$16-$D$16)*($F$16-$E$16)))</x:f>
        <x:v>0.02445966720198633</x:v>
      </x:c>
      <x:c r="I899" s="262" t="n">
        <x:f>'Historical Inputs'!$N$9*(1+D899)^5</x:f>
        <x:v>651123.8488965594</x:v>
      </x:c>
      <x:c r="J899" s="262" t="n">
        <x:f>I899*(1+H899)*('Terminal Value'!$E$10+E899)*(1-'Assumptions'!$E$15)*(1-H899/'Terminal Value'!$E$12)</x:f>
        <x:v>187647.41891981827</x:v>
      </x:c>
      <x:c r="K899" s="264" t="n">
        <x:f>((SUM((('Historical Inputs'!$N$9*(1+(D899))^1)*(('Assumptions'!E37+(E899))*(1-'Assumptions'!E42-(0))+'Assumptions'!E47-'Assumptions'!E52*(F899)+'Assumptions'!E57-'Assumptions'!E62*(1)-'Assumptions'!E67-(0))+('Working Capital'!$E$6))*'DCF'!E12/(1+(G899))^'DCF'!E13,(('Historical Inputs'!$N$9*(1+(D899))^2)*(('Assumptions'!F37+(E899))*(1-'Assumptions'!F42-(0))+'Assumptions'!F47-'Assumptions'!F52*(F899)+'Assumptions'!F57-'Assumptions'!F62*(1)-'Assumptions'!F67-(0))+(('Historical Inputs'!$N$9*(1+(D899))^1)*('Assumptions'!E67+(0))))*'DCF'!F12/(1+(G899))^'DCF'!F13,(('Historical Inputs'!$N$9*(1+(D899))^3)*(('Assumptions'!G37+(E899))*(1-'Assumptions'!G42-(0))+'Assumptions'!G47-'Assumptions'!G52*(F899)+'Assumptions'!G57-'Assumptions'!G62*(1)-'Assumptions'!G67-(0))+(('Historical Inputs'!$N$9*(1+(D899))^2)*('Assumptions'!F67+(0))))*'DCF'!G12/(1+(G899))^'DCF'!G13,(('Historical Inputs'!$N$9*(1+(D899))^4)*(('Assumptions'!H37+(E899))*(1-'Assumptions'!H42-(0))+'Assumptions'!H47-'Assumptions'!H52*(F899)+'Assumptions'!H57-'Assumptions'!H62*(1)-'Assumptions'!H67-(0))+(('Historical Inputs'!$N$9*(1+(D899))^3)*('Assumptions'!G67+(0))))*'DCF'!H12/(1+(G899))^'DCF'!H13,(('Historical Inputs'!$N$9*(1+(D899))^5)*(('Assumptions'!I37+(E899))*(1-'Assumptions'!I42-(0))+'Assumptions'!I47-'Assumptions'!I52*(F899)+'Assumptions'!I57-'Assumptions'!I62*(1)-'Assumptions'!I67-(0))+(('Historical Inputs'!$N$9*(1+(D899))^4)*('Assumptions'!H67+(0))))*'DCF'!I12/(1+(G899))^'DCF'!I13)+('Historical Inputs'!$N$9*(1+(D899))^5)*(1+(H899))*('Terminal Value'!$E$10+(E899))*(1-'Assumptions'!$E$15-(0))*(1-(H899)/('Terminal Value'!$E$12))/((G899)-(H899))/(1+(G899))^'DCF'!$E$19)+'Equity Bridge'!$E$17)/'Equity Bridge'!$E$20</x:f>
        <x:v>313.7351447282527</x:v>
      </x:c>
      <x:c r="X899" s="255" t="n">
        <x:v>0.521020524443854</x:v>
      </x:c>
      <x:c r="Y899" s="255" t="n">
        <x:v>0.512588963566128</x:v>
      </x:c>
      <x:c r="Z899" s="255" t="n">
        <x:v>0.24107991344700086</x:v>
      </x:c>
      <x:c r="AA899" s="255" t="n">
        <x:v>0.11478243490855244</x:v>
      </x:c>
      <x:c r="AB899" s="255" t="n">
        <x:v>0.09944315776236301</x:v>
      </x:c>
    </x:row>
    <x:row r="900" ht="24" customHeight="1">
      <x:c r="C900" s="256" t="n">
        <x:f>869</x:f>
        <x:v>869</x:v>
      </x:c>
      <x:c r="D900" s="258" t="n">
        <x:f>IF(X900&lt;($E$12-$D$12)/($F$12-$D$12),$D$12+SQRT(X900*($F$12-$D$12)*($E$12-$D$12)),$F$12-SQRT((1-X900)*($F$12-$D$12)*($F$12-$E$12)))</x:f>
        <x:v>0.1423135987865456</x:v>
      </x:c>
      <x:c r="E900" s="258" t="n">
        <x:f>IF(Y900&lt;($E$13-$D$13)/($F$13-$D$13),$D$13+SQRT(Y900*($F$13-$D$13)*($E$13-$D$13)),$F$13-SQRT((1-Y900)*($F$13-$D$13)*($F$13-$E$13)))</x:f>
        <x:v>0.027586215338914075</x:v>
      </x:c>
      <x:c r="F900" s="260" t="n">
        <x:f>IF(Z900&lt;($E$14-$D$14)/($F$14-$D$14),$D$14+SQRT(Z900*($F$14-$D$14)*($E$14-$D$14)),$F$14-SQRT((1-Z900)*($F$14-$D$14)*($F$14-$E$14)))</x:f>
        <x:v>0.9428274344165166</x:v>
      </x:c>
      <x:c r="G900" s="258" t="n">
        <x:f>IF(AA900&lt;($E$15-$D$15)/($F$15-$D$15),$D$15+SQRT(AA900*($F$15-$D$15)*($E$15-$D$15)),$F$15-SQRT((1-AA900)*($F$15-$D$15)*($F$15-$E$15)))</x:f>
        <x:v>0.10088165708040372</x:v>
      </x:c>
      <x:c r="H900" s="258" t="n">
        <x:f>IF(AB900&lt;($E$16-$D$16)/($F$16-$D$16),$D$16+SQRT(AB900*($F$16-$D$16)*($E$16-$D$16)),$F$16-SQRT((1-AB900)*($F$16-$D$16)*($F$16-$E$16)))</x:f>
        <x:v>0.023369520883764303</x:v>
      </x:c>
      <x:c r="I900" s="262" t="n">
        <x:f>'Historical Inputs'!$N$9*(1+D900)^5</x:f>
        <x:v>645437.4498159322</x:v>
      </x:c>
      <x:c r="J900" s="262" t="n">
        <x:f>I900*(1+H900)*('Terminal Value'!$E$10+E900)*(1-'Assumptions'!$E$15)*(1-H900/'Terminal Value'!$E$12)</x:f>
        <x:v>199542.75908638796</x:v>
      </x:c>
      <x:c r="K900" s="264" t="n">
        <x:f>((SUM((('Historical Inputs'!$N$9*(1+(D900))^1)*(('Assumptions'!E37+(E900))*(1-'Assumptions'!E42-(0))+'Assumptions'!E47-'Assumptions'!E52*(F900)+'Assumptions'!E57-'Assumptions'!E62*(1)-'Assumptions'!E67-(0))+('Working Capital'!$E$6))*'DCF'!E12/(1+(G900))^'DCF'!E13,(('Historical Inputs'!$N$9*(1+(D900))^2)*(('Assumptions'!F37+(E900))*(1-'Assumptions'!F42-(0))+'Assumptions'!F47-'Assumptions'!F52*(F900)+'Assumptions'!F57-'Assumptions'!F62*(1)-'Assumptions'!F67-(0))+(('Historical Inputs'!$N$9*(1+(D900))^1)*('Assumptions'!E67+(0))))*'DCF'!F12/(1+(G900))^'DCF'!F13,(('Historical Inputs'!$N$9*(1+(D900))^3)*(('Assumptions'!G37+(E900))*(1-'Assumptions'!G42-(0))+'Assumptions'!G47-'Assumptions'!G52*(F900)+'Assumptions'!G57-'Assumptions'!G62*(1)-'Assumptions'!G67-(0))+(('Historical Inputs'!$N$9*(1+(D900))^2)*('Assumptions'!F67+(0))))*'DCF'!G12/(1+(G900))^'DCF'!G13,(('Historical Inputs'!$N$9*(1+(D900))^4)*(('Assumptions'!H37+(E900))*(1-'Assumptions'!H42-(0))+'Assumptions'!H47-'Assumptions'!H52*(F900)+'Assumptions'!H57-'Assumptions'!H62*(1)-'Assumptions'!H67-(0))+(('Historical Inputs'!$N$9*(1+(D900))^3)*('Assumptions'!G67+(0))))*'DCF'!H12/(1+(G900))^'DCF'!H13,(('Historical Inputs'!$N$9*(1+(D900))^5)*(('Assumptions'!I37+(E900))*(1-'Assumptions'!I42-(0))+'Assumptions'!I47-'Assumptions'!I52*(F900)+'Assumptions'!I57-'Assumptions'!I62*(1)-'Assumptions'!I67-(0))+(('Historical Inputs'!$N$9*(1+(D900))^4)*('Assumptions'!H67+(0))))*'DCF'!I12/(1+(G900))^'DCF'!I13)+('Historical Inputs'!$N$9*(1+(D900))^5)*(1+(H900))*('Terminal Value'!$E$10+(E900))*(1-'Assumptions'!$E$15-(0))*(1-(H900)/('Terminal Value'!$E$12))/((G900)-(H900))/(1+(G900))^'DCF'!$E$19)+'Equity Bridge'!$E$17)/'Equity Bridge'!$E$20</x:f>
        <x:v>283.7643142418044</x:v>
      </x:c>
      <x:c r="X900" s="255" t="n">
        <x:v>0.4813095486160607</x:v>
      </x:c>
      <x:c r="Y900" s="255" t="n">
        <x:v>0.8995244514332938</x:v>
      </x:c>
      <x:c r="Z900" s="255" t="n">
        <x:v>0.16413204914957535</x:v>
      </x:c>
      <x:c r="AA900" s="255" t="n">
        <x:v>0.6660532776380719</x:v>
      </x:c>
      <x:c r="AB900" s="255" t="n">
        <x:v>0.056768354930618936</x:v>
      </x:c>
    </x:row>
    <x:row r="901" ht="24" customHeight="1">
      <x:c r="C901" s="256" t="n">
        <x:f>870</x:f>
        <x:v>870</x:v>
      </x:c>
      <x:c r="D901" s="258" t="n">
        <x:f>IF(X901&lt;($E$12-$D$12)/($F$12-$D$12),$D$12+SQRT(X901*($F$12-$D$12)*($E$12-$D$12)),$F$12-SQRT((1-X901)*($F$12-$D$12)*($F$12-$E$12)))</x:f>
        <x:v>0.18416026110257255</x:v>
      </x:c>
      <x:c r="E901" s="258" t="n">
        <x:f>IF(Y901&lt;($E$13-$D$13)/($F$13-$D$13),$D$13+SQRT(Y901*($F$13-$D$13)*($E$13-$D$13)),$F$13-SQRT((1-Y901)*($F$13-$D$13)*($F$13-$E$13)))</x:f>
        <x:v>-0.00807193369434793</x:v>
      </x:c>
      <x:c r="F901" s="260" t="n">
        <x:f>IF(Z901&lt;($E$14-$D$14)/($F$14-$D$14),$D$14+SQRT(Z901*($F$14-$D$14)*($E$14-$D$14)),$F$14-SQRT((1-Z901)*($F$14-$D$14)*($F$14-$E$14)))</x:f>
        <x:v>0.9848775433815051</x:v>
      </x:c>
      <x:c r="G901" s="258" t="n">
        <x:f>IF(AA901&lt;($E$15-$D$15)/($F$15-$D$15),$D$15+SQRT(AA901*($F$15-$D$15)*($E$15-$D$15)),$F$15-SQRT((1-AA901)*($F$15-$D$15)*($F$15-$E$15)))</x:f>
        <x:v>0.09107291552088548</x:v>
      </x:c>
      <x:c r="H901" s="258" t="n">
        <x:f>IF(AB901&lt;($E$16-$D$16)/($F$16-$D$16),$D$16+SQRT(AB901*($F$16-$D$16)*($E$16-$D$16)),$F$16-SQRT((1-AB901)*($F$16-$D$16)*($F$16-$E$16)))</x:f>
        <x:v>0.03140168053622153</x:v>
      </x:c>
      <x:c r="I901" s="262" t="n">
        <x:f>'Historical Inputs'!$N$9*(1+D901)^5</x:f>
        <x:v>772644.7163835759</x:v>
      </x:c>
      <x:c r="J901" s="262" t="n">
        <x:f>I901*(1+H901)*('Terminal Value'!$E$10+E901)*(1-'Assumptions'!$E$15)*(1-H901/'Terminal Value'!$E$12)</x:f>
        <x:v>210633.41610315634</x:v>
      </x:c>
      <x:c r="K901" s="264" t="n">
        <x:f>((SUM((('Historical Inputs'!$N$9*(1+(D901))^1)*(('Assumptions'!E37+(E901))*(1-'Assumptions'!E42-(0))+'Assumptions'!E47-'Assumptions'!E52*(F901)+'Assumptions'!E57-'Assumptions'!E62*(1)-'Assumptions'!E67-(0))+('Working Capital'!$E$6))*'DCF'!E12/(1+(G901))^'DCF'!E13,(('Historical Inputs'!$N$9*(1+(D901))^2)*(('Assumptions'!F37+(E901))*(1-'Assumptions'!F42-(0))+'Assumptions'!F47-'Assumptions'!F52*(F901)+'Assumptions'!F57-'Assumptions'!F62*(1)-'Assumptions'!F67-(0))+(('Historical Inputs'!$N$9*(1+(D901))^1)*('Assumptions'!E67+(0))))*'DCF'!F12/(1+(G901))^'DCF'!F13,(('Historical Inputs'!$N$9*(1+(D901))^3)*(('Assumptions'!G37+(E901))*(1-'Assumptions'!G42-(0))+'Assumptions'!G47-'Assumptions'!G52*(F901)+'Assumptions'!G57-'Assumptions'!G62*(1)-'Assumptions'!G67-(0))+(('Historical Inputs'!$N$9*(1+(D901))^2)*('Assumptions'!F67+(0))))*'DCF'!G12/(1+(G901))^'DCF'!G13,(('Historical Inputs'!$N$9*(1+(D901))^4)*(('Assumptions'!H37+(E901))*(1-'Assumptions'!H42-(0))+'Assumptions'!H47-'Assumptions'!H52*(F901)+'Assumptions'!H57-'Assumptions'!H62*(1)-'Assumptions'!H67-(0))+(('Historical Inputs'!$N$9*(1+(D901))^3)*('Assumptions'!G67+(0))))*'DCF'!H12/(1+(G901))^'DCF'!H13,(('Historical Inputs'!$N$9*(1+(D901))^5)*(('Assumptions'!I37+(E901))*(1-'Assumptions'!I42-(0))+'Assumptions'!I47-'Assumptions'!I52*(F901)+'Assumptions'!I57-'Assumptions'!I62*(1)-'Assumptions'!I67-(0))+(('Historical Inputs'!$N$9*(1+(D901))^4)*('Assumptions'!H67+(0))))*'DCF'!I12/(1+(G901))^'DCF'!I13)+('Historical Inputs'!$N$9*(1+(D901))^5)*(1+(H901))*('Terminal Value'!$E$10+(E901))*(1-'Assumptions'!$E$15-(0))*(1-(H901)/('Terminal Value'!$E$12))/((G901)-(H901))/(1+(G901))^'DCF'!$E$19)+'Equity Bridge'!$E$17)/'Equity Bridge'!$E$20</x:f>
        <x:v>377.649413554268</x:v>
      </x:c>
      <x:c r="X901" s="255" t="n">
        <x:v>0.9834497888679328</x:v>
      </x:c>
      <x:c r="Y901" s="255" t="n">
        <x:v>0.35159254882623125</x:v>
      </x:c>
      <x:c r="Z901" s="255" t="n">
        <x:v>0.34651336587866277</x:v>
      </x:c>
      <x:c r="AA901" s="255" t="n">
        <x:v>0.1398339770863396</x:v>
      </x:c>
      <x:c r="AB901" s="255" t="n">
        <x:v>0.6303445119940417</x:v>
      </x:c>
    </x:row>
    <x:row r="902" ht="24" customHeight="1">
      <x:c r="C902" s="256" t="n">
        <x:f>871</x:f>
        <x:v>871</x:v>
      </x:c>
      <x:c r="D902" s="258" t="n">
        <x:f>IF(X902&lt;($E$12-$D$12)/($F$12-$D$12),$D$12+SQRT(X902*($F$12-$D$12)*($E$12-$D$12)),$F$12-SQRT((1-X902)*($F$12-$D$12)*($F$12-$E$12)))</x:f>
        <x:v>0.13227542173866336</x:v>
      </x:c>
      <x:c r="E902" s="258" t="n">
        <x:f>IF(Y902&lt;($E$13-$D$13)/($F$13-$D$13),$D$13+SQRT(Y902*($F$13-$D$13)*($E$13-$D$13)),$F$13-SQRT((1-Y902)*($F$13-$D$13)*($F$13-$E$13)))</x:f>
        <x:v>0.012443474209181425</x:v>
      </x:c>
      <x:c r="F902" s="260" t="n">
        <x:f>IF(Z902&lt;($E$14-$D$14)/($F$14-$D$14),$D$14+SQRT(Z902*($F$14-$D$14)*($E$14-$D$14)),$F$14-SQRT((1-Z902)*($F$14-$D$14)*($F$14-$E$14)))</x:f>
        <x:v>1.0336693019847933</x:v>
      </x:c>
      <x:c r="G902" s="258" t="n">
        <x:f>IF(AA902&lt;($E$15-$D$15)/($F$15-$D$15),$D$15+SQRT(AA902*($F$15-$D$15)*($E$15-$D$15)),$F$15-SQRT((1-AA902)*($F$15-$D$15)*($F$15-$E$15)))</x:f>
        <x:v>0.10532180578526769</x:v>
      </x:c>
      <x:c r="H902" s="258" t="n">
        <x:f>IF(AB902&lt;($E$16-$D$16)/($F$16-$D$16),$D$16+SQRT(AB902*($F$16-$D$16)*($E$16-$D$16)),$F$16-SQRT((1-AB902)*($F$16-$D$16)*($F$16-$E$16)))</x:f>
        <x:v>0.027770778963581058</x:v>
      </x:c>
      <x:c r="I902" s="262" t="n">
        <x:f>'Historical Inputs'!$N$9*(1+D902)^5</x:f>
        <x:v>617572.3265043838</x:v>
      </x:c>
      <x:c r="J902" s="262" t="n">
        <x:f>I902*(1+H902)*('Terminal Value'!$E$10+E902)*(1-'Assumptions'!$E$15)*(1-H902/'Terminal Value'!$E$12)</x:f>
        <x:v>180349.67250121594</x:v>
      </x:c>
      <x:c r="K902" s="264" t="n">
        <x:f>((SUM((('Historical Inputs'!$N$9*(1+(D902))^1)*(('Assumptions'!E37+(E902))*(1-'Assumptions'!E42-(0))+'Assumptions'!E47-'Assumptions'!E52*(F902)+'Assumptions'!E57-'Assumptions'!E62*(1)-'Assumptions'!E67-(0))+('Working Capital'!$E$6))*'DCF'!E12/(1+(G902))^'DCF'!E13,(('Historical Inputs'!$N$9*(1+(D902))^2)*(('Assumptions'!F37+(E902))*(1-'Assumptions'!F42-(0))+'Assumptions'!F47-'Assumptions'!F52*(F902)+'Assumptions'!F57-'Assumptions'!F62*(1)-'Assumptions'!F67-(0))+(('Historical Inputs'!$N$9*(1+(D902))^1)*('Assumptions'!E67+(0))))*'DCF'!F12/(1+(G902))^'DCF'!F13,(('Historical Inputs'!$N$9*(1+(D902))^3)*(('Assumptions'!G37+(E902))*(1-'Assumptions'!G42-(0))+'Assumptions'!G47-'Assumptions'!G52*(F902)+'Assumptions'!G57-'Assumptions'!G62*(1)-'Assumptions'!G67-(0))+(('Historical Inputs'!$N$9*(1+(D902))^2)*('Assumptions'!F67+(0))))*'DCF'!G12/(1+(G902))^'DCF'!G13,(('Historical Inputs'!$N$9*(1+(D902))^4)*(('Assumptions'!H37+(E902))*(1-'Assumptions'!H42-(0))+'Assumptions'!H47-'Assumptions'!H52*(F902)+'Assumptions'!H57-'Assumptions'!H62*(1)-'Assumptions'!H67-(0))+(('Historical Inputs'!$N$9*(1+(D902))^3)*('Assumptions'!G67+(0))))*'DCF'!H12/(1+(G902))^'DCF'!H13,(('Historical Inputs'!$N$9*(1+(D902))^5)*(('Assumptions'!I37+(E902))*(1-'Assumptions'!I42-(0))+'Assumptions'!I47-'Assumptions'!I52*(F902)+'Assumptions'!I57-'Assumptions'!I62*(1)-'Assumptions'!I67-(0))+(('Historical Inputs'!$N$9*(1+(D902))^4)*('Assumptions'!H67+(0))))*'DCF'!I12/(1+(G902))^'DCF'!I13)+('Historical Inputs'!$N$9*(1+(D902))^5)*(1+(H902))*('Terminal Value'!$E$10+(E902))*(1-'Assumptions'!$E$15-(0))*(1-(H902)/('Terminal Value'!$E$12))/((G902)-(H902))/(1+(G902))^'DCF'!$E$19)+'Equity Bridge'!$E$17)/'Equity Bridge'!$E$20</x:f>
        <x:v>247.63908521622568</x:v>
      </x:c>
      <x:c r="X902" s="255" t="n">
        <x:v>0.30448710634801035</x:v>
      </x:c>
      <x:c r="Y902" s="255" t="n">
        <x:v>0.7179014741047158</x:v>
      </x:c>
      <x:c r="Z902" s="255" t="n">
        <x:v>0.6047728413967739</x:v>
      </x:c>
      <x:c r="AA902" s="255" t="n">
        <x:v>0.8641556993475986</x:v>
      </x:c>
      <x:c r="AB902" s="255" t="n">
        <x:v>0.3019250285041697</x:v>
      </x:c>
    </x:row>
    <x:row r="903" ht="24" customHeight="1">
      <x:c r="C903" s="256" t="n">
        <x:f>872</x:f>
        <x:v>872</x:v>
      </x:c>
      <x:c r="D903" s="258" t="n">
        <x:f>IF(X903&lt;($E$12-$D$12)/($F$12-$D$12),$D$12+SQRT(X903*($F$12-$D$12)*($E$12-$D$12)),$F$12-SQRT((1-X903)*($F$12-$D$12)*($F$12-$E$12)))</x:f>
        <x:v>0.12743184405834607</x:v>
      </x:c>
      <x:c r="E903" s="258" t="n">
        <x:f>IF(Y903&lt;($E$13-$D$13)/($F$13-$D$13),$D$13+SQRT(Y903*($F$13-$D$13)*($E$13-$D$13)),$F$13-SQRT((1-Y903)*($F$13-$D$13)*($F$13-$E$13)))</x:f>
        <x:v>0.012595730890652891</x:v>
      </x:c>
      <x:c r="F903" s="260" t="n">
        <x:f>IF(Z903&lt;($E$14-$D$14)/($F$14-$D$14),$D$14+SQRT(Z903*($F$14-$D$14)*($E$14-$D$14)),$F$14-SQRT((1-Z903)*($F$14-$D$14)*($F$14-$E$14)))</x:f>
        <x:v>0.8931720250248758</x:v>
      </x:c>
      <x:c r="G903" s="258" t="n">
        <x:f>IF(AA903&lt;($E$15-$D$15)/($F$15-$D$15),$D$15+SQRT(AA903*($F$15-$D$15)*($E$15-$D$15)),$F$15-SQRT((1-AA903)*($F$15-$D$15)*($F$15-$E$15)))</x:f>
        <x:v>0.09734278900316615</x:v>
      </x:c>
      <x:c r="H903" s="258" t="n">
        <x:f>IF(AB903&lt;($E$16-$D$16)/($F$16-$D$16),$D$16+SQRT(AB903*($F$16-$D$16)*($E$16-$D$16)),$F$16-SQRT((1-AB903)*($F$16-$D$16)*($F$16-$E$16)))</x:f>
        <x:v>0.033063247473646584</x:v>
      </x:c>
      <x:c r="I903" s="262" t="n">
        <x:f>'Historical Inputs'!$N$9*(1+D903)^5</x:f>
        <x:v>604475.7906681782</x:v>
      </x:c>
      <x:c r="J903" s="262" t="n">
        <x:f>I903*(1+H903)*('Terminal Value'!$E$10+E903)*(1-'Assumptions'!$E$15)*(1-H903/'Terminal Value'!$E$12)</x:f>
        <x:v>172045.17818037455</x:v>
      </x:c>
      <x:c r="K903" s="264" t="n">
        <x:f>((SUM((('Historical Inputs'!$N$9*(1+(D903))^1)*(('Assumptions'!E37+(E903))*(1-'Assumptions'!E42-(0))+'Assumptions'!E47-'Assumptions'!E52*(F903)+'Assumptions'!E57-'Assumptions'!E62*(1)-'Assumptions'!E67-(0))+('Working Capital'!$E$6))*'DCF'!E12/(1+(G903))^'DCF'!E13,(('Historical Inputs'!$N$9*(1+(D903))^2)*(('Assumptions'!F37+(E903))*(1-'Assumptions'!F42-(0))+'Assumptions'!F47-'Assumptions'!F52*(F903)+'Assumptions'!F57-'Assumptions'!F62*(1)-'Assumptions'!F67-(0))+(('Historical Inputs'!$N$9*(1+(D903))^1)*('Assumptions'!E67+(0))))*'DCF'!F12/(1+(G903))^'DCF'!F13,(('Historical Inputs'!$N$9*(1+(D903))^3)*(('Assumptions'!G37+(E903))*(1-'Assumptions'!G42-(0))+'Assumptions'!G47-'Assumptions'!G52*(F903)+'Assumptions'!G57-'Assumptions'!G62*(1)-'Assumptions'!G67-(0))+(('Historical Inputs'!$N$9*(1+(D903))^2)*('Assumptions'!F67+(0))))*'DCF'!G12/(1+(G903))^'DCF'!G13,(('Historical Inputs'!$N$9*(1+(D903))^4)*(('Assumptions'!H37+(E903))*(1-'Assumptions'!H42-(0))+'Assumptions'!H47-'Assumptions'!H52*(F903)+'Assumptions'!H57-'Assumptions'!H62*(1)-'Assumptions'!H67-(0))+(('Historical Inputs'!$N$9*(1+(D903))^3)*('Assumptions'!G67+(0))))*'DCF'!H12/(1+(G903))^'DCF'!H13,(('Historical Inputs'!$N$9*(1+(D903))^5)*(('Assumptions'!I37+(E903))*(1-'Assumptions'!I42-(0))+'Assumptions'!I47-'Assumptions'!I52*(F903)+'Assumptions'!I57-'Assumptions'!I62*(1)-'Assumptions'!I67-(0))+(('Historical Inputs'!$N$9*(1+(D903))^4)*('Assumptions'!H67+(0))))*'DCF'!I12/(1+(G903))^'DCF'!I13)+('Historical Inputs'!$N$9*(1+(D903))^5)*(1+(H903))*('Terminal Value'!$E$10+(E903))*(1-'Assumptions'!$E$15-(0))*(1-(H903)/('Terminal Value'!$E$12))/((G903)-(H903))/(1+(G903))^'DCF'!$E$19)+'Equity Bridge'!$E$17)/'Equity Bridge'!$E$20</x:f>
        <x:v>293.67549833401836</x:v>
      </x:c>
      <x:c r="X903" s="255" t="n">
        <x:v>0.23358369492170694</x:v>
      </x:c>
      <x:c r="Y903" s="255" t="n">
        <x:v>0.7201841304791083</x:v>
      </x:c>
      <x:c r="Z903" s="255" t="n">
        <x:v>0.035501404661876235</x:v>
      </x:c>
      <x:c r="AA903" s="255" t="n">
        <x:v>0.44824161262172835</x:v>
      </x:c>
      <x:c r="AB903" s="255" t="n">
        <x:v>0.7594073219406476</x:v>
      </x:c>
    </x:row>
    <x:row r="904" ht="24" customHeight="1">
      <x:c r="C904" s="256" t="n">
        <x:f>873</x:f>
        <x:v>873</x:v>
      </x:c>
      <x:c r="D904" s="258" t="n">
        <x:f>IF(X904&lt;($E$12-$D$12)/($F$12-$D$12),$D$12+SQRT(X904*($F$12-$D$12)*($E$12-$D$12)),$F$12-SQRT((1-X904)*($F$12-$D$12)*($F$12-$E$12)))</x:f>
        <x:v>0.16954296700418414</x:v>
      </x:c>
      <x:c r="E904" s="258" t="n">
        <x:f>IF(Y904&lt;($E$13-$D$13)/($F$13-$D$13),$D$13+SQRT(Y904*($F$13-$D$13)*($E$13-$D$13)),$F$13-SQRT((1-Y904)*($F$13-$D$13)*($F$13-$E$13)))</x:f>
        <x:v>-0.03612812371230336</x:v>
      </x:c>
      <x:c r="F904" s="260" t="n">
        <x:f>IF(Z904&lt;($E$14-$D$14)/($F$14-$D$14),$D$14+SQRT(Z904*($F$14-$D$14)*($E$14-$D$14)),$F$14-SQRT((1-Z904)*($F$14-$D$14)*($F$14-$E$14)))</x:f>
        <x:v>1.0703832068725263</x:v>
      </x:c>
      <x:c r="G904" s="258" t="n">
        <x:f>IF(AA904&lt;($E$15-$D$15)/($F$15-$D$15),$D$15+SQRT(AA904*($F$15-$D$15)*($E$15-$D$15)),$F$15-SQRT((1-AA904)*($F$15-$D$15)*($F$15-$E$15)))</x:f>
        <x:v>0.10430421151618387</x:v>
      </x:c>
      <x:c r="H904" s="258" t="n">
        <x:f>IF(AB904&lt;($E$16-$D$16)/($F$16-$D$16),$D$16+SQRT(AB904*($F$16-$D$16)*($E$16-$D$16)),$F$16-SQRT((1-AB904)*($F$16-$D$16)*($F$16-$E$16)))</x:f>
        <x:v>0.03472220734485551</x:v>
      </x:c>
      <x:c r="I904" s="262" t="n">
        <x:f>'Historical Inputs'!$N$9*(1+D904)^5</x:f>
        <x:v>726119.8919021384</x:v>
      </x:c>
      <x:c r="J904" s="262" t="n">
        <x:f>I904*(1+H904)*('Terminal Value'!$E$10+E904)*(1-'Assumptions'!$E$15)*(1-H904/'Terminal Value'!$E$12)</x:f>
        <x:v>180740.337943712</x:v>
      </x:c>
      <x:c r="K904" s="264" t="n">
        <x:f>((SUM((('Historical Inputs'!$N$9*(1+(D904))^1)*(('Assumptions'!E37+(E904))*(1-'Assumptions'!E42-(0))+'Assumptions'!E47-'Assumptions'!E52*(F904)+'Assumptions'!E57-'Assumptions'!E62*(1)-'Assumptions'!E67-(0))+('Working Capital'!$E$6))*'DCF'!E12/(1+(G904))^'DCF'!E13,(('Historical Inputs'!$N$9*(1+(D904))^2)*(('Assumptions'!F37+(E904))*(1-'Assumptions'!F42-(0))+'Assumptions'!F47-'Assumptions'!F52*(F904)+'Assumptions'!F57-'Assumptions'!F62*(1)-'Assumptions'!F67-(0))+(('Historical Inputs'!$N$9*(1+(D904))^1)*('Assumptions'!E67+(0))))*'DCF'!F12/(1+(G904))^'DCF'!F13,(('Historical Inputs'!$N$9*(1+(D904))^3)*(('Assumptions'!G37+(E904))*(1-'Assumptions'!G42-(0))+'Assumptions'!G47-'Assumptions'!G52*(F904)+'Assumptions'!G57-'Assumptions'!G62*(1)-'Assumptions'!G67-(0))+(('Historical Inputs'!$N$9*(1+(D904))^2)*('Assumptions'!F67+(0))))*'DCF'!G12/(1+(G904))^'DCF'!G13,(('Historical Inputs'!$N$9*(1+(D904))^4)*(('Assumptions'!H37+(E904))*(1-'Assumptions'!H42-(0))+'Assumptions'!H47-'Assumptions'!H52*(F904)+'Assumptions'!H57-'Assumptions'!H62*(1)-'Assumptions'!H67-(0))+(('Historical Inputs'!$N$9*(1+(D904))^3)*('Assumptions'!G67+(0))))*'DCF'!H12/(1+(G904))^'DCF'!H13,(('Historical Inputs'!$N$9*(1+(D904))^5)*(('Assumptions'!I37+(E904))*(1-'Assumptions'!I42-(0))+'Assumptions'!I47-'Assumptions'!I52*(F904)+'Assumptions'!I57-'Assumptions'!I62*(1)-'Assumptions'!I67-(0))+(('Historical Inputs'!$N$9*(1+(D904))^4)*('Assumptions'!H67+(0))))*'DCF'!I12/(1+(G904))^'DCF'!I13)+('Historical Inputs'!$N$9*(1+(D904))^5)*(1+(H904))*('Terminal Value'!$E$10+(E904))*(1-'Assumptions'!$E$15-(0))*(1-(H904)/('Terminal Value'!$E$12))/((G904)-(H904))/(1+(G904))^'DCF'!$E$19)+'Equity Bridge'!$E$17)/'Equity Bridge'!$E$20</x:f>
        <x:v>265.13070467245444</x:v>
      </x:c>
      <x:c r="X904" s="255" t="n">
        <x:v>0.8875287207810382</x:v>
      </x:c>
      <x:c r="Y904" s="255" t="n">
        <x:v>0.038485790348232074</x:v>
      </x:c>
      <x:c r="Z904" s="255" t="n">
        <x:v>0.7599926705621387</x:v>
      </x:c>
      <x:c r="AA904" s="255" t="n">
        <x:v>0.8264940350624249</x:v>
      </x:c>
      <x:c r="AB904" s="255" t="n">
        <x:v>0.8607245234465144</x:v>
      </x:c>
    </x:row>
    <x:row r="905" ht="24" customHeight="1">
      <x:c r="C905" s="256" t="n">
        <x:f>874</x:f>
        <x:v>874</x:v>
      </x:c>
      <x:c r="D905" s="258" t="n">
        <x:f>IF(X905&lt;($E$12-$D$12)/($F$12-$D$12),$D$12+SQRT(X905*($F$12-$D$12)*($E$12-$D$12)),$F$12-SQRT((1-X905)*($F$12-$D$12)*($F$12-$E$12)))</x:f>
        <x:v>0.1265249165490356</x:v>
      </x:c>
      <x:c r="E905" s="258" t="n">
        <x:f>IF(Y905&lt;($E$13-$D$13)/($F$13-$D$13),$D$13+SQRT(Y905*($F$13-$D$13)*($E$13-$D$13)),$F$13-SQRT((1-Y905)*($F$13-$D$13)*($F$13-$E$13)))</x:f>
        <x:v>0.04491842103027153</x:v>
      </x:c>
      <x:c r="F905" s="260" t="n">
        <x:f>IF(Z905&lt;($E$14-$D$14)/($F$14-$D$14),$D$14+SQRT(Z905*($F$14-$D$14)*($E$14-$D$14)),$F$14-SQRT((1-Z905)*($F$14-$D$14)*($F$14-$E$14)))</x:f>
        <x:v>1.017239640540339</x:v>
      </x:c>
      <x:c r="G905" s="258" t="n">
        <x:f>IF(AA905&lt;($E$15-$D$15)/($F$15-$D$15),$D$15+SQRT(AA905*($F$15-$D$15)*($E$15-$D$15)),$F$15-SQRT((1-AA905)*($F$15-$D$15)*($F$15-$E$15)))</x:f>
        <x:v>0.09985886841234248</x:v>
      </x:c>
      <x:c r="H905" s="258" t="n">
        <x:f>IF(AB905&lt;($E$16-$D$16)/($F$16-$D$16),$D$16+SQRT(AB905*($F$16-$D$16)*($E$16-$D$16)),$F$16-SQRT((1-AB905)*($F$16-$D$16)*($F$16-$E$16)))</x:f>
        <x:v>0.03712571071400935</x:v>
      </x:c>
      <x:c r="I905" s="262" t="n">
        <x:f>'Historical Inputs'!$N$9*(1+D905)^5</x:f>
        <x:v>602048.4402028046</x:v>
      </x:c>
      <x:c r="J905" s="262" t="n">
        <x:f>I905*(1+H905)*('Terminal Value'!$E$10+E905)*(1-'Assumptions'!$E$15)*(1-H905/'Terminal Value'!$E$12)</x:f>
        <x:v>180990.48696302364</x:v>
      </x:c>
      <x:c r="K905" s="264" t="n">
        <x:f>((SUM((('Historical Inputs'!$N$9*(1+(D905))^1)*(('Assumptions'!E37+(E905))*(1-'Assumptions'!E42-(0))+'Assumptions'!E47-'Assumptions'!E52*(F905)+'Assumptions'!E57-'Assumptions'!E62*(1)-'Assumptions'!E67-(0))+('Working Capital'!$E$6))*'DCF'!E12/(1+(G905))^'DCF'!E13,(('Historical Inputs'!$N$9*(1+(D905))^2)*(('Assumptions'!F37+(E905))*(1-'Assumptions'!F42-(0))+'Assumptions'!F47-'Assumptions'!F52*(F905)+'Assumptions'!F57-'Assumptions'!F62*(1)-'Assumptions'!F67-(0))+(('Historical Inputs'!$N$9*(1+(D905))^1)*('Assumptions'!E67+(0))))*'DCF'!F12/(1+(G905))^'DCF'!F13,(('Historical Inputs'!$N$9*(1+(D905))^3)*(('Assumptions'!G37+(E905))*(1-'Assumptions'!G42-(0))+'Assumptions'!G47-'Assumptions'!G52*(F905)+'Assumptions'!G57-'Assumptions'!G62*(1)-'Assumptions'!G67-(0))+(('Historical Inputs'!$N$9*(1+(D905))^2)*('Assumptions'!F67+(0))))*'DCF'!G12/(1+(G905))^'DCF'!G13,(('Historical Inputs'!$N$9*(1+(D905))^4)*(('Assumptions'!H37+(E905))*(1-'Assumptions'!H42-(0))+'Assumptions'!H47-'Assumptions'!H52*(F905)+'Assumptions'!H57-'Assumptions'!H62*(1)-'Assumptions'!H67-(0))+(('Historical Inputs'!$N$9*(1+(D905))^3)*('Assumptions'!G67+(0))))*'DCF'!H12/(1+(G905))^'DCF'!H13,(('Historical Inputs'!$N$9*(1+(D905))^5)*(('Assumptions'!I37+(E905))*(1-'Assumptions'!I42-(0))+'Assumptions'!I47-'Assumptions'!I52*(F905)+'Assumptions'!I57-'Assumptions'!I62*(1)-'Assumptions'!I67-(0))+(('Historical Inputs'!$N$9*(1+(D905))^4)*('Assumptions'!H67+(0))))*'DCF'!I12/(1+(G905))^'DCF'!I13)+('Historical Inputs'!$N$9*(1+(D905))^5)*(1+(H905))*('Terminal Value'!$E$10+(E905))*(1-'Assumptions'!$E$15-(0))*(1-(H905)/('Terminal Value'!$E$12))/((G905)-(H905))/(1+(G905))^'DCF'!$E$19)+'Equity Bridge'!$E$17)/'Equity Bridge'!$E$20</x:f>
        <x:v>307.24930492885045</x:v>
      </x:c>
      <x:c r="X905" s="255" t="n">
        <x:v>0.22135056385983265</x:v>
      </x:c>
      <x:c r="Y905" s="255" t="n">
        <x:v>0.9948355110348827</x:v>
      </x:c>
      <x:c r="Z905" s="255" t="n">
        <x:v>0.5228378715739355</x:v>
      </x:c>
      <x:c r="AA905" s="255" t="n">
        <x:v>0.6080038542433791</x:v>
      </x:c>
      <x:c r="AB905" s="255" t="n">
        <x:v>0.9586923055021968</x:v>
      </x:c>
    </x:row>
    <x:row r="906" ht="24" customHeight="1">
      <x:c r="C906" s="256" t="n">
        <x:f>875</x:f>
        <x:v>875</x:v>
      </x:c>
      <x:c r="D906" s="258" t="n">
        <x:f>IF(X906&lt;($E$12-$D$12)/($F$12-$D$12),$D$12+SQRT(X906*($F$12-$D$12)*($E$12-$D$12)),$F$12-SQRT((1-X906)*($F$12-$D$12)*($F$12-$E$12)))</x:f>
        <x:v>0.14662792256362792</x:v>
      </x:c>
      <x:c r="E906" s="258" t="n">
        <x:f>IF(Y906&lt;($E$13-$D$13)/($F$13-$D$13),$D$13+SQRT(Y906*($F$13-$D$13)*($E$13-$D$13)),$F$13-SQRT((1-Y906)*($F$13-$D$13)*($F$13-$E$13)))</x:f>
        <x:v>-0.026143571888687628</x:v>
      </x:c>
      <x:c r="F906" s="260" t="n">
        <x:f>IF(Z906&lt;($E$14-$D$14)/($F$14-$D$14),$D$14+SQRT(Z906*($F$14-$D$14)*($E$14-$D$14)),$F$14-SQRT((1-Z906)*($F$14-$D$14)*($F$14-$E$14)))</x:f>
        <x:v>1.129831880959242</x:v>
      </x:c>
      <x:c r="G906" s="258" t="n">
        <x:f>IF(AA906&lt;($E$15-$D$15)/($F$15-$D$15),$D$15+SQRT(AA906*($F$15-$D$15)*($E$15-$D$15)),$F$15-SQRT((1-AA906)*($F$15-$D$15)*($F$15-$E$15)))</x:f>
        <x:v>0.09631170445422166</x:v>
      </x:c>
      <x:c r="H906" s="258" t="n">
        <x:f>IF(AB906&lt;($E$16-$D$16)/($F$16-$D$16),$D$16+SQRT(AB906*($F$16-$D$16)*($E$16-$D$16)),$F$16-SQRT((1-AB906)*($F$16-$D$16)*($F$16-$E$16)))</x:f>
        <x:v>0.02336314538836172</x:v>
      </x:c>
      <x:c r="I906" s="262" t="n">
        <x:f>'Historical Inputs'!$N$9*(1+D906)^5</x:f>
        <x:v>657718.4024738066</x:v>
      </x:c>
      <x:c r="J906" s="262" t="n">
        <x:f>I906*(1+H906)*('Terminal Value'!$E$10+E906)*(1-'Assumptions'!$E$15)*(1-H906/'Terminal Value'!$E$12)</x:f>
        <x:v>177793.5215584257</x:v>
      </x:c>
      <x:c r="K906" s="264" t="n">
        <x:f>((SUM((('Historical Inputs'!$N$9*(1+(D906))^1)*(('Assumptions'!E37+(E906))*(1-'Assumptions'!E42-(0))+'Assumptions'!E47-'Assumptions'!E52*(F906)+'Assumptions'!E57-'Assumptions'!E62*(1)-'Assumptions'!E67-(0))+('Working Capital'!$E$6))*'DCF'!E12/(1+(G906))^'DCF'!E13,(('Historical Inputs'!$N$9*(1+(D906))^2)*(('Assumptions'!F37+(E906))*(1-'Assumptions'!F42-(0))+'Assumptions'!F47-'Assumptions'!F52*(F906)+'Assumptions'!F57-'Assumptions'!F62*(1)-'Assumptions'!F67-(0))+(('Historical Inputs'!$N$9*(1+(D906))^1)*('Assumptions'!E67+(0))))*'DCF'!F12/(1+(G906))^'DCF'!F13,(('Historical Inputs'!$N$9*(1+(D906))^3)*(('Assumptions'!G37+(E906))*(1-'Assumptions'!G42-(0))+'Assumptions'!G47-'Assumptions'!G52*(F906)+'Assumptions'!G57-'Assumptions'!G62*(1)-'Assumptions'!G67-(0))+(('Historical Inputs'!$N$9*(1+(D906))^2)*('Assumptions'!F67+(0))))*'DCF'!G12/(1+(G906))^'DCF'!G13,(('Historical Inputs'!$N$9*(1+(D906))^4)*(('Assumptions'!H37+(E906))*(1-'Assumptions'!H42-(0))+'Assumptions'!H47-'Assumptions'!H52*(F906)+'Assumptions'!H57-'Assumptions'!H62*(1)-'Assumptions'!H67-(0))+(('Historical Inputs'!$N$9*(1+(D906))^3)*('Assumptions'!G67+(0))))*'DCF'!H12/(1+(G906))^'DCF'!H13,(('Historical Inputs'!$N$9*(1+(D906))^5)*(('Assumptions'!I37+(E906))*(1-'Assumptions'!I42-(0))+'Assumptions'!I47-'Assumptions'!I52*(F906)+'Assumptions'!I57-'Assumptions'!I62*(1)-'Assumptions'!I67-(0))+(('Historical Inputs'!$N$9*(1+(D906))^4)*('Assumptions'!H67+(0))))*'DCF'!I12/(1+(G906))^'DCF'!I13)+('Historical Inputs'!$N$9*(1+(D906))^5)*(1+(H906))*('Terminal Value'!$E$10+(E906))*(1-'Assumptions'!$E$15-(0))*(1-(H906)/('Terminal Value'!$E$12))/((G906)-(H906))/(1+(G906))^'DCF'!$E$19)+'Equity Bridge'!$E$17)/'Equity Bridge'!$E$20</x:f>
        <x:v>254.62940181465245</x:v>
      </x:c>
      <x:c r="X906" s="255" t="n">
        <x:v>0.5651454203949</x:v>
      </x:c>
      <x:c r="Y906" s="255" t="n">
        <x:v>0.11382583244604305</x:v>
      </x:c>
      <x:c r="Z906" s="255" t="n">
        <x:v>0.929663358146886</x:v>
      </x:c>
      <x:c r="AA906" s="255" t="n">
        <x:v>0.3855201555138352</x:v>
      </x:c>
      <x:c r="AB906" s="255" t="n">
        <x:v>0.05655373451629364</x:v>
      </x:c>
    </x:row>
    <x:row r="907" ht="24" customHeight="1">
      <x:c r="C907" s="256" t="n">
        <x:f>876</x:f>
        <x:v>876</x:v>
      </x:c>
      <x:c r="D907" s="258" t="n">
        <x:f>IF(X907&lt;($E$12-$D$12)/($F$12-$D$12),$D$12+SQRT(X907*($F$12-$D$12)*($E$12-$D$12)),$F$12-SQRT((1-X907)*($F$12-$D$12)*($F$12-$E$12)))</x:f>
        <x:v>0.1330133448676088</x:v>
      </x:c>
      <x:c r="E907" s="258" t="n">
        <x:f>IF(Y907&lt;($E$13-$D$13)/($F$13-$D$13),$D$13+SQRT(Y907*($F$13-$D$13)*($E$13-$D$13)),$F$13-SQRT((1-Y907)*($F$13-$D$13)*($F$13-$E$13)))</x:f>
        <x:v>0.007754991662611378</x:v>
      </x:c>
      <x:c r="F907" s="260" t="n">
        <x:f>IF(Z907&lt;($E$14-$D$14)/($F$14-$D$14),$D$14+SQRT(Z907*($F$14-$D$14)*($E$14-$D$14)),$F$14-SQRT((1-Z907)*($F$14-$D$14)*($F$14-$E$14)))</x:f>
        <x:v>1.1128134086170003</x:v>
      </x:c>
      <x:c r="G907" s="258" t="n">
        <x:f>IF(AA907&lt;($E$15-$D$15)/($F$15-$D$15),$D$15+SQRT(AA907*($F$15-$D$15)*($E$15-$D$15)),$F$15-SQRT((1-AA907)*($F$15-$D$15)*($F$15-$E$15)))</x:f>
        <x:v>0.09618444401263883</x:v>
      </x:c>
      <x:c r="H907" s="258" t="n">
        <x:f>IF(AB907&lt;($E$16-$D$16)/($F$16-$D$16),$D$16+SQRT(AB907*($F$16-$D$16)*($E$16-$D$16)),$F$16-SQRT((1-AB907)*($F$16-$D$16)*($F$16-$E$16)))</x:f>
        <x:v>0.031849039237602995</x:v>
      </x:c>
      <x:c r="I907" s="262" t="n">
        <x:f>'Historical Inputs'!$N$9*(1+D907)^5</x:f>
        <x:v>619587.3631470645</x:v>
      </x:c>
      <x:c r="J907" s="262" t="n">
        <x:f>I907*(1+H907)*('Terminal Value'!$E$10+E907)*(1-'Assumptions'!$E$15)*(1-H907/'Terminal Value'!$E$12)</x:f>
        <x:v>175338.5239920876</x:v>
      </x:c>
      <x:c r="K907" s="264" t="n">
        <x:f>((SUM((('Historical Inputs'!$N$9*(1+(D907))^1)*(('Assumptions'!E37+(E907))*(1-'Assumptions'!E42-(0))+'Assumptions'!E47-'Assumptions'!E52*(F907)+'Assumptions'!E57-'Assumptions'!E62*(1)-'Assumptions'!E67-(0))+('Working Capital'!$E$6))*'DCF'!E12/(1+(G907))^'DCF'!E13,(('Historical Inputs'!$N$9*(1+(D907))^2)*(('Assumptions'!F37+(E907))*(1-'Assumptions'!F42-(0))+'Assumptions'!F47-'Assumptions'!F52*(F907)+'Assumptions'!F57-'Assumptions'!F62*(1)-'Assumptions'!F67-(0))+(('Historical Inputs'!$N$9*(1+(D907))^1)*('Assumptions'!E67+(0))))*'DCF'!F12/(1+(G907))^'DCF'!F13,(('Historical Inputs'!$N$9*(1+(D907))^3)*(('Assumptions'!G37+(E907))*(1-'Assumptions'!G42-(0))+'Assumptions'!G47-'Assumptions'!G52*(F907)+'Assumptions'!G57-'Assumptions'!G62*(1)-'Assumptions'!G67-(0))+(('Historical Inputs'!$N$9*(1+(D907))^2)*('Assumptions'!F67+(0))))*'DCF'!G12/(1+(G907))^'DCF'!G13,(('Historical Inputs'!$N$9*(1+(D907))^4)*(('Assumptions'!H37+(E907))*(1-'Assumptions'!H42-(0))+'Assumptions'!H47-'Assumptions'!H52*(F907)+'Assumptions'!H57-'Assumptions'!H62*(1)-'Assumptions'!H67-(0))+(('Historical Inputs'!$N$9*(1+(D907))^3)*('Assumptions'!G67+(0))))*'DCF'!H12/(1+(G907))^'DCF'!H13,(('Historical Inputs'!$N$9*(1+(D907))^5)*(('Assumptions'!I37+(E907))*(1-'Assumptions'!I42-(0))+'Assumptions'!I47-'Assumptions'!I52*(F907)+'Assumptions'!I57-'Assumptions'!I62*(1)-'Assumptions'!I67-(0))+(('Historical Inputs'!$N$9*(1+(D907))^4)*('Assumptions'!H67+(0))))*'DCF'!I12/(1+(G907))^'DCF'!I13)+('Historical Inputs'!$N$9*(1+(D907))^5)*(1+(H907))*('Terminal Value'!$E$10+(E907))*(1-'Assumptions'!$E$15-(0))*(1-(H907)/('Terminal Value'!$E$12))/((G907)-(H907))/(1+(G907))^'DCF'!$E$19)+'Equity Bridge'!$E$17)/'Equity Bridge'!$E$20</x:f>
        <x:v>285.7484284390155</x:v>
      </x:c>
      <x:c r="X907" s="255" t="n">
        <x:v>0.3161130443568386</x:v>
      </x:c>
      <x:c r="Y907" s="255" t="n">
        <x:v>0.6430718541147932</x:v>
      </x:c>
      <x:c r="Z907" s="255" t="n">
        <x:v>0.8914071183287692</x:v>
      </x:c>
      <x:c r="AA907" s="255" t="n">
        <x:v>0.37810641187335636</x:v>
      </x:c>
      <x:c r="AB907" s="255" t="n">
        <x:v>0.6678091932493221</x:v>
      </x:c>
    </x:row>
    <x:row r="908" ht="24" customHeight="1">
      <x:c r="C908" s="256" t="n">
        <x:f>877</x:f>
        <x:v>877</x:v>
      </x:c>
      <x:c r="D908" s="258" t="n">
        <x:f>IF(X908&lt;($E$12-$D$12)/($F$12-$D$12),$D$12+SQRT(X908*($F$12-$D$12)*($E$12-$D$12)),$F$12-SQRT((1-X908)*($F$12-$D$12)*($F$12-$E$12)))</x:f>
        <x:v>0.14459758930335034</x:v>
      </x:c>
      <x:c r="E908" s="258" t="n">
        <x:f>IF(Y908&lt;($E$13-$D$13)/($F$13-$D$13),$D$13+SQRT(Y908*($F$13-$D$13)*($E$13-$D$13)),$F$13-SQRT((1-Y908)*($F$13-$D$13)*($F$13-$E$13)))</x:f>
        <x:v>0.00316927238172756</x:v>
      </x:c>
      <x:c r="F908" s="260" t="n">
        <x:f>IF(Z908&lt;($E$14-$D$14)/($F$14-$D$14),$D$14+SQRT(Z908*($F$14-$D$14)*($E$14-$D$14)),$F$14-SQRT((1-Z908)*($F$14-$D$14)*($F$14-$E$14)))</x:f>
        <x:v>1.1383653321032592</x:v>
      </x:c>
      <x:c r="G908" s="258" t="n">
        <x:f>IF(AA908&lt;($E$15-$D$15)/($F$15-$D$15),$D$15+SQRT(AA908*($F$15-$D$15)*($E$15-$D$15)),$F$15-SQRT((1-AA908)*($F$15-$D$15)*($F$15-$E$15)))</x:f>
        <x:v>0.09258545621048475</x:v>
      </x:c>
      <x:c r="H908" s="258" t="n">
        <x:f>IF(AB908&lt;($E$16-$D$16)/($F$16-$D$16),$D$16+SQRT(AB908*($F$16-$D$16)*($E$16-$D$16)),$F$16-SQRT((1-AB908)*($F$16-$D$16)*($F$16-$E$16)))</x:f>
        <x:v>0.02864782720938255</x:v>
      </x:c>
      <x:c r="I908" s="262" t="n">
        <x:f>'Historical Inputs'!$N$9*(1+D908)^5</x:f>
        <x:v>651915.8803603491</x:v>
      </x:c>
      <x:c r="J908" s="262" t="n">
        <x:f>I908*(1+H908)*('Terminal Value'!$E$10+E908)*(1-'Assumptions'!$E$15)*(1-H908/'Terminal Value'!$E$12)</x:f>
        <x:v>185308.4849744331</x:v>
      </x:c>
      <x:c r="K908" s="264" t="n">
        <x:f>((SUM((('Historical Inputs'!$N$9*(1+(D908))^1)*(('Assumptions'!E37+(E908))*(1-'Assumptions'!E42-(0))+'Assumptions'!E47-'Assumptions'!E52*(F908)+'Assumptions'!E57-'Assumptions'!E62*(1)-'Assumptions'!E67-(0))+('Working Capital'!$E$6))*'DCF'!E12/(1+(G908))^'DCF'!E13,(('Historical Inputs'!$N$9*(1+(D908))^2)*(('Assumptions'!F37+(E908))*(1-'Assumptions'!F42-(0))+'Assumptions'!F47-'Assumptions'!F52*(F908)+'Assumptions'!F57-'Assumptions'!F62*(1)-'Assumptions'!F67-(0))+(('Historical Inputs'!$N$9*(1+(D908))^1)*('Assumptions'!E67+(0))))*'DCF'!F12/(1+(G908))^'DCF'!F13,(('Historical Inputs'!$N$9*(1+(D908))^3)*(('Assumptions'!G37+(E908))*(1-'Assumptions'!G42-(0))+'Assumptions'!G47-'Assumptions'!G52*(F908)+'Assumptions'!G57-'Assumptions'!G62*(1)-'Assumptions'!G67-(0))+(('Historical Inputs'!$N$9*(1+(D908))^2)*('Assumptions'!F67+(0))))*'DCF'!G12/(1+(G908))^'DCF'!G13,(('Historical Inputs'!$N$9*(1+(D908))^4)*(('Assumptions'!H37+(E908))*(1-'Assumptions'!H42-(0))+'Assumptions'!H47-'Assumptions'!H52*(F908)+'Assumptions'!H57-'Assumptions'!H62*(1)-'Assumptions'!H67-(0))+(('Historical Inputs'!$N$9*(1+(D908))^3)*('Assumptions'!G67+(0))))*'DCF'!H12/(1+(G908))^'DCF'!H13,(('Historical Inputs'!$N$9*(1+(D908))^5)*(('Assumptions'!I37+(E908))*(1-'Assumptions'!I42-(0))+'Assumptions'!I47-'Assumptions'!I52*(F908)+'Assumptions'!I57-'Assumptions'!I62*(1)-'Assumptions'!I67-(0))+(('Historical Inputs'!$N$9*(1+(D908))^4)*('Assumptions'!H67+(0))))*'DCF'!I12/(1+(G908))^'DCF'!I13)+('Historical Inputs'!$N$9*(1+(D908))^5)*(1+(H908))*('Terminal Value'!$E$10+(E908))*(1-'Assumptions'!$E$15-(0))*(1-(H908)/('Terminal Value'!$E$12))/((G908)-(H908))/(1+(G908))^'DCF'!$E$19)+'Equity Bridge'!$E$17)/'Equity Bridge'!$E$20</x:f>
        <x:v>304.5093208296501</x:v>
      </x:c>
      <x:c r="X908" s="255" t="n">
        <x:v>0.5264519253136243</x:v>
      </x:c>
      <x:c r="Y908" s="255" t="n">
        <x:v>0.561376590148635</x:v>
      </x:c>
      <x:c r="Z908" s="255" t="n">
        <x:v>0.9457309673322637</x:v>
      </x:c>
      <x:c r="AA908" s="255" t="n">
        <x:v>0.19824370425805482</x:v>
      </x:c>
      <x:c r="AB908" s="255" t="n">
        <x:v>0.37392457721668604</x:v>
      </x:c>
    </x:row>
    <x:row r="909" ht="24" customHeight="1">
      <x:c r="C909" s="256" t="n">
        <x:f>878</x:f>
        <x:v>878</x:v>
      </x:c>
      <x:c r="D909" s="258" t="n">
        <x:f>IF(X909&lt;($E$12-$D$12)/($F$12-$D$12),$D$12+SQRT(X909*($F$12-$D$12)*($E$12-$D$12)),$F$12-SQRT((1-X909)*($F$12-$D$12)*($F$12-$E$12)))</x:f>
        <x:v>0.16684067281023615</x:v>
      </x:c>
      <x:c r="E909" s="258" t="n">
        <x:f>IF(Y909&lt;($E$13-$D$13)/($F$13-$D$13),$D$13+SQRT(Y909*($F$13-$D$13)*($E$13-$D$13)),$F$13-SQRT((1-Y909)*($F$13-$D$13)*($F$13-$E$13)))</x:f>
        <x:v>-0.013749300521013676</x:v>
      </x:c>
      <x:c r="F909" s="260" t="n">
        <x:f>IF(Z909&lt;($E$14-$D$14)/($F$14-$D$14),$D$14+SQRT(Z909*($F$14-$D$14)*($E$14-$D$14)),$F$14-SQRT((1-Z909)*($F$14-$D$14)*($F$14-$E$14)))</x:f>
        <x:v>0.9793372675245879</x:v>
      </x:c>
      <x:c r="G909" s="258" t="n">
        <x:f>IF(AA909&lt;($E$15-$D$15)/($F$15-$D$15),$D$15+SQRT(AA909*($F$15-$D$15)*($E$15-$D$15)),$F$15-SQRT((1-AA909)*($F$15-$D$15)*($F$15-$E$15)))</x:f>
        <x:v>0.08990613300659502</x:v>
      </x:c>
      <x:c r="H909" s="258" t="n">
        <x:f>IF(AB909&lt;($E$16-$D$16)/($F$16-$D$16),$D$16+SQRT(AB909*($F$16-$D$16)*($E$16-$D$16)),$F$16-SQRT((1-AB909)*($F$16-$D$16)*($F$16-$E$16)))</x:f>
        <x:v>0.030718275681103618</x:v>
      </x:c>
      <x:c r="I909" s="262" t="n">
        <x:f>'Historical Inputs'!$N$9*(1+D909)^5</x:f>
        <x:v>717769.8652113803</x:v>
      </x:c>
      <x:c r="J909" s="262" t="n">
        <x:f>I909*(1+H909)*('Terminal Value'!$E$10+E909)*(1-'Assumptions'!$E$15)*(1-H909/'Terminal Value'!$E$12)</x:f>
        <x:v>193492.68091770008</x:v>
      </x:c>
      <x:c r="K909" s="264" t="n">
        <x:f>((SUM((('Historical Inputs'!$N$9*(1+(D909))^1)*(('Assumptions'!E37+(E909))*(1-'Assumptions'!E42-(0))+'Assumptions'!E47-'Assumptions'!E52*(F909)+'Assumptions'!E57-'Assumptions'!E62*(1)-'Assumptions'!E67-(0))+('Working Capital'!$E$6))*'DCF'!E12/(1+(G909))^'DCF'!E13,(('Historical Inputs'!$N$9*(1+(D909))^2)*(('Assumptions'!F37+(E909))*(1-'Assumptions'!F42-(0))+'Assumptions'!F47-'Assumptions'!F52*(F909)+'Assumptions'!F57-'Assumptions'!F62*(1)-'Assumptions'!F67-(0))+(('Historical Inputs'!$N$9*(1+(D909))^1)*('Assumptions'!E67+(0))))*'DCF'!F12/(1+(G909))^'DCF'!F13,(('Historical Inputs'!$N$9*(1+(D909))^3)*(('Assumptions'!G37+(E909))*(1-'Assumptions'!G42-(0))+'Assumptions'!G47-'Assumptions'!G52*(F909)+'Assumptions'!G57-'Assumptions'!G62*(1)-'Assumptions'!G67-(0))+(('Historical Inputs'!$N$9*(1+(D909))^2)*('Assumptions'!F67+(0))))*'DCF'!G12/(1+(G909))^'DCF'!G13,(('Historical Inputs'!$N$9*(1+(D909))^4)*(('Assumptions'!H37+(E909))*(1-'Assumptions'!H42-(0))+'Assumptions'!H47-'Assumptions'!H52*(F909)+'Assumptions'!H57-'Assumptions'!H62*(1)-'Assumptions'!H67-(0))+(('Historical Inputs'!$N$9*(1+(D909))^3)*('Assumptions'!G67+(0))))*'DCF'!H12/(1+(G909))^'DCF'!H13,(('Historical Inputs'!$N$9*(1+(D909))^5)*(('Assumptions'!I37+(E909))*(1-'Assumptions'!I42-(0))+'Assumptions'!I47-'Assumptions'!I52*(F909)+'Assumptions'!I57-'Assumptions'!I62*(1)-'Assumptions'!I67-(0))+(('Historical Inputs'!$N$9*(1+(D909))^4)*('Assumptions'!H67+(0))))*'DCF'!I12/(1+(G909))^'DCF'!I13)+('Historical Inputs'!$N$9*(1+(D909))^5)*(1+(H909))*('Terminal Value'!$E$10+(E909))*(1-'Assumptions'!$E$15-(0))*(1-(H909)/('Terminal Value'!$E$12))/((G909)-(H909))/(1+(G909))^'DCF'!$E$19)+'Equity Bridge'!$E$17)/'Equity Bridge'!$E$20</x:f>
        <x:v>351.8534892953048</x:v>
      </x:c>
      <x:c r="X909" s="255" t="n">
        <x:v>0.8604353009348642</x:v>
      </x:c>
      <x:c r="Y909" s="255" t="n">
        <x:v>0.2628226425431559</x:v>
      </x:c>
      <x:c r="Z909" s="255" t="n">
        <x:v>0.3186310242043209</x:v>
      </x:c>
      <x:c r="AA909" s="255" t="n">
        <x:v>0.10172346367756857</x:v>
      </x:c>
      <x:c r="AB909" s="255" t="n">
        <x:v>0.5692479683400375</x:v>
      </x:c>
    </x:row>
    <x:row r="910" ht="24" customHeight="1">
      <x:c r="C910" s="256" t="n">
        <x:f>879</x:f>
        <x:v>879</x:v>
      </x:c>
      <x:c r="D910" s="258" t="n">
        <x:f>IF(X910&lt;($E$12-$D$12)/($F$12-$D$12),$D$12+SQRT(X910*($F$12-$D$12)*($E$12-$D$12)),$F$12-SQRT((1-X910)*($F$12-$D$12)*($F$12-$E$12)))</x:f>
        <x:v>0.15228756821572334</x:v>
      </x:c>
      <x:c r="E910" s="258" t="n">
        <x:f>IF(Y910&lt;($E$13-$D$13)/($F$13-$D$13),$D$13+SQRT(Y910*($F$13-$D$13)*($E$13-$D$13)),$F$13-SQRT((1-Y910)*($F$13-$D$13)*($F$13-$E$13)))</x:f>
        <x:v>0.024259332956979497</x:v>
      </x:c>
      <x:c r="F910" s="260" t="n">
        <x:f>IF(Z910&lt;($E$14-$D$14)/($F$14-$D$14),$D$14+SQRT(Z910*($F$14-$D$14)*($E$14-$D$14)),$F$14-SQRT((1-Z910)*($F$14-$D$14)*($F$14-$E$14)))</x:f>
        <x:v>1.0793061555545653</x:v>
      </x:c>
      <x:c r="G910" s="258" t="n">
        <x:f>IF(AA910&lt;($E$15-$D$15)/($F$15-$D$15),$D$15+SQRT(AA910*($F$15-$D$15)*($E$15-$D$15)),$F$15-SQRT((1-AA910)*($F$15-$D$15)*($F$15-$E$15)))</x:f>
        <x:v>0.08550309469727145</x:v>
      </x:c>
      <x:c r="H910" s="258" t="n">
        <x:f>IF(AB910&lt;($E$16-$D$16)/($F$16-$D$16),$D$16+SQRT(AB910*($F$16-$D$16)*($E$16-$D$16)),$F$16-SQRT((1-AB910)*($F$16-$D$16)*($F$16-$E$16)))</x:f>
        <x:v>0.023399407134053484</x:v>
      </x:c>
      <x:c r="I910" s="262" t="n">
        <x:f>'Historical Inputs'!$N$9*(1+D910)^5</x:f>
        <x:v>674111.6116246021</x:v>
      </x:c>
      <x:c r="J910" s="262" t="n">
        <x:f>I910*(1+H910)*('Terminal Value'!$E$10+E910)*(1-'Assumptions'!$E$15)*(1-H910/'Terminal Value'!$E$12)</x:f>
        <x:v>206757.1429810817</x:v>
      </x:c>
      <x:c r="K910" s="264" t="n">
        <x:f>((SUM((('Historical Inputs'!$N$9*(1+(D910))^1)*(('Assumptions'!E37+(E910))*(1-'Assumptions'!E42-(0))+'Assumptions'!E47-'Assumptions'!E52*(F910)+'Assumptions'!E57-'Assumptions'!E62*(1)-'Assumptions'!E67-(0))+('Working Capital'!$E$6))*'DCF'!E12/(1+(G910))^'DCF'!E13,(('Historical Inputs'!$N$9*(1+(D910))^2)*(('Assumptions'!F37+(E910))*(1-'Assumptions'!F42-(0))+'Assumptions'!F47-'Assumptions'!F52*(F910)+'Assumptions'!F57-'Assumptions'!F62*(1)-'Assumptions'!F67-(0))+(('Historical Inputs'!$N$9*(1+(D910))^1)*('Assumptions'!E67+(0))))*'DCF'!F12/(1+(G910))^'DCF'!F13,(('Historical Inputs'!$N$9*(1+(D910))^3)*(('Assumptions'!G37+(E910))*(1-'Assumptions'!G42-(0))+'Assumptions'!G47-'Assumptions'!G52*(F910)+'Assumptions'!G57-'Assumptions'!G62*(1)-'Assumptions'!G67-(0))+(('Historical Inputs'!$N$9*(1+(D910))^2)*('Assumptions'!F67+(0))))*'DCF'!G12/(1+(G910))^'DCF'!G13,(('Historical Inputs'!$N$9*(1+(D910))^4)*(('Assumptions'!H37+(E910))*(1-'Assumptions'!H42-(0))+'Assumptions'!H47-'Assumptions'!H52*(F910)+'Assumptions'!H57-'Assumptions'!H62*(1)-'Assumptions'!H67-(0))+(('Historical Inputs'!$N$9*(1+(D910))^3)*('Assumptions'!G67+(0))))*'DCF'!H12/(1+(G910))^'DCF'!H13,(('Historical Inputs'!$N$9*(1+(D910))^5)*(('Assumptions'!I37+(E910))*(1-'Assumptions'!I42-(0))+'Assumptions'!I47-'Assumptions'!I52*(F910)+'Assumptions'!I57-'Assumptions'!I62*(1)-'Assumptions'!I67-(0))+(('Historical Inputs'!$N$9*(1+(D910))^4)*('Assumptions'!H67+(0))))*'DCF'!I12/(1+(G910))^'DCF'!I13)+('Historical Inputs'!$N$9*(1+(D910))^5)*(1+(H910))*('Terminal Value'!$E$10+(E910))*(1-'Assumptions'!$E$15-(0))*(1-(H910)/('Terminal Value'!$E$12))/((G910)-(H910))/(1+(G910))^'DCF'!$E$19)+'Equity Bridge'!$E$17)/'Equity Bridge'!$E$20</x:f>
        <x:v>362.49830330751024</x:v>
      </x:c>
      <x:c r="X910" s="255" t="n">
        <x:v>0.6643007741741376</x:v>
      </x:c>
      <x:c r="Y910" s="255" t="n">
        <x:v>0.8674836120360716</x:v>
      </x:c>
      <x:c r="Z910" s="255" t="n">
        <x:v>0.7918999416140177</x:v>
      </x:c>
      <x:c r="AA910" s="255" t="n">
        <x:v>0.012405491878480501</x:v>
      </x:c>
      <x:c r="AB910" s="255" t="n">
        <x:v>0.057779844315268725</x:v>
      </x:c>
    </x:row>
    <x:row r="911" ht="24" customHeight="1">
      <x:c r="C911" s="256" t="n">
        <x:f>880</x:f>
        <x:v>880</x:v>
      </x:c>
      <x:c r="D911" s="258" t="n">
        <x:f>IF(X911&lt;($E$12-$D$12)/($F$12-$D$12),$D$12+SQRT(X911*($F$12-$D$12)*($E$12-$D$12)),$F$12-SQRT((1-X911)*($F$12-$D$12)*($F$12-$E$12)))</x:f>
        <x:v>0.1737065904551633</x:v>
      </x:c>
      <x:c r="E911" s="258" t="n">
        <x:f>IF(Y911&lt;($E$13-$D$13)/($F$13-$D$13),$D$13+SQRT(Y911*($F$13-$D$13)*($E$13-$D$13)),$F$13-SQRT((1-Y911)*($F$13-$D$13)*($F$13-$E$13)))</x:f>
        <x:v>0.0059157851374529655</x:v>
      </x:c>
      <x:c r="F911" s="260" t="n">
        <x:f>IF(Z911&lt;($E$14-$D$14)/($F$14-$D$14),$D$14+SQRT(Z911*($F$14-$D$14)*($E$14-$D$14)),$F$14-SQRT((1-Z911)*($F$14-$D$14)*($F$14-$E$14)))</x:f>
        <x:v>0.9993675532741191</x:v>
      </x:c>
      <x:c r="G911" s="258" t="n">
        <x:f>IF(AA911&lt;($E$15-$D$15)/($F$15-$D$15),$D$15+SQRT(AA911*($F$15-$D$15)*($E$15-$D$15)),$F$15-SQRT((1-AA911)*($F$15-$D$15)*($F$15-$E$15)))</x:f>
        <x:v>0.09124856228937425</x:v>
      </x:c>
      <x:c r="H911" s="258" t="n">
        <x:f>IF(AB911&lt;($E$16-$D$16)/($F$16-$D$16),$D$16+SQRT(AB911*($F$16-$D$16)*($E$16-$D$16)),$F$16-SQRT((1-AB911)*($F$16-$D$16)*($F$16-$E$16)))</x:f>
        <x:v>0.03167556012736306</x:v>
      </x:c>
      <x:c r="I911" s="262" t="n">
        <x:f>'Historical Inputs'!$N$9*(1+D911)^5</x:f>
        <x:v>739137.3386775999</x:v>
      </x:c>
      <x:c r="J911" s="262" t="n">
        <x:f>I911*(1+H911)*('Terminal Value'!$E$10+E911)*(1-'Assumptions'!$E$15)*(1-H911/'Terminal Value'!$E$12)</x:f>
        <x:v>208406.56426656406</x:v>
      </x:c>
      <x:c r="K911" s="264" t="n">
        <x:f>((SUM((('Historical Inputs'!$N$9*(1+(D911))^1)*(('Assumptions'!E37+(E911))*(1-'Assumptions'!E42-(0))+'Assumptions'!E47-'Assumptions'!E52*(F911)+'Assumptions'!E57-'Assumptions'!E62*(1)-'Assumptions'!E67-(0))+('Working Capital'!$E$6))*'DCF'!E12/(1+(G911))^'DCF'!E13,(('Historical Inputs'!$N$9*(1+(D911))^2)*(('Assumptions'!F37+(E911))*(1-'Assumptions'!F42-(0))+'Assumptions'!F47-'Assumptions'!F52*(F911)+'Assumptions'!F57-'Assumptions'!F62*(1)-'Assumptions'!F67-(0))+(('Historical Inputs'!$N$9*(1+(D911))^1)*('Assumptions'!E67+(0))))*'DCF'!F12/(1+(G911))^'DCF'!F13,(('Historical Inputs'!$N$9*(1+(D911))^3)*(('Assumptions'!G37+(E911))*(1-'Assumptions'!G42-(0))+'Assumptions'!G47-'Assumptions'!G52*(F911)+'Assumptions'!G57-'Assumptions'!G62*(1)-'Assumptions'!G67-(0))+(('Historical Inputs'!$N$9*(1+(D911))^2)*('Assumptions'!F67+(0))))*'DCF'!G12/(1+(G911))^'DCF'!G13,(('Historical Inputs'!$N$9*(1+(D911))^4)*(('Assumptions'!H37+(E911))*(1-'Assumptions'!H42-(0))+'Assumptions'!H47-'Assumptions'!H52*(F911)+'Assumptions'!H57-'Assumptions'!H62*(1)-'Assumptions'!H67-(0))+(('Historical Inputs'!$N$9*(1+(D911))^3)*('Assumptions'!G67+(0))))*'DCF'!H12/(1+(G911))^'DCF'!H13,(('Historical Inputs'!$N$9*(1+(D911))^5)*(('Assumptions'!I37+(E911))*(1-'Assumptions'!I42-(0))+'Assumptions'!I47-'Assumptions'!I52*(F911)+'Assumptions'!I57-'Assumptions'!I62*(1)-'Assumptions'!I67-(0))+(('Historical Inputs'!$N$9*(1+(D911))^4)*('Assumptions'!H67+(0))))*'DCF'!I12/(1+(G911))^'DCF'!I13)+('Historical Inputs'!$N$9*(1+(D911))^5)*(1+(H911))*('Terminal Value'!$E$10+(E911))*(1-'Assumptions'!$E$15-(0))*(1-(H911)/('Terminal Value'!$E$12))/((G911)-(H911))/(1+(G911))^'DCF'!$E$19)+'Equity Bridge'!$E$17)/'Equity Bridge'!$E$20</x:f>
        <x:v>374.6781122397416</x:v>
      </x:c>
      <x:c r="X911" s="255" t="n">
        <x:v>0.9235561266423921</x:v>
      </x:c>
      <x:c r="Y911" s="255" t="n">
        <x:v>0.6113163999905574</x:v>
      </x:c>
      <x:c r="Z911" s="255" t="n">
        <x:v>0.4249650661161297</x:v>
      </x:c>
      <x:c r="AA911" s="255" t="n">
        <x:v>0.1460950971076852</x:v>
      </x:c>
      <x:c r="AB911" s="255" t="n">
        <x:v>0.6535185040342616</x:v>
      </x:c>
    </x:row>
    <x:row r="912" ht="24" customHeight="1">
      <x:c r="C912" s="256" t="n">
        <x:f>881</x:f>
        <x:v>881</x:v>
      </x:c>
      <x:c r="D912" s="258" t="n">
        <x:f>IF(X912&lt;($E$12-$D$12)/($F$12-$D$12),$D$12+SQRT(X912*($F$12-$D$12)*($E$12-$D$12)),$F$12-SQRT((1-X912)*($F$12-$D$12)*($F$12-$E$12)))</x:f>
        <x:v>0.16551475979063446</x:v>
      </x:c>
      <x:c r="E912" s="258" t="n">
        <x:f>IF(Y912&lt;($E$13-$D$13)/($F$13-$D$13),$D$13+SQRT(Y912*($F$13-$D$13)*($E$13-$D$13)),$F$13-SQRT((1-Y912)*($F$13-$D$13)*($F$13-$E$13)))</x:f>
        <x:v>0.006840519189149609</x:v>
      </x:c>
      <x:c r="F912" s="260" t="n">
        <x:f>IF(Z912&lt;($E$14-$D$14)/($F$14-$D$14),$D$14+SQRT(Z912*($F$14-$D$14)*($E$14-$D$14)),$F$14-SQRT((1-Z912)*($F$14-$D$14)*($F$14-$E$14)))</x:f>
        <x:v>0.9314201290192127</x:v>
      </x:c>
      <x:c r="G912" s="258" t="n">
        <x:f>IF(AA912&lt;($E$15-$D$15)/($F$15-$D$15),$D$15+SQRT(AA912*($F$15-$D$15)*($E$15-$D$15)),$F$15-SQRT((1-AA912)*($F$15-$D$15)*($F$15-$E$15)))</x:f>
        <x:v>0.10956568206093716</x:v>
      </x:c>
      <x:c r="H912" s="258" t="n">
        <x:f>IF(AB912&lt;($E$16-$D$16)/($F$16-$D$16),$D$16+SQRT(AB912*($F$16-$D$16)*($E$16-$D$16)),$F$16-SQRT((1-AB912)*($F$16-$D$16)*($F$16-$E$16)))</x:f>
        <x:v>0.035597285957404336</x:v>
      </x:c>
      <x:c r="I912" s="262" t="n">
        <x:f>'Historical Inputs'!$N$9*(1+D912)^5</x:f>
        <x:v>713701.0150189376</x:v>
      </x:c>
      <x:c r="J912" s="262" t="n">
        <x:f>I912*(1+H912)*('Terminal Value'!$E$10+E912)*(1-'Assumptions'!$E$15)*(1-H912/'Terminal Value'!$E$12)</x:f>
        <x:v>197742.66914635946</x:v>
      </x:c>
      <x:c r="K912" s="264" t="n">
        <x:f>((SUM((('Historical Inputs'!$N$9*(1+(D912))^1)*(('Assumptions'!E37+(E912))*(1-'Assumptions'!E42-(0))+'Assumptions'!E47-'Assumptions'!E52*(F912)+'Assumptions'!E57-'Assumptions'!E62*(1)-'Assumptions'!E67-(0))+('Working Capital'!$E$6))*'DCF'!E12/(1+(G912))^'DCF'!E13,(('Historical Inputs'!$N$9*(1+(D912))^2)*(('Assumptions'!F37+(E912))*(1-'Assumptions'!F42-(0))+'Assumptions'!F47-'Assumptions'!F52*(F912)+'Assumptions'!F57-'Assumptions'!F62*(1)-'Assumptions'!F67-(0))+(('Historical Inputs'!$N$9*(1+(D912))^1)*('Assumptions'!E67+(0))))*'DCF'!F12/(1+(G912))^'DCF'!F13,(('Historical Inputs'!$N$9*(1+(D912))^3)*(('Assumptions'!G37+(E912))*(1-'Assumptions'!G42-(0))+'Assumptions'!G47-'Assumptions'!G52*(F912)+'Assumptions'!G57-'Assumptions'!G62*(1)-'Assumptions'!G67-(0))+(('Historical Inputs'!$N$9*(1+(D912))^2)*('Assumptions'!F67+(0))))*'DCF'!G12/(1+(G912))^'DCF'!G13,(('Historical Inputs'!$N$9*(1+(D912))^4)*(('Assumptions'!H37+(E912))*(1-'Assumptions'!H42-(0))+'Assumptions'!H47-'Assumptions'!H52*(F912)+'Assumptions'!H57-'Assumptions'!H62*(1)-'Assumptions'!H67-(0))+(('Historical Inputs'!$N$9*(1+(D912))^3)*('Assumptions'!G67+(0))))*'DCF'!H12/(1+(G912))^'DCF'!H13,(('Historical Inputs'!$N$9*(1+(D912))^5)*(('Assumptions'!I37+(E912))*(1-'Assumptions'!I42-(0))+'Assumptions'!I47-'Assumptions'!I52*(F912)+'Assumptions'!I57-'Assumptions'!I62*(1)-'Assumptions'!I67-(0))+(('Historical Inputs'!$N$9*(1+(D912))^4)*('Assumptions'!H67+(0))))*'DCF'!I12/(1+(G912))^'DCF'!I13)+('Historical Inputs'!$N$9*(1+(D912))^5)*(1+(H912))*('Terminal Value'!$E$10+(E912))*(1-'Assumptions'!$E$15-(0))*(1-(H912)/('Terminal Value'!$E$12))/((G912)-(H912))/(1+(G912))^'DCF'!$E$19)+'Equity Bridge'!$E$17)/'Equity Bridge'!$E$20</x:f>
        <x:v>283.5210421261993</x:v>
      </x:c>
      <x:c r="X912" s="255" t="n">
        <x:v>0.8460733794315867</x:v>
      </x:c>
      <x:c r="Y912" s="255" t="n">
        <x:v>0.6274518432275673</x:v>
      </x:c>
      <x:c r="Z912" s="255" t="n">
        <x:v>0.1262711887524809</x:v>
      </x:c>
      <x:c r="AA912" s="255" t="n">
        <x:v>0.9716035804600833</x:v>
      </x:c>
      <x:c r="AB912" s="255" t="n">
        <x:v>0.9030805452956548</x:v>
      </x:c>
    </x:row>
    <x:row r="913" ht="24" customHeight="1">
      <x:c r="C913" s="256" t="n">
        <x:f>882</x:f>
        <x:v>882</x:v>
      </x:c>
      <x:c r="D913" s="258" t="n">
        <x:f>IF(X913&lt;($E$12-$D$12)/($F$12-$D$12),$D$12+SQRT(X913*($F$12-$D$12)*($E$12-$D$12)),$F$12-SQRT((1-X913)*($F$12-$D$12)*($F$12-$E$12)))</x:f>
        <x:v>0.15604665759052128</x:v>
      </x:c>
      <x:c r="E913" s="258" t="n">
        <x:f>IF(Y913&lt;($E$13-$D$13)/($F$13-$D$13),$D$13+SQRT(Y913*($F$13-$D$13)*($E$13-$D$13)),$F$13-SQRT((1-Y913)*($F$13-$D$13)*($F$13-$E$13)))</x:f>
        <x:v>-0.012734728837763859</x:v>
      </x:c>
      <x:c r="F913" s="260" t="n">
        <x:f>IF(Z913&lt;($E$14-$D$14)/($F$14-$D$14),$D$14+SQRT(Z913*($F$14-$D$14)*($E$14-$D$14)),$F$14-SQRT((1-Z913)*($F$14-$D$14)*($F$14-$E$14)))</x:f>
        <x:v>1.1663849530879822</x:v>
      </x:c>
      <x:c r="G913" s="258" t="n">
        <x:f>IF(AA913&lt;($E$15-$D$15)/($F$15-$D$15),$D$15+SQRT(AA913*($F$15-$D$15)*($E$15-$D$15)),$F$15-SQRT((1-AA913)*($F$15-$D$15)*($F$15-$E$15)))</x:f>
        <x:v>0.09850195753075333</x:v>
      </x:c>
      <x:c r="H913" s="258" t="n">
        <x:f>IF(AB913&lt;($E$16-$D$16)/($F$16-$D$16),$D$16+SQRT(AB913*($F$16-$D$16)*($E$16-$D$16)),$F$16-SQRT((1-AB913)*($F$16-$D$16)*($F$16-$E$16)))</x:f>
        <x:v>0.02132722176471078</x:v>
      </x:c>
      <x:c r="I913" s="262" t="n">
        <x:f>'Historical Inputs'!$N$9*(1+D913)^5</x:f>
        <x:v>685179.3062118146</x:v>
      </x:c>
      <x:c r="J913" s="262" t="n">
        <x:f>I913*(1+H913)*('Terminal Value'!$E$10+E913)*(1-'Assumptions'!$E$15)*(1-H913/'Terminal Value'!$E$12)</x:f>
        <x:v>193685.04087404854</x:v>
      </x:c>
      <x:c r="K913" s="264" t="n">
        <x:f>((SUM((('Historical Inputs'!$N$9*(1+(D913))^1)*(('Assumptions'!E37+(E913))*(1-'Assumptions'!E42-(0))+'Assumptions'!E47-'Assumptions'!E52*(F913)+'Assumptions'!E57-'Assumptions'!E62*(1)-'Assumptions'!E67-(0))+('Working Capital'!$E$6))*'DCF'!E12/(1+(G913))^'DCF'!E13,(('Historical Inputs'!$N$9*(1+(D913))^2)*(('Assumptions'!F37+(E913))*(1-'Assumptions'!F42-(0))+'Assumptions'!F47-'Assumptions'!F52*(F913)+'Assumptions'!F57-'Assumptions'!F62*(1)-'Assumptions'!F67-(0))+(('Historical Inputs'!$N$9*(1+(D913))^1)*('Assumptions'!E67+(0))))*'DCF'!F12/(1+(G913))^'DCF'!F13,(('Historical Inputs'!$N$9*(1+(D913))^3)*(('Assumptions'!G37+(E913))*(1-'Assumptions'!G42-(0))+'Assumptions'!G47-'Assumptions'!G52*(F913)+'Assumptions'!G57-'Assumptions'!G62*(1)-'Assumptions'!G67-(0))+(('Historical Inputs'!$N$9*(1+(D913))^2)*('Assumptions'!F67+(0))))*'DCF'!G12/(1+(G913))^'DCF'!G13,(('Historical Inputs'!$N$9*(1+(D913))^4)*(('Assumptions'!H37+(E913))*(1-'Assumptions'!H42-(0))+'Assumptions'!H47-'Assumptions'!H52*(F913)+'Assumptions'!H57-'Assumptions'!H62*(1)-'Assumptions'!H67-(0))+(('Historical Inputs'!$N$9*(1+(D913))^3)*('Assumptions'!G67+(0))))*'DCF'!H12/(1+(G913))^'DCF'!H13,(('Historical Inputs'!$N$9*(1+(D913))^5)*(('Assumptions'!I37+(E913))*(1-'Assumptions'!I42-(0))+'Assumptions'!I47-'Assumptions'!I52*(F913)+'Assumptions'!I57-'Assumptions'!I62*(1)-'Assumptions'!I67-(0))+(('Historical Inputs'!$N$9*(1+(D913))^4)*('Assumptions'!H67+(0))))*'DCF'!I12/(1+(G913))^'DCF'!I13)+('Historical Inputs'!$N$9*(1+(D913))^5)*(1+(H913))*('Terminal Value'!$E$10+(E913))*(1-'Assumptions'!$E$15-(0))*(1-(H913)/('Terminal Value'!$E$12))/((G913)-(H913))/(1+(G913))^'DCF'!$E$19)+'Equity Bridge'!$E$17)/'Equity Bridge'!$E$20</x:f>
        <x:v>260.4266683272373</x:v>
      </x:c>
      <x:c r="X913" s="255" t="n">
        <x:v>0.7230777586917475</x:v>
      </x:c>
      <x:c r="Y913" s="255" t="n">
        <x:v>0.27774008695899777</x:v>
      </x:c>
      <x:c r="Z913" s="255" t="n">
        <x:v>0.9838575517300405</x:v>
      </x:c>
      <x:c r="AA913" s="255" t="n">
        <x:v>0.5238153358593367</x:v>
      </x:c>
      <x:c r="AB913" s="255" t="n">
        <x:v>0.008807588063610039</x:v>
      </x:c>
    </x:row>
    <x:row r="914" ht="24" customHeight="1">
      <x:c r="C914" s="256" t="n">
        <x:f>883</x:f>
        <x:v>883</x:v>
      </x:c>
      <x:c r="D914" s="258" t="n">
        <x:f>IF(X914&lt;($E$12-$D$12)/($F$12-$D$12),$D$12+SQRT(X914*($F$12-$D$12)*($E$12-$D$12)),$F$12-SQRT((1-X914)*($F$12-$D$12)*($F$12-$E$12)))</x:f>
        <x:v>0.15731510050007322</x:v>
      </x:c>
      <x:c r="E914" s="258" t="n">
        <x:f>IF(Y914&lt;($E$13-$D$13)/($F$13-$D$13),$D$13+SQRT(Y914*($F$13-$D$13)*($E$13-$D$13)),$F$13-SQRT((1-Y914)*($F$13-$D$13)*($F$13-$E$13)))</x:f>
        <x:v>-0.0178719764340336</x:v>
      </x:c>
      <x:c r="F914" s="260" t="n">
        <x:f>IF(Z914&lt;($E$14-$D$14)/($F$14-$D$14),$D$14+SQRT(Z914*($F$14-$D$14)*($E$14-$D$14)),$F$14-SQRT((1-Z914)*($F$14-$D$14)*($F$14-$E$14)))</x:f>
        <x:v>1.0561426039416733</x:v>
      </x:c>
      <x:c r="G914" s="258" t="n">
        <x:f>IF(AA914&lt;($E$15-$D$15)/($F$15-$D$15),$D$15+SQRT(AA914*($F$15-$D$15)*($E$15-$D$15)),$F$15-SQRT((1-AA914)*($F$15-$D$15)*($F$15-$E$15)))</x:f>
        <x:v>0.10019131213324702</x:v>
      </x:c>
      <x:c r="H914" s="258" t="n">
        <x:f>IF(AB914&lt;($E$16-$D$16)/($F$16-$D$16),$D$16+SQRT(AB914*($F$16-$D$16)*($E$16-$D$16)),$F$16-SQRT((1-AB914)*($F$16-$D$16)*($F$16-$E$16)))</x:f>
        <x:v>0.026973807908518527</x:v>
      </x:c>
      <x:c r="I914" s="262" t="n">
        <x:f>'Historical Inputs'!$N$9*(1+D914)^5</x:f>
        <x:v>688946.5423372032</x:v>
      </x:c>
      <x:c r="J914" s="262" t="n">
        <x:f>I914*(1+H914)*('Terminal Value'!$E$10+E914)*(1-'Assumptions'!$E$15)*(1-H914/'Terminal Value'!$E$12)</x:f>
        <x:v>187122.33223777477</x:v>
      </x:c>
      <x:c r="K914" s="264" t="n">
        <x:f>((SUM((('Historical Inputs'!$N$9*(1+(D914))^1)*(('Assumptions'!E37+(E914))*(1-'Assumptions'!E42-(0))+'Assumptions'!E47-'Assumptions'!E52*(F914)+'Assumptions'!E57-'Assumptions'!E62*(1)-'Assumptions'!E67-(0))+('Working Capital'!$E$6))*'DCF'!E12/(1+(G914))^'DCF'!E13,(('Historical Inputs'!$N$9*(1+(D914))^2)*(('Assumptions'!F37+(E914))*(1-'Assumptions'!F42-(0))+'Assumptions'!F47-'Assumptions'!F52*(F914)+'Assumptions'!F57-'Assumptions'!F62*(1)-'Assumptions'!F67-(0))+(('Historical Inputs'!$N$9*(1+(D914))^1)*('Assumptions'!E67+(0))))*'DCF'!F12/(1+(G914))^'DCF'!F13,(('Historical Inputs'!$N$9*(1+(D914))^3)*(('Assumptions'!G37+(E914))*(1-'Assumptions'!G42-(0))+'Assumptions'!G47-'Assumptions'!G52*(F914)+'Assumptions'!G57-'Assumptions'!G62*(1)-'Assumptions'!G67-(0))+(('Historical Inputs'!$N$9*(1+(D914))^2)*('Assumptions'!F67+(0))))*'DCF'!G12/(1+(G914))^'DCF'!G13,(('Historical Inputs'!$N$9*(1+(D914))^4)*(('Assumptions'!H37+(E914))*(1-'Assumptions'!H42-(0))+'Assumptions'!H47-'Assumptions'!H52*(F914)+'Assumptions'!H57-'Assumptions'!H62*(1)-'Assumptions'!H67-(0))+(('Historical Inputs'!$N$9*(1+(D914))^3)*('Assumptions'!G67+(0))))*'DCF'!H12/(1+(G914))^'DCF'!H13,(('Historical Inputs'!$N$9*(1+(D914))^5)*(('Assumptions'!I37+(E914))*(1-'Assumptions'!I42-(0))+'Assumptions'!I47-'Assumptions'!I52*(F914)+'Assumptions'!I57-'Assumptions'!I62*(1)-'Assumptions'!I67-(0))+(('Historical Inputs'!$N$9*(1+(D914))^4)*('Assumptions'!H67+(0))))*'DCF'!I12/(1+(G914))^'DCF'!I13)+('Historical Inputs'!$N$9*(1+(D914))^5)*(1+(H914))*('Terminal Value'!$E$10+(E914))*(1-'Assumptions'!$E$15-(0))*(1-(H914)/('Terminal Value'!$E$12))/((G914)-(H914))/(1+(G914))^'DCF'!$E$19)+'Equity Bridge'!$E$17)/'Equity Bridge'!$E$20</x:f>
        <x:v>268.92068424524905</x:v>
      </x:c>
      <x:c r="X914" s="255" t="n">
        <x:v>0.7416356582793533</x:v>
      </x:c>
      <x:c r="Y914" s="255" t="n">
        <x:v>0.20644197965105848</x:v>
      </x:c>
      <x:c r="Z914" s="255" t="n">
        <x:v>0.7043578514188245</x:v>
      </x:c>
      <x:c r="AA914" s="255" t="n">
        <x:v>0.6273820416101437</x:v>
      </x:c>
      <x:c r="AB914" s="255" t="n">
        <x:v>0.243169983724578</x:v>
      </x:c>
    </x:row>
    <x:row r="915" ht="24" customHeight="1">
      <x:c r="C915" s="256" t="n">
        <x:f>884</x:f>
        <x:v>884</x:v>
      </x:c>
      <x:c r="D915" s="258" t="n">
        <x:f>IF(X915&lt;($E$12-$D$12)/($F$12-$D$12),$D$12+SQRT(X915*($F$12-$D$12)*($E$12-$D$12)),$F$12-SQRT((1-X915)*($F$12-$D$12)*($F$12-$E$12)))</x:f>
        <x:v>0.1491370201117878</x:v>
      </x:c>
      <x:c r="E915" s="258" t="n">
        <x:f>IF(Y915&lt;($E$13-$D$13)/($F$13-$D$13),$D$13+SQRT(Y915*($F$13-$D$13)*($E$13-$D$13)),$F$13-SQRT((1-Y915)*($F$13-$D$13)*($F$13-$E$13)))</x:f>
        <x:v>0.031629033705168744</x:v>
      </x:c>
      <x:c r="F915" s="260" t="n">
        <x:f>IF(Z915&lt;($E$14-$D$14)/($F$14-$D$14),$D$14+SQRT(Z915*($F$14-$D$14)*($E$14-$D$14)),$F$14-SQRT((1-Z915)*($F$14-$D$14)*($F$14-$E$14)))</x:f>
        <x:v>1.169098528940364</x:v>
      </x:c>
      <x:c r="G915" s="258" t="n">
        <x:f>IF(AA915&lt;($E$15-$D$15)/($F$15-$D$15),$D$15+SQRT(AA915*($F$15-$D$15)*($E$15-$D$15)),$F$15-SQRT((1-AA915)*($F$15-$D$15)*($F$15-$E$15)))</x:f>
        <x:v>0.10121670807955176</x:v>
      </x:c>
      <x:c r="H915" s="258" t="n">
        <x:f>IF(AB915&lt;($E$16-$D$16)/($F$16-$D$16),$D$16+SQRT(AB915*($F$16-$D$16)*($E$16-$D$16)),$F$16-SQRT((1-AB915)*($F$16-$D$16)*($F$16-$E$16)))</x:f>
        <x:v>0.031012995298800344</x:v>
      </x:c>
      <x:c r="I915" s="262" t="n">
        <x:f>'Historical Inputs'!$N$9*(1+D915)^5</x:f>
        <x:v>664946.1955408778</x:v>
      </x:c>
      <x:c r="J915" s="262" t="n">
        <x:f>I915*(1+H915)*('Terminal Value'!$E$10+E915)*(1-'Assumptions'!$E$15)*(1-H915/'Terminal Value'!$E$12)</x:f>
        <x:v>200020.53951631603</x:v>
      </x:c>
      <x:c r="K915" s="264" t="n">
        <x:f>((SUM((('Historical Inputs'!$N$9*(1+(D915))^1)*(('Assumptions'!E37+(E915))*(1-'Assumptions'!E42-(0))+'Assumptions'!E47-'Assumptions'!E52*(F915)+'Assumptions'!E57-'Assumptions'!E62*(1)-'Assumptions'!E67-(0))+('Working Capital'!$E$6))*'DCF'!E12/(1+(G915))^'DCF'!E13,(('Historical Inputs'!$N$9*(1+(D915))^2)*(('Assumptions'!F37+(E915))*(1-'Assumptions'!F42-(0))+'Assumptions'!F47-'Assumptions'!F52*(F915)+'Assumptions'!F57-'Assumptions'!F62*(1)-'Assumptions'!F67-(0))+(('Historical Inputs'!$N$9*(1+(D915))^1)*('Assumptions'!E67+(0))))*'DCF'!F12/(1+(G915))^'DCF'!F13,(('Historical Inputs'!$N$9*(1+(D915))^3)*(('Assumptions'!G37+(E915))*(1-'Assumptions'!G42-(0))+'Assumptions'!G47-'Assumptions'!G52*(F915)+'Assumptions'!G57-'Assumptions'!G62*(1)-'Assumptions'!G67-(0))+(('Historical Inputs'!$N$9*(1+(D915))^2)*('Assumptions'!F67+(0))))*'DCF'!G12/(1+(G915))^'DCF'!G13,(('Historical Inputs'!$N$9*(1+(D915))^4)*(('Assumptions'!H37+(E915))*(1-'Assumptions'!H42-(0))+'Assumptions'!H47-'Assumptions'!H52*(F915)+'Assumptions'!H57-'Assumptions'!H62*(1)-'Assumptions'!H67-(0))+(('Historical Inputs'!$N$9*(1+(D915))^3)*('Assumptions'!G67+(0))))*'DCF'!H12/(1+(G915))^'DCF'!H13,(('Historical Inputs'!$N$9*(1+(D915))^5)*(('Assumptions'!I37+(E915))*(1-'Assumptions'!I42-(0))+'Assumptions'!I47-'Assumptions'!I52*(F915)+'Assumptions'!I57-'Assumptions'!I62*(1)-'Assumptions'!I67-(0))+(('Historical Inputs'!$N$9*(1+(D915))^4)*('Assumptions'!H67+(0))))*'DCF'!I12/(1+(G915))^'DCF'!I13)+('Historical Inputs'!$N$9*(1+(D915))^5)*(1+(H915))*('Terminal Value'!$E$10+(E915))*(1-'Assumptions'!$E$15-(0))*(1-(H915)/('Terminal Value'!$E$12))/((G915)-(H915))/(1+(G915))^'DCF'!$E$19)+'Equity Bridge'!$E$17)/'Equity Bridge'!$E$20</x:f>
        <x:v>294.48763038273245</x:v>
      </x:c>
      <x:c r="X915" s="255" t="n">
        <x:v>0.6106850897465702</x:v>
      </x:c>
      <x:c r="Y915" s="255" t="n">
        <x:v>0.9325015194788348</x:v>
      </x:c>
      <x:c r="Z915" s="255" t="n">
        <x:v>0.9863585583764354</x:v>
      </x:c>
      <x:c r="AA915" s="255" t="n">
        <x:v>0.684058451808838</x:v>
      </x:c>
      <x:c r="AB915" s="255" t="n">
        <x:v>0.5961687325030766</x:v>
      </x:c>
    </x:row>
    <x:row r="916" ht="24" customHeight="1">
      <x:c r="C916" s="256" t="n">
        <x:f>885</x:f>
        <x:v>885</x:v>
      </x:c>
      <x:c r="D916" s="258" t="n">
        <x:f>IF(X916&lt;($E$12-$D$12)/($F$12-$D$12),$D$12+SQRT(X916*($F$12-$D$12)*($E$12-$D$12)),$F$12-SQRT((1-X916)*($F$12-$D$12)*($F$12-$E$12)))</x:f>
        <x:v>0.1696029889276083</x:v>
      </x:c>
      <x:c r="E916" s="258" t="n">
        <x:f>IF(Y916&lt;($E$13-$D$13)/($F$13-$D$13),$D$13+SQRT(Y916*($F$13-$D$13)*($E$13-$D$13)),$F$13-SQRT((1-Y916)*($F$13-$D$13)*($F$13-$E$13)))</x:f>
        <x:v>0.015669565020417095</x:v>
      </x:c>
      <x:c r="F916" s="260" t="n">
        <x:f>IF(Z916&lt;($E$14-$D$14)/($F$14-$D$14),$D$14+SQRT(Z916*($F$14-$D$14)*($E$14-$D$14)),$F$14-SQRT((1-Z916)*($F$14-$D$14)*($F$14-$E$14)))</x:f>
        <x:v>1.009318036732579</x:v>
      </x:c>
      <x:c r="G916" s="258" t="n">
        <x:f>IF(AA916&lt;($E$15-$D$15)/($F$15-$D$15),$D$15+SQRT(AA916*($F$15-$D$15)*($E$15-$D$15)),$F$15-SQRT((1-AA916)*($F$15-$D$15)*($F$15-$E$15)))</x:f>
        <x:v>0.1031656037729366</x:v>
      </x:c>
      <x:c r="H916" s="258" t="n">
        <x:f>IF(AB916&lt;($E$16-$D$16)/($F$16-$D$16),$D$16+SQRT(AB916*($F$16-$D$16)*($E$16-$D$16)),$F$16-SQRT((1-AB916)*($F$16-$D$16)*($F$16-$E$16)))</x:f>
        <x:v>0.02811918738005032</x:v>
      </x:c>
      <x:c r="I916" s="262" t="n">
        <x:f>'Historical Inputs'!$N$9*(1+D916)^5</x:f>
        <x:v>726306.2364292373</x:v>
      </x:c>
      <x:c r="J916" s="262" t="n">
        <x:f>I916*(1+H916)*('Terminal Value'!$E$10+E916)*(1-'Assumptions'!$E$15)*(1-H916/'Terminal Value'!$E$12)</x:f>
        <x:v>213402.1812326136</x:v>
      </x:c>
      <x:c r="K916" s="264" t="n">
        <x:f>((SUM((('Historical Inputs'!$N$9*(1+(D916))^1)*(('Assumptions'!E37+(E916))*(1-'Assumptions'!E42-(0))+'Assumptions'!E47-'Assumptions'!E52*(F916)+'Assumptions'!E57-'Assumptions'!E62*(1)-'Assumptions'!E67-(0))+('Working Capital'!$E$6))*'DCF'!E12/(1+(G916))^'DCF'!E13,(('Historical Inputs'!$N$9*(1+(D916))^2)*(('Assumptions'!F37+(E916))*(1-'Assumptions'!F42-(0))+'Assumptions'!F47-'Assumptions'!F52*(F916)+'Assumptions'!F57-'Assumptions'!F62*(1)-'Assumptions'!F67-(0))+(('Historical Inputs'!$N$9*(1+(D916))^1)*('Assumptions'!E67+(0))))*'DCF'!F12/(1+(G916))^'DCF'!F13,(('Historical Inputs'!$N$9*(1+(D916))^3)*(('Assumptions'!G37+(E916))*(1-'Assumptions'!G42-(0))+'Assumptions'!G47-'Assumptions'!G52*(F916)+'Assumptions'!G57-'Assumptions'!G62*(1)-'Assumptions'!G67-(0))+(('Historical Inputs'!$N$9*(1+(D916))^2)*('Assumptions'!F67+(0))))*'DCF'!G12/(1+(G916))^'DCF'!G13,(('Historical Inputs'!$N$9*(1+(D916))^4)*(('Assumptions'!H37+(E916))*(1-'Assumptions'!H42-(0))+'Assumptions'!H47-'Assumptions'!H52*(F916)+'Assumptions'!H57-'Assumptions'!H62*(1)-'Assumptions'!H67-(0))+(('Historical Inputs'!$N$9*(1+(D916))^3)*('Assumptions'!G67+(0))))*'DCF'!H12/(1+(G916))^'DCF'!H13,(('Historical Inputs'!$N$9*(1+(D916))^5)*(('Assumptions'!I37+(E916))*(1-'Assumptions'!I42-(0))+'Assumptions'!I47-'Assumptions'!I52*(F916)+'Assumptions'!I57-'Assumptions'!I62*(1)-'Assumptions'!I67-(0))+(('Historical Inputs'!$N$9*(1+(D916))^4)*('Assumptions'!H67+(0))))*'DCF'!I12/(1+(G916))^'DCF'!I13)+('Historical Inputs'!$N$9*(1+(D916))^5)*(1+(H916))*('Terminal Value'!$E$10+(E916))*(1-'Assumptions'!$E$15-(0))*(1-(H916)/('Terminal Value'!$E$12))/((G916)-(H916))/(1+(G916))^'DCF'!$E$19)+'Equity Bridge'!$E$17)/'Equity Bridge'!$E$20</x:f>
        <x:v>302.546956035506</x:v>
      </x:c>
      <x:c r="X916" s="255" t="n">
        <x:v>0.8880973455278178</x:v>
      </x:c>
      <x:c r="Y916" s="255" t="n">
        <x:v>0.764284246822526</x:v>
      </x:c>
      <x:c r="Z916" s="255" t="n">
        <x:v>0.4805769840640267</x:v>
      </x:c>
      <x:c r="AA916" s="255" t="n">
        <x:v>0.7788978952425073</x:v>
      </x:c>
      <x:c r="AB916" s="255" t="n">
        <x:v>0.329606018561842</x:v>
      </x:c>
    </x:row>
    <x:row r="917" ht="24" customHeight="1">
      <x:c r="C917" s="256" t="n">
        <x:f>886</x:f>
        <x:v>886</x:v>
      </x:c>
      <x:c r="D917" s="258" t="n">
        <x:f>IF(X917&lt;($E$12-$D$12)/($F$12-$D$12),$D$12+SQRT(X917*($F$12-$D$12)*($E$12-$D$12)),$F$12-SQRT((1-X917)*($F$12-$D$12)*($F$12-$E$12)))</x:f>
        <x:v>0.14133513528935007</x:v>
      </x:c>
      <x:c r="E917" s="258" t="n">
        <x:f>IF(Y917&lt;($E$13-$D$13)/($F$13-$D$13),$D$13+SQRT(Y917*($F$13-$D$13)*($E$13-$D$13)),$F$13-SQRT((1-Y917)*($F$13-$D$13)*($F$13-$E$13)))</x:f>
        <x:v>-0.026649463819962842</x:v>
      </x:c>
      <x:c r="F917" s="260" t="n">
        <x:f>IF(Z917&lt;($E$14-$D$14)/($F$14-$D$14),$D$14+SQRT(Z917*($F$14-$D$14)*($E$14-$D$14)),$F$14-SQRT((1-Z917)*($F$14-$D$14)*($F$14-$E$14)))</x:f>
        <x:v>0.9115584077983089</x:v>
      </x:c>
      <x:c r="G917" s="258" t="n">
        <x:f>IF(AA917&lt;($E$15-$D$15)/($F$15-$D$15),$D$15+SQRT(AA917*($F$15-$D$15)*($E$15-$D$15)),$F$15-SQRT((1-AA917)*($F$15-$D$15)*($F$15-$E$15)))</x:f>
        <x:v>0.09757436186974605</x:v>
      </x:c>
      <x:c r="H917" s="258" t="n">
        <x:f>IF(AB917&lt;($E$16-$D$16)/($F$16-$D$16),$D$16+SQRT(AB917*($F$16-$D$16)*($E$16-$D$16)),$F$16-SQRT((1-AB917)*($F$16-$D$16)*($F$16-$E$16)))</x:f>
        <x:v>0.027272643119177677</x:v>
      </x:c>
      <x:c r="I917" s="262" t="n">
        <x:f>'Historical Inputs'!$N$9*(1+D917)^5</x:f>
        <x:v>642677.8923310036</x:v>
      </x:c>
      <x:c r="J917" s="262" t="n">
        <x:f>I917*(1+H917)*('Terminal Value'!$E$10+E917)*(1-'Assumptions'!$E$15)*(1-H917/'Terminal Value'!$E$12)</x:f>
        <x:v>170300.91508077277</x:v>
      </x:c>
      <x:c r="K917" s="264" t="n">
        <x:f>((SUM((('Historical Inputs'!$N$9*(1+(D917))^1)*(('Assumptions'!E37+(E917))*(1-'Assumptions'!E42-(0))+'Assumptions'!E47-'Assumptions'!E52*(F917)+'Assumptions'!E57-'Assumptions'!E62*(1)-'Assumptions'!E67-(0))+('Working Capital'!$E$6))*'DCF'!E12/(1+(G917))^'DCF'!E13,(('Historical Inputs'!$N$9*(1+(D917))^2)*(('Assumptions'!F37+(E917))*(1-'Assumptions'!F42-(0))+'Assumptions'!F47-'Assumptions'!F52*(F917)+'Assumptions'!F57-'Assumptions'!F62*(1)-'Assumptions'!F67-(0))+(('Historical Inputs'!$N$9*(1+(D917))^1)*('Assumptions'!E67+(0))))*'DCF'!F12/(1+(G917))^'DCF'!F13,(('Historical Inputs'!$N$9*(1+(D917))^3)*(('Assumptions'!G37+(E917))*(1-'Assumptions'!G42-(0))+'Assumptions'!G47-'Assumptions'!G52*(F917)+'Assumptions'!G57-'Assumptions'!G62*(1)-'Assumptions'!G67-(0))+(('Historical Inputs'!$N$9*(1+(D917))^2)*('Assumptions'!F67+(0))))*'DCF'!G12/(1+(G917))^'DCF'!G13,(('Historical Inputs'!$N$9*(1+(D917))^4)*(('Assumptions'!H37+(E917))*(1-'Assumptions'!H42-(0))+'Assumptions'!H47-'Assumptions'!H52*(F917)+'Assumptions'!H57-'Assumptions'!H62*(1)-'Assumptions'!H67-(0))+(('Historical Inputs'!$N$9*(1+(D917))^3)*('Assumptions'!G67+(0))))*'DCF'!H12/(1+(G917))^'DCF'!H13,(('Historical Inputs'!$N$9*(1+(D917))^5)*(('Assumptions'!I37+(E917))*(1-'Assumptions'!I42-(0))+'Assumptions'!I47-'Assumptions'!I52*(F917)+'Assumptions'!I57-'Assumptions'!I62*(1)-'Assumptions'!I67-(0))+(('Historical Inputs'!$N$9*(1+(D917))^4)*('Assumptions'!H67+(0))))*'DCF'!I12/(1+(G917))^'DCF'!I13)+('Historical Inputs'!$N$9*(1+(D917))^5)*(1+(H917))*('Terminal Value'!$E$10+(E917))*(1-'Assumptions'!$E$15-(0))*(1-(H917)/('Terminal Value'!$E$12))/((G917)-(H917))/(1+(G917))^'DCF'!$E$19)+'Equity Bridge'!$E$17)/'Equity Bridge'!$E$20</x:f>
        <x:v>265.01618372459296</x:v>
      </x:c>
      <x:c r="X917" s="255" t="n">
        <x:v>0.46230099883784936</x:v>
      </x:c>
      <x:c r="Y917" s="255" t="n">
        <x:v>0.10904950797904489</x:v>
      </x:c>
      <x:c r="Z917" s="255" t="n">
        <x:v>0.07217976325072195</x:v>
      </x:c>
      <x:c r="AA917" s="255" t="n">
        <x:v>0.4629780928056362</x:v>
      </x:c>
      <x:c r="AB917" s="255" t="n">
        <x:v>0.2644566896946121</x:v>
      </x:c>
    </x:row>
    <x:row r="918" ht="24" customHeight="1">
      <x:c r="C918" s="256" t="n">
        <x:f>887</x:f>
        <x:v>887</x:v>
      </x:c>
      <x:c r="D918" s="258" t="n">
        <x:f>IF(X918&lt;($E$12-$D$12)/($F$12-$D$12),$D$12+SQRT(X918*($F$12-$D$12)*($E$12-$D$12)),$F$12-SQRT((1-X918)*($F$12-$D$12)*($F$12-$E$12)))</x:f>
        <x:v>0.17223763578095092</x:v>
      </x:c>
      <x:c r="E918" s="258" t="n">
        <x:f>IF(Y918&lt;($E$13-$D$13)/($F$13-$D$13),$D$13+SQRT(Y918*($F$13-$D$13)*($E$13-$D$13)),$F$13-SQRT((1-Y918)*($F$13-$D$13)*($F$13-$E$13)))</x:f>
        <x:v>-0.01364117820259142</x:v>
      </x:c>
      <x:c r="F918" s="260" t="n">
        <x:f>IF(Z918&lt;($E$14-$D$14)/($F$14-$D$14),$D$14+SQRT(Z918*($F$14-$D$14)*($E$14-$D$14)),$F$14-SQRT((1-Z918)*($F$14-$D$14)*($F$14-$E$14)))</x:f>
        <x:v>0.961749637728902</x:v>
      </x:c>
      <x:c r="G918" s="258" t="n">
        <x:f>IF(AA918&lt;($E$15-$D$15)/($F$15-$D$15),$D$15+SQRT(AA918*($F$15-$D$15)*($E$15-$D$15)),$F$15-SQRT((1-AA918)*($F$15-$D$15)*($F$15-$E$15)))</x:f>
        <x:v>0.10408477672711612</x:v>
      </x:c>
      <x:c r="H918" s="258" t="n">
        <x:f>IF(AB918&lt;($E$16-$D$16)/($F$16-$D$16),$D$16+SQRT(AB918*($F$16-$D$16)*($E$16-$D$16)),$F$16-SQRT((1-AB918)*($F$16-$D$16)*($F$16-$E$16)))</x:f>
        <x:v>0.03163985433441087</x:v>
      </x:c>
      <x:c r="I918" s="262" t="n">
        <x:f>'Historical Inputs'!$N$9*(1+D918)^5</x:f>
        <x:v>734523.5583315832</x:v>
      </x:c>
      <x:c r="J918" s="262" t="n">
        <x:f>I918*(1+H918)*('Terminal Value'!$E$10+E918)*(1-'Assumptions'!$E$15)*(1-H918/'Terminal Value'!$E$12)</x:f>
        <x:v>197162.337365422</x:v>
      </x:c>
      <x:c r="K918" s="264" t="n">
        <x:f>((SUM((('Historical Inputs'!$N$9*(1+(D918))^1)*(('Assumptions'!E37+(E918))*(1-'Assumptions'!E42-(0))+'Assumptions'!E47-'Assumptions'!E52*(F918)+'Assumptions'!E57-'Assumptions'!E62*(1)-'Assumptions'!E67-(0))+('Working Capital'!$E$6))*'DCF'!E12/(1+(G918))^'DCF'!E13,(('Historical Inputs'!$N$9*(1+(D918))^2)*(('Assumptions'!F37+(E918))*(1-'Assumptions'!F42-(0))+'Assumptions'!F47-'Assumptions'!F52*(F918)+'Assumptions'!F57-'Assumptions'!F62*(1)-'Assumptions'!F67-(0))+(('Historical Inputs'!$N$9*(1+(D918))^1)*('Assumptions'!E67+(0))))*'DCF'!F12/(1+(G918))^'DCF'!F13,(('Historical Inputs'!$N$9*(1+(D918))^3)*(('Assumptions'!G37+(E918))*(1-'Assumptions'!G42-(0))+'Assumptions'!G47-'Assumptions'!G52*(F918)+'Assumptions'!G57-'Assumptions'!G62*(1)-'Assumptions'!G67-(0))+(('Historical Inputs'!$N$9*(1+(D918))^2)*('Assumptions'!F67+(0))))*'DCF'!G12/(1+(G918))^'DCF'!G13,(('Historical Inputs'!$N$9*(1+(D918))^4)*(('Assumptions'!H37+(E918))*(1-'Assumptions'!H42-(0))+'Assumptions'!H47-'Assumptions'!H52*(F918)+'Assumptions'!H57-'Assumptions'!H62*(1)-'Assumptions'!H67-(0))+(('Historical Inputs'!$N$9*(1+(D918))^3)*('Assumptions'!G67+(0))))*'DCF'!H12/(1+(G918))^'DCF'!H13,(('Historical Inputs'!$N$9*(1+(D918))^5)*(('Assumptions'!I37+(E918))*(1-'Assumptions'!I42-(0))+'Assumptions'!I47-'Assumptions'!I52*(F918)+'Assumptions'!I57-'Assumptions'!I62*(1)-'Assumptions'!I67-(0))+(('Historical Inputs'!$N$9*(1+(D918))^4)*('Assumptions'!H67+(0))))*'DCF'!I12/(1+(G918))^'DCF'!I13)+('Historical Inputs'!$N$9*(1+(D918))^5)*(1+(H918))*('Terminal Value'!$E$10+(E918))*(1-'Assumptions'!$E$15-(0))*(1-(H918)/('Terminal Value'!$E$12))/((G918)-(H918))/(1+(G918))^'DCF'!$E$19)+'Equity Bridge'!$E$17)/'Equity Bridge'!$E$20</x:f>
        <x:v>288.4957513368278</x:v>
      </x:c>
      <x:c r="X918" s="255" t="n">
        <x:v>0.9116370820573568</x:v>
      </x:c>
      <x:c r="Y918" s="255" t="n">
        <x:v>0.2643927844991427</x:v>
      </x:c>
      <x:c r="Z918" s="255" t="n">
        <x:v>0.2378663149055399</x:v>
      </x:c>
      <x:c r="AA918" s="255" t="n">
        <x:v>0.8177694295921208</x:v>
      </x:c>
      <x:c r="AB918" s="255" t="n">
        <x:v>0.6505398222506561</x:v>
      </x:c>
    </x:row>
    <x:row r="919" ht="24" customHeight="1">
      <x:c r="C919" s="256" t="n">
        <x:f>888</x:f>
        <x:v>888</x:v>
      </x:c>
      <x:c r="D919" s="258" t="n">
        <x:f>IF(X919&lt;($E$12-$D$12)/($F$12-$D$12),$D$12+SQRT(X919*($F$12-$D$12)*($E$12-$D$12)),$F$12-SQRT((1-X919)*($F$12-$D$12)*($F$12-$E$12)))</x:f>
        <x:v>0.16824955487818388</x:v>
      </x:c>
      <x:c r="E919" s="258" t="n">
        <x:f>IF(Y919&lt;($E$13-$D$13)/($F$13-$D$13),$D$13+SQRT(Y919*($F$13-$D$13)*($E$13-$D$13)),$F$13-SQRT((1-Y919)*($F$13-$D$13)*($F$13-$E$13)))</x:f>
        <x:v>-0.021865768008127156</x:v>
      </x:c>
      <x:c r="F919" s="260" t="n">
        <x:f>IF(Z919&lt;($E$14-$D$14)/($F$14-$D$14),$D$14+SQRT(Z919*($F$14-$D$14)*($E$14-$D$14)),$F$14-SQRT((1-Z919)*($F$14-$D$14)*($F$14-$E$14)))</x:f>
        <x:v>1.0544139476757368</x:v>
      </x:c>
      <x:c r="G919" s="258" t="n">
        <x:f>IF(AA919&lt;($E$15-$D$15)/($F$15-$D$15),$D$15+SQRT(AA919*($F$15-$D$15)*($E$15-$D$15)),$F$15-SQRT((1-AA919)*($F$15-$D$15)*($F$15-$E$15)))</x:f>
        <x:v>0.10067578307297485</x:v>
      </x:c>
      <x:c r="H919" s="258" t="n">
        <x:f>IF(AB919&lt;($E$16-$D$16)/($F$16-$D$16),$D$16+SQRT(AB919*($F$16-$D$16)*($E$16-$D$16)),$F$16-SQRT((1-AB919)*($F$16-$D$16)*($F$16-$E$16)))</x:f>
        <x:v>0.032181688898260674</x:v>
      </x:c>
      <x:c r="I919" s="262" t="n">
        <x:f>'Historical Inputs'!$N$9*(1+D919)^5</x:f>
        <x:v>722113.6377030059</x:v>
      </x:c>
      <x:c r="J919" s="262" t="n">
        <x:f>I919*(1+H919)*('Terminal Value'!$E$10+E919)*(1-'Assumptions'!$E$15)*(1-H919/'Terminal Value'!$E$12)</x:f>
        <x:v>189193.85658628505</x:v>
      </x:c>
      <x:c r="K919" s="264" t="n">
        <x:f>((SUM((('Historical Inputs'!$N$9*(1+(D919))^1)*(('Assumptions'!E37+(E919))*(1-'Assumptions'!E42-(0))+'Assumptions'!E47-'Assumptions'!E52*(F919)+'Assumptions'!E57-'Assumptions'!E62*(1)-'Assumptions'!E67-(0))+('Working Capital'!$E$6))*'DCF'!E12/(1+(G919))^'DCF'!E13,(('Historical Inputs'!$N$9*(1+(D919))^2)*(('Assumptions'!F37+(E919))*(1-'Assumptions'!F42-(0))+'Assumptions'!F47-'Assumptions'!F52*(F919)+'Assumptions'!F57-'Assumptions'!F62*(1)-'Assumptions'!F67-(0))+(('Historical Inputs'!$N$9*(1+(D919))^1)*('Assumptions'!E67+(0))))*'DCF'!F12/(1+(G919))^'DCF'!F13,(('Historical Inputs'!$N$9*(1+(D919))^3)*(('Assumptions'!G37+(E919))*(1-'Assumptions'!G42-(0))+'Assumptions'!G47-'Assumptions'!G52*(F919)+'Assumptions'!G57-'Assumptions'!G62*(1)-'Assumptions'!G67-(0))+(('Historical Inputs'!$N$9*(1+(D919))^2)*('Assumptions'!F67+(0))))*'DCF'!G12/(1+(G919))^'DCF'!G13,(('Historical Inputs'!$N$9*(1+(D919))^4)*(('Assumptions'!H37+(E919))*(1-'Assumptions'!H42-(0))+'Assumptions'!H47-'Assumptions'!H52*(F919)+'Assumptions'!H57-'Assumptions'!H62*(1)-'Assumptions'!H67-(0))+(('Historical Inputs'!$N$9*(1+(D919))^3)*('Assumptions'!G67+(0))))*'DCF'!H12/(1+(G919))^'DCF'!H13,(('Historical Inputs'!$N$9*(1+(D919))^5)*(('Assumptions'!I37+(E919))*(1-'Assumptions'!I42-(0))+'Assumptions'!I47-'Assumptions'!I52*(F919)+'Assumptions'!I57-'Assumptions'!I62*(1)-'Assumptions'!I67-(0))+(('Historical Inputs'!$N$9*(1+(D919))^4)*('Assumptions'!H67+(0))))*'DCF'!I12/(1+(G919))^'DCF'!I13)+('Historical Inputs'!$N$9*(1+(D919))^5)*(1+(H919))*('Terminal Value'!$E$10+(E919))*(1-'Assumptions'!$E$15-(0))*(1-(H919)/('Terminal Value'!$E$12))/((G919)-(H919))/(1+(G919))^'DCF'!$E$19)+'Equity Bridge'!$E$17)/'Equity Bridge'!$E$20</x:f>
        <x:v>287.0692146639256</x:v>
      </x:c>
      <x:c r="X919" s="255" t="n">
        <x:v>0.874925319370203</x:v>
      </x:c>
      <x:c r="Y919" s="255" t="n">
        <x:v>0.1583070019545043</x:v>
      </x:c>
      <x:c r="Z919" s="255" t="n">
        <x:v>0.6972100195519562</x:v>
      </x:c>
      <x:c r="AA919" s="255" t="n">
        <x:v>0.6547424231394698</x:v>
      </x:c>
      <x:c r="AB919" s="255" t="n">
        <x:v>0.6943700575820981</x:v>
      </x:c>
    </x:row>
    <x:row r="920" ht="24" customHeight="1">
      <x:c r="C920" s="256" t="n">
        <x:f>889</x:f>
        <x:v>889</x:v>
      </x:c>
      <x:c r="D920" s="258" t="n">
        <x:f>IF(X920&lt;($E$12-$D$12)/($F$12-$D$12),$D$12+SQRT(X920*($F$12-$D$12)*($E$12-$D$12)),$F$12-SQRT((1-X920)*($F$12-$D$12)*($F$12-$E$12)))</x:f>
        <x:v>0.11402860790100083</x:v>
      </x:c>
      <x:c r="E920" s="258" t="n">
        <x:f>IF(Y920&lt;($E$13-$D$13)/($F$13-$D$13),$D$13+SQRT(Y920*($F$13-$D$13)*($E$13-$D$13)),$F$13-SQRT((1-Y920)*($F$13-$D$13)*($F$13-$E$13)))</x:f>
        <x:v>0.014257508870898439</x:v>
      </x:c>
      <x:c r="F920" s="260" t="n">
        <x:f>IF(Z920&lt;($E$14-$D$14)/($F$14-$D$14),$D$14+SQRT(Z920*($F$14-$D$14)*($E$14-$D$14)),$F$14-SQRT((1-Z920)*($F$14-$D$14)*($F$14-$E$14)))</x:f>
        <x:v>1.1187081961186398</x:v>
      </x:c>
      <x:c r="G920" s="258" t="n">
        <x:f>IF(AA920&lt;($E$15-$D$15)/($F$15-$D$15),$D$15+SQRT(AA920*($F$15-$D$15)*($E$15-$D$15)),$F$15-SQRT((1-AA920)*($F$15-$D$15)*($F$15-$E$15)))</x:f>
        <x:v>0.09879384228956678</x:v>
      </x:c>
      <x:c r="H920" s="258" t="n">
        <x:f>IF(AB920&lt;($E$16-$D$16)/($F$16-$D$16),$D$16+SQRT(AB920*($F$16-$D$16)*($E$16-$D$16)),$F$16-SQRT((1-AB920)*($F$16-$D$16)*($F$16-$E$16)))</x:f>
        <x:v>0.028540389245992726</x:v>
      </x:c>
      <x:c r="I920" s="262" t="n">
        <x:f>'Historical Inputs'!$N$9*(1+D920)^5</x:f>
        <x:v>569389.0928369588</x:v>
      </x:c>
      <x:c r="J920" s="262" t="n">
        <x:f>I920*(1+H920)*('Terminal Value'!$E$10+E920)*(1-'Assumptions'!$E$15)*(1-H920/'Terminal Value'!$E$12)</x:f>
        <x:v>166388.27069592048</x:v>
      </x:c>
      <x:c r="K920" s="264" t="n">
        <x:f>((SUM((('Historical Inputs'!$N$9*(1+(D920))^1)*(('Assumptions'!E37+(E920))*(1-'Assumptions'!E42-(0))+'Assumptions'!E47-'Assumptions'!E52*(F920)+'Assumptions'!E57-'Assumptions'!E62*(1)-'Assumptions'!E67-(0))+('Working Capital'!$E$6))*'DCF'!E12/(1+(G920))^'DCF'!E13,(('Historical Inputs'!$N$9*(1+(D920))^2)*(('Assumptions'!F37+(E920))*(1-'Assumptions'!F42-(0))+'Assumptions'!F47-'Assumptions'!F52*(F920)+'Assumptions'!F57-'Assumptions'!F62*(1)-'Assumptions'!F67-(0))+(('Historical Inputs'!$N$9*(1+(D920))^1)*('Assumptions'!E67+(0))))*'DCF'!F12/(1+(G920))^'DCF'!F13,(('Historical Inputs'!$N$9*(1+(D920))^3)*(('Assumptions'!G37+(E920))*(1-'Assumptions'!G42-(0))+'Assumptions'!G47-'Assumptions'!G52*(F920)+'Assumptions'!G57-'Assumptions'!G62*(1)-'Assumptions'!G67-(0))+(('Historical Inputs'!$N$9*(1+(D920))^2)*('Assumptions'!F67+(0))))*'DCF'!G12/(1+(G920))^'DCF'!G13,(('Historical Inputs'!$N$9*(1+(D920))^4)*(('Assumptions'!H37+(E920))*(1-'Assumptions'!H42-(0))+'Assumptions'!H47-'Assumptions'!H52*(F920)+'Assumptions'!H57-'Assumptions'!H62*(1)-'Assumptions'!H67-(0))+(('Historical Inputs'!$N$9*(1+(D920))^3)*('Assumptions'!G67+(0))))*'DCF'!H12/(1+(G920))^'DCF'!H13,(('Historical Inputs'!$N$9*(1+(D920))^5)*(('Assumptions'!I37+(E920))*(1-'Assumptions'!I42-(0))+'Assumptions'!I47-'Assumptions'!I52*(F920)+'Assumptions'!I57-'Assumptions'!I62*(1)-'Assumptions'!I67-(0))+(('Historical Inputs'!$N$9*(1+(D920))^4)*('Assumptions'!H67+(0))))*'DCF'!I12/(1+(G920))^'DCF'!I13)+('Historical Inputs'!$N$9*(1+(D920))^5)*(1+(H920))*('Terminal Value'!$E$10+(E920))*(1-'Assumptions'!$E$15-(0))*(1-(H920)/('Terminal Value'!$E$12))/((G920)-(H920))/(1+(G920))^'DCF'!$E$19)+'Equity Bridge'!$E$17)/'Equity Bridge'!$E$20</x:f>
        <x:v>249.9988769255799</x:v>
      </x:c>
      <x:c r="X920" s="255" t="n">
        <x:v>0.08629175761375707</x:v>
      </x:c>
      <x:c r="Y920" s="255" t="n">
        <x:v>0.7444948655772192</x:v>
      </x:c>
      <x:c r="Z920" s="255" t="n">
        <x:v>0.905594894595921</x:v>
      </x:c>
      <x:c r="AA920" s="255" t="n">
        <x:v>0.542615917769761</x:v>
      </x:c>
      <x:c r="AB920" s="255" t="n">
        <x:v>0.3646912423653409</x:v>
      </x:c>
    </x:row>
    <x:row r="921" ht="24" customHeight="1">
      <x:c r="C921" s="256" t="n">
        <x:f>890</x:f>
        <x:v>890</x:v>
      </x:c>
      <x:c r="D921" s="258" t="n">
        <x:f>IF(X921&lt;($E$12-$D$12)/($F$12-$D$12),$D$12+SQRT(X921*($F$12-$D$12)*($E$12-$D$12)),$F$12-SQRT((1-X921)*($F$12-$D$12)*($F$12-$E$12)))</x:f>
        <x:v>0.17096122253630552</x:v>
      </x:c>
      <x:c r="E921" s="258" t="n">
        <x:f>IF(Y921&lt;($E$13-$D$13)/($F$13-$D$13),$D$13+SQRT(Y921*($F$13-$D$13)*($E$13-$D$13)),$F$13-SQRT((1-Y921)*($F$13-$D$13)*($F$13-$E$13)))</x:f>
        <x:v>0.01058377378517713</x:v>
      </x:c>
      <x:c r="F921" s="260" t="n">
        <x:f>IF(Z921&lt;($E$14-$D$14)/($F$14-$D$14),$D$14+SQRT(Z921*($F$14-$D$14)*($E$14-$D$14)),$F$14-SQRT((1-Z921)*($F$14-$D$14)*($F$14-$E$14)))</x:f>
        <x:v>0.9488055118048052</x:v>
      </x:c>
      <x:c r="G921" s="258" t="n">
        <x:f>IF(AA921&lt;($E$15-$D$15)/($F$15-$D$15),$D$15+SQRT(AA921*($F$15-$D$15)*($E$15-$D$15)),$F$15-SQRT((1-AA921)*($F$15-$D$15)*($F$15-$E$15)))</x:f>
        <x:v>0.10559988070922453</x:v>
      </x:c>
      <x:c r="H921" s="258" t="n">
        <x:f>IF(AB921&lt;($E$16-$D$16)/($F$16-$D$16),$D$16+SQRT(AB921*($F$16-$D$16)*($E$16-$D$16)),$F$16-SQRT((1-AB921)*($F$16-$D$16)*($F$16-$E$16)))</x:f>
        <x:v>0.026493112535953517</x:v>
      </x:c>
      <x:c r="I921" s="262" t="n">
        <x:f>'Historical Inputs'!$N$9*(1+D921)^5</x:f>
        <x:v>730533.2578954668</x:v>
      </x:c>
      <x:c r="J921" s="262" t="n">
        <x:f>I921*(1+H921)*('Terminal Value'!$E$10+E921)*(1-'Assumptions'!$E$15)*(1-H921/'Terminal Value'!$E$12)</x:f>
        <x:v>213685.23975045898</x:v>
      </x:c>
      <x:c r="K921" s="264" t="n">
        <x:f>((SUM((('Historical Inputs'!$N$9*(1+(D921))^1)*(('Assumptions'!E37+(E921))*(1-'Assumptions'!E42-(0))+'Assumptions'!E47-'Assumptions'!E52*(F921)+'Assumptions'!E57-'Assumptions'!E62*(1)-'Assumptions'!E67-(0))+('Working Capital'!$E$6))*'DCF'!E12/(1+(G921))^'DCF'!E13,(('Historical Inputs'!$N$9*(1+(D921))^2)*(('Assumptions'!F37+(E921))*(1-'Assumptions'!F42-(0))+'Assumptions'!F47-'Assumptions'!F52*(F921)+'Assumptions'!F57-'Assumptions'!F62*(1)-'Assumptions'!F67-(0))+(('Historical Inputs'!$N$9*(1+(D921))^1)*('Assumptions'!E67+(0))))*'DCF'!F12/(1+(G921))^'DCF'!F13,(('Historical Inputs'!$N$9*(1+(D921))^3)*(('Assumptions'!G37+(E921))*(1-'Assumptions'!G42-(0))+'Assumptions'!G47-'Assumptions'!G52*(F921)+'Assumptions'!G57-'Assumptions'!G62*(1)-'Assumptions'!G67-(0))+(('Historical Inputs'!$N$9*(1+(D921))^2)*('Assumptions'!F67+(0))))*'DCF'!G12/(1+(G921))^'DCF'!G13,(('Historical Inputs'!$N$9*(1+(D921))^4)*(('Assumptions'!H37+(E921))*(1-'Assumptions'!H42-(0))+'Assumptions'!H47-'Assumptions'!H52*(F921)+'Assumptions'!H57-'Assumptions'!H62*(1)-'Assumptions'!H67-(0))+(('Historical Inputs'!$N$9*(1+(D921))^3)*('Assumptions'!G67+(0))))*'DCF'!H12/(1+(G921))^'DCF'!H13,(('Historical Inputs'!$N$9*(1+(D921))^5)*(('Assumptions'!I37+(E921))*(1-'Assumptions'!I42-(0))+'Assumptions'!I47-'Assumptions'!I52*(F921)+'Assumptions'!I57-'Assumptions'!I62*(1)-'Assumptions'!I67-(0))+(('Historical Inputs'!$N$9*(1+(D921))^4)*('Assumptions'!H67+(0))))*'DCF'!I12/(1+(G921))^'DCF'!I13)+('Historical Inputs'!$N$9*(1+(D921))^5)*(1+(H921))*('Terminal Value'!$E$10+(E921))*(1-'Assumptions'!$E$15-(0))*(1-(H921)/('Terminal Value'!$E$12))/((G921)-(H921))/(1+(G921))^'DCF'!$E$19)+'Equity Bridge'!$E$17)/'Equity Bridge'!$E$20</x:f>
        <x:v>290.9966053657082</x:v>
      </x:c>
      <x:c r="X921" s="255" t="n">
        <x:v>0.9005794668062204</x:v>
      </x:c>
      <x:c r="Y921" s="255" t="n">
        <x:v>0.6892722221963821</x:v>
      </x:c>
      <x:c r="Z921" s="255" t="n">
        <x:v>0.18595293643827637</x:v>
      </x:c>
      <x:c r="AA921" s="255" t="n">
        <x:v>0.8736467376615932</x:v>
      </x:c>
      <x:c r="AB921" s="255" t="n">
        <x:v>0.21080255202278364</x:v>
      </x:c>
    </x:row>
    <x:row r="922" ht="24" customHeight="1">
      <x:c r="C922" s="256" t="n">
        <x:f>891</x:f>
        <x:v>891</x:v>
      </x:c>
      <x:c r="D922" s="258" t="n">
        <x:f>IF(X922&lt;($E$12-$D$12)/($F$12-$D$12),$D$12+SQRT(X922*($F$12-$D$12)*($E$12-$D$12)),$F$12-SQRT((1-X922)*($F$12-$D$12)*($F$12-$E$12)))</x:f>
        <x:v>0.13518675487676238</x:v>
      </x:c>
      <x:c r="E922" s="258" t="n">
        <x:f>IF(Y922&lt;($E$13-$D$13)/($F$13-$D$13),$D$13+SQRT(Y922*($F$13-$D$13)*($E$13-$D$13)),$F$13-SQRT((1-Y922)*($F$13-$D$13)*($F$13-$E$13)))</x:f>
        <x:v>-0.005497422246555306</x:v>
      </x:c>
      <x:c r="F922" s="260" t="n">
        <x:f>IF(Z922&lt;($E$14-$D$14)/($F$14-$D$14),$D$14+SQRT(Z922*($F$14-$D$14)*($E$14-$D$14)),$F$14-SQRT((1-Z922)*($F$14-$D$14)*($F$14-$E$14)))</x:f>
        <x:v>1.020602767205818</x:v>
      </x:c>
      <x:c r="G922" s="258" t="n">
        <x:f>IF(AA922&lt;($E$15-$D$15)/($F$15-$D$15),$D$15+SQRT(AA922*($F$15-$D$15)*($E$15-$D$15)),$F$15-SQRT((1-AA922)*($F$15-$D$15)*($F$15-$E$15)))</x:f>
        <x:v>0.1064881013374062</x:v>
      </x:c>
      <x:c r="H922" s="258" t="n">
        <x:f>IF(AB922&lt;($E$16-$D$16)/($F$16-$D$16),$D$16+SQRT(AB922*($F$16-$D$16)*($E$16-$D$16)),$F$16-SQRT((1-AB922)*($F$16-$D$16)*($F$16-$E$16)))</x:f>
        <x:v>0.021057472028226994</x:v>
      </x:c>
      <x:c r="I922" s="262" t="n">
        <x:f>'Historical Inputs'!$N$9*(1+D922)^5</x:f>
        <x:v>625552.8427998102</x:v>
      </x:c>
      <x:c r="J922" s="262" t="n">
        <x:f>I922*(1+H922)*('Terminal Value'!$E$10+E922)*(1-'Assumptions'!$E$15)*(1-H922/'Terminal Value'!$E$12)</x:f>
        <x:v>180358.90708853182</x:v>
      </x:c>
      <x:c r="K922" s="264" t="n">
        <x:f>((SUM((('Historical Inputs'!$N$9*(1+(D922))^1)*(('Assumptions'!E37+(E922))*(1-'Assumptions'!E42-(0))+'Assumptions'!E47-'Assumptions'!E52*(F922)+'Assumptions'!E57-'Assumptions'!E62*(1)-'Assumptions'!E67-(0))+('Working Capital'!$E$6))*'DCF'!E12/(1+(G922))^'DCF'!E13,(('Historical Inputs'!$N$9*(1+(D922))^2)*(('Assumptions'!F37+(E922))*(1-'Assumptions'!F42-(0))+'Assumptions'!F47-'Assumptions'!F52*(F922)+'Assumptions'!F57-'Assumptions'!F62*(1)-'Assumptions'!F67-(0))+(('Historical Inputs'!$N$9*(1+(D922))^1)*('Assumptions'!E67+(0))))*'DCF'!F12/(1+(G922))^'DCF'!F13,(('Historical Inputs'!$N$9*(1+(D922))^3)*(('Assumptions'!G37+(E922))*(1-'Assumptions'!G42-(0))+'Assumptions'!G47-'Assumptions'!G52*(F922)+'Assumptions'!G57-'Assumptions'!G62*(1)-'Assumptions'!G67-(0))+(('Historical Inputs'!$N$9*(1+(D922))^2)*('Assumptions'!F67+(0))))*'DCF'!G12/(1+(G922))^'DCF'!G13,(('Historical Inputs'!$N$9*(1+(D922))^4)*(('Assumptions'!H37+(E922))*(1-'Assumptions'!H42-(0))+'Assumptions'!H47-'Assumptions'!H52*(F922)+'Assumptions'!H57-'Assumptions'!H62*(1)-'Assumptions'!H67-(0))+(('Historical Inputs'!$N$9*(1+(D922))^3)*('Assumptions'!G67+(0))))*'DCF'!H12/(1+(G922))^'DCF'!H13,(('Historical Inputs'!$N$9*(1+(D922))^5)*(('Assumptions'!I37+(E922))*(1-'Assumptions'!I42-(0))+'Assumptions'!I47-'Assumptions'!I52*(F922)+'Assumptions'!I57-'Assumptions'!I62*(1)-'Assumptions'!I67-(0))+(('Historical Inputs'!$N$9*(1+(D922))^4)*('Assumptions'!H67+(0))))*'DCF'!I12/(1+(G922))^'DCF'!I13)+('Historical Inputs'!$N$9*(1+(D922))^5)*(1+(H922))*('Terminal Value'!$E$10+(E922))*(1-'Assumptions'!$E$15-(0))*(1-(H922)/('Terminal Value'!$E$12))/((G922)-(H922))/(1+(G922))^'DCF'!$E$19)+'Equity Bridge'!$E$17)/'Equity Bridge'!$E$20</x:f>
        <x:v>226.43529479937692</x:v>
      </x:c>
      <x:c r="X922" s="255" t="n">
        <x:v>0.3516205027406769</x:v>
      </x:c>
      <x:c r="Y922" s="255" t="n">
        <x:v>0.3960958853402782</x:v>
      </x:c>
      <x:c r="Z922" s="255" t="n">
        <x:v>0.5402376123684296</x:v>
      </x:c>
      <x:c r="AA922" s="255" t="n">
        <x:v>0.9016607357183084</x:v>
      </x:c>
      <x:c r="AB922" s="255" t="n">
        <x:v>0.00559123545241258</x:v>
      </x:c>
    </x:row>
    <x:row r="923" ht="24" customHeight="1">
      <x:c r="C923" s="256" t="n">
        <x:f>892</x:f>
        <x:v>892</x:v>
      </x:c>
      <x:c r="D923" s="258" t="n">
        <x:f>IF(X923&lt;($E$12-$D$12)/($F$12-$D$12),$D$12+SQRT(X923*($F$12-$D$12)*($E$12-$D$12)),$F$12-SQRT((1-X923)*($F$12-$D$12)*($F$12-$E$12)))</x:f>
        <x:v>0.13133670317484888</x:v>
      </x:c>
      <x:c r="E923" s="258" t="n">
        <x:f>IF(Y923&lt;($E$13-$D$13)/($F$13-$D$13),$D$13+SQRT(Y923*($F$13-$D$13)*($E$13-$D$13)),$F$13-SQRT((1-Y923)*($F$13-$D$13)*($F$13-$E$13)))</x:f>
        <x:v>-0.018106292317017672</x:v>
      </x:c>
      <x:c r="F923" s="260" t="n">
        <x:f>IF(Z923&lt;($E$14-$D$14)/($F$14-$D$14),$D$14+SQRT(Z923*($F$14-$D$14)*($E$14-$D$14)),$F$14-SQRT((1-Z923)*($F$14-$D$14)*($F$14-$E$14)))</x:f>
        <x:v>1.0032857289725396</x:v>
      </x:c>
      <x:c r="G923" s="258" t="n">
        <x:f>IF(AA923&lt;($E$15-$D$15)/($F$15-$D$15),$D$15+SQRT(AA923*($F$15-$D$15)*($E$15-$D$15)),$F$15-SQRT((1-AA923)*($F$15-$D$15)*($F$15-$E$15)))</x:f>
        <x:v>0.09382017334921872</x:v>
      </x:c>
      <x:c r="H923" s="258" t="n">
        <x:f>IF(AB923&lt;($E$16-$D$16)/($F$16-$D$16),$D$16+SQRT(AB923*($F$16-$D$16)*($E$16-$D$16)),$F$16-SQRT((1-AB923)*($F$16-$D$16)*($F$16-$E$16)))</x:f>
        <x:v>0.029177835049993363</x:v>
      </x:c>
      <x:c r="I923" s="262" t="n">
        <x:f>'Historical Inputs'!$N$9*(1+D923)^5</x:f>
        <x:v>615016.5607320857</x:v>
      </x:c>
      <x:c r="J923" s="262" t="n">
        <x:f>I923*(1+H923)*('Terminal Value'!$E$10+E923)*(1-'Assumptions'!$E$15)*(1-H923/'Terminal Value'!$E$12)</x:f>
        <x:v>165167.25477142405</x:v>
      </x:c>
      <x:c r="K923" s="264" t="n">
        <x:f>((SUM((('Historical Inputs'!$N$9*(1+(D923))^1)*(('Assumptions'!E37+(E923))*(1-'Assumptions'!E42-(0))+'Assumptions'!E47-'Assumptions'!E52*(F923)+'Assumptions'!E57-'Assumptions'!E62*(1)-'Assumptions'!E67-(0))+('Working Capital'!$E$6))*'DCF'!E12/(1+(G923))^'DCF'!E13,(('Historical Inputs'!$N$9*(1+(D923))^2)*(('Assumptions'!F37+(E923))*(1-'Assumptions'!F42-(0))+'Assumptions'!F47-'Assumptions'!F52*(F923)+'Assumptions'!F57-'Assumptions'!F62*(1)-'Assumptions'!F67-(0))+(('Historical Inputs'!$N$9*(1+(D923))^1)*('Assumptions'!E67+(0))))*'DCF'!F12/(1+(G923))^'DCF'!F13,(('Historical Inputs'!$N$9*(1+(D923))^3)*(('Assumptions'!G37+(E923))*(1-'Assumptions'!G42-(0))+'Assumptions'!G47-'Assumptions'!G52*(F923)+'Assumptions'!G57-'Assumptions'!G62*(1)-'Assumptions'!G67-(0))+(('Historical Inputs'!$N$9*(1+(D923))^2)*('Assumptions'!F67+(0))))*'DCF'!G12/(1+(G923))^'DCF'!G13,(('Historical Inputs'!$N$9*(1+(D923))^4)*(('Assumptions'!H37+(E923))*(1-'Assumptions'!H42-(0))+'Assumptions'!H47-'Assumptions'!H52*(F923)+'Assumptions'!H57-'Assumptions'!H62*(1)-'Assumptions'!H67-(0))+(('Historical Inputs'!$N$9*(1+(D923))^3)*('Assumptions'!G67+(0))))*'DCF'!H12/(1+(G923))^'DCF'!H13,(('Historical Inputs'!$N$9*(1+(D923))^5)*(('Assumptions'!I37+(E923))*(1-'Assumptions'!I42-(0))+'Assumptions'!I47-'Assumptions'!I52*(F923)+'Assumptions'!I57-'Assumptions'!I62*(1)-'Assumptions'!I67-(0))+(('Historical Inputs'!$N$9*(1+(D923))^4)*('Assumptions'!H67+(0))))*'DCF'!I12/(1+(G923))^'DCF'!I13)+('Historical Inputs'!$N$9*(1+(D923))^5)*(1+(H923))*('Terminal Value'!$E$10+(E923))*(1-'Assumptions'!$E$15-(0))*(1-(H923)/('Terminal Value'!$E$12))/((G923)-(H923))/(1+(G923))^'DCF'!$E$19)+'Equity Bridge'!$E$17)/'Equity Bridge'!$E$20</x:f>
        <x:v>274.88626230754966</x:v>
      </x:c>
      <x:c r="X923" s="255" t="n">
        <x:v>0.29001242632509994</x:v>
      </x:c>
      <x:c r="Y923" s="255" t="n">
        <x:v>0.20344171795350519</x:v>
      </x:c>
      <x:c r="Z923" s="255" t="n">
        <x:v>0.44719279391621225</x:v>
      </x:c>
      <x:c r="AA923" s="255" t="n">
        <x:v>0.25346269938085086</x:v>
      </x:c>
      <x:c r="AB923" s="255" t="n">
        <x:v>0.4211632810244337</x:v>
      </x:c>
    </x:row>
    <x:row r="924" ht="24" customHeight="1">
      <x:c r="C924" s="256" t="n">
        <x:f>893</x:f>
        <x:v>893</x:v>
      </x:c>
      <x:c r="D924" s="258" t="n">
        <x:f>IF(X924&lt;($E$12-$D$12)/($F$12-$D$12),$D$12+SQRT(X924*($F$12-$D$12)*($E$12-$D$12)),$F$12-SQRT((1-X924)*($F$12-$D$12)*($F$12-$E$12)))</x:f>
        <x:v>0.11017276511018968</x:v>
      </x:c>
      <x:c r="E924" s="258" t="n">
        <x:f>IF(Y924&lt;($E$13-$D$13)/($F$13-$D$13),$D$13+SQRT(Y924*($F$13-$D$13)*($E$13-$D$13)),$F$13-SQRT((1-Y924)*($F$13-$D$13)*($F$13-$E$13)))</x:f>
        <x:v>-0.0011511080477774813</x:v>
      </x:c>
      <x:c r="F924" s="260" t="n">
        <x:f>IF(Z924&lt;($E$14-$D$14)/($F$14-$D$14),$D$14+SQRT(Z924*($F$14-$D$14)*($E$14-$D$14)),$F$14-SQRT((1-Z924)*($F$14-$D$14)*($F$14-$E$14)))</x:f>
        <x:v>0.9788495493857228</x:v>
      </x:c>
      <x:c r="G924" s="258" t="n">
        <x:f>IF(AA924&lt;($E$15-$D$15)/($F$15-$D$15),$D$15+SQRT(AA924*($F$15-$D$15)*($E$15-$D$15)),$F$15-SQRT((1-AA924)*($F$15-$D$15)*($F$15-$E$15)))</x:f>
        <x:v>0.0947636662266439</x:v>
      </x:c>
      <x:c r="H924" s="258" t="n">
        <x:f>IF(AB924&lt;($E$16-$D$16)/($F$16-$D$16),$D$16+SQRT(AB924*($F$16-$D$16)*($E$16-$D$16)),$F$16-SQRT((1-AB924)*($F$16-$D$16)*($F$16-$E$16)))</x:f>
        <x:v>0.03150004223921782</x:v>
      </x:c>
      <x:c r="I924" s="262" t="n">
        <x:f>'Historical Inputs'!$N$9*(1+D924)^5</x:f>
        <x:v>559603.3050222199</x:v>
      </x:c>
      <x:c r="J924" s="262" t="n">
        <x:f>I924*(1+H924)*('Terminal Value'!$E$10+E924)*(1-'Assumptions'!$E$15)*(1-H924/'Terminal Value'!$E$12)</x:f>
        <x:v>155173.5509071357</x:v>
      </x:c>
      <x:c r="K924" s="264" t="n">
        <x:f>((SUM((('Historical Inputs'!$N$9*(1+(D924))^1)*(('Assumptions'!E37+(E924))*(1-'Assumptions'!E42-(0))+'Assumptions'!E47-'Assumptions'!E52*(F924)+'Assumptions'!E57-'Assumptions'!E62*(1)-'Assumptions'!E67-(0))+('Working Capital'!$E$6))*'DCF'!E12/(1+(G924))^'DCF'!E13,(('Historical Inputs'!$N$9*(1+(D924))^2)*(('Assumptions'!F37+(E924))*(1-'Assumptions'!F42-(0))+'Assumptions'!F47-'Assumptions'!F52*(F924)+'Assumptions'!F57-'Assumptions'!F62*(1)-'Assumptions'!F67-(0))+(('Historical Inputs'!$N$9*(1+(D924))^1)*('Assumptions'!E67+(0))))*'DCF'!F12/(1+(G924))^'DCF'!F13,(('Historical Inputs'!$N$9*(1+(D924))^3)*(('Assumptions'!G37+(E924))*(1-'Assumptions'!G42-(0))+'Assumptions'!G47-'Assumptions'!G52*(F924)+'Assumptions'!G57-'Assumptions'!G62*(1)-'Assumptions'!G67-(0))+(('Historical Inputs'!$N$9*(1+(D924))^2)*('Assumptions'!F67+(0))))*'DCF'!G12/(1+(G924))^'DCF'!G13,(('Historical Inputs'!$N$9*(1+(D924))^4)*(('Assumptions'!H37+(E924))*(1-'Assumptions'!H42-(0))+'Assumptions'!H47-'Assumptions'!H52*(F924)+'Assumptions'!H57-'Assumptions'!H62*(1)-'Assumptions'!H67-(0))+(('Historical Inputs'!$N$9*(1+(D924))^3)*('Assumptions'!G67+(0))))*'DCF'!H12/(1+(G924))^'DCF'!H13,(('Historical Inputs'!$N$9*(1+(D924))^5)*(('Assumptions'!I37+(E924))*(1-'Assumptions'!I42-(0))+'Assumptions'!I47-'Assumptions'!I52*(F924)+'Assumptions'!I57-'Assumptions'!I62*(1)-'Assumptions'!I67-(0))+(('Historical Inputs'!$N$9*(1+(D924))^4)*('Assumptions'!H67+(0))))*'DCF'!I12/(1+(G924))^'DCF'!I13)+('Historical Inputs'!$N$9*(1+(D924))^5)*(1+(H924))*('Terminal Value'!$E$10+(E924))*(1-'Assumptions'!$E$15-(0))*(1-(H924)/('Terminal Value'!$E$12))/((G924)-(H924))/(1+(G924))^'DCF'!$E$19)+'Equity Bridge'!$E$17)/'Equity Bridge'!$E$20</x:f>
        <x:v>266.16422120951586</x:v>
      </x:c>
      <x:c r="X924" s="255" t="n">
        <x:v>0.05722847417093346</x:v>
      </x:c>
      <x:c r="Y924" s="255" t="n">
        <x:v>0.477242848991982</x:v>
      </x:c>
      <x:c r="Z924" s="255" t="n">
        <x:v>0.31623250241721523</x:v>
      </x:c>
      <x:c r="AA924" s="255" t="n">
        <x:v>0.30022451478563783</x:v>
      </x:c>
      <x:c r="AB924" s="255" t="n">
        <x:v>0.6387535903245938</x:v>
      </x:c>
    </x:row>
    <x:row r="925" ht="24" customHeight="1">
      <x:c r="C925" s="256" t="n">
        <x:f>894</x:f>
        <x:v>894</x:v>
      </x:c>
      <x:c r="D925" s="258" t="n">
        <x:f>IF(X925&lt;($E$12-$D$12)/($F$12-$D$12),$D$12+SQRT(X925*($F$12-$D$12)*($E$12-$D$12)),$F$12-SQRT((1-X925)*($F$12-$D$12)*($F$12-$E$12)))</x:f>
        <x:v>0.14408625468247283</x:v>
      </x:c>
      <x:c r="E925" s="258" t="n">
        <x:f>IF(Y925&lt;($E$13-$D$13)/($F$13-$D$13),$D$13+SQRT(Y925*($F$13-$D$13)*($E$13-$D$13)),$F$13-SQRT((1-Y925)*($F$13-$D$13)*($F$13-$E$13)))</x:f>
        <x:v>0.0007452653451837238</x:v>
      </x:c>
      <x:c r="F925" s="260" t="n">
        <x:f>IF(Z925&lt;($E$14-$D$14)/($F$14-$D$14),$D$14+SQRT(Z925*($F$14-$D$14)*($E$14-$D$14)),$F$14-SQRT((1-Z925)*($F$14-$D$14)*($F$14-$E$14)))</x:f>
        <x:v>1.000704661589877</x:v>
      </x:c>
      <x:c r="G925" s="258" t="n">
        <x:f>IF(AA925&lt;($E$15-$D$15)/($F$15-$D$15),$D$15+SQRT(AA925*($F$15-$D$15)*($E$15-$D$15)),$F$15-SQRT((1-AA925)*($F$15-$D$15)*($F$15-$E$15)))</x:f>
        <x:v>0.1050240581047978</x:v>
      </x:c>
      <x:c r="H925" s="258" t="n">
        <x:f>IF(AB925&lt;($E$16-$D$16)/($F$16-$D$16),$D$16+SQRT(AB925*($F$16-$D$16)*($E$16-$D$16)),$F$16-SQRT((1-AB925)*($F$16-$D$16)*($F$16-$E$16)))</x:f>
        <x:v>0.02899727743953479</x:v>
      </x:c>
      <x:c r="I925" s="262" t="n">
        <x:f>'Historical Inputs'!$N$9*(1+D925)^5</x:f>
        <x:v>650461.0046103972</x:v>
      </x:c>
      <x:c r="J925" s="262" t="n">
        <x:f>I925*(1+H925)*('Terminal Value'!$E$10+E925)*(1-'Assumptions'!$E$15)*(1-H925/'Terminal Value'!$E$12)</x:f>
        <x:v>183470.78009054015</x:v>
      </x:c>
      <x:c r="K925" s="264" t="n">
        <x:f>((SUM((('Historical Inputs'!$N$9*(1+(D925))^1)*(('Assumptions'!E37+(E925))*(1-'Assumptions'!E42-(0))+'Assumptions'!E47-'Assumptions'!E52*(F925)+'Assumptions'!E57-'Assumptions'!E62*(1)-'Assumptions'!E67-(0))+('Working Capital'!$E$6))*'DCF'!E12/(1+(G925))^'DCF'!E13,(('Historical Inputs'!$N$9*(1+(D925))^2)*(('Assumptions'!F37+(E925))*(1-'Assumptions'!F42-(0))+'Assumptions'!F47-'Assumptions'!F52*(F925)+'Assumptions'!F57-'Assumptions'!F62*(1)-'Assumptions'!F67-(0))+(('Historical Inputs'!$N$9*(1+(D925))^1)*('Assumptions'!E67+(0))))*'DCF'!F12/(1+(G925))^'DCF'!F13,(('Historical Inputs'!$N$9*(1+(D925))^3)*(('Assumptions'!G37+(E925))*(1-'Assumptions'!G42-(0))+'Assumptions'!G47-'Assumptions'!G52*(F925)+'Assumptions'!G57-'Assumptions'!G62*(1)-'Assumptions'!G67-(0))+(('Historical Inputs'!$N$9*(1+(D925))^2)*('Assumptions'!F67+(0))))*'DCF'!G12/(1+(G925))^'DCF'!G13,(('Historical Inputs'!$N$9*(1+(D925))^4)*(('Assumptions'!H37+(E925))*(1-'Assumptions'!H42-(0))+'Assumptions'!H47-'Assumptions'!H52*(F925)+'Assumptions'!H57-'Assumptions'!H62*(1)-'Assumptions'!H67-(0))+(('Historical Inputs'!$N$9*(1+(D925))^3)*('Assumptions'!G67+(0))))*'DCF'!H12/(1+(G925))^'DCF'!H13,(('Historical Inputs'!$N$9*(1+(D925))^5)*(('Assumptions'!I37+(E925))*(1-'Assumptions'!I42-(0))+'Assumptions'!I47-'Assumptions'!I52*(F925)+'Assumptions'!I57-'Assumptions'!I62*(1)-'Assumptions'!I67-(0))+(('Historical Inputs'!$N$9*(1+(D925))^4)*('Assumptions'!H67+(0))))*'DCF'!I12/(1+(G925))^'DCF'!I13)+('Historical Inputs'!$N$9*(1+(D925))^5)*(1+(H925))*('Terminal Value'!$E$10+(E925))*(1-'Assumptions'!$E$15-(0))*(1-(H925)/('Terminal Value'!$E$12))/((G925)-(H925))/(1+(G925))^'DCF'!$E$19)+'Equity Bridge'!$E$17)/'Equity Bridge'!$E$20</x:f>
        <x:v>257.0199875976498</x:v>
      </x:c>
      <x:c r="X925" s="255" t="n">
        <x:v>0.5164471317022776</x:v>
      </x:c>
      <x:c r="Y925" s="255" t="n">
        <x:v>0.5147942228167282</x:v>
      </x:c>
      <x:c r="Z925" s="255" t="n">
        <x:v>0.4325909726856362</x:v>
      </x:c>
      <x:c r="AA925" s="255" t="n">
        <x:v>0.8536122060628929</x:v>
      </x:c>
      <x:c r="AB925" s="255" t="n">
        <x:v>0.40475500661980857</x:v>
      </x:c>
    </x:row>
    <x:row r="926" ht="24" customHeight="1">
      <x:c r="C926" s="256" t="n">
        <x:f>895</x:f>
        <x:v>895</x:v>
      </x:c>
      <x:c r="D926" s="258" t="n">
        <x:f>IF(X926&lt;($E$12-$D$12)/($F$12-$D$12),$D$12+SQRT(X926*($F$12-$D$12)*($E$12-$D$12)),$F$12-SQRT((1-X926)*($F$12-$D$12)*($F$12-$E$12)))</x:f>
        <x:v>0.1337866532591908</x:v>
      </x:c>
      <x:c r="E926" s="258" t="n">
        <x:f>IF(Y926&lt;($E$13-$D$13)/($F$13-$D$13),$D$13+SQRT(Y926*($F$13-$D$13)*($E$13-$D$13)),$F$13-SQRT((1-Y926)*($F$13-$D$13)*($F$13-$E$13)))</x:f>
        <x:v>-0.019894564731006932</x:v>
      </x:c>
      <x:c r="F926" s="260" t="n">
        <x:f>IF(Z926&lt;($E$14-$D$14)/($F$14-$D$14),$D$14+SQRT(Z926*($F$14-$D$14)*($E$14-$D$14)),$F$14-SQRT((1-Z926)*($F$14-$D$14)*($F$14-$E$14)))</x:f>
        <x:v>1.032298549252044</x:v>
      </x:c>
      <x:c r="G926" s="258" t="n">
        <x:f>IF(AA926&lt;($E$15-$D$15)/($F$15-$D$15),$D$15+SQRT(AA926*($F$15-$D$15)*($E$15-$D$15)),$F$15-SQRT((1-AA926)*($F$15-$D$15)*($F$15-$E$15)))</x:f>
        <x:v>0.09697028873128906</x:v>
      </x:c>
      <x:c r="H926" s="258" t="n">
        <x:f>IF(AB926&lt;($E$16-$D$16)/($F$16-$D$16),$D$16+SQRT(AB926*($F$16-$D$16)*($E$16-$D$16)),$F$16-SQRT((1-AB926)*($F$16-$D$16)*($F$16-$E$16)))</x:f>
        <x:v>0.03543713318006671</x:v>
      </x:c>
      <x:c r="I926" s="262" t="n">
        <x:f>'Historical Inputs'!$N$9*(1+D926)^5</x:f>
        <x:v>621704.6665042628</x:v>
      </x:c>
      <x:c r="J926" s="262" t="n">
        <x:f>I926*(1+H926)*('Terminal Value'!$E$10+E926)*(1-'Assumptions'!$E$15)*(1-H926/'Terminal Value'!$E$12)</x:f>
        <x:v>161065.9648564</x:v>
      </x:c>
      <x:c r="K926" s="264" t="n">
        <x:f>((SUM((('Historical Inputs'!$N$9*(1+(D926))^1)*(('Assumptions'!E37+(E926))*(1-'Assumptions'!E42-(0))+'Assumptions'!E47-'Assumptions'!E52*(F926)+'Assumptions'!E57-'Assumptions'!E62*(1)-'Assumptions'!E67-(0))+('Working Capital'!$E$6))*'DCF'!E12/(1+(G926))^'DCF'!E13,(('Historical Inputs'!$N$9*(1+(D926))^2)*(('Assumptions'!F37+(E926))*(1-'Assumptions'!F42-(0))+'Assumptions'!F47-'Assumptions'!F52*(F926)+'Assumptions'!F57-'Assumptions'!F62*(1)-'Assumptions'!F67-(0))+(('Historical Inputs'!$N$9*(1+(D926))^1)*('Assumptions'!E67+(0))))*'DCF'!F12/(1+(G926))^'DCF'!F13,(('Historical Inputs'!$N$9*(1+(D926))^3)*(('Assumptions'!G37+(E926))*(1-'Assumptions'!G42-(0))+'Assumptions'!G47-'Assumptions'!G52*(F926)+'Assumptions'!G57-'Assumptions'!G62*(1)-'Assumptions'!G67-(0))+(('Historical Inputs'!$N$9*(1+(D926))^2)*('Assumptions'!F67+(0))))*'DCF'!G12/(1+(G926))^'DCF'!G13,(('Historical Inputs'!$N$9*(1+(D926))^4)*(('Assumptions'!H37+(E926))*(1-'Assumptions'!H42-(0))+'Assumptions'!H47-'Assumptions'!H52*(F926)+'Assumptions'!H57-'Assumptions'!H62*(1)-'Assumptions'!H67-(0))+(('Historical Inputs'!$N$9*(1+(D926))^3)*('Assumptions'!G67+(0))))*'DCF'!H12/(1+(G926))^'DCF'!H13,(('Historical Inputs'!$N$9*(1+(D926))^5)*(('Assumptions'!I37+(E926))*(1-'Assumptions'!I42-(0))+'Assumptions'!I47-'Assumptions'!I52*(F926)+'Assumptions'!I57-'Assumptions'!I62*(1)-'Assumptions'!I67-(0))+(('Historical Inputs'!$N$9*(1+(D926))^4)*('Assumptions'!H67+(0))))*'DCF'!I12/(1+(G926))^'DCF'!I13)+('Historical Inputs'!$N$9*(1+(D926))^5)*(1+(H926))*('Terminal Value'!$E$10+(E926))*(1-'Assumptions'!$E$15-(0))*(1-(H926)/('Terminal Value'!$E$12))/((G926)-(H926))/(1+(G926))^'DCF'!$E$19)+'Equity Bridge'!$E$17)/'Equity Bridge'!$E$20</x:f>
        <x:v>275.08639592021893</x:v>
      </x:c>
      <x:c r="X926" s="255" t="n">
        <x:v>0.3285302048211276</x:v>
      </x:c>
      <x:c r="Y926" s="255" t="n">
        <x:v>0.18126744654710636</x:v>
      </x:c>
      <x:c r="Z926" s="255" t="n">
        <x:v>0.5982317631004418</x:v>
      </x:c>
      <x:c r="AA926" s="255" t="n">
        <x:v>0.42503704827590527</x:v>
      </x:c>
      <x:c r="AB926" s="255" t="n">
        <x:v>0.8959012319177592</x:v>
      </x:c>
    </x:row>
    <x:row r="927" ht="24" customHeight="1">
      <x:c r="C927" s="256" t="n">
        <x:f>896</x:f>
        <x:v>896</x:v>
      </x:c>
      <x:c r="D927" s="258" t="n">
        <x:f>IF(X927&lt;($E$12-$D$12)/($F$12-$D$12),$D$12+SQRT(X927*($F$12-$D$12)*($E$12-$D$12)),$F$12-SQRT((1-X927)*($F$12-$D$12)*($F$12-$E$12)))</x:f>
        <x:v>0.11836936847911192</x:v>
      </x:c>
      <x:c r="E927" s="258" t="n">
        <x:f>IF(Y927&lt;($E$13-$D$13)/($F$13-$D$13),$D$13+SQRT(Y927*($F$13-$D$13)*($E$13-$D$13)),$F$13-SQRT((1-Y927)*($F$13-$D$13)*($F$13-$E$13)))</x:f>
        <x:v>-0.00706863705868787</x:v>
      </x:c>
      <x:c r="F927" s="260" t="n">
        <x:f>IF(Z927&lt;($E$14-$D$14)/($F$14-$D$14),$D$14+SQRT(Z927*($F$14-$D$14)*($E$14-$D$14)),$F$14-SQRT((1-Z927)*($F$14-$D$14)*($F$14-$E$14)))</x:f>
        <x:v>1.1125942830145497</x:v>
      </x:c>
      <x:c r="G927" s="258" t="n">
        <x:f>IF(AA927&lt;($E$15-$D$15)/($F$15-$D$15),$D$15+SQRT(AA927*($F$15-$D$15)*($E$15-$D$15)),$F$15-SQRT((1-AA927)*($F$15-$D$15)*($F$15-$E$15)))</x:f>
        <x:v>0.10803770839294709</x:v>
      </x:c>
      <x:c r="H927" s="258" t="n">
        <x:f>IF(AB927&lt;($E$16-$D$16)/($F$16-$D$16),$D$16+SQRT(AB927*($F$16-$D$16)*($E$16-$D$16)),$F$16-SQRT((1-AB927)*($F$16-$D$16)*($F$16-$E$16)))</x:f>
        <x:v>0.033754490483190756</x:v>
      </x:c>
      <x:c r="I927" s="262" t="n">
        <x:f>'Historical Inputs'!$N$9*(1+D927)^5</x:f>
        <x:v>580568.8673572625</x:v>
      </x:c>
      <x:c r="J927" s="262" t="n">
        <x:f>I927*(1+H927)*('Terminal Value'!$E$10+E927)*(1-'Assumptions'!$E$15)*(1-H927/'Terminal Value'!$E$12)</x:f>
        <x:v>156818.66838236857</x:v>
      </x:c>
      <x:c r="K927" s="264" t="n">
        <x:f>((SUM((('Historical Inputs'!$N$9*(1+(D927))^1)*(('Assumptions'!E37+(E927))*(1-'Assumptions'!E42-(0))+'Assumptions'!E47-'Assumptions'!E52*(F927)+'Assumptions'!E57-'Assumptions'!E62*(1)-'Assumptions'!E67-(0))+('Working Capital'!$E$6))*'DCF'!E12/(1+(G927))^'DCF'!E13,(('Historical Inputs'!$N$9*(1+(D927))^2)*(('Assumptions'!F37+(E927))*(1-'Assumptions'!F42-(0))+'Assumptions'!F47-'Assumptions'!F52*(F927)+'Assumptions'!F57-'Assumptions'!F62*(1)-'Assumptions'!F67-(0))+(('Historical Inputs'!$N$9*(1+(D927))^1)*('Assumptions'!E67+(0))))*'DCF'!F12/(1+(G927))^'DCF'!F13,(('Historical Inputs'!$N$9*(1+(D927))^3)*(('Assumptions'!G37+(E927))*(1-'Assumptions'!G42-(0))+'Assumptions'!G47-'Assumptions'!G52*(F927)+'Assumptions'!G57-'Assumptions'!G62*(1)-'Assumptions'!G67-(0))+(('Historical Inputs'!$N$9*(1+(D927))^2)*('Assumptions'!F67+(0))))*'DCF'!G12/(1+(G927))^'DCF'!G13,(('Historical Inputs'!$N$9*(1+(D927))^4)*(('Assumptions'!H37+(E927))*(1-'Assumptions'!H42-(0))+'Assumptions'!H47-'Assumptions'!H52*(F927)+'Assumptions'!H57-'Assumptions'!H62*(1)-'Assumptions'!H67-(0))+(('Historical Inputs'!$N$9*(1+(D927))^3)*('Assumptions'!G67+(0))))*'DCF'!H12/(1+(G927))^'DCF'!H13,(('Historical Inputs'!$N$9*(1+(D927))^5)*(('Assumptions'!I37+(E927))*(1-'Assumptions'!I42-(0))+'Assumptions'!I47-'Assumptions'!I52*(F927)+'Assumptions'!I57-'Assumptions'!I62*(1)-'Assumptions'!I67-(0))+(('Historical Inputs'!$N$9*(1+(D927))^4)*('Assumptions'!H67+(0))))*'DCF'!I12/(1+(G927))^'DCF'!I13)+('Historical Inputs'!$N$9*(1+(D927))^5)*(1+(H927))*('Terminal Value'!$E$10+(E927))*(1-'Assumptions'!$E$15-(0))*(1-(H927)/('Terminal Value'!$E$12))/((G927)-(H927))/(1+(G927))^'DCF'!$E$19)+'Equity Bridge'!$E$17)/'Equity Bridge'!$E$20</x:f>
        <x:v>216.71927163428705</x:v>
      </x:c>
      <x:c r="X927" s="255" t="n">
        <x:v>0.12612599088463594</x:v>
      </x:c>
      <x:c r="Y927" s="255" t="n">
        <x:v>0.3686203847997337</x:v>
      </x:c>
      <x:c r="Z927" s="255" t="n">
        <x:v>0.8908605805465623</x:v>
      </x:c>
      <x:c r="AA927" s="255" t="n">
        <x:v>0.9421396705760295</x:v>
      </x:c>
      <x:c r="AB927" s="255" t="n">
        <x:v>0.8049680543772257</x:v>
      </x:c>
    </x:row>
    <x:row r="928" ht="24" customHeight="1">
      <x:c r="C928" s="256" t="n">
        <x:f>897</x:f>
        <x:v>897</x:v>
      </x:c>
      <x:c r="D928" s="258" t="n">
        <x:f>IF(X928&lt;($E$12-$D$12)/($F$12-$D$12),$D$12+SQRT(X928*($F$12-$D$12)*($E$12-$D$12)),$F$12-SQRT((1-X928)*($F$12-$D$12)*($F$12-$E$12)))</x:f>
        <x:v>0.11415222939334509</x:v>
      </x:c>
      <x:c r="E928" s="258" t="n">
        <x:f>IF(Y928&lt;($E$13-$D$13)/($F$13-$D$13),$D$13+SQRT(Y928*($F$13-$D$13)*($E$13-$D$13)),$F$13-SQRT((1-Y928)*($F$13-$D$13)*($F$13-$E$13)))</x:f>
        <x:v>-0.012932181407387104</x:v>
      </x:c>
      <x:c r="F928" s="260" t="n">
        <x:f>IF(Z928&lt;($E$14-$D$14)/($F$14-$D$14),$D$14+SQRT(Z928*($F$14-$D$14)*($E$14-$D$14)),$F$14-SQRT((1-Z928)*($F$14-$D$14)*($F$14-$E$14)))</x:f>
        <x:v>0.9178254725815336</x:v>
      </x:c>
      <x:c r="G928" s="258" t="n">
        <x:f>IF(AA928&lt;($E$15-$D$15)/($F$15-$D$15),$D$15+SQRT(AA928*($F$15-$D$15)*($E$15-$D$15)),$F$15-SQRT((1-AA928)*($F$15-$D$15)*($F$15-$E$15)))</x:f>
        <x:v>0.08659347945704483</x:v>
      </x:c>
      <x:c r="H928" s="258" t="n">
        <x:f>IF(AB928&lt;($E$16-$D$16)/($F$16-$D$16),$D$16+SQRT(AB928*($F$16-$D$16)*($E$16-$D$16)),$F$16-SQRT((1-AB928)*($F$16-$D$16)*($F$16-$E$16)))</x:f>
        <x:v>0.030232652193567664</x:v>
      </x:c>
      <x:c r="I928" s="262" t="n">
        <x:f>'Historical Inputs'!$N$9*(1+D928)^5</x:f>
        <x:v>569705.082715513</x:v>
      </x:c>
      <x:c r="J928" s="262" t="n">
        <x:f>I928*(1+H928)*('Terminal Value'!$E$10+E928)*(1-'Assumptions'!$E$15)*(1-H928/'Terminal Value'!$E$12)</x:f>
        <x:v>154271.8276342795</x:v>
      </x:c>
      <x:c r="K928" s="264" t="n">
        <x:f>((SUM((('Historical Inputs'!$N$9*(1+(D928))^1)*(('Assumptions'!E37+(E928))*(1-'Assumptions'!E42-(0))+'Assumptions'!E47-'Assumptions'!E52*(F928)+'Assumptions'!E57-'Assumptions'!E62*(1)-'Assumptions'!E67-(0))+('Working Capital'!$E$6))*'DCF'!E12/(1+(G928))^'DCF'!E13,(('Historical Inputs'!$N$9*(1+(D928))^2)*(('Assumptions'!F37+(E928))*(1-'Assumptions'!F42-(0))+'Assumptions'!F47-'Assumptions'!F52*(F928)+'Assumptions'!F57-'Assumptions'!F62*(1)-'Assumptions'!F67-(0))+(('Historical Inputs'!$N$9*(1+(D928))^1)*('Assumptions'!E67+(0))))*'DCF'!F12/(1+(G928))^'DCF'!F13,(('Historical Inputs'!$N$9*(1+(D928))^3)*(('Assumptions'!G37+(E928))*(1-'Assumptions'!G42-(0))+'Assumptions'!G47-'Assumptions'!G52*(F928)+'Assumptions'!G57-'Assumptions'!G62*(1)-'Assumptions'!G67-(0))+(('Historical Inputs'!$N$9*(1+(D928))^2)*('Assumptions'!F67+(0))))*'DCF'!G12/(1+(G928))^'DCF'!G13,(('Historical Inputs'!$N$9*(1+(D928))^4)*(('Assumptions'!H37+(E928))*(1-'Assumptions'!H42-(0))+'Assumptions'!H47-'Assumptions'!H52*(F928)+'Assumptions'!H57-'Assumptions'!H62*(1)-'Assumptions'!H67-(0))+(('Historical Inputs'!$N$9*(1+(D928))^3)*('Assumptions'!G67+(0))))*'DCF'!H12/(1+(G928))^'DCF'!H13,(('Historical Inputs'!$N$9*(1+(D928))^5)*(('Assumptions'!I37+(E928))*(1-'Assumptions'!I42-(0))+'Assumptions'!I47-'Assumptions'!I52*(F928)+'Assumptions'!I57-'Assumptions'!I62*(1)-'Assumptions'!I67-(0))+(('Historical Inputs'!$N$9*(1+(D928))^4)*('Assumptions'!H67+(0))))*'DCF'!I12/(1+(G928))^'DCF'!I13)+('Historical Inputs'!$N$9*(1+(D928))^5)*(1+(H928))*('Terminal Value'!$E$10+(E928))*(1-'Assumptions'!$E$15-(0))*(1-(H928)/('Terminal Value'!$E$12))/((G928)-(H928))/(1+(G928))^'DCF'!$E$19)+'Equity Bridge'!$E$17)/'Equity Bridge'!$E$20</x:f>
        <x:v>302.86993131089156</x:v>
      </x:c>
      <x:c r="X928" s="255" t="n">
        <x:v>0.08732193985600756</x:v>
      </x:c>
      <x:c r="Y928" s="255" t="n">
        <x:v>0.2748046350429717</x:v>
      </x:c>
      <x:c r="Z928" s="255" t="n">
        <x:v>0.08762466154111181</x:v>
      </x:c>
      <x:c r="AA928" s="255" t="n">
        <x:v>0.026497710708134337</x:v>
      </x:c>
      <x:c r="AB928" s="255" t="n">
        <x:v>0.5229945841409073</x:v>
      </x:c>
    </x:row>
    <x:row r="929" ht="24" customHeight="1">
      <x:c r="C929" s="256" t="n">
        <x:f>898</x:f>
        <x:v>898</x:v>
      </x:c>
      <x:c r="D929" s="258" t="n">
        <x:f>IF(X929&lt;($E$12-$D$12)/($F$12-$D$12),$D$12+SQRT(X929*($F$12-$D$12)*($E$12-$D$12)),$F$12-SQRT((1-X929)*($F$12-$D$12)*($F$12-$E$12)))</x:f>
        <x:v>0.1452133968346095</x:v>
      </x:c>
      <x:c r="E929" s="258" t="n">
        <x:f>IF(Y929&lt;($E$13-$D$13)/($F$13-$D$13),$D$13+SQRT(Y929*($F$13-$D$13)*($E$13-$D$13)),$F$13-SQRT((1-Y929)*($F$13-$D$13)*($F$13-$E$13)))</x:f>
        <x:v>-0.02485941210621465</x:v>
      </x:c>
      <x:c r="F929" s="260" t="n">
        <x:f>IF(Z929&lt;($E$14-$D$14)/($F$14-$D$14),$D$14+SQRT(Z929*($F$14-$D$14)*($E$14-$D$14)),$F$14-SQRT((1-Z929)*($F$14-$D$14)*($F$14-$E$14)))</x:f>
        <x:v>0.9613614336347168</x:v>
      </x:c>
      <x:c r="G929" s="258" t="n">
        <x:f>IF(AA929&lt;($E$15-$D$15)/($F$15-$D$15),$D$15+SQRT(AA929*($F$15-$D$15)*($E$15-$D$15)),$F$15-SQRT((1-AA929)*($F$15-$D$15)*($F$15-$E$15)))</x:f>
        <x:v>0.10593413120016369</x:v>
      </x:c>
      <x:c r="H929" s="258" t="n">
        <x:f>IF(AB929&lt;($E$16-$D$16)/($F$16-$D$16),$D$16+SQRT(AB929*($F$16-$D$16)*($E$16-$D$16)),$F$16-SQRT((1-AB929)*($F$16-$D$16)*($F$16-$E$16)))</x:f>
        <x:v>0.02254670252999093</x:v>
      </x:c>
      <x:c r="I929" s="262" t="n">
        <x:f>'Historical Inputs'!$N$9*(1+D929)^5</x:f>
        <x:v>653671.4620608815</x:v>
      </x:c>
      <x:c r="J929" s="262" t="n">
        <x:f>I929*(1+H929)*('Terminal Value'!$E$10+E929)*(1-'Assumptions'!$E$15)*(1-H929/'Terminal Value'!$E$12)</x:f>
        <x:v>177983.93221341624</x:v>
      </x:c>
      <x:c r="K929" s="264" t="n">
        <x:f>((SUM((('Historical Inputs'!$N$9*(1+(D929))^1)*(('Assumptions'!E37+(E929))*(1-'Assumptions'!E42-(0))+'Assumptions'!E47-'Assumptions'!E52*(F929)+'Assumptions'!E57-'Assumptions'!E62*(1)-'Assumptions'!E67-(0))+('Working Capital'!$E$6))*'DCF'!E12/(1+(G929))^'DCF'!E13,(('Historical Inputs'!$N$9*(1+(D929))^2)*(('Assumptions'!F37+(E929))*(1-'Assumptions'!F42-(0))+'Assumptions'!F47-'Assumptions'!F52*(F929)+'Assumptions'!F57-'Assumptions'!F62*(1)-'Assumptions'!F67-(0))+(('Historical Inputs'!$N$9*(1+(D929))^1)*('Assumptions'!E67+(0))))*'DCF'!F12/(1+(G929))^'DCF'!F13,(('Historical Inputs'!$N$9*(1+(D929))^3)*(('Assumptions'!G37+(E929))*(1-'Assumptions'!G42-(0))+'Assumptions'!G47-'Assumptions'!G52*(F929)+'Assumptions'!G57-'Assumptions'!G62*(1)-'Assumptions'!G67-(0))+(('Historical Inputs'!$N$9*(1+(D929))^2)*('Assumptions'!F67+(0))))*'DCF'!G12/(1+(G929))^'DCF'!G13,(('Historical Inputs'!$N$9*(1+(D929))^4)*(('Assumptions'!H37+(E929))*(1-'Assumptions'!H42-(0))+'Assumptions'!H47-'Assumptions'!H52*(F929)+'Assumptions'!H57-'Assumptions'!H62*(1)-'Assumptions'!H67-(0))+(('Historical Inputs'!$N$9*(1+(D929))^3)*('Assumptions'!G67+(0))))*'DCF'!H12/(1+(G929))^'DCF'!H13,(('Historical Inputs'!$N$9*(1+(D929))^5)*(('Assumptions'!I37+(E929))*(1-'Assumptions'!I42-(0))+'Assumptions'!I47-'Assumptions'!I52*(F929)+'Assumptions'!I57-'Assumptions'!I62*(1)-'Assumptions'!I67-(0))+(('Historical Inputs'!$N$9*(1+(D929))^4)*('Assumptions'!H67+(0))))*'DCF'!I12/(1+(G929))^'DCF'!I13)+('Historical Inputs'!$N$9*(1+(D929))^5)*(1+(H929))*('Terminal Value'!$E$10+(E929))*(1-'Assumptions'!$E$15-(0))*(1-(H929)/('Terminal Value'!$E$12))/((G929)-(H929))/(1+(G929))^'DCF'!$E$19)+'Equity Bridge'!$E$17)/'Equity Bridge'!$E$20</x:f>
        <x:v>230.32871997317747</x:v>
      </x:c>
      <x:c r="X929" s="255" t="n">
        <x:v>0.5383620195362245</x:v>
      </x:c>
      <x:c r="Y929" s="255" t="n">
        <x:v>0.12640983192902933</x:v>
      </x:c>
      <x:c r="Z929" s="255" t="n">
        <x:v>0.2362165504986562</x:v>
      </x:c>
      <x:c r="AA929" s="255" t="n">
        <x:v>0.8846002946173345</x:v>
      </x:c>
      <x:c r="AB929" s="255" t="n">
        <x:v>0.03242846888131112</x:v>
      </x:c>
    </x:row>
    <x:row r="930" ht="24" customHeight="1">
      <x:c r="C930" s="256" t="n">
        <x:f>899</x:f>
        <x:v>899</x:v>
      </x:c>
      <x:c r="D930" s="258" t="n">
        <x:f>IF(X930&lt;($E$12-$D$12)/($F$12-$D$12),$D$12+SQRT(X930*($F$12-$D$12)*($E$12-$D$12)),$F$12-SQRT((1-X930)*($F$12-$D$12)*($F$12-$E$12)))</x:f>
        <x:v>0.1494528165526169</x:v>
      </x:c>
      <x:c r="E930" s="258" t="n">
        <x:f>IF(Y930&lt;($E$13-$D$13)/($F$13-$D$13),$D$13+SQRT(Y930*($F$13-$D$13)*($E$13-$D$13)),$F$13-SQRT((1-Y930)*($F$13-$D$13)*($F$13-$E$13)))</x:f>
        <x:v>-0.00905402496497875</x:v>
      </x:c>
      <x:c r="F930" s="260" t="n">
        <x:f>IF(Z930&lt;($E$14-$D$14)/($F$14-$D$14),$D$14+SQRT(Z930*($F$14-$D$14)*($E$14-$D$14)),$F$14-SQRT((1-Z930)*($F$14-$D$14)*($F$14-$E$14)))</x:f>
        <x:v>0.9603683705250765</x:v>
      </x:c>
      <x:c r="G930" s="258" t="n">
        <x:f>IF(AA930&lt;($E$15-$D$15)/($F$15-$D$15),$D$15+SQRT(AA930*($F$15-$D$15)*($E$15-$D$15)),$F$15-SQRT((1-AA930)*($F$15-$D$15)*($F$15-$E$15)))</x:f>
        <x:v>0.09269711798535171</x:v>
      </x:c>
      <x:c r="H930" s="258" t="n">
        <x:f>IF(AB930&lt;($E$16-$D$16)/($F$16-$D$16),$D$16+SQRT(AB930*($F$16-$D$16)*($E$16-$D$16)),$F$16-SQRT((1-AB930)*($F$16-$D$16)*($F$16-$E$16)))</x:f>
        <x:v>0.0265630988326634</x:v>
      </x:c>
      <x:c r="I930" s="262" t="n">
        <x:f>'Historical Inputs'!$N$9*(1+D930)^5</x:f>
        <x:v>665860.3732416783</x:v>
      </x:c>
      <x:c r="J930" s="262" t="n">
        <x:f>I930*(1+H930)*('Terminal Value'!$E$10+E930)*(1-'Assumptions'!$E$15)*(1-H930/'Terminal Value'!$E$12)</x:f>
        <x:v>185390.32323367056</x:v>
      </x:c>
      <x:c r="K930" s="264" t="n">
        <x:f>((SUM((('Historical Inputs'!$N$9*(1+(D930))^1)*(('Assumptions'!E37+(E930))*(1-'Assumptions'!E42-(0))+'Assumptions'!E47-'Assumptions'!E52*(F930)+'Assumptions'!E57-'Assumptions'!E62*(1)-'Assumptions'!E67-(0))+('Working Capital'!$E$6))*'DCF'!E12/(1+(G930))^'DCF'!E13,(('Historical Inputs'!$N$9*(1+(D930))^2)*(('Assumptions'!F37+(E930))*(1-'Assumptions'!F42-(0))+'Assumptions'!F47-'Assumptions'!F52*(F930)+'Assumptions'!F57-'Assumptions'!F62*(1)-'Assumptions'!F67-(0))+(('Historical Inputs'!$N$9*(1+(D930))^1)*('Assumptions'!E67+(0))))*'DCF'!F12/(1+(G930))^'DCF'!F13,(('Historical Inputs'!$N$9*(1+(D930))^3)*(('Assumptions'!G37+(E930))*(1-'Assumptions'!G42-(0))+'Assumptions'!G47-'Assumptions'!G52*(F930)+'Assumptions'!G57-'Assumptions'!G62*(1)-'Assumptions'!G67-(0))+(('Historical Inputs'!$N$9*(1+(D930))^2)*('Assumptions'!F67+(0))))*'DCF'!G12/(1+(G930))^'DCF'!G13,(('Historical Inputs'!$N$9*(1+(D930))^4)*(('Assumptions'!H37+(E930))*(1-'Assumptions'!H42-(0))+'Assumptions'!H47-'Assumptions'!H52*(F930)+'Assumptions'!H57-'Assumptions'!H62*(1)-'Assumptions'!H67-(0))+(('Historical Inputs'!$N$9*(1+(D930))^3)*('Assumptions'!G67+(0))))*'DCF'!H12/(1+(G930))^'DCF'!H13,(('Historical Inputs'!$N$9*(1+(D930))^5)*(('Assumptions'!I37+(E930))*(1-'Assumptions'!I42-(0))+'Assumptions'!I47-'Assumptions'!I52*(F930)+'Assumptions'!I57-'Assumptions'!I62*(1)-'Assumptions'!I67-(0))+(('Historical Inputs'!$N$9*(1+(D930))^4)*('Assumptions'!H67+(0))))*'DCF'!I12/(1+(G930))^'DCF'!I13)+('Historical Inputs'!$N$9*(1+(D930))^5)*(1+(H930))*('Terminal Value'!$E$10+(E930))*(1-'Assumptions'!$E$15-(0))*(1-(H930)/('Terminal Value'!$E$12))/((G930)-(H930))/(1+(G930))^'DCF'!$E$19)+'Equity Bridge'!$E$17)/'Equity Bridge'!$E$20</x:f>
        <x:v>305.8083453629775</x:v>
      </x:c>
      <x:c r="X930" s="255" t="n">
        <x:v>0.6162383200724582</x:v>
      </x:c>
      <x:c r="Y930" s="255" t="n">
        <x:v>0.3353145743137167</x:v>
      </x:c>
      <x:c r="Z930" s="255" t="n">
        <x:v>0.23202242309258259</x:v>
      </x:c>
      <x:c r="AA930" s="255" t="n">
        <x:v>0.20295876801442259</x:v>
      </x:c>
      <x:c r="AB930" s="255" t="n">
        <x:v>0.21537133143653864</x:v>
      </x:c>
    </x:row>
    <x:row r="931" ht="24" customHeight="1">
      <x:c r="C931" s="256" t="n">
        <x:f>900</x:f>
        <x:v>900</x:v>
      </x:c>
      <x:c r="D931" s="258" t="n">
        <x:f>IF(X931&lt;($E$12-$D$12)/($F$12-$D$12),$D$12+SQRT(X931*($F$12-$D$12)*($E$12-$D$12)),$F$12-SQRT((1-X931)*($F$12-$D$12)*($F$12-$E$12)))</x:f>
        <x:v>0.11987687459296668</x:v>
      </x:c>
      <x:c r="E931" s="258" t="n">
        <x:f>IF(Y931&lt;($E$13-$D$13)/($F$13-$D$13),$D$13+SQRT(Y931*($F$13-$D$13)*($E$13-$D$13)),$F$13-SQRT((1-Y931)*($F$13-$D$13)*($F$13-$E$13)))</x:f>
        <x:v>0.0048459574474319644</x:v>
      </x:c>
      <x:c r="F931" s="260" t="n">
        <x:f>IF(Z931&lt;($E$14-$D$14)/($F$14-$D$14),$D$14+SQRT(Z931*($F$14-$D$14)*($E$14-$D$14)),$F$14-SQRT((1-Z931)*($F$14-$D$14)*($F$14-$E$14)))</x:f>
        <x:v>1.0222876836679942</x:v>
      </x:c>
      <x:c r="G931" s="258" t="n">
        <x:f>IF(AA931&lt;($E$15-$D$15)/($F$15-$D$15),$D$15+SQRT(AA931*($F$15-$D$15)*($E$15-$D$15)),$F$15-SQRT((1-AA931)*($F$15-$D$15)*($F$15-$E$15)))</x:f>
        <x:v>0.0942485178304873</x:v>
      </x:c>
      <x:c r="H931" s="258" t="n">
        <x:f>IF(AB931&lt;($E$16-$D$16)/($F$16-$D$16),$D$16+SQRT(AB931*($F$16-$D$16)*($E$16-$D$16)),$F$16-SQRT((1-AB931)*($F$16-$D$16)*($F$16-$E$16)))</x:f>
        <x:v>0.029175988494582923</x:v>
      </x:c>
      <x:c r="I931" s="262" t="n">
        <x:f>'Historical Inputs'!$N$9*(1+D931)^5</x:f>
        <x:v>584492.3196899213</x:v>
      </x:c>
      <x:c r="J931" s="262" t="n">
        <x:f>I931*(1+H931)*('Terminal Value'!$E$10+E931)*(1-'Assumptions'!$E$15)*(1-H931/'Terminal Value'!$E$12)</x:f>
        <x:v>166405.30547413573</x:v>
      </x:c>
      <x:c r="K931" s="264" t="n">
        <x:f>((SUM((('Historical Inputs'!$N$9*(1+(D931))^1)*(('Assumptions'!E37+(E931))*(1-'Assumptions'!E42-(0))+'Assumptions'!E47-'Assumptions'!E52*(F931)+'Assumptions'!E57-'Assumptions'!E62*(1)-'Assumptions'!E67-(0))+('Working Capital'!$E$6))*'DCF'!E12/(1+(G931))^'DCF'!E13,(('Historical Inputs'!$N$9*(1+(D931))^2)*(('Assumptions'!F37+(E931))*(1-'Assumptions'!F42-(0))+'Assumptions'!F47-'Assumptions'!F52*(F931)+'Assumptions'!F57-'Assumptions'!F62*(1)-'Assumptions'!F67-(0))+(('Historical Inputs'!$N$9*(1+(D931))^1)*('Assumptions'!E67+(0))))*'DCF'!F12/(1+(G931))^'DCF'!F13,(('Historical Inputs'!$N$9*(1+(D931))^3)*(('Assumptions'!G37+(E931))*(1-'Assumptions'!G42-(0))+'Assumptions'!G47-'Assumptions'!G52*(F931)+'Assumptions'!G57-'Assumptions'!G62*(1)-'Assumptions'!G67-(0))+(('Historical Inputs'!$N$9*(1+(D931))^2)*('Assumptions'!F67+(0))))*'DCF'!G12/(1+(G931))^'DCF'!G13,(('Historical Inputs'!$N$9*(1+(D931))^4)*(('Assumptions'!H37+(E931))*(1-'Assumptions'!H42-(0))+'Assumptions'!H47-'Assumptions'!H52*(F931)+'Assumptions'!H57-'Assumptions'!H62*(1)-'Assumptions'!H67-(0))+(('Historical Inputs'!$N$9*(1+(D931))^3)*('Assumptions'!G67+(0))))*'DCF'!H12/(1+(G931))^'DCF'!H13,(('Historical Inputs'!$N$9*(1+(D931))^5)*(('Assumptions'!I37+(E931))*(1-'Assumptions'!I42-(0))+'Assumptions'!I47-'Assumptions'!I52*(F931)+'Assumptions'!I57-'Assumptions'!I62*(1)-'Assumptions'!I67-(0))+(('Historical Inputs'!$N$9*(1+(D931))^4)*('Assumptions'!H67+(0))))*'DCF'!I12/(1+(G931))^'DCF'!I13)+('Historical Inputs'!$N$9*(1+(D931))^5)*(1+(H931))*('Terminal Value'!$E$10+(E931))*(1-'Assumptions'!$E$15-(0))*(1-(H931)/('Terminal Value'!$E$12))/((G931)-(H931))/(1+(G931))^'DCF'!$E$19)+'Equity Bridge'!$E$17)/'Equity Bridge'!$E$20</x:f>
        <x:v>276.0583222549497</x:v>
      </x:c>
      <x:c r="X931" s="255" t="n">
        <x:v>0.1417233122663859</x:v>
      </x:c>
      <x:c r="Y931" s="255" t="n">
        <x:v>0.592222488232175</x:v>
      </x:c>
      <x:c r="Z931" s="255" t="n">
        <x:v>0.5488333231987582</x:v>
      </x:c>
      <x:c r="AA931" s="255" t="n">
        <x:v>0.2742021421660644</x:v>
      </x:c>
      <x:c r="AB931" s="255" t="n">
        <x:v>0.4209938242635909</x:v>
      </x:c>
    </x:row>
    <x:row r="932" ht="24" customHeight="1">
      <x:c r="C932" s="256" t="n">
        <x:f>901</x:f>
        <x:v>901</x:v>
      </x:c>
      <x:c r="D932" s="258" t="n">
        <x:f>IF(X932&lt;($E$12-$D$12)/($F$12-$D$12),$D$12+SQRT(X932*($F$12-$D$12)*($E$12-$D$12)),$F$12-SQRT((1-X932)*($F$12-$D$12)*($F$12-$E$12)))</x:f>
        <x:v>0.17462918306509387</x:v>
      </x:c>
      <x:c r="E932" s="258" t="n">
        <x:f>IF(Y932&lt;($E$13-$D$13)/($F$13-$D$13),$D$13+SQRT(Y932*($F$13-$D$13)*($E$13-$D$13)),$F$13-SQRT((1-Y932)*($F$13-$D$13)*($F$13-$E$13)))</x:f>
        <x:v>-0.0056873238374353305</x:v>
      </x:c>
      <x:c r="F932" s="260" t="n">
        <x:f>IF(Z932&lt;($E$14-$D$14)/($F$14-$D$14),$D$14+SQRT(Z932*($F$14-$D$14)*($E$14-$D$14)),$F$14-SQRT((1-Z932)*($F$14-$D$14)*($F$14-$E$14)))</x:f>
        <x:v>1.0584403610190851</x:v>
      </x:c>
      <x:c r="G932" s="258" t="n">
        <x:f>IF(AA932&lt;($E$15-$D$15)/($F$15-$D$15),$D$15+SQRT(AA932*($F$15-$D$15)*($E$15-$D$15)),$F$15-SQRT((1-AA932)*($F$15-$D$15)*($F$15-$E$15)))</x:f>
        <x:v>0.10643893055249684</x:v>
      </x:c>
      <x:c r="H932" s="258" t="n">
        <x:f>IF(AB932&lt;($E$16-$D$16)/($F$16-$D$16),$D$16+SQRT(AB932*($F$16-$D$16)*($E$16-$D$16)),$F$16-SQRT((1-AB932)*($F$16-$D$16)*($F$16-$E$16)))</x:f>
        <x:v>0.024014746323313723</x:v>
      </x:c>
      <x:c r="I932" s="262" t="n">
        <x:f>'Historical Inputs'!$N$9*(1+D932)^5</x:f>
        <x:v>742046.9054559781</x:v>
      </x:c>
      <x:c r="J932" s="262" t="n">
        <x:f>I932*(1+H932)*('Terminal Value'!$E$10+E932)*(1-'Assumptions'!$E$15)*(1-H932/'Terminal Value'!$E$12)</x:f>
        <x:v>210918.45317590263</x:v>
      </x:c>
      <x:c r="K932" s="264" t="n">
        <x:f>((SUM((('Historical Inputs'!$N$9*(1+(D932))^1)*(('Assumptions'!E37+(E932))*(1-'Assumptions'!E42-(0))+'Assumptions'!E47-'Assumptions'!E52*(F932)+'Assumptions'!E57-'Assumptions'!E62*(1)-'Assumptions'!E67-(0))+('Working Capital'!$E$6))*'DCF'!E12/(1+(G932))^'DCF'!E13,(('Historical Inputs'!$N$9*(1+(D932))^2)*(('Assumptions'!F37+(E932))*(1-'Assumptions'!F42-(0))+'Assumptions'!F47-'Assumptions'!F52*(F932)+'Assumptions'!F57-'Assumptions'!F62*(1)-'Assumptions'!F67-(0))+(('Historical Inputs'!$N$9*(1+(D932))^1)*('Assumptions'!E67+(0))))*'DCF'!F12/(1+(G932))^'DCF'!F13,(('Historical Inputs'!$N$9*(1+(D932))^3)*(('Assumptions'!G37+(E932))*(1-'Assumptions'!G42-(0))+'Assumptions'!G47-'Assumptions'!G52*(F932)+'Assumptions'!G57-'Assumptions'!G62*(1)-'Assumptions'!G67-(0))+(('Historical Inputs'!$N$9*(1+(D932))^2)*('Assumptions'!F67+(0))))*'DCF'!G12/(1+(G932))^'DCF'!G13,(('Historical Inputs'!$N$9*(1+(D932))^4)*(('Assumptions'!H37+(E932))*(1-'Assumptions'!H42-(0))+'Assumptions'!H47-'Assumptions'!H52*(F932)+'Assumptions'!H57-'Assumptions'!H62*(1)-'Assumptions'!H67-(0))+(('Historical Inputs'!$N$9*(1+(D932))^3)*('Assumptions'!G67+(0))))*'DCF'!H12/(1+(G932))^'DCF'!H13,(('Historical Inputs'!$N$9*(1+(D932))^5)*(('Assumptions'!I37+(E932))*(1-'Assumptions'!I42-(0))+'Assumptions'!I47-'Assumptions'!I52*(F932)+'Assumptions'!I57-'Assumptions'!I62*(1)-'Assumptions'!I67-(0))+(('Historical Inputs'!$N$9*(1+(D932))^4)*('Assumptions'!H67+(0))))*'DCF'!I12/(1+(G932))^'DCF'!I13)+('Historical Inputs'!$N$9*(1+(D932))^5)*(1+(H932))*('Terminal Value'!$E$10+(E932))*(1-'Assumptions'!$E$15-(0))*(1-(H932)/('Terminal Value'!$E$12))/((G932)-(H932))/(1+(G932))^'DCF'!$E$19)+'Equity Bridge'!$E$17)/'Equity Bridge'!$E$20</x:f>
        <x:v>267.9420812564692</x:v>
      </x:c>
      <x:c r="X932" s="255" t="n">
        <x:v>0.9306007246191093</x:v>
      </x:c>
      <x:c r="Y932" s="255" t="n">
        <x:v>0.39272265373766535</x:v>
      </x:c>
      <x:c r="Z932" s="255" t="n">
        <x:v>0.7137266944513293</x:v>
      </x:c>
      <x:c r="AA932" s="255" t="n">
        <x:v>0.9002015974083032</x:v>
      </x:c>
      <x:c r="AB932" s="255" t="n">
        <x:v>0.08059094020280533</x:v>
      </x:c>
    </x:row>
    <x:row r="933" ht="24" customHeight="1">
      <x:c r="C933" s="256" t="n">
        <x:f>902</x:f>
        <x:v>902</x:v>
      </x:c>
      <x:c r="D933" s="258" t="n">
        <x:f>IF(X933&lt;($E$12-$D$12)/($F$12-$D$12),$D$12+SQRT(X933*($F$12-$D$12)*($E$12-$D$12)),$F$12-SQRT((1-X933)*($F$12-$D$12)*($F$12-$E$12)))</x:f>
        <x:v>0.11897065477667101</x:v>
      </x:c>
      <x:c r="E933" s="258" t="n">
        <x:f>IF(Y933&lt;($E$13-$D$13)/($F$13-$D$13),$D$13+SQRT(Y933*($F$13-$D$13)*($E$13-$D$13)),$F$13-SQRT((1-Y933)*($F$13-$D$13)*($F$13-$E$13)))</x:f>
        <x:v>-0.0372480498595822</x:v>
      </x:c>
      <x:c r="F933" s="260" t="n">
        <x:f>IF(Z933&lt;($E$14-$D$14)/($F$14-$D$14),$D$14+SQRT(Z933*($F$14-$D$14)*($E$14-$D$14)),$F$14-SQRT((1-Z933)*($F$14-$D$14)*($F$14-$E$14)))</x:f>
        <x:v>0.9656593137081649</x:v>
      </x:c>
      <x:c r="G933" s="258" t="n">
        <x:f>IF(AA933&lt;($E$15-$D$15)/($F$15-$D$15),$D$15+SQRT(AA933*($F$15-$D$15)*($E$15-$D$15)),$F$15-SQRT((1-AA933)*($F$15-$D$15)*($F$15-$E$15)))</x:f>
        <x:v>0.1063373911427602</x:v>
      </x:c>
      <x:c r="H933" s="258" t="n">
        <x:f>IF(AB933&lt;($E$16-$D$16)/($F$16-$D$16),$D$16+SQRT(AB933*($F$16-$D$16)*($E$16-$D$16)),$F$16-SQRT((1-AB933)*($F$16-$D$16)*($F$16-$E$16)))</x:f>
        <x:v>0.023701143703455656</x:v>
      </x:c>
      <x:c r="I933" s="262" t="n">
        <x:f>'Historical Inputs'!$N$9*(1+D933)^5</x:f>
        <x:v>582131.2477647276</x:v>
      </x:c>
      <x:c r="J933" s="262" t="n">
        <x:f>I933*(1+H933)*('Terminal Value'!$E$10+E933)*(1-'Assumptions'!$E$15)*(1-H933/'Terminal Value'!$E$12)</x:f>
        <x:v>152445.05546898406</x:v>
      </x:c>
      <x:c r="K933" s="264" t="n">
        <x:f>((SUM((('Historical Inputs'!$N$9*(1+(D933))^1)*(('Assumptions'!E37+(E933))*(1-'Assumptions'!E42-(0))+'Assumptions'!E47-'Assumptions'!E52*(F933)+'Assumptions'!E57-'Assumptions'!E62*(1)-'Assumptions'!E67-(0))+('Working Capital'!$E$6))*'DCF'!E12/(1+(G933))^'DCF'!E13,(('Historical Inputs'!$N$9*(1+(D933))^2)*(('Assumptions'!F37+(E933))*(1-'Assumptions'!F42-(0))+'Assumptions'!F47-'Assumptions'!F52*(F933)+'Assumptions'!F57-'Assumptions'!F62*(1)-'Assumptions'!F67-(0))+(('Historical Inputs'!$N$9*(1+(D933))^1)*('Assumptions'!E67+(0))))*'DCF'!F12/(1+(G933))^'DCF'!F13,(('Historical Inputs'!$N$9*(1+(D933))^3)*(('Assumptions'!G37+(E933))*(1-'Assumptions'!G42-(0))+'Assumptions'!G47-'Assumptions'!G52*(F933)+'Assumptions'!G57-'Assumptions'!G62*(1)-'Assumptions'!G67-(0))+(('Historical Inputs'!$N$9*(1+(D933))^2)*('Assumptions'!F67+(0))))*'DCF'!G12/(1+(G933))^'DCF'!G13,(('Historical Inputs'!$N$9*(1+(D933))^4)*(('Assumptions'!H37+(E933))*(1-'Assumptions'!H42-(0))+'Assumptions'!H47-'Assumptions'!H52*(F933)+'Assumptions'!H57-'Assumptions'!H62*(1)-'Assumptions'!H67-(0))+(('Historical Inputs'!$N$9*(1+(D933))^3)*('Assumptions'!G67+(0))))*'DCF'!H12/(1+(G933))^'DCF'!H13,(('Historical Inputs'!$N$9*(1+(D933))^5)*(('Assumptions'!I37+(E933))*(1-'Assumptions'!I42-(0))+'Assumptions'!I47-'Assumptions'!I52*(F933)+'Assumptions'!I57-'Assumptions'!I62*(1)-'Assumptions'!I67-(0))+(('Historical Inputs'!$N$9*(1+(D933))^4)*('Assumptions'!H67+(0))))*'DCF'!I12/(1+(G933))^'DCF'!I13)+('Historical Inputs'!$N$9*(1+(D933))^5)*(1+(H933))*('Terminal Value'!$E$10+(E933))*(1-'Assumptions'!$E$15-(0))*(1-(H933)/('Terminal Value'!$E$12))/((G933)-(H933))/(1+(G933))^'DCF'!$E$19)+'Equity Bridge'!$E$17)/'Equity Bridge'!$E$20</x:f>
        <x:v>199.03608475006953</x:v>
      </x:c>
      <x:c r="X933" s="255" t="n">
        <x:v>0.13223818390377673</x:v>
      </x:c>
      <x:c r="Y933" s="255" t="n">
        <x:v>0.0325224464767403</x:v>
      </x:c>
      <x:c r="Z933" s="255" t="n">
        <x:v>0.2548014637608327</x:v>
      </x:c>
      <x:c r="AA933" s="255" t="n">
        <x:v>0.8971544184760304</x:v>
      </x:c>
      <x:c r="AB933" s="255" t="n">
        <x:v>0.06849232356814738</x:v>
      </x:c>
    </x:row>
    <x:row r="934" ht="24" customHeight="1">
      <x:c r="C934" s="256" t="n">
        <x:f>903</x:f>
        <x:v>903</x:v>
      </x:c>
      <x:c r="D934" s="258" t="n">
        <x:f>IF(X934&lt;($E$12-$D$12)/($F$12-$D$12),$D$12+SQRT(X934*($F$12-$D$12)*($E$12-$D$12)),$F$12-SQRT((1-X934)*($F$12-$D$12)*($F$12-$E$12)))</x:f>
        <x:v>0.1470583632603742</x:v>
      </x:c>
      <x:c r="E934" s="258" t="n">
        <x:f>IF(Y934&lt;($E$13-$D$13)/($F$13-$D$13),$D$13+SQRT(Y934*($F$13-$D$13)*($E$13-$D$13)),$F$13-SQRT((1-Y934)*($F$13-$D$13)*($F$13-$E$13)))</x:f>
        <x:v>0.023020777120884732</x:v>
      </x:c>
      <x:c r="F934" s="260" t="n">
        <x:f>IF(Z934&lt;($E$14-$D$14)/($F$14-$D$14),$D$14+SQRT(Z934*($F$14-$D$14)*($E$14-$D$14)),$F$14-SQRT((1-Z934)*($F$14-$D$14)*($F$14-$E$14)))</x:f>
        <x:v>0.8939613277695058</x:v>
      </x:c>
      <x:c r="G934" s="258" t="n">
        <x:f>IF(AA934&lt;($E$15-$D$15)/($F$15-$D$15),$D$15+SQRT(AA934*($F$15-$D$15)*($E$15-$D$15)),$F$15-SQRT((1-AA934)*($F$15-$D$15)*($F$15-$E$15)))</x:f>
        <x:v>0.09612534745489301</x:v>
      </x:c>
      <x:c r="H934" s="258" t="n">
        <x:f>IF(AB934&lt;($E$16-$D$16)/($F$16-$D$16),$D$16+SQRT(AB934*($F$16-$D$16)*($E$16-$D$16)),$F$16-SQRT((1-AB934)*($F$16-$D$16)*($F$16-$E$16)))</x:f>
        <x:v>0.03480636039645547</x:v>
      </x:c>
      <x:c r="I934" s="262" t="n">
        <x:f>'Historical Inputs'!$N$9*(1+D934)^5</x:f>
        <x:v>658953.8573150303</x:v>
      </x:c>
      <x:c r="J934" s="262" t="n">
        <x:f>I934*(1+H934)*('Terminal Value'!$E$10+E934)*(1-'Assumptions'!$E$15)*(1-H934/'Terminal Value'!$E$12)</x:f>
        <x:v>190602.72522447517</x:v>
      </x:c>
      <x:c r="K934" s="264" t="n">
        <x:f>((SUM((('Historical Inputs'!$N$9*(1+(D934))^1)*(('Assumptions'!E37+(E934))*(1-'Assumptions'!E42-(0))+'Assumptions'!E47-'Assumptions'!E52*(F934)+'Assumptions'!E57-'Assumptions'!E62*(1)-'Assumptions'!E67-(0))+('Working Capital'!$E$6))*'DCF'!E12/(1+(G934))^'DCF'!E13,(('Historical Inputs'!$N$9*(1+(D934))^2)*(('Assumptions'!F37+(E934))*(1-'Assumptions'!F42-(0))+'Assumptions'!F47-'Assumptions'!F52*(F934)+'Assumptions'!F57-'Assumptions'!F62*(1)-'Assumptions'!F67-(0))+(('Historical Inputs'!$N$9*(1+(D934))^1)*('Assumptions'!E67+(0))))*'DCF'!F12/(1+(G934))^'DCF'!F13,(('Historical Inputs'!$N$9*(1+(D934))^3)*(('Assumptions'!G37+(E934))*(1-'Assumptions'!G42-(0))+'Assumptions'!G47-'Assumptions'!G52*(F934)+'Assumptions'!G57-'Assumptions'!G62*(1)-'Assumptions'!G67-(0))+(('Historical Inputs'!$N$9*(1+(D934))^2)*('Assumptions'!F67+(0))))*'DCF'!G12/(1+(G934))^'DCF'!G13,(('Historical Inputs'!$N$9*(1+(D934))^4)*(('Assumptions'!H37+(E934))*(1-'Assumptions'!H42-(0))+'Assumptions'!H47-'Assumptions'!H52*(F934)+'Assumptions'!H57-'Assumptions'!H62*(1)-'Assumptions'!H67-(0))+(('Historical Inputs'!$N$9*(1+(D934))^3)*('Assumptions'!G67+(0))))*'DCF'!H12/(1+(G934))^'DCF'!H13,(('Historical Inputs'!$N$9*(1+(D934))^5)*(('Assumptions'!I37+(E934))*(1-'Assumptions'!I42-(0))+'Assumptions'!I47-'Assumptions'!I52*(F934)+'Assumptions'!I57-'Assumptions'!I62*(1)-'Assumptions'!I67-(0))+(('Historical Inputs'!$N$9*(1+(D934))^4)*('Assumptions'!H67+(0))))*'DCF'!I12/(1+(G934))^'DCF'!I13)+('Historical Inputs'!$N$9*(1+(D934))^5)*(1+(H934))*('Terminal Value'!$E$10+(E934))*(1-'Assumptions'!$E$15-(0))*(1-(H934)/('Terminal Value'!$E$12))/((G934)-(H934))/(1+(G934))^'DCF'!$E$19)+'Equity Bridge'!$E$17)/'Equity Bridge'!$E$20</x:f>
        <x:v>338.7178864543305</x:v>
      </x:c>
      <x:c r="X934" s="255" t="n">
        <x:v>0.5731367893462856</x:v>
      </x:c>
      <x:c r="Y934" s="255" t="n">
        <x:v>0.8544243065678047</x:v>
      </x:c>
      <x:c r="Z934" s="255" t="n">
        <x:v>0.0368113969382462</x:v>
      </x:c>
      <x:c r="AA934" s="255" t="n">
        <x:v>0.37468812870243295</x:v>
      </x:c>
      <x:c r="AB934" s="255" t="n">
        <x:v>0.8651305383424689</x:v>
      </x:c>
    </x:row>
    <x:row r="935" ht="24" customHeight="1">
      <x:c r="C935" s="256" t="n">
        <x:f>904</x:f>
        <x:v>904</x:v>
      </x:c>
      <x:c r="D935" s="258" t="n">
        <x:f>IF(X935&lt;($E$12-$D$12)/($F$12-$D$12),$D$12+SQRT(X935*($F$12-$D$12)*($E$12-$D$12)),$F$12-SQRT((1-X935)*($F$12-$D$12)*($F$12-$E$12)))</x:f>
        <x:v>0.17970633767161445</x:v>
      </x:c>
      <x:c r="E935" s="258" t="n">
        <x:f>IF(Y935&lt;($E$13-$D$13)/($F$13-$D$13),$D$13+SQRT(Y935*($F$13-$D$13)*($E$13-$D$13)),$F$13-SQRT((1-Y935)*($F$13-$D$13)*($F$13-$E$13)))</x:f>
        <x:v>-0.006615066113038429</x:v>
      </x:c>
      <x:c r="F935" s="260" t="n">
        <x:f>IF(Z935&lt;($E$14-$D$14)/($F$14-$D$14),$D$14+SQRT(Z935*($F$14-$D$14)*($E$14-$D$14)),$F$14-SQRT((1-Z935)*($F$14-$D$14)*($F$14-$E$14)))</x:f>
        <x:v>0.9781496000261836</x:v>
      </x:c>
      <x:c r="G935" s="258" t="n">
        <x:f>IF(AA935&lt;($E$15-$D$15)/($F$15-$D$15),$D$15+SQRT(AA935*($F$15-$D$15)*($E$15-$D$15)),$F$15-SQRT((1-AA935)*($F$15-$D$15)*($F$15-$E$15)))</x:f>
        <x:v>0.10617590959632833</x:v>
      </x:c>
      <x:c r="H935" s="258" t="n">
        <x:f>IF(AB935&lt;($E$16-$D$16)/($F$16-$D$16),$D$16+SQRT(AB935*($F$16-$D$16)*($E$16-$D$16)),$F$16-SQRT((1-AB935)*($F$16-$D$16)*($F$16-$E$16)))</x:f>
        <x:v>0.03011997242893288</x:v>
      </x:c>
      <x:c r="I935" s="262" t="n">
        <x:f>'Historical Inputs'!$N$9*(1+D935)^5</x:f>
        <x:v>758223.0603060966</x:v>
      </x:c>
      <x:c r="J935" s="262" t="n">
        <x:f>I935*(1+H935)*('Terminal Value'!$E$10+E935)*(1-'Assumptions'!$E$15)*(1-H935/'Terminal Value'!$E$12)</x:f>
        <x:v>208787.66313082795</x:v>
      </x:c>
      <x:c r="K935" s="264" t="n">
        <x:f>((SUM((('Historical Inputs'!$N$9*(1+(D935))^1)*(('Assumptions'!E37+(E935))*(1-'Assumptions'!E42-(0))+'Assumptions'!E47-'Assumptions'!E52*(F935)+'Assumptions'!E57-'Assumptions'!E62*(1)-'Assumptions'!E67-(0))+('Working Capital'!$E$6))*'DCF'!E12/(1+(G935))^'DCF'!E13,(('Historical Inputs'!$N$9*(1+(D935))^2)*(('Assumptions'!F37+(E935))*(1-'Assumptions'!F42-(0))+'Assumptions'!F47-'Assumptions'!F52*(F935)+'Assumptions'!F57-'Assumptions'!F62*(1)-'Assumptions'!F67-(0))+(('Historical Inputs'!$N$9*(1+(D935))^1)*('Assumptions'!E67+(0))))*'DCF'!F12/(1+(G935))^'DCF'!F13,(('Historical Inputs'!$N$9*(1+(D935))^3)*(('Assumptions'!G37+(E935))*(1-'Assumptions'!G42-(0))+'Assumptions'!G47-'Assumptions'!G52*(F935)+'Assumptions'!G57-'Assumptions'!G62*(1)-'Assumptions'!G67-(0))+(('Historical Inputs'!$N$9*(1+(D935))^2)*('Assumptions'!F67+(0))))*'DCF'!G12/(1+(G935))^'DCF'!G13,(('Historical Inputs'!$N$9*(1+(D935))^4)*(('Assumptions'!H37+(E935))*(1-'Assumptions'!H42-(0))+'Assumptions'!H47-'Assumptions'!H52*(F935)+'Assumptions'!H57-'Assumptions'!H62*(1)-'Assumptions'!H67-(0))+(('Historical Inputs'!$N$9*(1+(D935))^3)*('Assumptions'!G67+(0))))*'DCF'!H12/(1+(G935))^'DCF'!H13,(('Historical Inputs'!$N$9*(1+(D935))^5)*(('Assumptions'!I37+(E935))*(1-'Assumptions'!I42-(0))+'Assumptions'!I47-'Assumptions'!I52*(F935)+'Assumptions'!I57-'Assumptions'!I62*(1)-'Assumptions'!I67-(0))+(('Historical Inputs'!$N$9*(1+(D935))^4)*('Assumptions'!H67+(0))))*'DCF'!I12/(1+(G935))^'DCF'!I13)+('Historical Inputs'!$N$9*(1+(D935))^5)*(1+(H935))*('Terminal Value'!$E$10+(E935))*(1-'Assumptions'!$E$15-(0))*(1-(H935)/('Terminal Value'!$E$12))/((G935)-(H935))/(1+(G935))^'DCF'!$E$19)+'Equity Bridge'!$E$17)/'Equity Bridge'!$E$20</x:f>
        <x:v>289.94315698691514</x:v>
      </x:c>
      <x:c r="X935" s="255" t="n">
        <x:v>0.963275791789306</x:v>
      </x:c>
      <x:c r="Y935" s="255" t="n">
        <x:v>0.37645049767520533</x:v>
      </x:c>
      <x:c r="Z935" s="255" t="n">
        <x:v>0.3128060949880155</x:v>
      </x:c>
      <x:c r="AA935" s="255" t="n">
        <x:v>0.8922140025798382</x:v>
      </x:c>
      <x:c r="AB935" s="255" t="n">
        <x:v>0.5119252759747679</x:v>
      </x:c>
    </x:row>
    <x:row r="936" ht="24" customHeight="1">
      <x:c r="C936" s="256" t="n">
        <x:f>905</x:f>
        <x:v>905</x:v>
      </x:c>
      <x:c r="D936" s="258" t="n">
        <x:f>IF(X936&lt;($E$12-$D$12)/($F$12-$D$12),$D$12+SQRT(X936*($F$12-$D$12)*($E$12-$D$12)),$F$12-SQRT((1-X936)*($F$12-$D$12)*($F$12-$E$12)))</x:f>
        <x:v>0.13539791399830584</x:v>
      </x:c>
      <x:c r="E936" s="258" t="n">
        <x:f>IF(Y936&lt;($E$13-$D$13)/($F$13-$D$13),$D$13+SQRT(Y936*($F$13-$D$13)*($E$13-$D$13)),$F$13-SQRT((1-Y936)*($F$13-$D$13)*($F$13-$E$13)))</x:f>
        <x:v>-0.009716421106830318</x:v>
      </x:c>
      <x:c r="F936" s="260" t="n">
        <x:f>IF(Z936&lt;($E$14-$D$14)/($F$14-$D$14),$D$14+SQRT(Z936*($F$14-$D$14)*($E$14-$D$14)),$F$14-SQRT((1-Z936)*($F$14-$D$14)*($F$14-$E$14)))</x:f>
        <x:v>0.950829736568262</x:v>
      </x:c>
      <x:c r="G936" s="258" t="n">
        <x:f>IF(AA936&lt;($E$15-$D$15)/($F$15-$D$15),$D$15+SQRT(AA936*($F$15-$D$15)*($E$15-$D$15)),$F$15-SQRT((1-AA936)*($F$15-$D$15)*($F$15-$E$15)))</x:f>
        <x:v>0.09643353632731047</x:v>
      </x:c>
      <x:c r="H936" s="258" t="n">
        <x:f>IF(AB936&lt;($E$16-$D$16)/($F$16-$D$16),$D$16+SQRT(AB936*($F$16-$D$16)*($E$16-$D$16)),$F$16-SQRT((1-AB936)*($F$16-$D$16)*($F$16-$E$16)))</x:f>
        <x:v>0.027132784337528835</x:v>
      </x:c>
      <x:c r="I936" s="262" t="n">
        <x:f>'Historical Inputs'!$N$9*(1+D936)^5</x:f>
        <x:v>626134.8630647958</x:v>
      </x:c>
      <x:c r="J936" s="262" t="n">
        <x:f>I936*(1+H936)*('Terminal Value'!$E$10+E936)*(1-'Assumptions'!$E$15)*(1-H936/'Terminal Value'!$E$12)</x:f>
        <x:v>173559.0979868587</x:v>
      </x:c>
      <x:c r="K936" s="264" t="n">
        <x:f>((SUM((('Historical Inputs'!$N$9*(1+(D936))^1)*(('Assumptions'!E37+(E936))*(1-'Assumptions'!E42-(0))+'Assumptions'!E47-'Assumptions'!E52*(F936)+'Assumptions'!E57-'Assumptions'!E62*(1)-'Assumptions'!E67-(0))+('Working Capital'!$E$6))*'DCF'!E12/(1+(G936))^'DCF'!E13,(('Historical Inputs'!$N$9*(1+(D936))^2)*(('Assumptions'!F37+(E936))*(1-'Assumptions'!F42-(0))+'Assumptions'!F47-'Assumptions'!F52*(F936)+'Assumptions'!F57-'Assumptions'!F62*(1)-'Assumptions'!F67-(0))+(('Historical Inputs'!$N$9*(1+(D936))^1)*('Assumptions'!E67+(0))))*'DCF'!F12/(1+(G936))^'DCF'!F13,(('Historical Inputs'!$N$9*(1+(D936))^3)*(('Assumptions'!G37+(E936))*(1-'Assumptions'!G42-(0))+'Assumptions'!G47-'Assumptions'!G52*(F936)+'Assumptions'!G57-'Assumptions'!G62*(1)-'Assumptions'!G67-(0))+(('Historical Inputs'!$N$9*(1+(D936))^2)*('Assumptions'!F67+(0))))*'DCF'!G12/(1+(G936))^'DCF'!G13,(('Historical Inputs'!$N$9*(1+(D936))^4)*(('Assumptions'!H37+(E936))*(1-'Assumptions'!H42-(0))+'Assumptions'!H47-'Assumptions'!H52*(F936)+'Assumptions'!H57-'Assumptions'!H62*(1)-'Assumptions'!H67-(0))+(('Historical Inputs'!$N$9*(1+(D936))^3)*('Assumptions'!G67+(0))))*'DCF'!H12/(1+(G936))^'DCF'!H13,(('Historical Inputs'!$N$9*(1+(D936))^5)*(('Assumptions'!I37+(E936))*(1-'Assumptions'!I42-(0))+'Assumptions'!I47-'Assumptions'!I52*(F936)+'Assumptions'!I57-'Assumptions'!I62*(1)-'Assumptions'!I67-(0))+(('Historical Inputs'!$N$9*(1+(D936))^4)*('Assumptions'!H67+(0))))*'DCF'!I12/(1+(G936))^'DCF'!I13)+('Historical Inputs'!$N$9*(1+(D936))^5)*(1+(H936))*('Terminal Value'!$E$10+(E936))*(1-'Assumptions'!$E$15-(0))*(1-(H936)/('Terminal Value'!$E$12))/((G936)-(H936))/(1+(G936))^'DCF'!$E$19)+'Equity Bridge'!$E$17)/'Equity Bridge'!$E$20</x:f>
        <x:v>273.25168998119113</x:v>
      </x:c>
      <x:c r="X936" s="255" t="n">
        <x:v>0.35517095861461445</x:v>
      </x:c>
      <x:c r="Y936" s="255" t="n">
        <x:v>0.3245533456884452</x:v>
      </x:c>
      <x:c r="Z936" s="255" t="n">
        <x:v>0.19365020526524035</x:v>
      </x:c>
      <x:c r="AA936" s="255" t="n">
        <x:v>0.3926850885656703</x:v>
      </x:c>
      <x:c r="AB936" s="255" t="n">
        <x:v>0.2543830620284835</x:v>
      </x:c>
    </x:row>
    <x:row r="937" ht="24" customHeight="1">
      <x:c r="C937" s="256" t="n">
        <x:f>906</x:f>
        <x:v>906</x:v>
      </x:c>
      <x:c r="D937" s="258" t="n">
        <x:f>IF(X937&lt;($E$12-$D$12)/($F$12-$D$12),$D$12+SQRT(X937*($F$12-$D$12)*($E$12-$D$12)),$F$12-SQRT((1-X937)*($F$12-$D$12)*($F$12-$E$12)))</x:f>
        <x:v>0.14513012113850915</x:v>
      </x:c>
      <x:c r="E937" s="258" t="n">
        <x:f>IF(Y937&lt;($E$13-$D$13)/($F$13-$D$13),$D$13+SQRT(Y937*($F$13-$D$13)*($E$13-$D$13)),$F$13-SQRT((1-Y937)*($F$13-$D$13)*($F$13-$E$13)))</x:f>
        <x:v>-0.011363557202236765</x:v>
      </x:c>
      <x:c r="F937" s="260" t="n">
        <x:f>IF(Z937&lt;($E$14-$D$14)/($F$14-$D$14),$D$14+SQRT(Z937*($F$14-$D$14)*($E$14-$D$14)),$F$14-SQRT((1-Z937)*($F$14-$D$14)*($F$14-$E$14)))</x:f>
        <x:v>1.0882539810875422</x:v>
      </x:c>
      <x:c r="G937" s="258" t="n">
        <x:f>IF(AA937&lt;($E$15-$D$15)/($F$15-$D$15),$D$15+SQRT(AA937*($F$15-$D$15)*($E$15-$D$15)),$F$15-SQRT((1-AA937)*($F$15-$D$15)*($F$15-$E$15)))</x:f>
        <x:v>0.1021909965800483</x:v>
      </x:c>
      <x:c r="H937" s="258" t="n">
        <x:f>IF(AB937&lt;($E$16-$D$16)/($F$16-$D$16),$D$16+SQRT(AB937*($F$16-$D$16)*($E$16-$D$16)),$F$16-SQRT((1-AB937)*($F$16-$D$16)*($F$16-$E$16)))</x:f>
        <x:v>0.029916597868987115</x:v>
      </x:c>
      <x:c r="I937" s="262" t="n">
        <x:f>'Historical Inputs'!$N$9*(1+D937)^5</x:f>
        <x:v>653433.833728324</x:v>
      </x:c>
      <x:c r="J937" s="262" t="n">
        <x:f>I937*(1+H937)*('Terminal Value'!$E$10+E937)*(1-'Assumptions'!$E$15)*(1-H937/'Terminal Value'!$E$12)</x:f>
        <x:v>177938.17131986006</x:v>
      </x:c>
      <x:c r="K937" s="264" t="n">
        <x:f>((SUM((('Historical Inputs'!$N$9*(1+(D937))^1)*(('Assumptions'!E37+(E937))*(1-'Assumptions'!E42-(0))+'Assumptions'!E47-'Assumptions'!E52*(F937)+'Assumptions'!E57-'Assumptions'!E62*(1)-'Assumptions'!E67-(0))+('Working Capital'!$E$6))*'DCF'!E12/(1+(G937))^'DCF'!E13,(('Historical Inputs'!$N$9*(1+(D937))^2)*(('Assumptions'!F37+(E937))*(1-'Assumptions'!F42-(0))+'Assumptions'!F47-'Assumptions'!F52*(F937)+'Assumptions'!F57-'Assumptions'!F62*(1)-'Assumptions'!F67-(0))+(('Historical Inputs'!$N$9*(1+(D937))^1)*('Assumptions'!E67+(0))))*'DCF'!F12/(1+(G937))^'DCF'!F13,(('Historical Inputs'!$N$9*(1+(D937))^3)*(('Assumptions'!G37+(E937))*(1-'Assumptions'!G42-(0))+'Assumptions'!G47-'Assumptions'!G52*(F937)+'Assumptions'!G57-'Assumptions'!G62*(1)-'Assumptions'!G67-(0))+(('Historical Inputs'!$N$9*(1+(D937))^2)*('Assumptions'!F67+(0))))*'DCF'!G12/(1+(G937))^'DCF'!G13,(('Historical Inputs'!$N$9*(1+(D937))^4)*(('Assumptions'!H37+(E937))*(1-'Assumptions'!H42-(0))+'Assumptions'!H47-'Assumptions'!H52*(F937)+'Assumptions'!H57-'Assumptions'!H62*(1)-'Assumptions'!H67-(0))+(('Historical Inputs'!$N$9*(1+(D937))^3)*('Assumptions'!G67+(0))))*'DCF'!H12/(1+(G937))^'DCF'!H13,(('Historical Inputs'!$N$9*(1+(D937))^5)*(('Assumptions'!I37+(E937))*(1-'Assumptions'!I42-(0))+'Assumptions'!I47-'Assumptions'!I52*(F937)+'Assumptions'!I57-'Assumptions'!I62*(1)-'Assumptions'!I67-(0))+(('Historical Inputs'!$N$9*(1+(D937))^4)*('Assumptions'!H67+(0))))*'DCF'!I12/(1+(G937))^'DCF'!I13)+('Historical Inputs'!$N$9*(1+(D937))^5)*(1+(H937))*('Terminal Value'!$E$10+(E937))*(1-'Assumptions'!$E$15-(0))*(1-(H937)/('Terminal Value'!$E$12))/((G937)-(H937))/(1+(G937))^'DCF'!$E$19)+'Equity Bridge'!$E$17)/'Equity Bridge'!$E$20</x:f>
        <x:v>256.18644167949117</x:v>
      </x:c>
      <x:c r="X937" s="255" t="n">
        <x:v>0.5367602860421744</x:v>
      </x:c>
      <x:c r="Y937" s="255" t="n">
        <x:v>0.2985549424129661</x:v>
      </x:c>
      <x:c r="Z937" s="255" t="n">
        <x:v>0.8216118179602377</x:v>
      </x:c>
      <x:c r="AA937" s="255" t="n">
        <x:v>0.7335805271913106</x:v>
      </x:c>
      <x:c r="AB937" s="255" t="n">
        <x:v>0.4916945664759991</x:v>
      </x:c>
    </x:row>
    <x:row r="938" ht="24" customHeight="1">
      <x:c r="C938" s="256" t="n">
        <x:f>907</x:f>
        <x:v>907</x:v>
      </x:c>
      <x:c r="D938" s="258" t="n">
        <x:f>IF(X938&lt;($E$12-$D$12)/($F$12-$D$12),$D$12+SQRT(X938*($F$12-$D$12)*($E$12-$D$12)),$F$12-SQRT((1-X938)*($F$12-$D$12)*($F$12-$E$12)))</x:f>
        <x:v>0.13001028121141733</x:v>
      </x:c>
      <x:c r="E938" s="258" t="n">
        <x:f>IF(Y938&lt;($E$13-$D$13)/($F$13-$D$13),$D$13+SQRT(Y938*($F$13-$D$13)*($E$13-$D$13)),$F$13-SQRT((1-Y938)*($F$13-$D$13)*($F$13-$E$13)))</x:f>
        <x:v>-0.004833342360184505</x:v>
      </x:c>
      <x:c r="F938" s="260" t="n">
        <x:f>IF(Z938&lt;($E$14-$D$14)/($F$14-$D$14),$D$14+SQRT(Z938*($F$14-$D$14)*($E$14-$D$14)),$F$14-SQRT((1-Z938)*($F$14-$D$14)*($F$14-$E$14)))</x:f>
        <x:v>0.9136041547833352</x:v>
      </x:c>
      <x:c r="G938" s="258" t="n">
        <x:f>IF(AA938&lt;($E$15-$D$15)/($F$15-$D$15),$D$15+SQRT(AA938*($F$15-$D$15)*($E$15-$D$15)),$F$15-SQRT((1-AA938)*($F$15-$D$15)*($F$15-$E$15)))</x:f>
        <x:v>0.10554802249664234</x:v>
      </x:c>
      <x:c r="H938" s="258" t="n">
        <x:f>IF(AB938&lt;($E$16-$D$16)/($F$16-$D$16),$D$16+SQRT(AB938*($F$16-$D$16)*($E$16-$D$16)),$F$16-SQRT((1-AB938)*($F$16-$D$16)*($F$16-$E$16)))</x:f>
        <x:v>0.03002248898152286</x:v>
      </x:c>
      <x:c r="I938" s="262" t="n">
        <x:f>'Historical Inputs'!$N$9*(1+D938)^5</x:f>
        <x:v>611419.6614603085</x:v>
      </x:c>
      <x:c r="J938" s="262" t="n">
        <x:f>I938*(1+H938)*('Terminal Value'!$E$10+E938)*(1-'Assumptions'!$E$15)*(1-H938/'Terminal Value'!$E$12)</x:f>
        <x:v>169206.81773878774</x:v>
      </x:c>
      <x:c r="K938" s="264" t="n">
        <x:f>((SUM((('Historical Inputs'!$N$9*(1+(D938))^1)*(('Assumptions'!E37+(E938))*(1-'Assumptions'!E42-(0))+'Assumptions'!E47-'Assumptions'!E52*(F938)+'Assumptions'!E57-'Assumptions'!E62*(1)-'Assumptions'!E67-(0))+('Working Capital'!$E$6))*'DCF'!E12/(1+(G938))^'DCF'!E13,(('Historical Inputs'!$N$9*(1+(D938))^2)*(('Assumptions'!F37+(E938))*(1-'Assumptions'!F42-(0))+'Assumptions'!F47-'Assumptions'!F52*(F938)+'Assumptions'!F57-'Assumptions'!F62*(1)-'Assumptions'!F67-(0))+(('Historical Inputs'!$N$9*(1+(D938))^1)*('Assumptions'!E67+(0))))*'DCF'!F12/(1+(G938))^'DCF'!F13,(('Historical Inputs'!$N$9*(1+(D938))^3)*(('Assumptions'!G37+(E938))*(1-'Assumptions'!G42-(0))+'Assumptions'!G47-'Assumptions'!G52*(F938)+'Assumptions'!G57-'Assumptions'!G62*(1)-'Assumptions'!G67-(0))+(('Historical Inputs'!$N$9*(1+(D938))^2)*('Assumptions'!F67+(0))))*'DCF'!G12/(1+(G938))^'DCF'!G13,(('Historical Inputs'!$N$9*(1+(D938))^4)*(('Assumptions'!H37+(E938))*(1-'Assumptions'!H42-(0))+'Assumptions'!H47-'Assumptions'!H52*(F938)+'Assumptions'!H57-'Assumptions'!H62*(1)-'Assumptions'!H67-(0))+(('Historical Inputs'!$N$9*(1+(D938))^3)*('Assumptions'!G67+(0))))*'DCF'!H12/(1+(G938))^'DCF'!H13,(('Historical Inputs'!$N$9*(1+(D938))^5)*(('Assumptions'!I37+(E938))*(1-'Assumptions'!I42-(0))+'Assumptions'!I47-'Assumptions'!I52*(F938)+'Assumptions'!I57-'Assumptions'!I62*(1)-'Assumptions'!I67-(0))+(('Historical Inputs'!$N$9*(1+(D938))^4)*('Assumptions'!H67+(0))))*'DCF'!I12/(1+(G938))^'DCF'!I13)+('Historical Inputs'!$N$9*(1+(D938))^5)*(1+(H938))*('Terminal Value'!$E$10+(E938))*(1-'Assumptions'!$E$15-(0))*(1-(H938)/('Terminal Value'!$E$12))/((G938)-(H938))/(1+(G938))^'DCF'!$E$19)+'Equity Bridge'!$E$17)/'Equity Bridge'!$E$20</x:f>
        <x:v>243.82353392368947</x:v>
      </x:c>
      <x:c r="X938" s="255" t="n">
        <x:v>0.27016041508950994</x:v>
      </x:c>
      <x:c r="Y938" s="255" t="n">
        <x:v>0.40800539247046064</x:v>
      </x:c>
      <x:c r="Z938" s="255" t="n">
        <x:v>0.07705692391814223</x:v>
      </x:c>
      <x:c r="AA938" s="255" t="n">
        <x:v>0.8719028225640164</x:v>
      </x:c>
      <x:c r="AB938" s="255" t="n">
        <x:v>0.5022463693808364</x:v>
      </x:c>
    </x:row>
    <x:row r="939" ht="24" customHeight="1">
      <x:c r="C939" s="256" t="n">
        <x:f>908</x:f>
        <x:v>908</x:v>
      </x:c>
      <x:c r="D939" s="258" t="n">
        <x:f>IF(X939&lt;($E$12-$D$12)/($F$12-$D$12),$D$12+SQRT(X939*($F$12-$D$12)*($E$12-$D$12)),$F$12-SQRT((1-X939)*($F$12-$D$12)*($F$12-$E$12)))</x:f>
        <x:v>0.1467555759748838</x:v>
      </x:c>
      <x:c r="E939" s="258" t="n">
        <x:f>IF(Y939&lt;($E$13-$D$13)/($F$13-$D$13),$D$13+SQRT(Y939*($F$13-$D$13)*($E$13-$D$13)),$F$13-SQRT((1-Y939)*($F$13-$D$13)*($F$13-$E$13)))</x:f>
        <x:v>-0.03832445085493741</x:v>
      </x:c>
      <x:c r="F939" s="260" t="n">
        <x:f>IF(Z939&lt;($E$14-$D$14)/($F$14-$D$14),$D$14+SQRT(Z939*($F$14-$D$14)*($E$14-$D$14)),$F$14-SQRT((1-Z939)*($F$14-$D$14)*($F$14-$E$14)))</x:f>
        <x:v>1.044273362045337</x:v>
      </x:c>
      <x:c r="G939" s="258" t="n">
        <x:f>IF(AA939&lt;($E$15-$D$15)/($F$15-$D$15),$D$15+SQRT(AA939*($F$15-$D$15)*($E$15-$D$15)),$F$15-SQRT((1-AA939)*($F$15-$D$15)*($F$15-$E$15)))</x:f>
        <x:v>0.09438320360717842</x:v>
      </x:c>
      <x:c r="H939" s="258" t="n">
        <x:f>IF(AB939&lt;($E$16-$D$16)/($F$16-$D$16),$D$16+SQRT(AB939*($F$16-$D$16)*($E$16-$D$16)),$F$16-SQRT((1-AB939)*($F$16-$D$16)*($F$16-$E$16)))</x:f>
        <x:v>0.02535671373135114</x:v>
      </x:c>
      <x:c r="I939" s="262" t="n">
        <x:f>'Historical Inputs'!$N$9*(1+D939)^5</x:f>
        <x:v>658084.6010138233</x:v>
      </x:c>
      <x:c r="J939" s="262" t="n">
        <x:f>I939*(1+H939)*('Terminal Value'!$E$10+E939)*(1-'Assumptions'!$E$15)*(1-H939/'Terminal Value'!$E$12)</x:f>
        <x:v>170485.61623986094</x:v>
      </x:c>
      <x:c r="K939" s="264" t="n">
        <x:f>((SUM((('Historical Inputs'!$N$9*(1+(D939))^1)*(('Assumptions'!E37+(E939))*(1-'Assumptions'!E42-(0))+'Assumptions'!E47-'Assumptions'!E52*(F939)+'Assumptions'!E57-'Assumptions'!E62*(1)-'Assumptions'!E67-(0))+('Working Capital'!$E$6))*'DCF'!E12/(1+(G939))^'DCF'!E13,(('Historical Inputs'!$N$9*(1+(D939))^2)*(('Assumptions'!F37+(E939))*(1-'Assumptions'!F42-(0))+'Assumptions'!F47-'Assumptions'!F52*(F939)+'Assumptions'!F57-'Assumptions'!F62*(1)-'Assumptions'!F67-(0))+(('Historical Inputs'!$N$9*(1+(D939))^1)*('Assumptions'!E67+(0))))*'DCF'!F12/(1+(G939))^'DCF'!F13,(('Historical Inputs'!$N$9*(1+(D939))^3)*(('Assumptions'!G37+(E939))*(1-'Assumptions'!G42-(0))+'Assumptions'!G47-'Assumptions'!G52*(F939)+'Assumptions'!G57-'Assumptions'!G62*(1)-'Assumptions'!G67-(0))+(('Historical Inputs'!$N$9*(1+(D939))^2)*('Assumptions'!F67+(0))))*'DCF'!G12/(1+(G939))^'DCF'!G13,(('Historical Inputs'!$N$9*(1+(D939))^4)*(('Assumptions'!H37+(E939))*(1-'Assumptions'!H42-(0))+'Assumptions'!H47-'Assumptions'!H52*(F939)+'Assumptions'!H57-'Assumptions'!H62*(1)-'Assumptions'!H67-(0))+(('Historical Inputs'!$N$9*(1+(D939))^3)*('Assumptions'!G67+(0))))*'DCF'!H12/(1+(G939))^'DCF'!H13,(('Historical Inputs'!$N$9*(1+(D939))^5)*(('Assumptions'!I37+(E939))*(1-'Assumptions'!I42-(0))+'Assumptions'!I47-'Assumptions'!I52*(F939)+'Assumptions'!I57-'Assumptions'!I62*(1)-'Assumptions'!I67-(0))+(('Historical Inputs'!$N$9*(1+(D939))^4)*('Assumptions'!H67+(0))))*'DCF'!I12/(1+(G939))^'DCF'!I13)+('Historical Inputs'!$N$9*(1+(D939))^5)*(1+(H939))*('Terminal Value'!$E$10+(E939))*(1-'Assumptions'!$E$15-(0))*(1-(H939)/('Terminal Value'!$E$12))/((G939)-(H939))/(1+(G939))^'DCF'!$E$19)+'Equity Bridge'!$E$17)/'Equity Bridge'!$E$20</x:f>
        <x:v>262.49429418876736</x:v>
      </x:c>
      <x:c r="X939" s="255" t="n">
        <x:v>0.5675231067500748</x:v>
      </x:c>
      <x:c r="Y939" s="255" t="n">
        <x:v>0.02726368956775438</x:v>
      </x:c>
      <x:c r="Z939" s="255" t="n">
        <x:v>0.653560203304819</x:v>
      </x:c>
      <x:c r="AA939" s="255" t="n">
        <x:v>0.2808918299121046</x:v>
      </x:c>
      <x:c r="AB939" s="255" t="n">
        <x:v>0.14347190999822934</x:v>
      </x:c>
    </x:row>
    <x:row r="940" ht="24" customHeight="1">
      <x:c r="C940" s="256" t="n">
        <x:f>909</x:f>
        <x:v>909</x:v>
      </x:c>
      <x:c r="D940" s="258" t="n">
        <x:f>IF(X940&lt;($E$12-$D$12)/($F$12-$D$12),$D$12+SQRT(X940*($F$12-$D$12)*($E$12-$D$12)),$F$12-SQRT((1-X940)*($F$12-$D$12)*($F$12-$E$12)))</x:f>
        <x:v>0.1351757050854255</x:v>
      </x:c>
      <x:c r="E940" s="258" t="n">
        <x:f>IF(Y940&lt;($E$13-$D$13)/($F$13-$D$13),$D$13+SQRT(Y940*($F$13-$D$13)*($E$13-$D$13)),$F$13-SQRT((1-Y940)*($F$13-$D$13)*($F$13-$E$13)))</x:f>
        <x:v>0.0005905116691535539</x:v>
      </x:c>
      <x:c r="F940" s="260" t="n">
        <x:f>IF(Z940&lt;($E$14-$D$14)/($F$14-$D$14),$D$14+SQRT(Z940*($F$14-$D$14)*($E$14-$D$14)),$F$14-SQRT((1-Z940)*($F$14-$D$14)*($F$14-$E$14)))</x:f>
        <x:v>1.0521387348848428</x:v>
      </x:c>
      <x:c r="G940" s="258" t="n">
        <x:f>IF(AA940&lt;($E$15-$D$15)/($F$15-$D$15),$D$15+SQRT(AA940*($F$15-$D$15)*($E$15-$D$15)),$F$15-SQRT((1-AA940)*($F$15-$D$15)*($F$15-$E$15)))</x:f>
        <x:v>0.09532108813391349</x:v>
      </x:c>
      <x:c r="H940" s="258" t="n">
        <x:f>IF(AB940&lt;($E$16-$D$16)/($F$16-$D$16),$D$16+SQRT(AB940*($F$16-$D$16)*($E$16-$D$16)),$F$16-SQRT((1-AB940)*($F$16-$D$16)*($F$16-$E$16)))</x:f>
        <x:v>0.029351123506606805</x:v>
      </x:c>
      <x:c r="I940" s="262" t="n">
        <x:f>'Historical Inputs'!$N$9*(1+D940)^5</x:f>
        <x:v>625522.398056736</x:v>
      </x:c>
      <x:c r="J940" s="262" t="n">
        <x:f>I940*(1+H940)*('Terminal Value'!$E$10+E940)*(1-'Assumptions'!$E$15)*(1-H940/'Terminal Value'!$E$12)</x:f>
        <x:v>176063.97028069454</x:v>
      </x:c>
      <x:c r="K940" s="264" t="n">
        <x:f>((SUM((('Historical Inputs'!$N$9*(1+(D940))^1)*(('Assumptions'!E37+(E940))*(1-'Assumptions'!E42-(0))+'Assumptions'!E47-'Assumptions'!E52*(F940)+'Assumptions'!E57-'Assumptions'!E62*(1)-'Assumptions'!E67-(0))+('Working Capital'!$E$6))*'DCF'!E12/(1+(G940))^'DCF'!E13,(('Historical Inputs'!$N$9*(1+(D940))^2)*(('Assumptions'!F37+(E940))*(1-'Assumptions'!F42-(0))+'Assumptions'!F47-'Assumptions'!F52*(F940)+'Assumptions'!F57-'Assumptions'!F62*(1)-'Assumptions'!F67-(0))+(('Historical Inputs'!$N$9*(1+(D940))^1)*('Assumptions'!E67+(0))))*'DCF'!F12/(1+(G940))^'DCF'!F13,(('Historical Inputs'!$N$9*(1+(D940))^3)*(('Assumptions'!G37+(E940))*(1-'Assumptions'!G42-(0))+'Assumptions'!G47-'Assumptions'!G52*(F940)+'Assumptions'!G57-'Assumptions'!G62*(1)-'Assumptions'!G67-(0))+(('Historical Inputs'!$N$9*(1+(D940))^2)*('Assumptions'!F67+(0))))*'DCF'!G12/(1+(G940))^'DCF'!G13,(('Historical Inputs'!$N$9*(1+(D940))^4)*(('Assumptions'!H37+(E940))*(1-'Assumptions'!H42-(0))+'Assumptions'!H47-'Assumptions'!H52*(F940)+'Assumptions'!H57-'Assumptions'!H62*(1)-'Assumptions'!H67-(0))+(('Historical Inputs'!$N$9*(1+(D940))^3)*('Assumptions'!G67+(0))))*'DCF'!H12/(1+(G940))^'DCF'!H13,(('Historical Inputs'!$N$9*(1+(D940))^5)*(('Assumptions'!I37+(E940))*(1-'Assumptions'!I42-(0))+'Assumptions'!I47-'Assumptions'!I52*(F940)+'Assumptions'!I57-'Assumptions'!I62*(1)-'Assumptions'!I67-(0))+(('Historical Inputs'!$N$9*(1+(D940))^4)*('Assumptions'!H67+(0))))*'DCF'!I12/(1+(G940))^'DCF'!I13)+('Historical Inputs'!$N$9*(1+(D940))^5)*(1+(H940))*('Terminal Value'!$E$10+(E940))*(1-'Assumptions'!$E$15-(0))*(1-(H940)/('Terminal Value'!$E$12))/((G940)-(H940))/(1+(G940))^'DCF'!$E$19)+'Equity Bridge'!$E$17)/'Equity Bridge'!$E$20</x:f>
        <x:v>284.5116240839196</x:v>
      </x:c>
      <x:c r="X940" s="255" t="n">
        <x:v>0.3514352012398462</x:v>
      </x:c>
      <x:c r="Y940" s="255" t="n">
        <x:v>0.5117404925767898</x:v>
      </x:c>
      <x:c r="Z940" s="255" t="n">
        <x:v>0.6876720896935025</x:v>
      </x:c>
      <x:c r="AA940" s="255" t="n">
        <x:v>0.32971091450992596</x:v>
      </x:c>
      <x:c r="AB940" s="255" t="n">
        <x:v>0.43721755417907204</x:v>
      </x:c>
    </x:row>
    <x:row r="941" ht="24" customHeight="1">
      <x:c r="C941" s="256" t="n">
        <x:f>910</x:f>
        <x:v>910</x:v>
      </x:c>
      <x:c r="D941" s="258" t="n">
        <x:f>IF(X941&lt;($E$12-$D$12)/($F$12-$D$12),$D$12+SQRT(X941*($F$12-$D$12)*($E$12-$D$12)),$F$12-SQRT((1-X941)*($F$12-$D$12)*($F$12-$E$12)))</x:f>
        <x:v>0.12216848451811796</x:v>
      </x:c>
      <x:c r="E941" s="258" t="n">
        <x:f>IF(Y941&lt;($E$13-$D$13)/($F$13-$D$13),$D$13+SQRT(Y941*($F$13-$D$13)*($E$13-$D$13)),$F$13-SQRT((1-Y941)*($F$13-$D$13)*($F$13-$E$13)))</x:f>
        <x:v>0.046636725168845226</x:v>
      </x:c>
      <x:c r="F941" s="260" t="n">
        <x:f>IF(Z941&lt;($E$14-$D$14)/($F$14-$D$14),$D$14+SQRT(Z941*($F$14-$D$14)*($E$14-$D$14)),$F$14-SQRT((1-Z941)*($F$14-$D$14)*($F$14-$E$14)))</x:f>
        <x:v>0.9521614649457708</x:v>
      </x:c>
      <x:c r="G941" s="258" t="n">
        <x:f>IF(AA941&lt;($E$15-$D$15)/($F$15-$D$15),$D$15+SQRT(AA941*($F$15-$D$15)*($E$15-$D$15)),$F$15-SQRT((1-AA941)*($F$15-$D$15)*($F$15-$E$15)))</x:f>
        <x:v>0.09580240957590573</x:v>
      </x:c>
      <x:c r="H941" s="258" t="n">
        <x:f>IF(AB941&lt;($E$16-$D$16)/($F$16-$D$16),$D$16+SQRT(AB941*($F$16-$D$16)*($E$16-$D$16)),$F$16-SQRT((1-AB941)*($F$16-$D$16)*($F$16-$E$16)))</x:f>
        <x:v>0.032285091032122695</x:v>
      </x:c>
      <x:c r="I941" s="262" t="n">
        <x:f>'Historical Inputs'!$N$9*(1+D941)^5</x:f>
        <x:v>590497.0931567803</x:v>
      </x:c>
      <x:c r="J941" s="262" t="n">
        <x:f>I941*(1+H941)*('Terminal Value'!$E$10+E941)*(1-'Assumptions'!$E$15)*(1-H941/'Terminal Value'!$E$12)</x:f>
        <x:v>182643.20172589493</x:v>
      </x:c>
      <x:c r="K941" s="264" t="n">
        <x:f>((SUM((('Historical Inputs'!$N$9*(1+(D941))^1)*(('Assumptions'!E37+(E941))*(1-'Assumptions'!E42-(0))+'Assumptions'!E47-'Assumptions'!E52*(F941)+'Assumptions'!E57-'Assumptions'!E62*(1)-'Assumptions'!E67-(0))+('Working Capital'!$E$6))*'DCF'!E12/(1+(G941))^'DCF'!E13,(('Historical Inputs'!$N$9*(1+(D941))^2)*(('Assumptions'!F37+(E941))*(1-'Assumptions'!F42-(0))+'Assumptions'!F47-'Assumptions'!F52*(F941)+'Assumptions'!F57-'Assumptions'!F62*(1)-'Assumptions'!F67-(0))+(('Historical Inputs'!$N$9*(1+(D941))^1)*('Assumptions'!E67+(0))))*'DCF'!F12/(1+(G941))^'DCF'!F13,(('Historical Inputs'!$N$9*(1+(D941))^3)*(('Assumptions'!G37+(E941))*(1-'Assumptions'!G42-(0))+'Assumptions'!G47-'Assumptions'!G52*(F941)+'Assumptions'!G57-'Assumptions'!G62*(1)-'Assumptions'!G67-(0))+(('Historical Inputs'!$N$9*(1+(D941))^2)*('Assumptions'!F67+(0))))*'DCF'!G12/(1+(G941))^'DCF'!G13,(('Historical Inputs'!$N$9*(1+(D941))^4)*(('Assumptions'!H37+(E941))*(1-'Assumptions'!H42-(0))+'Assumptions'!H47-'Assumptions'!H52*(F941)+'Assumptions'!H57-'Assumptions'!H62*(1)-'Assumptions'!H67-(0))+(('Historical Inputs'!$N$9*(1+(D941))^3)*('Assumptions'!G67+(0))))*'DCF'!H12/(1+(G941))^'DCF'!H13,(('Historical Inputs'!$N$9*(1+(D941))^5)*(('Assumptions'!I37+(E941))*(1-'Assumptions'!I42-(0))+'Assumptions'!I47-'Assumptions'!I52*(F941)+'Assumptions'!I57-'Assumptions'!I62*(1)-'Assumptions'!I67-(0))+(('Historical Inputs'!$N$9*(1+(D941))^4)*('Assumptions'!H67+(0))))*'DCF'!I12/(1+(G941))^'DCF'!I13)+('Historical Inputs'!$N$9*(1+(D941))^5)*(1+(H941))*('Terminal Value'!$E$10+(E941))*(1-'Assumptions'!$E$15-(0))*(1-(H941)/('Terminal Value'!$E$12))/((G941)-(H941))/(1+(G941))^'DCF'!$E$19)+'Equity Bridge'!$E$17)/'Equity Bridge'!$E$20</x:f>
        <x:v>314.8231254195704</x:v>
      </x:c>
      <x:c r="X941" s="255" t="n">
        <x:v>0.16717453499888224</x:v>
      </x:c>
      <x:c r="Y941" s="255" t="n">
        <x:v>0.9977376764820242</x:v>
      </x:c>
      <x:c r="Z941" s="255" t="n">
        <x:v>0.19879933180697063</x:v>
      </x:c>
      <x:c r="AA941" s="255" t="n">
        <x:v>0.35628280927979783</x:v>
      </x:c>
      <x:c r="AB941" s="255" t="n">
        <x:v>0.7024008980868318</x:v>
      </x:c>
    </x:row>
    <x:row r="942" ht="24" customHeight="1">
      <x:c r="C942" s="256" t="n">
        <x:f>911</x:f>
        <x:v>911</x:v>
      </x:c>
      <x:c r="D942" s="258" t="n">
        <x:f>IF(X942&lt;($E$12-$D$12)/($F$12-$D$12),$D$12+SQRT(X942*($F$12-$D$12)*($E$12-$D$12)),$F$12-SQRT((1-X942)*($F$12-$D$12)*($F$12-$E$12)))</x:f>
        <x:v>0.15783767159628975</x:v>
      </x:c>
      <x:c r="E942" s="258" t="n">
        <x:f>IF(Y942&lt;($E$13-$D$13)/($F$13-$D$13),$D$13+SQRT(Y942*($F$13-$D$13)*($E$13-$D$13)),$F$13-SQRT((1-Y942)*($F$13-$D$13)*($F$13-$E$13)))</x:f>
        <x:v>0.010234943548723396</x:v>
      </x:c>
      <x:c r="F942" s="260" t="n">
        <x:f>IF(Z942&lt;($E$14-$D$14)/($F$14-$D$14),$D$14+SQRT(Z942*($F$14-$D$14)*($E$14-$D$14)),$F$14-SQRT((1-Z942)*($F$14-$D$14)*($F$14-$E$14)))</x:f>
        <x:v>1.0544612753045168</x:v>
      </x:c>
      <x:c r="G942" s="258" t="n">
        <x:f>IF(AA942&lt;($E$15-$D$15)/($F$15-$D$15),$D$15+SQRT(AA942*($F$15-$D$15)*($E$15-$D$15)),$F$15-SQRT((1-AA942)*($F$15-$D$15)*($F$15-$E$15)))</x:f>
        <x:v>0.0978747528238619</x:v>
      </x:c>
      <x:c r="H942" s="258" t="n">
        <x:f>IF(AB942&lt;($E$16-$D$16)/($F$16-$D$16),$D$16+SQRT(AB942*($F$16-$D$16)*($E$16-$D$16)),$F$16-SQRT((1-AB942)*($F$16-$D$16)*($F$16-$E$16)))</x:f>
        <x:v>0.0328439912200024</x:v>
      </x:c>
      <x:c r="I942" s="262" t="n">
        <x:f>'Historical Inputs'!$N$9*(1+D942)^5</x:f>
        <x:v>690503.3734231011</x:v>
      </x:c>
      <x:c r="J942" s="262" t="n">
        <x:f>I942*(1+H942)*('Terminal Value'!$E$10+E942)*(1-'Assumptions'!$E$15)*(1-H942/'Terminal Value'!$E$12)</x:f>
        <x:v>195620.86124983718</x:v>
      </x:c>
      <x:c r="K942" s="264" t="n">
        <x:f>((SUM((('Historical Inputs'!$N$9*(1+(D942))^1)*(('Assumptions'!E37+(E942))*(1-'Assumptions'!E42-(0))+'Assumptions'!E47-'Assumptions'!E52*(F942)+'Assumptions'!E57-'Assumptions'!E62*(1)-'Assumptions'!E67-(0))+('Working Capital'!$E$6))*'DCF'!E12/(1+(G942))^'DCF'!E13,(('Historical Inputs'!$N$9*(1+(D942))^2)*(('Assumptions'!F37+(E942))*(1-'Assumptions'!F42-(0))+'Assumptions'!F47-'Assumptions'!F52*(F942)+'Assumptions'!F57-'Assumptions'!F62*(1)-'Assumptions'!F67-(0))+(('Historical Inputs'!$N$9*(1+(D942))^1)*('Assumptions'!E67+(0))))*'DCF'!F12/(1+(G942))^'DCF'!F13,(('Historical Inputs'!$N$9*(1+(D942))^3)*(('Assumptions'!G37+(E942))*(1-'Assumptions'!G42-(0))+'Assumptions'!G47-'Assumptions'!G52*(F942)+'Assumptions'!G57-'Assumptions'!G62*(1)-'Assumptions'!G67-(0))+(('Historical Inputs'!$N$9*(1+(D942))^2)*('Assumptions'!F67+(0))))*'DCF'!G12/(1+(G942))^'DCF'!G13,(('Historical Inputs'!$N$9*(1+(D942))^4)*(('Assumptions'!H37+(E942))*(1-'Assumptions'!H42-(0))+'Assumptions'!H47-'Assumptions'!H52*(F942)+'Assumptions'!H57-'Assumptions'!H62*(1)-'Assumptions'!H67-(0))+(('Historical Inputs'!$N$9*(1+(D942))^3)*('Assumptions'!G67+(0))))*'DCF'!H12/(1+(G942))^'DCF'!H13,(('Historical Inputs'!$N$9*(1+(D942))^5)*(('Assumptions'!I37+(E942))*(1-'Assumptions'!I42-(0))+'Assumptions'!I47-'Assumptions'!I52*(F942)+'Assumptions'!I57-'Assumptions'!I62*(1)-'Assumptions'!I67-(0))+(('Historical Inputs'!$N$9*(1+(D942))^4)*('Assumptions'!H67+(0))))*'DCF'!I12/(1+(G942))^'DCF'!I13)+('Historical Inputs'!$N$9*(1+(D942))^5)*(1+(H942))*('Terminal Value'!$E$10+(E942))*(1-'Assumptions'!$E$15-(0))*(1-(H942)/('Terminal Value'!$E$12))/((G942)-(H942))/(1+(G942))^'DCF'!$E$19)+'Equity Bridge'!$E$17)/'Equity Bridge'!$E$20</x:f>
        <x:v>316.69639237769246</x:v>
      </x:c>
      <x:c r="X942" s="255" t="n">
        <x:v>0.7490939258602121</x:v>
      </x:c>
      <x:c r="Y942" s="255" t="n">
        <x:v>0.683748057085357</x:v>
      </x:c>
      <x:c r="Z942" s="255" t="n">
        <x:v>0.6974068516287476</x:v>
      </x:c>
      <x:c r="AA942" s="255" t="n">
        <x:v>0.4824490179837696</x:v>
      </x:c>
      <x:c r="AB942" s="255" t="n">
        <x:v>0.7439576917029865</x:v>
      </x:c>
    </x:row>
    <x:row r="943" ht="24" customHeight="1">
      <x:c r="C943" s="256" t="n">
        <x:f>912</x:f>
        <x:v>912</x:v>
      </x:c>
      <x:c r="D943" s="258" t="n">
        <x:f>IF(X943&lt;($E$12-$D$12)/($F$12-$D$12),$D$12+SQRT(X943*($F$12-$D$12)*($E$12-$D$12)),$F$12-SQRT((1-X943)*($F$12-$D$12)*($F$12-$E$12)))</x:f>
        <x:v>0.1395004014333253</x:v>
      </x:c>
      <x:c r="E943" s="258" t="n">
        <x:f>IF(Y943&lt;($E$13-$D$13)/($F$13-$D$13),$D$13+SQRT(Y943*($F$13-$D$13)*($E$13-$D$13)),$F$13-SQRT((1-Y943)*($F$13-$D$13)*($F$13-$E$13)))</x:f>
        <x:v>0.013398507691555976</x:v>
      </x:c>
      <x:c r="F943" s="260" t="n">
        <x:f>IF(Z943&lt;($E$14-$D$14)/($F$14-$D$14),$D$14+SQRT(Z943*($F$14-$D$14)*($E$14-$D$14)),$F$14-SQRT((1-Z943)*($F$14-$D$14)*($F$14-$E$14)))</x:f>
        <x:v>1.0894188413613652</x:v>
      </x:c>
      <x:c r="G943" s="258" t="n">
        <x:f>IF(AA943&lt;($E$15-$D$15)/($F$15-$D$15),$D$15+SQRT(AA943*($F$15-$D$15)*($E$15-$D$15)),$F$15-SQRT((1-AA943)*($F$15-$D$15)*($F$15-$E$15)))</x:f>
        <x:v>0.10278980518394445</x:v>
      </x:c>
      <x:c r="H943" s="258" t="n">
        <x:f>IF(AB943&lt;($E$16-$D$16)/($F$16-$D$16),$D$16+SQRT(AB943*($F$16-$D$16)*($E$16-$D$16)),$F$16-SQRT((1-AB943)*($F$16-$D$16)*($F$16-$E$16)))</x:f>
        <x:v>0.03783763355294129</x:v>
      </x:c>
      <x:c r="I943" s="262" t="n">
        <x:f>'Historical Inputs'!$N$9*(1+D943)^5</x:f>
        <x:v>637528.8439997772</x:v>
      </x:c>
      <x:c r="J943" s="262" t="n">
        <x:f>I943*(1+H943)*('Terminal Value'!$E$10+E943)*(1-'Assumptions'!$E$15)*(1-H943/'Terminal Value'!$E$12)</x:f>
        <x:v>177422.30725498506</x:v>
      </x:c>
      <x:c r="K943" s="264" t="n">
        <x:f>((SUM((('Historical Inputs'!$N$9*(1+(D943))^1)*(('Assumptions'!E37+(E943))*(1-'Assumptions'!E42-(0))+'Assumptions'!E47-'Assumptions'!E52*(F943)+'Assumptions'!E57-'Assumptions'!E62*(1)-'Assumptions'!E67-(0))+('Working Capital'!$E$6))*'DCF'!E12/(1+(G943))^'DCF'!E13,(('Historical Inputs'!$N$9*(1+(D943))^2)*(('Assumptions'!F37+(E943))*(1-'Assumptions'!F42-(0))+'Assumptions'!F47-'Assumptions'!F52*(F943)+'Assumptions'!F57-'Assumptions'!F62*(1)-'Assumptions'!F67-(0))+(('Historical Inputs'!$N$9*(1+(D943))^1)*('Assumptions'!E67+(0))))*'DCF'!F12/(1+(G943))^'DCF'!F13,(('Historical Inputs'!$N$9*(1+(D943))^3)*(('Assumptions'!G37+(E943))*(1-'Assumptions'!G42-(0))+'Assumptions'!G47-'Assumptions'!G52*(F943)+'Assumptions'!G57-'Assumptions'!G62*(1)-'Assumptions'!G67-(0))+(('Historical Inputs'!$N$9*(1+(D943))^2)*('Assumptions'!F67+(0))))*'DCF'!G12/(1+(G943))^'DCF'!G13,(('Historical Inputs'!$N$9*(1+(D943))^4)*(('Assumptions'!H37+(E943))*(1-'Assumptions'!H42-(0))+'Assumptions'!H47-'Assumptions'!H52*(F943)+'Assumptions'!H57-'Assumptions'!H62*(1)-'Assumptions'!H67-(0))+(('Historical Inputs'!$N$9*(1+(D943))^3)*('Assumptions'!G67+(0))))*'DCF'!H12/(1+(G943))^'DCF'!H13,(('Historical Inputs'!$N$9*(1+(D943))^5)*(('Assumptions'!I37+(E943))*(1-'Assumptions'!I42-(0))+'Assumptions'!I47-'Assumptions'!I52*(F943)+'Assumptions'!I57-'Assumptions'!I62*(1)-'Assumptions'!I67-(0))+(('Historical Inputs'!$N$9*(1+(D943))^4)*('Assumptions'!H67+(0))))*'DCF'!I12/(1+(G943))^'DCF'!I13)+('Historical Inputs'!$N$9*(1+(D943))^5)*(1+(H943))*('Terminal Value'!$E$10+(E943))*(1-'Assumptions'!$E$15-(0))*(1-(H943)/('Terminal Value'!$E$12))/((G943)-(H943))/(1+(G943))^'DCF'!$E$19)+'Equity Bridge'!$E$17)/'Equity Bridge'!$E$20</x:f>
        <x:v>282.4024296444766</x:v>
      </x:c>
      <x:c r="X943" s="255" t="n">
        <x:v>0.42769003150037654</x:v>
      </x:c>
      <x:c r="Y943" s="255" t="n">
        <x:v>0.7320661521589826</x:v>
      </x:c>
      <x:c r="Z943" s="255" t="n">
        <x:v>0.8253115336305303</x:v>
      </x:c>
      <x:c r="AA943" s="255" t="n">
        <x:v>0.761924050367086</x:v>
      </x:c>
      <x:c r="AB943" s="255" t="n">
        <x:v>0.9766208567431734</x:v>
      </x:c>
    </x:row>
    <x:row r="944" ht="24" customHeight="1">
      <x:c r="C944" s="256" t="n">
        <x:f>913</x:f>
        <x:v>913</x:v>
      </x:c>
      <x:c r="D944" s="258" t="n">
        <x:f>IF(X944&lt;($E$12-$D$12)/($F$12-$D$12),$D$12+SQRT(X944*($F$12-$D$12)*($E$12-$D$12)),$F$12-SQRT((1-X944)*($F$12-$D$12)*($F$12-$E$12)))</x:f>
        <x:v>0.1373480020823836</x:v>
      </x:c>
      <x:c r="E944" s="258" t="n">
        <x:f>IF(Y944&lt;($E$13-$D$13)/($F$13-$D$13),$D$13+SQRT(Y944*($F$13-$D$13)*($E$13-$D$13)),$F$13-SQRT((1-Y944)*($F$13-$D$13)*($F$13-$E$13)))</x:f>
        <x:v>0.0029087003261140665</x:v>
      </x:c>
      <x:c r="F944" s="260" t="n">
        <x:f>IF(Z944&lt;($E$14-$D$14)/($F$14-$D$14),$D$14+SQRT(Z944*($F$14-$D$14)*($E$14-$D$14)),$F$14-SQRT((1-Z944)*($F$14-$D$14)*($F$14-$E$14)))</x:f>
        <x:v>0.9981357304009967</x:v>
      </x:c>
      <x:c r="G944" s="258" t="n">
        <x:f>IF(AA944&lt;($E$15-$D$15)/($F$15-$D$15),$D$15+SQRT(AA944*($F$15-$D$15)*($E$15-$D$15)),$F$15-SQRT((1-AA944)*($F$15-$D$15)*($F$15-$E$15)))</x:f>
        <x:v>0.08704637420074789</x:v>
      </x:c>
      <x:c r="H944" s="258" t="n">
        <x:f>IF(AB944&lt;($E$16-$D$16)/($F$16-$D$16),$D$16+SQRT(AB944*($F$16-$D$16)*($E$16-$D$16)),$F$16-SQRT((1-AB944)*($F$16-$D$16)*($F$16-$E$16)))</x:f>
        <x:v>0.027567039691186047</x:v>
      </x:c>
      <x:c r="I944" s="262" t="n">
        <x:f>'Historical Inputs'!$N$9*(1+D944)^5</x:f>
        <x:v>631530.4147846162</x:v>
      </x:c>
      <x:c r="J944" s="262" t="n">
        <x:f>I944*(1+H944)*('Terminal Value'!$E$10+E944)*(1-'Assumptions'!$E$15)*(1-H944/'Terminal Value'!$E$12)</x:f>
        <x:v>180339.7061257001</x:v>
      </x:c>
      <x:c r="K944" s="264" t="n">
        <x:f>((SUM((('Historical Inputs'!$N$9*(1+(D944))^1)*(('Assumptions'!E37+(E944))*(1-'Assumptions'!E42-(0))+'Assumptions'!E47-'Assumptions'!E52*(F944)+'Assumptions'!E57-'Assumptions'!E62*(1)-'Assumptions'!E67-(0))+('Working Capital'!$E$6))*'DCF'!E12/(1+(G944))^'DCF'!E13,(('Historical Inputs'!$N$9*(1+(D944))^2)*(('Assumptions'!F37+(E944))*(1-'Assumptions'!F42-(0))+'Assumptions'!F47-'Assumptions'!F52*(F944)+'Assumptions'!F57-'Assumptions'!F62*(1)-'Assumptions'!F67-(0))+(('Historical Inputs'!$N$9*(1+(D944))^1)*('Assumptions'!E67+(0))))*'DCF'!F12/(1+(G944))^'DCF'!F13,(('Historical Inputs'!$N$9*(1+(D944))^3)*(('Assumptions'!G37+(E944))*(1-'Assumptions'!G42-(0))+'Assumptions'!G47-'Assumptions'!G52*(F944)+'Assumptions'!G57-'Assumptions'!G62*(1)-'Assumptions'!G67-(0))+(('Historical Inputs'!$N$9*(1+(D944))^2)*('Assumptions'!F67+(0))))*'DCF'!G12/(1+(G944))^'DCF'!G13,(('Historical Inputs'!$N$9*(1+(D944))^4)*(('Assumptions'!H37+(E944))*(1-'Assumptions'!H42-(0))+'Assumptions'!H47-'Assumptions'!H52*(F944)+'Assumptions'!H57-'Assumptions'!H62*(1)-'Assumptions'!H67-(0))+(('Historical Inputs'!$N$9*(1+(D944))^3)*('Assumptions'!G67+(0))))*'DCF'!H12/(1+(G944))^'DCF'!H13,(('Historical Inputs'!$N$9*(1+(D944))^5)*(('Assumptions'!I37+(E944))*(1-'Assumptions'!I42-(0))+'Assumptions'!I47-'Assumptions'!I52*(F944)+'Assumptions'!I57-'Assumptions'!I62*(1)-'Assumptions'!I67-(0))+(('Historical Inputs'!$N$9*(1+(D944))^4)*('Assumptions'!H67+(0))))*'DCF'!I12/(1+(G944))^'DCF'!I13)+('Historical Inputs'!$N$9*(1+(D944))^5)*(1+(H944))*('Terminal Value'!$E$10+(E944))*(1-'Assumptions'!$E$15-(0))*(1-(H944)/('Terminal Value'!$E$12))/((G944)-(H944))/(1+(G944))^'DCF'!$E$19)+'Equity Bridge'!$E$17)/'Equity Bridge'!$E$20</x:f>
        <x:v>331.3351979354387</x:v>
      </x:c>
      <x:c r="X944" s="255" t="n">
        <x:v>0.38880290799274986</x:v>
      </x:c>
      <x:c r="Y944" s="255" t="n">
        <x:v>0.5564818990048541</x:v>
      </x:c>
      <x:c r="Z944" s="255" t="n">
        <x:v>0.41798465945593843</x:v>
      </x:c>
      <x:c r="AA944" s="255" t="n">
        <x:v>0.03390416523282003</x:v>
      </x:c>
      <x:c r="AB944" s="255" t="n">
        <x:v>0.2863004484399254</x:v>
      </x:c>
    </x:row>
    <x:row r="945" ht="24" customHeight="1">
      <x:c r="C945" s="256" t="n">
        <x:f>914</x:f>
        <x:v>914</x:v>
      </x:c>
      <x:c r="D945" s="258" t="n">
        <x:f>IF(X945&lt;($E$12-$D$12)/($F$12-$D$12),$D$12+SQRT(X945*($F$12-$D$12)*($E$12-$D$12)),$F$12-SQRT((1-X945)*($F$12-$D$12)*($F$12-$E$12)))</x:f>
        <x:v>0.11695210371641164</x:v>
      </x:c>
      <x:c r="E945" s="258" t="n">
        <x:f>IF(Y945&lt;($E$13-$D$13)/($F$13-$D$13),$D$13+SQRT(Y945*($F$13-$D$13)*($E$13-$D$13)),$F$13-SQRT((1-Y945)*($F$13-$D$13)*($F$13-$E$13)))</x:f>
        <x:v>-0.010608485148820117</x:v>
      </x:c>
      <x:c r="F945" s="260" t="n">
        <x:f>IF(Z945&lt;($E$14-$D$14)/($F$14-$D$14),$D$14+SQRT(Z945*($F$14-$D$14)*($E$14-$D$14)),$F$14-SQRT((1-Z945)*($F$14-$D$14)*($F$14-$E$14)))</x:f>
        <x:v>0.9737925091931041</x:v>
      </x:c>
      <x:c r="G945" s="258" t="n">
        <x:f>IF(AA945&lt;($E$15-$D$15)/($F$15-$D$15),$D$15+SQRT(AA945*($F$15-$D$15)*($E$15-$D$15)),$F$15-SQRT((1-AA945)*($F$15-$D$15)*($F$15-$E$15)))</x:f>
        <x:v>0.0966706385660709</x:v>
      </x:c>
      <x:c r="H945" s="258" t="n">
        <x:f>IF(AB945&lt;($E$16-$D$16)/($F$16-$D$16),$D$16+SQRT(AB945*($F$16-$D$16)*($E$16-$D$16)),$F$16-SQRT((1-AB945)*($F$16-$D$16)*($F$16-$E$16)))</x:f>
        <x:v>0.03521587855446888</x:v>
      </x:c>
      <x:c r="I945" s="262" t="n">
        <x:f>'Historical Inputs'!$N$9*(1+D945)^5</x:f>
        <x:v>576899.5206768814</x:v>
      </x:c>
      <x:c r="J945" s="262" t="n">
        <x:f>I945*(1+H945)*('Terminal Value'!$E$10+E945)*(1-'Assumptions'!$E$15)*(1-H945/'Terminal Value'!$E$12)</x:f>
        <x:v>153282.62837351763</x:v>
      </x:c>
      <x:c r="K945" s="264" t="n">
        <x:f>((SUM((('Historical Inputs'!$N$9*(1+(D945))^1)*(('Assumptions'!E37+(E945))*(1-'Assumptions'!E42-(0))+'Assumptions'!E47-'Assumptions'!E52*(F945)+'Assumptions'!E57-'Assumptions'!E62*(1)-'Assumptions'!E67-(0))+('Working Capital'!$E$6))*'DCF'!E12/(1+(G945))^'DCF'!E13,(('Historical Inputs'!$N$9*(1+(D945))^2)*(('Assumptions'!F37+(E945))*(1-'Assumptions'!F42-(0))+'Assumptions'!F47-'Assumptions'!F52*(F945)+'Assumptions'!F57-'Assumptions'!F62*(1)-'Assumptions'!F67-(0))+(('Historical Inputs'!$N$9*(1+(D945))^1)*('Assumptions'!E67+(0))))*'DCF'!F12/(1+(G945))^'DCF'!F13,(('Historical Inputs'!$N$9*(1+(D945))^3)*(('Assumptions'!G37+(E945))*(1-'Assumptions'!G42-(0))+'Assumptions'!G47-'Assumptions'!G52*(F945)+'Assumptions'!G57-'Assumptions'!G62*(1)-'Assumptions'!G67-(0))+(('Historical Inputs'!$N$9*(1+(D945))^2)*('Assumptions'!F67+(0))))*'DCF'!G12/(1+(G945))^'DCF'!G13,(('Historical Inputs'!$N$9*(1+(D945))^4)*(('Assumptions'!H37+(E945))*(1-'Assumptions'!H42-(0))+'Assumptions'!H47-'Assumptions'!H52*(F945)+'Assumptions'!H57-'Assumptions'!H62*(1)-'Assumptions'!H67-(0))+(('Historical Inputs'!$N$9*(1+(D945))^3)*('Assumptions'!G67+(0))))*'DCF'!H12/(1+(G945))^'DCF'!H13,(('Historical Inputs'!$N$9*(1+(D945))^5)*(('Assumptions'!I37+(E945))*(1-'Assumptions'!I42-(0))+'Assumptions'!I47-'Assumptions'!I52*(F945)+'Assumptions'!I57-'Assumptions'!I62*(1)-'Assumptions'!I67-(0))+(('Historical Inputs'!$N$9*(1+(D945))^4)*('Assumptions'!H67+(0))))*'DCF'!I12/(1+(G945))^'DCF'!I13)+('Historical Inputs'!$N$9*(1+(D945))^5)*(1+(H945))*('Terminal Value'!$E$10+(E945))*(1-'Assumptions'!$E$15-(0))*(1-(H945)/('Terminal Value'!$E$12))/((G945)-(H945))/(1+(G945))^'DCF'!$E$19)+'Equity Bridge'!$E$17)/'Equity Bridge'!$E$20</x:f>
        <x:v>267.3775040857444</x:v>
      </x:c>
      <x:c r="X945" s="255" t="n">
        <x:v>0.11229138115811899</x:v>
      </x:c>
      <x:c r="Y945" s="255" t="n">
        <x:v>0.310338288454145</x:v>
      </x:c>
      <x:c r="Z945" s="255" t="n">
        <x:v>0.2918968634728527</x:v>
      </x:c>
      <x:c r="AA945" s="255" t="n">
        <x:v>0.40681819256714535</x:v>
      </x:c>
      <x:c r="AB945" s="255" t="n">
        <x:v>0.885560909972046</x:v>
      </x:c>
    </x:row>
    <x:row r="946" ht="24" customHeight="1">
      <x:c r="C946" s="256" t="n">
        <x:f>915</x:f>
        <x:v>915</x:v>
      </x:c>
      <x:c r="D946" s="258" t="n">
        <x:f>IF(X946&lt;($E$12-$D$12)/($F$12-$D$12),$D$12+SQRT(X946*($F$12-$D$12)*($E$12-$D$12)),$F$12-SQRT((1-X946)*($F$12-$D$12)*($F$12-$E$12)))</x:f>
        <x:v>0.11064468281802864</x:v>
      </x:c>
      <x:c r="E946" s="258" t="n">
        <x:f>IF(Y946&lt;($E$13-$D$13)/($F$13-$D$13),$D$13+SQRT(Y946*($F$13-$D$13)*($E$13-$D$13)),$F$13-SQRT((1-Y946)*($F$13-$D$13)*($F$13-$E$13)))</x:f>
        <x:v>-0.00206729523216026</x:v>
      </x:c>
      <x:c r="F946" s="260" t="n">
        <x:f>IF(Z946&lt;($E$14-$D$14)/($F$14-$D$14),$D$14+SQRT(Z946*($F$14-$D$14)*($E$14-$D$14)),$F$14-SQRT((1-Z946)*($F$14-$D$14)*($F$14-$E$14)))</x:f>
        <x:v>0.9193711026379726</x:v>
      </x:c>
      <x:c r="G946" s="258" t="n">
        <x:f>IF(AA946&lt;($E$15-$D$15)/($F$15-$D$15),$D$15+SQRT(AA946*($F$15-$D$15)*($E$15-$D$15)),$F$15-SQRT((1-AA946)*($F$15-$D$15)*($F$15-$E$15)))</x:f>
        <x:v>0.09669794425773932</x:v>
      </x:c>
      <x:c r="H946" s="258" t="n">
        <x:f>IF(AB946&lt;($E$16-$D$16)/($F$16-$D$16),$D$16+SQRT(AB946*($F$16-$D$16)*($E$16-$D$16)),$F$16-SQRT((1-AB946)*($F$16-$D$16)*($F$16-$E$16)))</x:f>
        <x:v>0.028280883812865313</x:v>
      </x:c>
      <x:c r="I946" s="262" t="n">
        <x:f>'Historical Inputs'!$N$9*(1+D946)^5</x:f>
        <x:v>560793.7112874874</x:v>
      </x:c>
      <x:c r="J946" s="262" t="n">
        <x:f>I946*(1+H946)*('Terminal Value'!$E$10+E946)*(1-'Assumptions'!$E$15)*(1-H946/'Terminal Value'!$E$12)</x:f>
        <x:v>157617.03977668806</x:v>
      </x:c>
      <x:c r="K946" s="264" t="n">
        <x:f>((SUM((('Historical Inputs'!$N$9*(1+(D946))^1)*(('Assumptions'!E37+(E946))*(1-'Assumptions'!E42-(0))+'Assumptions'!E47-'Assumptions'!E52*(F946)+'Assumptions'!E57-'Assumptions'!E62*(1)-'Assumptions'!E67-(0))+('Working Capital'!$E$6))*'DCF'!E12/(1+(G946))^'DCF'!E13,(('Historical Inputs'!$N$9*(1+(D946))^2)*(('Assumptions'!F37+(E946))*(1-'Assumptions'!F42-(0))+'Assumptions'!F47-'Assumptions'!F52*(F946)+'Assumptions'!F57-'Assumptions'!F62*(1)-'Assumptions'!F67-(0))+(('Historical Inputs'!$N$9*(1+(D946))^1)*('Assumptions'!E67+(0))))*'DCF'!F12/(1+(G946))^'DCF'!F13,(('Historical Inputs'!$N$9*(1+(D946))^3)*(('Assumptions'!G37+(E946))*(1-'Assumptions'!G42-(0))+'Assumptions'!G47-'Assumptions'!G52*(F946)+'Assumptions'!G57-'Assumptions'!G62*(1)-'Assumptions'!G67-(0))+(('Historical Inputs'!$N$9*(1+(D946))^2)*('Assumptions'!F67+(0))))*'DCF'!G12/(1+(G946))^'DCF'!G13,(('Historical Inputs'!$N$9*(1+(D946))^4)*(('Assumptions'!H37+(E946))*(1-'Assumptions'!H42-(0))+'Assumptions'!H47-'Assumptions'!H52*(F946)+'Assumptions'!H57-'Assumptions'!H62*(1)-'Assumptions'!H67-(0))+(('Historical Inputs'!$N$9*(1+(D946))^3)*('Assumptions'!G67+(0))))*'DCF'!H12/(1+(G946))^'DCF'!H13,(('Historical Inputs'!$N$9*(1+(D946))^5)*(('Assumptions'!I37+(E946))*(1-'Assumptions'!I42-(0))+'Assumptions'!I47-'Assumptions'!I52*(F946)+'Assumptions'!I57-'Assumptions'!I62*(1)-'Assumptions'!I67-(0))+(('Historical Inputs'!$N$9*(1+(D946))^4)*('Assumptions'!H67+(0))))*'DCF'!I12/(1+(G946))^'DCF'!I13)+('Historical Inputs'!$N$9*(1+(D946))^5)*(1+(H946))*('Terminal Value'!$E$10+(E946))*(1-'Assumptions'!$E$15-(0))*(1-(H946)/('Terminal Value'!$E$12))/((G946)-(H946))/(1+(G946))^'DCF'!$E$19)+'Equity Bridge'!$E$17)/'Equity Bridge'!$E$20</x:f>
        <x:v>254.57870158169274</x:v>
      </x:c>
      <x:c r="X946" s="255" t="n">
        <x:v>0.06046615095434382</x:v>
      </x:c>
      <x:c r="Y946" s="255" t="n">
        <x:v>0.4595088372721773</x:v>
      </x:c>
      <x:c r="Z946" s="255" t="n">
        <x:v>0.09166380726110723</x:v>
      </x:c>
      <x:c r="AA946" s="255" t="n">
        <x:v>0.40846186439565124</x:v>
      </x:c>
      <x:c r="AB946" s="255" t="n">
        <x:v>0.3428651836108739</x:v>
      </x:c>
    </x:row>
    <x:row r="947" ht="24" customHeight="1">
      <x:c r="C947" s="256" t="n">
        <x:f>916</x:f>
        <x:v>916</x:v>
      </x:c>
      <x:c r="D947" s="258" t="n">
        <x:f>IF(X947&lt;($E$12-$D$12)/($F$12-$D$12),$D$12+SQRT(X947*($F$12-$D$12)*($E$12-$D$12)),$F$12-SQRT((1-X947)*($F$12-$D$12)*($F$12-$E$12)))</x:f>
        <x:v>0.13922895847902922</x:v>
      </x:c>
      <x:c r="E947" s="258" t="n">
        <x:f>IF(Y947&lt;($E$13-$D$13)/($F$13-$D$13),$D$13+SQRT(Y947*($F$13-$D$13)*($E$13-$D$13)),$F$13-SQRT((1-Y947)*($F$13-$D$13)*($F$13-$E$13)))</x:f>
        <x:v>-0.03766272575297436</x:v>
      </x:c>
      <x:c r="F947" s="260" t="n">
        <x:f>IF(Z947&lt;($E$14-$D$14)/($F$14-$D$14),$D$14+SQRT(Z947*($F$14-$D$14)*($E$14-$D$14)),$F$14-SQRT((1-Z947)*($F$14-$D$14)*($F$14-$E$14)))</x:f>
        <x:v>1.054018957181116</x:v>
      </x:c>
      <x:c r="G947" s="258" t="n">
        <x:f>IF(AA947&lt;($E$15-$D$15)/($F$15-$D$15),$D$15+SQRT(AA947*($F$15-$D$15)*($E$15-$D$15)),$F$15-SQRT((1-AA947)*($F$15-$D$15)*($F$15-$E$15)))</x:f>
        <x:v>0.09846378224037125</x:v>
      </x:c>
      <x:c r="H947" s="258" t="n">
        <x:f>IF(AB947&lt;($E$16-$D$16)/($F$16-$D$16),$D$16+SQRT(AB947*($F$16-$D$16)*($E$16-$D$16)),$F$16-SQRT((1-AB947)*($F$16-$D$16)*($F$16-$E$16)))</x:f>
        <x:v>0.027316981588262297</x:v>
      </x:c>
      <x:c r="I947" s="262" t="n">
        <x:f>'Historical Inputs'!$N$9*(1+D947)^5</x:f>
        <x:v>636769.8697785661</x:v>
      </x:c>
      <x:c r="J947" s="262" t="n">
        <x:f>I947*(1+H947)*('Terminal Value'!$E$10+E947)*(1-'Assumptions'!$E$15)*(1-H947/'Terminal Value'!$E$12)</x:f>
        <x:v>163722.96770151542</x:v>
      </x:c>
      <x:c r="K947" s="264" t="n">
        <x:f>((SUM((('Historical Inputs'!$N$9*(1+(D947))^1)*(('Assumptions'!E37+(E947))*(1-'Assumptions'!E42-(0))+'Assumptions'!E47-'Assumptions'!E52*(F947)+'Assumptions'!E57-'Assumptions'!E62*(1)-'Assumptions'!E67-(0))+('Working Capital'!$E$6))*'DCF'!E12/(1+(G947))^'DCF'!E13,(('Historical Inputs'!$N$9*(1+(D947))^2)*(('Assumptions'!F37+(E947))*(1-'Assumptions'!F42-(0))+'Assumptions'!F47-'Assumptions'!F52*(F947)+'Assumptions'!F57-'Assumptions'!F62*(1)-'Assumptions'!F67-(0))+(('Historical Inputs'!$N$9*(1+(D947))^1)*('Assumptions'!E67+(0))))*'DCF'!F12/(1+(G947))^'DCF'!F13,(('Historical Inputs'!$N$9*(1+(D947))^3)*(('Assumptions'!G37+(E947))*(1-'Assumptions'!G42-(0))+'Assumptions'!G47-'Assumptions'!G52*(F947)+'Assumptions'!G57-'Assumptions'!G62*(1)-'Assumptions'!G67-(0))+(('Historical Inputs'!$N$9*(1+(D947))^2)*('Assumptions'!F67+(0))))*'DCF'!G12/(1+(G947))^'DCF'!G13,(('Historical Inputs'!$N$9*(1+(D947))^4)*(('Assumptions'!H37+(E947))*(1-'Assumptions'!H42-(0))+'Assumptions'!H47-'Assumptions'!H52*(F947)+'Assumptions'!H57-'Assumptions'!H62*(1)-'Assumptions'!H67-(0))+(('Historical Inputs'!$N$9*(1+(D947))^3)*('Assumptions'!G67+(0))))*'DCF'!H12/(1+(G947))^'DCF'!H13,(('Historical Inputs'!$N$9*(1+(D947))^5)*(('Assumptions'!I37+(E947))*(1-'Assumptions'!I42-(0))+'Assumptions'!I47-'Assumptions'!I52*(F947)+'Assumptions'!I57-'Assumptions'!I62*(1)-'Assumptions'!I67-(0))+(('Historical Inputs'!$N$9*(1+(D947))^4)*('Assumptions'!H67+(0))))*'DCF'!I12/(1+(G947))^'DCF'!I13)+('Historical Inputs'!$N$9*(1+(D947))^5)*(1+(H947))*('Terminal Value'!$E$10+(E947))*(1-'Assumptions'!$E$15-(0))*(1-(H947)/('Terminal Value'!$E$12))/((G947)-(H947))/(1+(G947))^'DCF'!$E$19)+'Equity Bridge'!$E$17)/'Equity Bridge'!$E$20</x:f>
        <x:v>242.08731404264657</x:v>
      </x:c>
      <x:c r="X947" s="255" t="n">
        <x:v>0.4226837919249714</x:v>
      </x:c>
      <x:c r="Y947" s="255" t="n">
        <x:v>0.03044166716926444</x:v>
      </x:c>
      <x:c r="Z947" s="255" t="n">
        <x:v>0.6955647876787314</x:v>
      </x:c>
      <x:c r="AA947" s="255" t="n">
        <x:v>0.5213284278767646</x:v>
      </x:c>
      <x:c r="AB947" s="255" t="n">
        <x:v>0.26769109781484723</x:v>
      </x:c>
    </x:row>
    <x:row r="948" ht="24" customHeight="1">
      <x:c r="C948" s="256" t="n">
        <x:f>917</x:f>
        <x:v>917</x:v>
      </x:c>
      <x:c r="D948" s="258" t="n">
        <x:f>IF(X948&lt;($E$12-$D$12)/($F$12-$D$12),$D$12+SQRT(X948*($F$12-$D$12)*($E$12-$D$12)),$F$12-SQRT((1-X948)*($F$12-$D$12)*($F$12-$E$12)))</x:f>
        <x:v>0.14895430567505902</x:v>
      </x:c>
      <x:c r="E948" s="258" t="n">
        <x:f>IF(Y948&lt;($E$13-$D$13)/($F$13-$D$13),$D$13+SQRT(Y948*($F$13-$D$13)*($E$13-$D$13)),$F$13-SQRT((1-Y948)*($F$13-$D$13)*($F$13-$E$13)))</x:f>
        <x:v>-0.029588398030929743</x:v>
      </x:c>
      <x:c r="F948" s="260" t="n">
        <x:f>IF(Z948&lt;($E$14-$D$14)/($F$14-$D$14),$D$14+SQRT(Z948*($F$14-$D$14)*($E$14-$D$14)),$F$14-SQRT((1-Z948)*($F$14-$D$14)*($F$14-$E$14)))</x:f>
        <x:v>1.132418697023925</x:v>
      </x:c>
      <x:c r="G948" s="258" t="n">
        <x:f>IF(AA948&lt;($E$15-$D$15)/($F$15-$D$15),$D$15+SQRT(AA948*($F$15-$D$15)*($E$15-$D$15)),$F$15-SQRT((1-AA948)*($F$15-$D$15)*($F$15-$E$15)))</x:f>
        <x:v>0.0862458846014779</x:v>
      </x:c>
      <x:c r="H948" s="258" t="n">
        <x:f>IF(AB948&lt;($E$16-$D$16)/($F$16-$D$16),$D$16+SQRT(AB948*($F$16-$D$16)*($E$16-$D$16)),$F$16-SQRT((1-AB948)*($F$16-$D$16)*($F$16-$E$16)))</x:f>
        <x:v>0.036556852117605426</x:v>
      </x:c>
      <x:c r="I948" s="262" t="n">
        <x:f>'Historical Inputs'!$N$9*(1+D948)^5</x:f>
        <x:v>664417.7266213954</x:v>
      </x:c>
      <x:c r="J948" s="262" t="n">
        <x:f>I948*(1+H948)*('Terminal Value'!$E$10+E948)*(1-'Assumptions'!$E$15)*(1-H948/'Terminal Value'!$E$12)</x:f>
        <x:v>166780.63703284235</x:v>
      </x:c>
      <x:c r="K948" s="264" t="n">
        <x:f>((SUM((('Historical Inputs'!$N$9*(1+(D948))^1)*(('Assumptions'!E37+(E948))*(1-'Assumptions'!E42-(0))+'Assumptions'!E47-'Assumptions'!E52*(F948)+'Assumptions'!E57-'Assumptions'!E62*(1)-'Assumptions'!E67-(0))+('Working Capital'!$E$6))*'DCF'!E12/(1+(G948))^'DCF'!E13,(('Historical Inputs'!$N$9*(1+(D948))^2)*(('Assumptions'!F37+(E948))*(1-'Assumptions'!F42-(0))+'Assumptions'!F47-'Assumptions'!F52*(F948)+'Assumptions'!F57-'Assumptions'!F62*(1)-'Assumptions'!F67-(0))+(('Historical Inputs'!$N$9*(1+(D948))^1)*('Assumptions'!E67+(0))))*'DCF'!F12/(1+(G948))^'DCF'!F13,(('Historical Inputs'!$N$9*(1+(D948))^3)*(('Assumptions'!G37+(E948))*(1-'Assumptions'!G42-(0))+'Assumptions'!G47-'Assumptions'!G52*(F948)+'Assumptions'!G57-'Assumptions'!G62*(1)-'Assumptions'!G67-(0))+(('Historical Inputs'!$N$9*(1+(D948))^2)*('Assumptions'!F67+(0))))*'DCF'!G12/(1+(G948))^'DCF'!G13,(('Historical Inputs'!$N$9*(1+(D948))^4)*(('Assumptions'!H37+(E948))*(1-'Assumptions'!H42-(0))+'Assumptions'!H47-'Assumptions'!H52*(F948)+'Assumptions'!H57-'Assumptions'!H62*(1)-'Assumptions'!H67-(0))+(('Historical Inputs'!$N$9*(1+(D948))^3)*('Assumptions'!G67+(0))))*'DCF'!H12/(1+(G948))^'DCF'!H13,(('Historical Inputs'!$N$9*(1+(D948))^5)*(('Assumptions'!I37+(E948))*(1-'Assumptions'!I42-(0))+'Assumptions'!I47-'Assumptions'!I52*(F948)+'Assumptions'!I57-'Assumptions'!I62*(1)-'Assumptions'!I67-(0))+(('Historical Inputs'!$N$9*(1+(D948))^4)*('Assumptions'!H67+(0))))*'DCF'!I12/(1+(G948))^'DCF'!I13)+('Historical Inputs'!$N$9*(1+(D948))^5)*(1+(H948))*('Terminal Value'!$E$10+(E948))*(1-'Assumptions'!$E$15-(0))*(1-(H948)/('Terminal Value'!$E$12))/((G948)-(H948))/(1+(G948))^'DCF'!$E$19)+'Equity Bridge'!$E$17)/'Equity Bridge'!$E$20</x:f>
        <x:v>348.2027235143766</x:v>
      </x:c>
      <x:c r="X948" s="255" t="n">
        <x:v>0.607453868328814</x:v>
      </x:c>
      <x:c r="Y948" s="255" t="n">
        <x:v>0.08332669898875056</x:v>
      </x:c>
      <x:c r="Z948" s="255" t="n">
        <x:v>0.9347538212579422</x:v>
      </x:c>
      <x:c r="AA948" s="255" t="n">
        <x:v>0.021431611874331624</x:v>
      </x:c>
      <x:c r="AB948" s="255" t="n">
        <x:v>0.9407236632998088</x:v>
      </x:c>
    </x:row>
    <x:row r="949" ht="24" customHeight="1">
      <x:c r="C949" s="256" t="n">
        <x:f>918</x:f>
        <x:v>918</x:v>
      </x:c>
      <x:c r="D949" s="258" t="n">
        <x:f>IF(X949&lt;($E$12-$D$12)/($F$12-$D$12),$D$12+SQRT(X949*($F$12-$D$12)*($E$12-$D$12)),$F$12-SQRT((1-X949)*($F$12-$D$12)*($F$12-$E$12)))</x:f>
        <x:v>0.13947056570114336</x:v>
      </x:c>
      <x:c r="E949" s="258" t="n">
        <x:f>IF(Y949&lt;($E$13-$D$13)/($F$13-$D$13),$D$13+SQRT(Y949*($F$13-$D$13)*($E$13-$D$13)),$F$13-SQRT((1-Y949)*($F$13-$D$13)*($F$13-$E$13)))</x:f>
        <x:v>-0.031004477025956326</x:v>
      </x:c>
      <x:c r="F949" s="260" t="n">
        <x:f>IF(Z949&lt;($E$14-$D$14)/($F$14-$D$14),$D$14+SQRT(Z949*($F$14-$D$14)*($E$14-$D$14)),$F$14-SQRT((1-Z949)*($F$14-$D$14)*($F$14-$E$14)))</x:f>
        <x:v>0.9862518994355356</x:v>
      </x:c>
      <x:c r="G949" s="258" t="n">
        <x:f>IF(AA949&lt;($E$15-$D$15)/($F$15-$D$15),$D$15+SQRT(AA949*($F$15-$D$15)*($E$15-$D$15)),$F$15-SQRT((1-AA949)*($F$15-$D$15)*($F$15-$E$15)))</x:f>
        <x:v>0.09627756832262595</x:v>
      </x:c>
      <x:c r="H949" s="258" t="n">
        <x:f>IF(AB949&lt;($E$16-$D$16)/($F$16-$D$16),$D$16+SQRT(AB949*($F$16-$D$16)*($E$16-$D$16)),$F$16-SQRT((1-AB949)*($F$16-$D$16)*($F$16-$E$16)))</x:f>
        <x:v>0.02879160086607431</x:v>
      </x:c>
      <x:c r="I949" s="262" t="n">
        <x:f>'Historical Inputs'!$N$9*(1+D949)^5</x:f>
        <x:v>637445.3857413053</x:v>
      </x:c>
      <x:c r="J949" s="262" t="n">
        <x:f>I949*(1+H949)*('Terminal Value'!$E$10+E949)*(1-'Assumptions'!$E$15)*(1-H949/'Terminal Value'!$E$12)</x:f>
        <x:v>165720.61885140897</x:v>
      </x:c>
      <x:c r="K949" s="264" t="n">
        <x:f>((SUM((('Historical Inputs'!$N$9*(1+(D949))^1)*(('Assumptions'!E37+(E949))*(1-'Assumptions'!E42-(0))+'Assumptions'!E47-'Assumptions'!E52*(F949)+'Assumptions'!E57-'Assumptions'!E62*(1)-'Assumptions'!E67-(0))+('Working Capital'!$E$6))*'DCF'!E12/(1+(G949))^'DCF'!E13,(('Historical Inputs'!$N$9*(1+(D949))^2)*(('Assumptions'!F37+(E949))*(1-'Assumptions'!F42-(0))+'Assumptions'!F47-'Assumptions'!F52*(F949)+'Assumptions'!F57-'Assumptions'!F62*(1)-'Assumptions'!F67-(0))+(('Historical Inputs'!$N$9*(1+(D949))^1)*('Assumptions'!E67+(0))))*'DCF'!F12/(1+(G949))^'DCF'!F13,(('Historical Inputs'!$N$9*(1+(D949))^3)*(('Assumptions'!G37+(E949))*(1-'Assumptions'!G42-(0))+'Assumptions'!G47-'Assumptions'!G52*(F949)+'Assumptions'!G57-'Assumptions'!G62*(1)-'Assumptions'!G67-(0))+(('Historical Inputs'!$N$9*(1+(D949))^2)*('Assumptions'!F67+(0))))*'DCF'!G12/(1+(G949))^'DCF'!G13,(('Historical Inputs'!$N$9*(1+(D949))^4)*(('Assumptions'!H37+(E949))*(1-'Assumptions'!H42-(0))+'Assumptions'!H47-'Assumptions'!H52*(F949)+'Assumptions'!H57-'Assumptions'!H62*(1)-'Assumptions'!H67-(0))+(('Historical Inputs'!$N$9*(1+(D949))^3)*('Assumptions'!G67+(0))))*'DCF'!H12/(1+(G949))^'DCF'!H13,(('Historical Inputs'!$N$9*(1+(D949))^5)*(('Assumptions'!I37+(E949))*(1-'Assumptions'!I42-(0))+'Assumptions'!I47-'Assumptions'!I52*(F949)+'Assumptions'!I57-'Assumptions'!I62*(1)-'Assumptions'!I67-(0))+(('Historical Inputs'!$N$9*(1+(D949))^4)*('Assumptions'!H67+(0))))*'DCF'!I12/(1+(G949))^'DCF'!I13)+('Historical Inputs'!$N$9*(1+(D949))^5)*(1+(H949))*('Terminal Value'!$E$10+(E949))*(1-'Assumptions'!$E$15-(0))*(1-(H949)/('Terminal Value'!$E$12))/((G949)-(H949))/(1+(G949))^'DCF'!$E$19)+'Equity Bridge'!$E$17)/'Equity Bridge'!$E$20</x:f>
        <x:v>263.32683573214393</x:v>
      </x:c>
      <x:c r="X949" s="255" t="n">
        <x:v>0.4271383274988997</x:v>
      </x:c>
      <x:c r="Y949" s="255" t="n">
        <x:v>0.07216597861148422</x:v>
      </x:c>
      <x:c r="Z949" s="255" t="n">
        <x:v>0.3536110495198348</x:v>
      </x:c>
      <x:c r="AA949" s="255" t="n">
        <x:v>0.3835244408796936</x:v>
      </x:c>
      <x:c r="AB949" s="255" t="n">
        <x:v>0.3864612289417929</x:v>
      </x:c>
    </x:row>
    <x:row r="950" ht="24" customHeight="1">
      <x:c r="C950" s="256" t="n">
        <x:f>919</x:f>
        <x:v>919</x:v>
      </x:c>
      <x:c r="D950" s="258" t="n">
        <x:f>IF(X950&lt;($E$12-$D$12)/($F$12-$D$12),$D$12+SQRT(X950*($F$12-$D$12)*($E$12-$D$12)),$F$12-SQRT((1-X950)*($F$12-$D$12)*($F$12-$E$12)))</x:f>
        <x:v>0.15208155690217576</x:v>
      </x:c>
      <x:c r="E950" s="258" t="n">
        <x:f>IF(Y950&lt;($E$13-$D$13)/($F$13-$D$13),$D$13+SQRT(Y950*($F$13-$D$13)*($E$13-$D$13)),$F$13-SQRT((1-Y950)*($F$13-$D$13)*($F$13-$E$13)))</x:f>
        <x:v>-0.015081412448492412</x:v>
      </x:c>
      <x:c r="F950" s="260" t="n">
        <x:f>IF(Z950&lt;($E$14-$D$14)/($F$14-$D$14),$D$14+SQRT(Z950*($F$14-$D$14)*($E$14-$D$14)),$F$14-SQRT((1-Z950)*($F$14-$D$14)*($F$14-$E$14)))</x:f>
        <x:v>0.9027923830481912</x:v>
      </x:c>
      <x:c r="G950" s="258" t="n">
        <x:f>IF(AA950&lt;($E$15-$D$15)/($F$15-$D$15),$D$15+SQRT(AA950*($F$15-$D$15)*($E$15-$D$15)),$F$15-SQRT((1-AA950)*($F$15-$D$15)*($F$15-$E$15)))</x:f>
        <x:v>0.10074061920958582</x:v>
      </x:c>
      <x:c r="H950" s="258" t="n">
        <x:f>IF(AB950&lt;($E$16-$D$16)/($F$16-$D$16),$D$16+SQRT(AB950*($F$16-$D$16)*($E$16-$D$16)),$F$16-SQRT((1-AB950)*($F$16-$D$16)*($F$16-$E$16)))</x:f>
        <x:v>0.028414706724838267</x:v>
      </x:c>
      <x:c r="I950" s="262" t="n">
        <x:f>'Historical Inputs'!$N$9*(1+D950)^5</x:f>
        <x:v>673509.2230629331</x:v>
      </x:c>
      <x:c r="J950" s="262" t="n">
        <x:f>I950*(1+H950)*('Terminal Value'!$E$10+E950)*(1-'Assumptions'!$E$15)*(1-H950/'Terminal Value'!$E$12)</x:f>
        <x:v>182987.22120352846</x:v>
      </x:c>
      <x:c r="K950" s="264" t="n">
        <x:f>((SUM((('Historical Inputs'!$N$9*(1+(D950))^1)*(('Assumptions'!E37+(E950))*(1-'Assumptions'!E42-(0))+'Assumptions'!E47-'Assumptions'!E52*(F950)+'Assumptions'!E57-'Assumptions'!E62*(1)-'Assumptions'!E67-(0))+('Working Capital'!$E$6))*'DCF'!E12/(1+(G950))^'DCF'!E13,(('Historical Inputs'!$N$9*(1+(D950))^2)*(('Assumptions'!F37+(E950))*(1-'Assumptions'!F42-(0))+'Assumptions'!F47-'Assumptions'!F52*(F950)+'Assumptions'!F57-'Assumptions'!F62*(1)-'Assumptions'!F67-(0))+(('Historical Inputs'!$N$9*(1+(D950))^1)*('Assumptions'!E67+(0))))*'DCF'!F12/(1+(G950))^'DCF'!F13,(('Historical Inputs'!$N$9*(1+(D950))^3)*(('Assumptions'!G37+(E950))*(1-'Assumptions'!G42-(0))+'Assumptions'!G47-'Assumptions'!G52*(F950)+'Assumptions'!G57-'Assumptions'!G62*(1)-'Assumptions'!G67-(0))+(('Historical Inputs'!$N$9*(1+(D950))^2)*('Assumptions'!F67+(0))))*'DCF'!G12/(1+(G950))^'DCF'!G13,(('Historical Inputs'!$N$9*(1+(D950))^4)*(('Assumptions'!H37+(E950))*(1-'Assumptions'!H42-(0))+'Assumptions'!H47-'Assumptions'!H52*(F950)+'Assumptions'!H57-'Assumptions'!H62*(1)-'Assumptions'!H67-(0))+(('Historical Inputs'!$N$9*(1+(D950))^3)*('Assumptions'!G67+(0))))*'DCF'!H12/(1+(G950))^'DCF'!H13,(('Historical Inputs'!$N$9*(1+(D950))^5)*(('Assumptions'!I37+(E950))*(1-'Assumptions'!I42-(0))+'Assumptions'!I47-'Assumptions'!I52*(F950)+'Assumptions'!I57-'Assumptions'!I62*(1)-'Assumptions'!I67-(0))+(('Historical Inputs'!$N$9*(1+(D950))^4)*('Assumptions'!H67+(0))))*'DCF'!I12/(1+(G950))^'DCF'!I13)+('Historical Inputs'!$N$9*(1+(D950))^5)*(1+(H950))*('Terminal Value'!$E$10+(E950))*(1-'Assumptions'!$E$15-(0))*(1-(H950)/('Terminal Value'!$E$12))/((G950)-(H950))/(1+(G950))^'DCF'!$E$19)+'Equity Bridge'!$E$17)/'Equity Bridge'!$E$20</x:f>
        <x:v>275.7998232198796</x:v>
      </x:c>
      <x:c r="X950" s="255" t="n">
        <x:v>0.660916217660439</x:v>
      </x:c>
      <x:c r="Y950" s="255" t="n">
        <x:v>0.2438615513184601</x:v>
      </x:c>
      <x:c r="Z950" s="255" t="n">
        <x:v>0.0530863944363229</x:v>
      </x:c>
      <x:c r="AA950" s="255" t="n">
        <x:v>0.6583248842618141</x:v>
      </x:c>
      <x:c r="AB950" s="255" t="n">
        <x:v>0.35403644632519193</x:v>
      </x:c>
    </x:row>
    <x:row r="951" ht="24" customHeight="1">
      <x:c r="C951" s="256" t="n">
        <x:f>920</x:f>
        <x:v>920</x:v>
      </x:c>
      <x:c r="D951" s="258" t="n">
        <x:f>IF(X951&lt;($E$12-$D$12)/($F$12-$D$12),$D$12+SQRT(X951*($F$12-$D$12)*($E$12-$D$12)),$F$12-SQRT((1-X951)*($F$12-$D$12)*($F$12-$E$12)))</x:f>
        <x:v>0.14255863174855146</x:v>
      </x:c>
      <x:c r="E951" s="258" t="n">
        <x:f>IF(Y951&lt;($E$13-$D$13)/($F$13-$D$13),$D$13+SQRT(Y951*($F$13-$D$13)*($E$13-$D$13)),$F$13-SQRT((1-Y951)*($F$13-$D$13)*($F$13-$E$13)))</x:f>
        <x:v>0.00019833575153169886</x:v>
      </x:c>
      <x:c r="F951" s="260" t="n">
        <x:f>IF(Z951&lt;($E$14-$D$14)/($F$14-$D$14),$D$14+SQRT(Z951*($F$14-$D$14)*($E$14-$D$14)),$F$14-SQRT((1-Z951)*($F$14-$D$14)*($F$14-$E$14)))</x:f>
        <x:v>0.907404977743473</x:v>
      </x:c>
      <x:c r="G951" s="258" t="n">
        <x:f>IF(AA951&lt;($E$15-$D$15)/($F$15-$D$15),$D$15+SQRT(AA951*($F$15-$D$15)*($E$15-$D$15)),$F$15-SQRT((1-AA951)*($F$15-$D$15)*($F$15-$E$15)))</x:f>
        <x:v>0.10381108872015161</x:v>
      </x:c>
      <x:c r="H951" s="258" t="n">
        <x:f>IF(AB951&lt;($E$16-$D$16)/($F$16-$D$16),$D$16+SQRT(AB951*($F$16-$D$16)*($E$16-$D$16)),$F$16-SQRT((1-AB951)*($F$16-$D$16)*($F$16-$E$16)))</x:f>
        <x:v>0.03182476543535809</x:v>
      </x:c>
      <x:c r="I951" s="262" t="n">
        <x:f>'Historical Inputs'!$N$9*(1+D951)^5</x:f>
        <x:v>646129.9974426333</x:v>
      </x:c>
      <x:c r="J951" s="262" t="n">
        <x:f>I951*(1+H951)*('Terminal Value'!$E$10+E951)*(1-'Assumptions'!$E$15)*(1-H951/'Terminal Value'!$E$12)</x:f>
        <x:v>179482.93523968157</x:v>
      </x:c>
      <x:c r="K951" s="264" t="n">
        <x:f>((SUM((('Historical Inputs'!$N$9*(1+(D951))^1)*(('Assumptions'!E37+(E951))*(1-'Assumptions'!E42-(0))+'Assumptions'!E47-'Assumptions'!E52*(F951)+'Assumptions'!E57-'Assumptions'!E62*(1)-'Assumptions'!E67-(0))+('Working Capital'!$E$6))*'DCF'!E12/(1+(G951))^'DCF'!E13,(('Historical Inputs'!$N$9*(1+(D951))^2)*(('Assumptions'!F37+(E951))*(1-'Assumptions'!F42-(0))+'Assumptions'!F47-'Assumptions'!F52*(F951)+'Assumptions'!F57-'Assumptions'!F62*(1)-'Assumptions'!F67-(0))+(('Historical Inputs'!$N$9*(1+(D951))^1)*('Assumptions'!E67+(0))))*'DCF'!F12/(1+(G951))^'DCF'!F13,(('Historical Inputs'!$N$9*(1+(D951))^3)*(('Assumptions'!G37+(E951))*(1-'Assumptions'!G42-(0))+'Assumptions'!G47-'Assumptions'!G52*(F951)+'Assumptions'!G57-'Assumptions'!G62*(1)-'Assumptions'!G67-(0))+(('Historical Inputs'!$N$9*(1+(D951))^2)*('Assumptions'!F67+(0))))*'DCF'!G12/(1+(G951))^'DCF'!G13,(('Historical Inputs'!$N$9*(1+(D951))^4)*(('Assumptions'!H37+(E951))*(1-'Assumptions'!H42-(0))+'Assumptions'!H47-'Assumptions'!H52*(F951)+'Assumptions'!H57-'Assumptions'!H62*(1)-'Assumptions'!H67-(0))+(('Historical Inputs'!$N$9*(1+(D951))^3)*('Assumptions'!G67+(0))))*'DCF'!H12/(1+(G951))^'DCF'!H13,(('Historical Inputs'!$N$9*(1+(D951))^5)*(('Assumptions'!I37+(E951))*(1-'Assumptions'!I42-(0))+'Assumptions'!I47-'Assumptions'!I52*(F951)+'Assumptions'!I57-'Assumptions'!I62*(1)-'Assumptions'!I67-(0))+(('Historical Inputs'!$N$9*(1+(D951))^4)*('Assumptions'!H67+(0))))*'DCF'!I12/(1+(G951))^'DCF'!I13)+('Historical Inputs'!$N$9*(1+(D951))^5)*(1+(H951))*('Terminal Value'!$E$10+(E951))*(1-'Assumptions'!$E$15-(0))*(1-(H951)/('Terminal Value'!$E$12))/((G951)-(H951))/(1+(G951))^'DCF'!$E$19)+'Equity Bridge'!$E$17)/'Equity Bridge'!$E$20</x:f>
        <x:v>270.45824292662985</x:v>
      </x:c>
      <x:c r="X951" s="255" t="n">
        <x:v>0.4861297481899536</x:v>
      </x:c>
      <x:c r="Y951" s="255" t="n">
        <x:v>0.503958847616567</x:v>
      </x:c>
      <x:c r="Z951" s="255" t="n">
        <x:v>0.06276821847102154</x:v>
      </x:c>
      <x:c r="AA951" s="255" t="n">
        <x:v>0.806587831177555</x:v>
      </x:c>
      <x:c r="AB951" s="255" t="n">
        <x:v>0.6658276990654208</x:v>
      </x:c>
    </x:row>
    <x:row r="952" ht="24" customHeight="1">
      <x:c r="C952" s="256" t="n">
        <x:f>921</x:f>
        <x:v>921</x:v>
      </x:c>
      <x:c r="D952" s="258" t="n">
        <x:f>IF(X952&lt;($E$12-$D$12)/($F$12-$D$12),$D$12+SQRT(X952*($F$12-$D$12)*($E$12-$D$12)),$F$12-SQRT((1-X952)*($F$12-$D$12)*($F$12-$E$12)))</x:f>
        <x:v>0.16348331355523757</x:v>
      </x:c>
      <x:c r="E952" s="258" t="n">
        <x:f>IF(Y952&lt;($E$13-$D$13)/($F$13-$D$13),$D$13+SQRT(Y952*($F$13-$D$13)*($E$13-$D$13)),$F$13-SQRT((1-Y952)*($F$13-$D$13)*($F$13-$E$13)))</x:f>
        <x:v>-0.006640855520221818</x:v>
      </x:c>
      <x:c r="F952" s="260" t="n">
        <x:f>IF(Z952&lt;($E$14-$D$14)/($F$14-$D$14),$D$14+SQRT(Z952*($F$14-$D$14)*($E$14-$D$14)),$F$14-SQRT((1-Z952)*($F$14-$D$14)*($F$14-$E$14)))</x:f>
        <x:v>0.9984546881232339</x:v>
      </x:c>
      <x:c r="G952" s="258" t="n">
        <x:f>IF(AA952&lt;($E$15-$D$15)/($F$15-$D$15),$D$15+SQRT(AA952*($F$15-$D$15)*($E$15-$D$15)),$F$15-SQRT((1-AA952)*($F$15-$D$15)*($F$15-$E$15)))</x:f>
        <x:v>0.0960290595776284</x:v>
      </x:c>
      <x:c r="H952" s="258" t="n">
        <x:f>IF(AB952&lt;($E$16-$D$16)/($F$16-$D$16),$D$16+SQRT(AB952*($F$16-$D$16)*($E$16-$D$16)),$F$16-SQRT((1-AB952)*($F$16-$D$16)*($F$16-$E$16)))</x:f>
        <x:v>0.026708290661301433</x:v>
      </x:c>
      <x:c r="I952" s="262" t="n">
        <x:f>'Historical Inputs'!$N$9*(1+D952)^5</x:f>
        <x:v>707502.8953329151</x:v>
      </x:c>
      <x:c r="J952" s="262" t="n">
        <x:f>I952*(1+H952)*('Terminal Value'!$E$10+E952)*(1-'Assumptions'!$E$15)*(1-H952/'Terminal Value'!$E$12)</x:f>
        <x:v>198062.52807349508</x:v>
      </x:c>
      <x:c r="K952" s="264" t="n">
        <x:f>((SUM((('Historical Inputs'!$N$9*(1+(D952))^1)*(('Assumptions'!E37+(E952))*(1-'Assumptions'!E42-(0))+'Assumptions'!E47-'Assumptions'!E52*(F952)+'Assumptions'!E57-'Assumptions'!E62*(1)-'Assumptions'!E67-(0))+('Working Capital'!$E$6))*'DCF'!E12/(1+(G952))^'DCF'!E13,(('Historical Inputs'!$N$9*(1+(D952))^2)*(('Assumptions'!F37+(E952))*(1-'Assumptions'!F42-(0))+'Assumptions'!F47-'Assumptions'!F52*(F952)+'Assumptions'!F57-'Assumptions'!F62*(1)-'Assumptions'!F67-(0))+(('Historical Inputs'!$N$9*(1+(D952))^1)*('Assumptions'!E67+(0))))*'DCF'!F12/(1+(G952))^'DCF'!F13,(('Historical Inputs'!$N$9*(1+(D952))^3)*(('Assumptions'!G37+(E952))*(1-'Assumptions'!G42-(0))+'Assumptions'!G47-'Assumptions'!G52*(F952)+'Assumptions'!G57-'Assumptions'!G62*(1)-'Assumptions'!G67-(0))+(('Historical Inputs'!$N$9*(1+(D952))^2)*('Assumptions'!F67+(0))))*'DCF'!G12/(1+(G952))^'DCF'!G13,(('Historical Inputs'!$N$9*(1+(D952))^4)*(('Assumptions'!H37+(E952))*(1-'Assumptions'!H42-(0))+'Assumptions'!H47-'Assumptions'!H52*(F952)+'Assumptions'!H57-'Assumptions'!H62*(1)-'Assumptions'!H67-(0))+(('Historical Inputs'!$N$9*(1+(D952))^3)*('Assumptions'!G67+(0))))*'DCF'!H12/(1+(G952))^'DCF'!H13,(('Historical Inputs'!$N$9*(1+(D952))^5)*(('Assumptions'!I37+(E952))*(1-'Assumptions'!I42-(0))+'Assumptions'!I47-'Assumptions'!I52*(F952)+'Assumptions'!I57-'Assumptions'!I62*(1)-'Assumptions'!I67-(0))+(('Historical Inputs'!$N$9*(1+(D952))^4)*('Assumptions'!H67+(0))))*'DCF'!I12/(1+(G952))^'DCF'!I13)+('Historical Inputs'!$N$9*(1+(D952))^5)*(1+(H952))*('Terminal Value'!$E$10+(E952))*(1-'Assumptions'!$E$15-(0))*(1-(H952)/('Terminal Value'!$E$12))/((G952)-(H952))/(1+(G952))^'DCF'!$E$19)+'Equity Bridge'!$E$17)/'Equity Bridge'!$E$20</x:f>
        <x:v>307.0420875633087</x:v>
      </x:c>
      <x:c r="X952" s="255" t="n">
        <x:v>0.8227052591608235</x:v>
      </x:c>
      <x:c r="Y952" s="255" t="n">
        <x:v>0.37600308200365573</x:v>
      </x:c>
      <x:c r="Z952" s="255" t="n">
        <x:v>0.4197865604907931</x:v>
      </x:c>
      <x:c r="AA952" s="255" t="n">
        <x:v>0.3691518606754466</x:v>
      </x:c>
      <x:c r="AB952" s="255" t="n">
        <x:v>0.22500581798252028</x:v>
      </x:c>
    </x:row>
    <x:row r="953" ht="24" customHeight="1">
      <x:c r="C953" s="256" t="n">
        <x:f>922</x:f>
        <x:v>922</x:v>
      </x:c>
      <x:c r="D953" s="258" t="n">
        <x:f>IF(X953&lt;($E$12-$D$12)/($F$12-$D$12),$D$12+SQRT(X953*($F$12-$D$12)*($E$12-$D$12)),$F$12-SQRT((1-X953)*($F$12-$D$12)*($F$12-$E$12)))</x:f>
        <x:v>0.14260070908475803</x:v>
      </x:c>
      <x:c r="E953" s="258" t="n">
        <x:f>IF(Y953&lt;($E$13-$D$13)/($F$13-$D$13),$D$13+SQRT(Y953*($F$13-$D$13)*($E$13-$D$13)),$F$13-SQRT((1-Y953)*($F$13-$D$13)*($F$13-$E$13)))</x:f>
        <x:v>0.03904806352254246</x:v>
      </x:c>
      <x:c r="F953" s="260" t="n">
        <x:f>IF(Z953&lt;($E$14-$D$14)/($F$14-$D$14),$D$14+SQRT(Z953*($F$14-$D$14)*($E$14-$D$14)),$F$14-SQRT((1-Z953)*($F$14-$D$14)*($F$14-$E$14)))</x:f>
        <x:v>1.1173528232241992</x:v>
      </x:c>
      <x:c r="G953" s="258" t="n">
        <x:f>IF(AA953&lt;($E$15-$D$15)/($F$15-$D$15),$D$15+SQRT(AA953*($F$15-$D$15)*($E$15-$D$15)),$F$15-SQRT((1-AA953)*($F$15-$D$15)*($F$15-$E$15)))</x:f>
        <x:v>0.0976433963779669</x:v>
      </x:c>
      <x:c r="H953" s="258" t="n">
        <x:f>IF(AB953&lt;($E$16-$D$16)/($F$16-$D$16),$D$16+SQRT(AB953*($F$16-$D$16)*($E$16-$D$16)),$F$16-SQRT((1-AB953)*($F$16-$D$16)*($F$16-$E$16)))</x:f>
        <x:v>0.030556232621548777</x:v>
      </x:c>
      <x:c r="I953" s="262" t="n">
        <x:f>'Historical Inputs'!$N$9*(1+D953)^5</x:f>
        <x:v>646248.9822847779</x:v>
      </x:c>
      <x:c r="J953" s="262" t="n">
        <x:f>I953*(1+H953)*('Terminal Value'!$E$10+E953)*(1-'Assumptions'!$E$15)*(1-H953/'Terminal Value'!$E$12)</x:f>
        <x:v>198184.28881613087</x:v>
      </x:c>
      <x:c r="K953" s="264" t="n">
        <x:f>((SUM((('Historical Inputs'!$N$9*(1+(D953))^1)*(('Assumptions'!E37+(E953))*(1-'Assumptions'!E42-(0))+'Assumptions'!E47-'Assumptions'!E52*(F953)+'Assumptions'!E57-'Assumptions'!E62*(1)-'Assumptions'!E67-(0))+('Working Capital'!$E$6))*'DCF'!E12/(1+(G953))^'DCF'!E13,(('Historical Inputs'!$N$9*(1+(D953))^2)*(('Assumptions'!F37+(E953))*(1-'Assumptions'!F42-(0))+'Assumptions'!F47-'Assumptions'!F52*(F953)+'Assumptions'!F57-'Assumptions'!F62*(1)-'Assumptions'!F67-(0))+(('Historical Inputs'!$N$9*(1+(D953))^1)*('Assumptions'!E67+(0))))*'DCF'!F12/(1+(G953))^'DCF'!F13,(('Historical Inputs'!$N$9*(1+(D953))^3)*(('Assumptions'!G37+(E953))*(1-'Assumptions'!G42-(0))+'Assumptions'!G47-'Assumptions'!G52*(F953)+'Assumptions'!G57-'Assumptions'!G62*(1)-'Assumptions'!G67-(0))+(('Historical Inputs'!$N$9*(1+(D953))^2)*('Assumptions'!F67+(0))))*'DCF'!G12/(1+(G953))^'DCF'!G13,(('Historical Inputs'!$N$9*(1+(D953))^4)*(('Assumptions'!H37+(E953))*(1-'Assumptions'!H42-(0))+'Assumptions'!H47-'Assumptions'!H52*(F953)+'Assumptions'!H57-'Assumptions'!H62*(1)-'Assumptions'!H67-(0))+(('Historical Inputs'!$N$9*(1+(D953))^3)*('Assumptions'!G67+(0))))*'DCF'!H12/(1+(G953))^'DCF'!H13,(('Historical Inputs'!$N$9*(1+(D953))^5)*(('Assumptions'!I37+(E953))*(1-'Assumptions'!I42-(0))+'Assumptions'!I47-'Assumptions'!I52*(F953)+'Assumptions'!I57-'Assumptions'!I62*(1)-'Assumptions'!I67-(0))+(('Historical Inputs'!$N$9*(1+(D953))^4)*('Assumptions'!H67+(0))))*'DCF'!I12/(1+(G953))^'DCF'!I13)+('Historical Inputs'!$N$9*(1+(D953))^5)*(1+(H953))*('Terminal Value'!$E$10+(E953))*(1-'Assumptions'!$E$15-(0))*(1-(H953)/('Terminal Value'!$E$12))/((G953)-(H953))/(1+(G953))^'DCF'!$E$19)+'Equity Bridge'!$E$17)/'Equity Bridge'!$E$20</x:f>
        <x:v>311.5199025130403</x:v>
      </x:c>
      <x:c r="X953" s="255" t="n">
        <x:v>0.48695989445689114</x:v>
      </x:c>
      <x:c r="Y953" s="255" t="n">
        <x:v>0.976011017478747</x:v>
      </x:c>
      <x:c r="Z953" s="255" t="n">
        <x:v>0.9024206310141359</x:v>
      </x:c>
      <x:c r="AA953" s="255" t="n">
        <x:v>0.4674173215211832</x:v>
      </x:c>
      <x:c r="AB953" s="255" t="n">
        <x:v>0.5540762885085027</x:v>
      </x:c>
    </x:row>
    <x:row r="954" ht="24" customHeight="1">
      <x:c r="C954" s="256" t="n">
        <x:f>923</x:f>
        <x:v>923</x:v>
      </x:c>
      <x:c r="D954" s="258" t="n">
        <x:f>IF(X954&lt;($E$12-$D$12)/($F$12-$D$12),$D$12+SQRT(X954*($F$12-$D$12)*($E$12-$D$12)),$F$12-SQRT((1-X954)*($F$12-$D$12)*($F$12-$E$12)))</x:f>
        <x:v>0.15368887660131364</x:v>
      </x:c>
      <x:c r="E954" s="258" t="n">
        <x:f>IF(Y954&lt;($E$13-$D$13)/($F$13-$D$13),$D$13+SQRT(Y954*($F$13-$D$13)*($E$13-$D$13)),$F$13-SQRT((1-Y954)*($F$13-$D$13)*($F$13-$E$13)))</x:f>
        <x:v>0.019423986367888665</x:v>
      </x:c>
      <x:c r="F954" s="260" t="n">
        <x:f>IF(Z954&lt;($E$14-$D$14)/($F$14-$D$14),$D$14+SQRT(Z954*($F$14-$D$14)*($E$14-$D$14)),$F$14-SQRT((1-Z954)*($F$14-$D$14)*($F$14-$E$14)))</x:f>
        <x:v>0.9143077701507331</x:v>
      </x:c>
      <x:c r="G954" s="258" t="n">
        <x:f>IF(AA954&lt;($E$15-$D$15)/($F$15-$D$15),$D$15+SQRT(AA954*($F$15-$D$15)*($E$15-$D$15)),$F$15-SQRT((1-AA954)*($F$15-$D$15)*($F$15-$E$15)))</x:f>
        <x:v>0.09401412146342968</x:v>
      </x:c>
      <x:c r="H954" s="258" t="n">
        <x:f>IF(AB954&lt;($E$16-$D$16)/($F$16-$D$16),$D$16+SQRT(AB954*($F$16-$D$16)*($E$16-$D$16)),$F$16-SQRT((1-AB954)*($F$16-$D$16)*($F$16-$E$16)))</x:f>
        <x:v>0.023613808427273644</x:v>
      </x:c>
      <x:c r="I954" s="262" t="n">
        <x:f>'Historical Inputs'!$N$9*(1+D954)^5</x:f>
        <x:v>678220.5625674145</x:v>
      </x:c>
      <x:c r="J954" s="262" t="n">
        <x:f>I954*(1+H954)*('Terminal Value'!$E$10+E954)*(1-'Assumptions'!$E$15)*(1-H954/'Terminal Value'!$E$12)</x:f>
        <x:v>205439.96237669303</x:v>
      </x:c>
      <x:c r="K954" s="264" t="n">
        <x:f>((SUM((('Historical Inputs'!$N$9*(1+(D954))^1)*(('Assumptions'!E37+(E954))*(1-'Assumptions'!E42-(0))+'Assumptions'!E47-'Assumptions'!E52*(F954)+'Assumptions'!E57-'Assumptions'!E62*(1)-'Assumptions'!E67-(0))+('Working Capital'!$E$6))*'DCF'!E12/(1+(G954))^'DCF'!E13,(('Historical Inputs'!$N$9*(1+(D954))^2)*(('Assumptions'!F37+(E954))*(1-'Assumptions'!F42-(0))+'Assumptions'!F47-'Assumptions'!F52*(F954)+'Assumptions'!F57-'Assumptions'!F62*(1)-'Assumptions'!F67-(0))+(('Historical Inputs'!$N$9*(1+(D954))^1)*('Assumptions'!E67+(0))))*'DCF'!F12/(1+(G954))^'DCF'!F13,(('Historical Inputs'!$N$9*(1+(D954))^3)*(('Assumptions'!G37+(E954))*(1-'Assumptions'!G42-(0))+'Assumptions'!G47-'Assumptions'!G52*(F954)+'Assumptions'!G57-'Assumptions'!G62*(1)-'Assumptions'!G67-(0))+(('Historical Inputs'!$N$9*(1+(D954))^2)*('Assumptions'!F67+(0))))*'DCF'!G12/(1+(G954))^'DCF'!G13,(('Historical Inputs'!$N$9*(1+(D954))^4)*(('Assumptions'!H37+(E954))*(1-'Assumptions'!H42-(0))+'Assumptions'!H47-'Assumptions'!H52*(F954)+'Assumptions'!H57-'Assumptions'!H62*(1)-'Assumptions'!H67-(0))+(('Historical Inputs'!$N$9*(1+(D954))^3)*('Assumptions'!G67+(0))))*'DCF'!H12/(1+(G954))^'DCF'!H13,(('Historical Inputs'!$N$9*(1+(D954))^5)*(('Assumptions'!I37+(E954))*(1-'Assumptions'!I42-(0))+'Assumptions'!I47-'Assumptions'!I52*(F954)+'Assumptions'!I57-'Assumptions'!I62*(1)-'Assumptions'!I67-(0))+(('Historical Inputs'!$N$9*(1+(D954))^4)*('Assumptions'!H67+(0))))*'DCF'!I12/(1+(G954))^'DCF'!I13)+('Historical Inputs'!$N$9*(1+(D954))^5)*(1+(H954))*('Terminal Value'!$E$10+(E954))*(1-'Assumptions'!$E$15-(0))*(1-(H954)/('Terminal Value'!$E$12))/((G954)-(H954))/(1+(G954))^'DCF'!$E$19)+'Equity Bridge'!$E$17)/'Equity Bridge'!$E$20</x:f>
        <x:v>324.18259517296536</x:v>
      </x:c>
      <x:c r="X954" s="255" t="n">
        <x:v>0.6868723766947181</x:v>
      </x:c>
      <x:c r="Y954" s="255" t="n">
        <x:v>0.8130214780737883</x:v>
      </x:c>
      <x:c r="Z954" s="255" t="n">
        <x:v>0.07877122479541931</x:v>
      </x:c>
      <x:c r="AA954" s="255" t="n">
        <x:v>0.2627521917929929</x:v>
      </x:c>
      <x:c r="AB954" s="255" t="n">
        <x:v>0.06529805674517009</x:v>
      </x:c>
    </x:row>
    <x:row r="955" ht="24" customHeight="1">
      <x:c r="C955" s="256" t="n">
        <x:f>924</x:f>
        <x:v>924</x:v>
      </x:c>
      <x:c r="D955" s="258" t="n">
        <x:f>IF(X955&lt;($E$12-$D$12)/($F$12-$D$12),$D$12+SQRT(X955*($F$12-$D$12)*($E$12-$D$12)),$F$12-SQRT((1-X955)*($F$12-$D$12)*($F$12-$E$12)))</x:f>
        <x:v>0.17843348451229524</x:v>
      </x:c>
      <x:c r="E955" s="258" t="n">
        <x:f>IF(Y955&lt;($E$13-$D$13)/($F$13-$D$13),$D$13+SQRT(Y955*($F$13-$D$13)*($E$13-$D$13)),$F$13-SQRT((1-Y955)*($F$13-$D$13)*($F$13-$E$13)))</x:f>
        <x:v>-0.0032603273621580747</x:v>
      </x:c>
      <x:c r="F955" s="260" t="n">
        <x:f>IF(Z955&lt;($E$14-$D$14)/($F$14-$D$14),$D$14+SQRT(Z955*($F$14-$D$14)*($E$14-$D$14)),$F$14-SQRT((1-Z955)*($F$14-$D$14)*($F$14-$E$14)))</x:f>
        <x:v>0.9514475524784145</x:v>
      </x:c>
      <x:c r="G955" s="258" t="n">
        <x:f>IF(AA955&lt;($E$15-$D$15)/($F$15-$D$15),$D$15+SQRT(AA955*($F$15-$D$15)*($E$15-$D$15)),$F$15-SQRT((1-AA955)*($F$15-$D$15)*($F$15-$E$15)))</x:f>
        <x:v>0.0983950842713548</x:v>
      </x:c>
      <x:c r="H955" s="258" t="n">
        <x:f>IF(AB955&lt;($E$16-$D$16)/($F$16-$D$16),$D$16+SQRT(AB955*($F$16-$D$16)*($E$16-$D$16)),$F$16-SQRT((1-AB955)*($F$16-$D$16)*($F$16-$E$16)))</x:f>
        <x:v>0.02979154911208455</x:v>
      </x:c>
      <x:c r="I955" s="262" t="n">
        <x:f>'Historical Inputs'!$N$9*(1+D955)^5</x:f>
        <x:v>754141.424840704</x:v>
      </x:c>
      <x:c r="J955" s="262" t="n">
        <x:f>I955*(1+H955)*('Terminal Value'!$E$10+E955)*(1-'Assumptions'!$E$15)*(1-H955/'Terminal Value'!$E$12)</x:f>
        <x:v>209772.64863357262</x:v>
      </x:c>
      <x:c r="K955" s="264" t="n">
        <x:f>((SUM((('Historical Inputs'!$N$9*(1+(D955))^1)*(('Assumptions'!E37+(E955))*(1-'Assumptions'!E42-(0))+'Assumptions'!E47-'Assumptions'!E52*(F955)+'Assumptions'!E57-'Assumptions'!E62*(1)-'Assumptions'!E67-(0))+('Working Capital'!$E$6))*'DCF'!E12/(1+(G955))^'DCF'!E13,(('Historical Inputs'!$N$9*(1+(D955))^2)*(('Assumptions'!F37+(E955))*(1-'Assumptions'!F42-(0))+'Assumptions'!F47-'Assumptions'!F52*(F955)+'Assumptions'!F57-'Assumptions'!F62*(1)-'Assumptions'!F67-(0))+(('Historical Inputs'!$N$9*(1+(D955))^1)*('Assumptions'!E67+(0))))*'DCF'!F12/(1+(G955))^'DCF'!F13,(('Historical Inputs'!$N$9*(1+(D955))^3)*(('Assumptions'!G37+(E955))*(1-'Assumptions'!G42-(0))+'Assumptions'!G47-'Assumptions'!G52*(F955)+'Assumptions'!G57-'Assumptions'!G62*(1)-'Assumptions'!G67-(0))+(('Historical Inputs'!$N$9*(1+(D955))^2)*('Assumptions'!F67+(0))))*'DCF'!G12/(1+(G955))^'DCF'!G13,(('Historical Inputs'!$N$9*(1+(D955))^4)*(('Assumptions'!H37+(E955))*(1-'Assumptions'!H42-(0))+'Assumptions'!H47-'Assumptions'!H52*(F955)+'Assumptions'!H57-'Assumptions'!H62*(1)-'Assumptions'!H67-(0))+(('Historical Inputs'!$N$9*(1+(D955))^3)*('Assumptions'!G67+(0))))*'DCF'!H12/(1+(G955))^'DCF'!H13,(('Historical Inputs'!$N$9*(1+(D955))^5)*(('Assumptions'!I37+(E955))*(1-'Assumptions'!I42-(0))+'Assumptions'!I47-'Assumptions'!I52*(F955)+'Assumptions'!I57-'Assumptions'!I62*(1)-'Assumptions'!I67-(0))+(('Historical Inputs'!$N$9*(1+(D955))^4)*('Assumptions'!H67+(0))))*'DCF'!I12/(1+(G955))^'DCF'!I13)+('Historical Inputs'!$N$9*(1+(D955))^5)*(1+(H955))*('Terminal Value'!$E$10+(E955))*(1-'Assumptions'!$E$15-(0))*(1-(H955)/('Terminal Value'!$E$12))/((G955)-(H955))/(1+(G955))^'DCF'!$E$19)+'Equity Bridge'!$E$17)/'Equity Bridge'!$E$20</x:f>
        <x:v>328.2709834838436</x:v>
      </x:c>
      <x:c r="X955" s="255" t="n">
        <x:v>0.9560525483015004</x:v>
      </x:c>
      <x:c r="Y955" s="255" t="n">
        <x:v>0.4369193996585258</x:v>
      </x:c>
      <x:c r="Z955" s="255" t="n">
        <x:v>0.19603058864496492</x:v>
      </x:c>
      <x:c r="AA955" s="255" t="n">
        <x:v>0.5168368215303341</x:v>
      </x:c>
      <x:c r="AB955" s="255" t="n">
        <x:v>0.47937217007181865</x:v>
      </x:c>
    </x:row>
    <x:row r="956" ht="24" customHeight="1">
      <x:c r="C956" s="256" t="n">
        <x:f>925</x:f>
        <x:v>925</x:v>
      </x:c>
      <x:c r="D956" s="258" t="n">
        <x:f>IF(X956&lt;($E$12-$D$12)/($F$12-$D$12),$D$12+SQRT(X956*($F$12-$D$12)*($E$12-$D$12)),$F$12-SQRT((1-X956)*($F$12-$D$12)*($F$12-$E$12)))</x:f>
        <x:v>0.14026923003732283</x:v>
      </x:c>
      <x:c r="E956" s="258" t="n">
        <x:f>IF(Y956&lt;($E$13-$D$13)/($F$13-$D$13),$D$13+SQRT(Y956*($F$13-$D$13)*($E$13-$D$13)),$F$13-SQRT((1-Y956)*($F$13-$D$13)*($F$13-$E$13)))</x:f>
        <x:v>0.018333673898608224</x:v>
      </x:c>
      <x:c r="F956" s="260" t="n">
        <x:f>IF(Z956&lt;($E$14-$D$14)/($F$14-$D$14),$D$14+SQRT(Z956*($F$14-$D$14)*($E$14-$D$14)),$F$14-SQRT((1-Z956)*($F$14-$D$14)*($F$14-$E$14)))</x:f>
        <x:v>1.105101981576265</x:v>
      </x:c>
      <x:c r="G956" s="258" t="n">
        <x:f>IF(AA956&lt;($E$15-$D$15)/($F$15-$D$15),$D$15+SQRT(AA956*($F$15-$D$15)*($E$15-$D$15)),$F$15-SQRT((1-AA956)*($F$15-$D$15)*($F$15-$E$15)))</x:f>
        <x:v>0.09167923481197765</x:v>
      </x:c>
      <x:c r="H956" s="258" t="n">
        <x:f>IF(AB956&lt;($E$16-$D$16)/($F$16-$D$16),$D$16+SQRT(AB956*($F$16-$D$16)*($E$16-$D$16)),$F$16-SQRT((1-AB956)*($F$16-$D$16)*($F$16-$E$16)))</x:f>
        <x:v>0.034734488968650876</x:v>
      </x:c>
      <x:c r="I956" s="262" t="n">
        <x:f>'Historical Inputs'!$N$9*(1+D956)^5</x:f>
        <x:v>639682.4732240842</x:v>
      </x:c>
      <x:c r="J956" s="262" t="n">
        <x:f>I956*(1+H956)*('Terminal Value'!$E$10+E956)*(1-'Assumptions'!$E$15)*(1-H956/'Terminal Value'!$E$12)</x:f>
        <x:v>183045.2330751568</x:v>
      </x:c>
      <x:c r="K956" s="264" t="n">
        <x:f>((SUM((('Historical Inputs'!$N$9*(1+(D956))^1)*(('Assumptions'!E37+(E956))*(1-'Assumptions'!E42-(0))+'Assumptions'!E47-'Assumptions'!E52*(F956)+'Assumptions'!E57-'Assumptions'!E62*(1)-'Assumptions'!E67-(0))+('Working Capital'!$E$6))*'DCF'!E12/(1+(G956))^'DCF'!E13,(('Historical Inputs'!$N$9*(1+(D956))^2)*(('Assumptions'!F37+(E956))*(1-'Assumptions'!F42-(0))+'Assumptions'!F47-'Assumptions'!F52*(F956)+'Assumptions'!F57-'Assumptions'!F62*(1)-'Assumptions'!F67-(0))+(('Historical Inputs'!$N$9*(1+(D956))^1)*('Assumptions'!E67+(0))))*'DCF'!F12/(1+(G956))^'DCF'!F13,(('Historical Inputs'!$N$9*(1+(D956))^3)*(('Assumptions'!G37+(E956))*(1-'Assumptions'!G42-(0))+'Assumptions'!G47-'Assumptions'!G52*(F956)+'Assumptions'!G57-'Assumptions'!G62*(1)-'Assumptions'!G67-(0))+(('Historical Inputs'!$N$9*(1+(D956))^2)*('Assumptions'!F67+(0))))*'DCF'!G12/(1+(G956))^'DCF'!G13,(('Historical Inputs'!$N$9*(1+(D956))^4)*(('Assumptions'!H37+(E956))*(1-'Assumptions'!H42-(0))+'Assumptions'!H47-'Assumptions'!H52*(F956)+'Assumptions'!H57-'Assumptions'!H62*(1)-'Assumptions'!H67-(0))+(('Historical Inputs'!$N$9*(1+(D956))^3)*('Assumptions'!G67+(0))))*'DCF'!H12/(1+(G956))^'DCF'!H13,(('Historical Inputs'!$N$9*(1+(D956))^5)*(('Assumptions'!I37+(E956))*(1-'Assumptions'!I42-(0))+'Assumptions'!I47-'Assumptions'!I52*(F956)+'Assumptions'!I57-'Assumptions'!I62*(1)-'Assumptions'!I67-(0))+(('Historical Inputs'!$N$9*(1+(D956))^4)*('Assumptions'!H67+(0))))*'DCF'!I12/(1+(G956))^'DCF'!I13)+('Historical Inputs'!$N$9*(1+(D956))^5)*(1+(H956))*('Terminal Value'!$E$10+(E956))*(1-'Assumptions'!$E$15-(0))*(1-(H956)/('Terminal Value'!$E$12))/((G956)-(H956))/(1+(G956))^'DCF'!$E$19)+'Equity Bridge'!$E$17)/'Equity Bridge'!$E$20</x:f>
        <x:v>338.2406207831007</x:v>
      </x:c>
      <x:c r="X956" s="255" t="n">
        <x:v>0.44202954417987506</x:v>
      </x:c>
      <x:c r="Y956" s="255" t="n">
        <x:v>0.7994487582480627</x:v>
      </x:c>
      <x:c r="Z956" s="255" t="n">
        <x:v>0.8713480871321206</x:v>
      </x:c>
      <x:c r="AA956" s="255" t="n">
        <x:v>0.1620271652997588</x:v>
      </x:c>
      <x:c r="AB956" s="255" t="n">
        <x:v>0.8613719678937035</x:v>
      </x:c>
    </x:row>
    <x:row r="957" ht="24" customHeight="1">
      <x:c r="C957" s="256" t="n">
        <x:f>926</x:f>
        <x:v>926</x:v>
      </x:c>
      <x:c r="D957" s="258" t="n">
        <x:f>IF(X957&lt;($E$12-$D$12)/($F$12-$D$12),$D$12+SQRT(X957*($F$12-$D$12)*($E$12-$D$12)),$F$12-SQRT((1-X957)*($F$12-$D$12)*($F$12-$E$12)))</x:f>
        <x:v>0.1311656996003168</x:v>
      </x:c>
      <x:c r="E957" s="258" t="n">
        <x:f>IF(Y957&lt;($E$13-$D$13)/($F$13-$D$13),$D$13+SQRT(Y957*($F$13-$D$13)*($E$13-$D$13)),$F$13-SQRT((1-Y957)*($F$13-$D$13)*($F$13-$E$13)))</x:f>
        <x:v>0.0033639274956958065</x:v>
      </x:c>
      <x:c r="F957" s="260" t="n">
        <x:f>IF(Z957&lt;($E$14-$D$14)/($F$14-$D$14),$D$14+SQRT(Z957*($F$14-$D$14)*($E$14-$D$14)),$F$14-SQRT((1-Z957)*($F$14-$D$14)*($F$14-$E$14)))</x:f>
        <x:v>0.9939119250178553</x:v>
      </x:c>
      <x:c r="G957" s="258" t="n">
        <x:f>IF(AA957&lt;($E$15-$D$15)/($F$15-$D$15),$D$15+SQRT(AA957*($F$15-$D$15)*($E$15-$D$15)),$F$15-SQRT((1-AA957)*($F$15-$D$15)*($F$15-$E$15)))</x:f>
        <x:v>0.09557983318413235</x:v>
      </x:c>
      <x:c r="H957" s="258" t="n">
        <x:f>IF(AB957&lt;($E$16-$D$16)/($F$16-$D$16),$D$16+SQRT(AB957*($F$16-$D$16)*($E$16-$D$16)),$F$16-SQRT((1-AB957)*($F$16-$D$16)*($F$16-$E$16)))</x:f>
        <x:v>0.028911675856308425</x:v>
      </x:c>
      <x:c r="I957" s="262" t="n">
        <x:f>'Historical Inputs'!$N$9*(1+D957)^5</x:f>
        <x:v>614551.8969343236</x:v>
      </x:c>
      <x:c r="J957" s="262" t="n">
        <x:f>I957*(1+H957)*('Terminal Value'!$E$10+E957)*(1-'Assumptions'!$E$15)*(1-H957/'Terminal Value'!$E$12)</x:f>
        <x:v>174547.6795753592</x:v>
      </x:c>
      <x:c r="K957" s="264" t="n">
        <x:f>((SUM((('Historical Inputs'!$N$9*(1+(D957))^1)*(('Assumptions'!E37+(E957))*(1-'Assumptions'!E42-(0))+'Assumptions'!E47-'Assumptions'!E52*(F957)+'Assumptions'!E57-'Assumptions'!E62*(1)-'Assumptions'!E67-(0))+('Working Capital'!$E$6))*'DCF'!E12/(1+(G957))^'DCF'!E13,(('Historical Inputs'!$N$9*(1+(D957))^2)*(('Assumptions'!F37+(E957))*(1-'Assumptions'!F42-(0))+'Assumptions'!F47-'Assumptions'!F52*(F957)+'Assumptions'!F57-'Assumptions'!F62*(1)-'Assumptions'!F67-(0))+(('Historical Inputs'!$N$9*(1+(D957))^1)*('Assumptions'!E67+(0))))*'DCF'!F12/(1+(G957))^'DCF'!F13,(('Historical Inputs'!$N$9*(1+(D957))^3)*(('Assumptions'!G37+(E957))*(1-'Assumptions'!G42-(0))+'Assumptions'!G47-'Assumptions'!G52*(F957)+'Assumptions'!G57-'Assumptions'!G62*(1)-'Assumptions'!G67-(0))+(('Historical Inputs'!$N$9*(1+(D957))^2)*('Assumptions'!F67+(0))))*'DCF'!G12/(1+(G957))^'DCF'!G13,(('Historical Inputs'!$N$9*(1+(D957))^4)*(('Assumptions'!H37+(E957))*(1-'Assumptions'!H42-(0))+'Assumptions'!H47-'Assumptions'!H52*(F957)+'Assumptions'!H57-'Assumptions'!H62*(1)-'Assumptions'!H67-(0))+(('Historical Inputs'!$N$9*(1+(D957))^3)*('Assumptions'!G67+(0))))*'DCF'!H12/(1+(G957))^'DCF'!H13,(('Historical Inputs'!$N$9*(1+(D957))^5)*(('Assumptions'!I37+(E957))*(1-'Assumptions'!I42-(0))+'Assumptions'!I47-'Assumptions'!I52*(F957)+'Assumptions'!I57-'Assumptions'!I62*(1)-'Assumptions'!I67-(0))+(('Historical Inputs'!$N$9*(1+(D957))^4)*('Assumptions'!H67+(0))))*'DCF'!I12/(1+(G957))^'DCF'!I13)+('Historical Inputs'!$N$9*(1+(D957))^5)*(1+(H957))*('Terminal Value'!$E$10+(E957))*(1-'Assumptions'!$E$15-(0))*(1-(H957)/('Terminal Value'!$E$12))/((G957)-(H957))/(1+(G957))^'DCF'!$E$19)+'Equity Bridge'!$E$17)/'Equity Bridge'!$E$20</x:f>
        <x:v>283.28728567174875</x:v>
      </x:c>
      <x:c r="X957" s="255" t="n">
        <x:v>0.2874135701185261</x:v>
      </x:c>
      <x:c r="Y957" s="255" t="n">
        <x:v>0.5650153482746564</x:v>
      </x:c>
      <x:c r="Z957" s="255" t="n">
        <x:v>0.3944884221399011</x:v>
      </x:c>
      <x:c r="AA957" s="255" t="n">
        <x:v>0.3438672487730857</x:v>
      </x:c>
      <x:c r="AB957" s="255" t="n">
        <x:v>0.39708983283955246</x:v>
      </x:c>
    </x:row>
    <x:row r="958" ht="24" customHeight="1">
      <x:c r="C958" s="256" t="n">
        <x:f>927</x:f>
        <x:v>927</x:v>
      </x:c>
      <x:c r="D958" s="258" t="n">
        <x:f>IF(X958&lt;($E$12-$D$12)/($F$12-$D$12),$D$12+SQRT(X958*($F$12-$D$12)*($E$12-$D$12)),$F$12-SQRT((1-X958)*($F$12-$D$12)*($F$12-$E$12)))</x:f>
        <x:v>0.13955726701666757</x:v>
      </x:c>
      <x:c r="E958" s="258" t="n">
        <x:f>IF(Y958&lt;($E$13-$D$13)/($F$13-$D$13),$D$13+SQRT(Y958*($F$13-$D$13)*($E$13-$D$13)),$F$13-SQRT((1-Y958)*($F$13-$D$13)*($F$13-$E$13)))</x:f>
        <x:v>-0.006185777651948096</x:v>
      </x:c>
      <x:c r="F958" s="260" t="n">
        <x:f>IF(Z958&lt;($E$14-$D$14)/($F$14-$D$14),$D$14+SQRT(Z958*($F$14-$D$14)*($E$14-$D$14)),$F$14-SQRT((1-Z958)*($F$14-$D$14)*($F$14-$E$14)))</x:f>
        <x:v>1.0526712999378718</x:v>
      </x:c>
      <x:c r="G958" s="258" t="n">
        <x:f>IF(AA958&lt;($E$15-$D$15)/($F$15-$D$15),$D$15+SQRT(AA958*($F$15-$D$15)*($E$15-$D$15)),$F$15-SQRT((1-AA958)*($F$15-$D$15)*($F$15-$E$15)))</x:f>
        <x:v>0.09394847119283078</x:v>
      </x:c>
      <x:c r="H958" s="258" t="n">
        <x:f>IF(AB958&lt;($E$16-$D$16)/($F$16-$D$16),$D$16+SQRT(AB958*($F$16-$D$16)*($E$16-$D$16)),$F$16-SQRT((1-AB958)*($F$16-$D$16)*($F$16-$E$16)))</x:f>
        <x:v>0.027923185688860527</x:v>
      </x:c>
      <x:c r="I958" s="262" t="n">
        <x:f>'Historical Inputs'!$N$9*(1+D958)^5</x:f>
        <x:v>637687.9359497585</x:v>
      </x:c>
      <x:c r="J958" s="262" t="n">
        <x:f>I958*(1+H958)*('Terminal Value'!$E$10+E958)*(1-'Assumptions'!$E$15)*(1-H958/'Terminal Value'!$E$12)</x:f>
        <x:v>177681.6620198579</x:v>
      </x:c>
      <x:c r="K958" s="264" t="n">
        <x:f>((SUM((('Historical Inputs'!$N$9*(1+(D958))^1)*(('Assumptions'!E37+(E958))*(1-'Assumptions'!E42-(0))+'Assumptions'!E47-'Assumptions'!E52*(F958)+'Assumptions'!E57-'Assumptions'!E62*(1)-'Assumptions'!E67-(0))+('Working Capital'!$E$6))*'DCF'!E12/(1+(G958))^'DCF'!E13,(('Historical Inputs'!$N$9*(1+(D958))^2)*(('Assumptions'!F37+(E958))*(1-'Assumptions'!F42-(0))+'Assumptions'!F47-'Assumptions'!F52*(F958)+'Assumptions'!F57-'Assumptions'!F62*(1)-'Assumptions'!F67-(0))+(('Historical Inputs'!$N$9*(1+(D958))^1)*('Assumptions'!E67+(0))))*'DCF'!F12/(1+(G958))^'DCF'!F13,(('Historical Inputs'!$N$9*(1+(D958))^3)*(('Assumptions'!G37+(E958))*(1-'Assumptions'!G42-(0))+'Assumptions'!G47-'Assumptions'!G52*(F958)+'Assumptions'!G57-'Assumptions'!G62*(1)-'Assumptions'!G67-(0))+(('Historical Inputs'!$N$9*(1+(D958))^2)*('Assumptions'!F67+(0))))*'DCF'!G12/(1+(G958))^'DCF'!G13,(('Historical Inputs'!$N$9*(1+(D958))^4)*(('Assumptions'!H37+(E958))*(1-'Assumptions'!H42-(0))+'Assumptions'!H47-'Assumptions'!H52*(F958)+'Assumptions'!H57-'Assumptions'!H62*(1)-'Assumptions'!H67-(0))+(('Historical Inputs'!$N$9*(1+(D958))^3)*('Assumptions'!G67+(0))))*'DCF'!H12/(1+(G958))^'DCF'!H13,(('Historical Inputs'!$N$9*(1+(D958))^5)*(('Assumptions'!I37+(E958))*(1-'Assumptions'!I42-(0))+'Assumptions'!I47-'Assumptions'!I52*(F958)+'Assumptions'!I57-'Assumptions'!I62*(1)-'Assumptions'!I67-(0))+(('Historical Inputs'!$N$9*(1+(D958))^4)*('Assumptions'!H67+(0))))*'DCF'!I12/(1+(G958))^'DCF'!I13)+('Historical Inputs'!$N$9*(1+(D958))^5)*(1+(H958))*('Terminal Value'!$E$10+(E958))*(1-'Assumptions'!$E$15-(0))*(1-(H958)/('Terminal Value'!$E$12))/((G958)-(H958))/(1+(G958))^'DCF'!$E$19)+'Equity Bridge'!$E$17)/'Equity Bridge'!$E$20</x:f>
        <x:v>287.3583565050694</x:v>
      </x:c>
      <x:c r="X958" s="255" t="n">
        <x:v>0.4287425409421246</x:v>
      </x:c>
      <x:c r="Y958" s="255" t="n">
        <x:v>0.3839372159929062</x:v>
      </x:c>
      <x:c r="Z958" s="255" t="n">
        <x:v>0.6899179162571923</x:v>
      </x:c>
      <x:c r="AA958" s="255" t="n">
        <x:v>0.2595890371550871</x:v>
      </x:c>
      <x:c r="AB958" s="255" t="n">
        <x:v>0.31388435730082154</x:v>
      </x:c>
    </x:row>
    <x:row r="959" ht="24" customHeight="1">
      <x:c r="C959" s="256" t="n">
        <x:f>928</x:f>
        <x:v>928</x:v>
      </x:c>
      <x:c r="D959" s="258" t="n">
        <x:f>IF(X959&lt;($E$12-$D$12)/($F$12-$D$12),$D$12+SQRT(X959*($F$12-$D$12)*($E$12-$D$12)),$F$12-SQRT((1-X959)*($F$12-$D$12)*($F$12-$E$12)))</x:f>
        <x:v>0.13523937067785066</x:v>
      </x:c>
      <x:c r="E959" s="258" t="n">
        <x:f>IF(Y959&lt;($E$13-$D$13)/($F$13-$D$13),$D$13+SQRT(Y959*($F$13-$D$13)*($E$13-$D$13)),$F$13-SQRT((1-Y959)*($F$13-$D$13)*($F$13-$E$13)))</x:f>
        <x:v>-0.007885056199308307</x:v>
      </x:c>
      <x:c r="F959" s="260" t="n">
        <x:f>IF(Z959&lt;($E$14-$D$14)/($F$14-$D$14),$D$14+SQRT(Z959*($F$14-$D$14)*($E$14-$D$14)),$F$14-SQRT((1-Z959)*($F$14-$D$14)*($F$14-$E$14)))</x:f>
        <x:v>1.036683062795609</x:v>
      </x:c>
      <x:c r="G959" s="258" t="n">
        <x:f>IF(AA959&lt;($E$15-$D$15)/($F$15-$D$15),$D$15+SQRT(AA959*($F$15-$D$15)*($E$15-$D$15)),$F$15-SQRT((1-AA959)*($F$15-$D$15)*($F$15-$E$15)))</x:f>
        <x:v>0.09868127044278252</x:v>
      </x:c>
      <x:c r="H959" s="258" t="n">
        <x:f>IF(AB959&lt;($E$16-$D$16)/($F$16-$D$16),$D$16+SQRT(AB959*($F$16-$D$16)*($E$16-$D$16)),$F$16-SQRT((1-AB959)*($F$16-$D$16)*($F$16-$E$16)))</x:f>
        <x:v>0.022683526666601835</x:v>
      </x:c>
      <x:c r="I959" s="262" t="n">
        <x:f>'Historical Inputs'!$N$9*(1+D959)^5</x:f>
        <x:v>625697.827821285</x:v>
      </x:c>
      <x:c r="J959" s="262" t="n">
        <x:f>I959*(1+H959)*('Terminal Value'!$E$10+E959)*(1-'Assumptions'!$E$15)*(1-H959/'Terminal Value'!$E$12)</x:f>
        <x:v>177962.45077266006</x:v>
      </x:c>
      <x:c r="K959" s="264" t="n">
        <x:f>((SUM((('Historical Inputs'!$N$9*(1+(D959))^1)*(('Assumptions'!E37+(E959))*(1-'Assumptions'!E42-(0))+'Assumptions'!E47-'Assumptions'!E52*(F959)+'Assumptions'!E57-'Assumptions'!E62*(1)-'Assumptions'!E67-(0))+('Working Capital'!$E$6))*'DCF'!E12/(1+(G959))^'DCF'!E13,(('Historical Inputs'!$N$9*(1+(D959))^2)*(('Assumptions'!F37+(E959))*(1-'Assumptions'!F42-(0))+'Assumptions'!F47-'Assumptions'!F52*(F959)+'Assumptions'!F57-'Assumptions'!F62*(1)-'Assumptions'!F67-(0))+(('Historical Inputs'!$N$9*(1+(D959))^1)*('Assumptions'!E67+(0))))*'DCF'!F12/(1+(G959))^'DCF'!F13,(('Historical Inputs'!$N$9*(1+(D959))^3)*(('Assumptions'!G37+(E959))*(1-'Assumptions'!G42-(0))+'Assumptions'!G47-'Assumptions'!G52*(F959)+'Assumptions'!G57-'Assumptions'!G62*(1)-'Assumptions'!G67-(0))+(('Historical Inputs'!$N$9*(1+(D959))^2)*('Assumptions'!F67+(0))))*'DCF'!G12/(1+(G959))^'DCF'!G13,(('Historical Inputs'!$N$9*(1+(D959))^4)*(('Assumptions'!H37+(E959))*(1-'Assumptions'!H42-(0))+'Assumptions'!H47-'Assumptions'!H52*(F959)+'Assumptions'!H57-'Assumptions'!H62*(1)-'Assumptions'!H67-(0))+(('Historical Inputs'!$N$9*(1+(D959))^3)*('Assumptions'!G67+(0))))*'DCF'!H12/(1+(G959))^'DCF'!H13,(('Historical Inputs'!$N$9*(1+(D959))^5)*(('Assumptions'!I37+(E959))*(1-'Assumptions'!I42-(0))+'Assumptions'!I47-'Assumptions'!I52*(F959)+'Assumptions'!I57-'Assumptions'!I62*(1)-'Assumptions'!I67-(0))+(('Historical Inputs'!$N$9*(1+(D959))^4)*('Assumptions'!H67+(0))))*'DCF'!I12/(1+(G959))^'DCF'!I13)+('Historical Inputs'!$N$9*(1+(D959))^5)*(1+(H959))*('Terminal Value'!$E$10+(E959))*(1-'Assumptions'!$E$15-(0))*(1-(H959)/('Terminal Value'!$E$12))/((G959)-(H959))/(1+(G959))^'DCF'!$E$19)+'Equity Bridge'!$E$17)/'Equity Bridge'!$E$20</x:f>
        <x:v>251.8277804384237</x:v>
      </x:c>
      <x:c r="X959" s="255" t="n">
        <x:v>0.3525035230227338</x:v>
      </x:c>
      <x:c r="Y959" s="255" t="n">
        <x:v>0.3547336982670839</x:v>
      </x:c>
      <x:c r="Z959" s="255" t="n">
        <x:v>0.6189654003168147</x:v>
      </x:c>
      <x:c r="AA959" s="255" t="n">
        <x:v>0.5354099122149217</x:v>
      </x:c>
      <x:c r="AB959" s="255" t="n">
        <x:v>0.03600657685181585</x:v>
      </x:c>
    </x:row>
    <x:row r="960" ht="24" customHeight="1">
      <x:c r="C960" s="256" t="n">
        <x:f>929</x:f>
        <x:v>929</x:v>
      </x:c>
      <x:c r="D960" s="258" t="n">
        <x:f>IF(X960&lt;($E$12-$D$12)/($F$12-$D$12),$D$12+SQRT(X960*($F$12-$D$12)*($E$12-$D$12)),$F$12-SQRT((1-X960)*($F$12-$D$12)*($F$12-$E$12)))</x:f>
        <x:v>0.14503847384329654</x:v>
      </x:c>
      <x:c r="E960" s="258" t="n">
        <x:f>IF(Y960&lt;($E$13-$D$13)/($F$13-$D$13),$D$13+SQRT(Y960*($F$13-$D$13)*($E$13-$D$13)),$F$13-SQRT((1-Y960)*($F$13-$D$13)*($F$13-$E$13)))</x:f>
        <x:v>0.008472019103788524</x:v>
      </x:c>
      <x:c r="F960" s="260" t="n">
        <x:f>IF(Z960&lt;($E$14-$D$14)/($F$14-$D$14),$D$14+SQRT(Z960*($F$14-$D$14)*($E$14-$D$14)),$F$14-SQRT((1-Z960)*($F$14-$D$14)*($F$14-$E$14)))</x:f>
        <x:v>0.9960620509532389</x:v>
      </x:c>
      <x:c r="G960" s="258" t="n">
        <x:f>IF(AA960&lt;($E$15-$D$15)/($F$15-$D$15),$D$15+SQRT(AA960*($F$15-$D$15)*($E$15-$D$15)),$F$15-SQRT((1-AA960)*($F$15-$D$15)*($F$15-$E$15)))</x:f>
        <x:v>0.09596021944753585</x:v>
      </x:c>
      <x:c r="H960" s="258" t="n">
        <x:f>IF(AB960&lt;($E$16-$D$16)/($F$16-$D$16),$D$16+SQRT(AB960*($F$16-$D$16)*($E$16-$D$16)),$F$16-SQRT((1-AB960)*($F$16-$D$16)*($F$16-$E$16)))</x:f>
        <x:v>0.03714709380122349</x:v>
      </x:c>
      <x:c r="I960" s="262" t="n">
        <x:f>'Historical Inputs'!$N$9*(1+D960)^5</x:f>
        <x:v>653172.396806901</x:v>
      </x:c>
      <x:c r="J960" s="262" t="n">
        <x:f>I960*(1+H960)*('Terminal Value'!$E$10+E960)*(1-'Assumptions'!$E$15)*(1-H960/'Terminal Value'!$E$12)</x:f>
        <x:v>180254.44973955685</x:v>
      </x:c>
      <x:c r="K960" s="264" t="n">
        <x:f>((SUM((('Historical Inputs'!$N$9*(1+(D960))^1)*(('Assumptions'!E37+(E960))*(1-'Assumptions'!E42-(0))+'Assumptions'!E47-'Assumptions'!E52*(F960)+'Assumptions'!E57-'Assumptions'!E62*(1)-'Assumptions'!E67-(0))+('Working Capital'!$E$6))*'DCF'!E12/(1+(G960))^'DCF'!E13,(('Historical Inputs'!$N$9*(1+(D960))^2)*(('Assumptions'!F37+(E960))*(1-'Assumptions'!F42-(0))+'Assumptions'!F47-'Assumptions'!F52*(F960)+'Assumptions'!F57-'Assumptions'!F62*(1)-'Assumptions'!F67-(0))+(('Historical Inputs'!$N$9*(1+(D960))^1)*('Assumptions'!E67+(0))))*'DCF'!F12/(1+(G960))^'DCF'!F13,(('Historical Inputs'!$N$9*(1+(D960))^3)*(('Assumptions'!G37+(E960))*(1-'Assumptions'!G42-(0))+'Assumptions'!G47-'Assumptions'!G52*(F960)+'Assumptions'!G57-'Assumptions'!G62*(1)-'Assumptions'!G67-(0))+(('Historical Inputs'!$N$9*(1+(D960))^2)*('Assumptions'!F67+(0))))*'DCF'!G12/(1+(G960))^'DCF'!G13,(('Historical Inputs'!$N$9*(1+(D960))^4)*(('Assumptions'!H37+(E960))*(1-'Assumptions'!H42-(0))+'Assumptions'!H47-'Assumptions'!H52*(F960)+'Assumptions'!H57-'Assumptions'!H62*(1)-'Assumptions'!H67-(0))+(('Historical Inputs'!$N$9*(1+(D960))^3)*('Assumptions'!G67+(0))))*'DCF'!H12/(1+(G960))^'DCF'!H13,(('Historical Inputs'!$N$9*(1+(D960))^5)*(('Assumptions'!I37+(E960))*(1-'Assumptions'!I42-(0))+'Assumptions'!I47-'Assumptions'!I52*(F960)+'Assumptions'!I57-'Assumptions'!I62*(1)-'Assumptions'!I67-(0))+(('Historical Inputs'!$N$9*(1+(D960))^4)*('Assumptions'!H67+(0))))*'DCF'!I12/(1+(G960))^'DCF'!I13)+('Historical Inputs'!$N$9*(1+(D960))^5)*(1+(H960))*('Terminal Value'!$E$10+(E960))*(1-'Assumptions'!$E$15-(0))*(1-(H960)/('Terminal Value'!$E$12))/((G960)-(H960))/(1+(G960))^'DCF'!$E$19)+'Equity Bridge'!$E$17)/'Equity Bridge'!$E$20</x:f>
        <x:v>325.1588527899136</x:v>
      </x:c>
      <x:c r="X960" s="255" t="n">
        <x:v>0.5349943260868386</x:v>
      </x:c>
      <x:c r="Y960" s="255" t="n">
        <x:v>0.6550853605367789</x:v>
      </x:c>
      <x:c r="Z960" s="255" t="n">
        <x:v>0.4063642424507914</x:v>
      </x:c>
      <x:c r="AA960" s="255" t="n">
        <x:v>0.36521901785635014</x:v>
      </x:c>
      <x:c r="AB960" s="255" t="n">
        <x:v>0.9593046311049127</x:v>
      </x:c>
    </x:row>
    <x:row r="961" ht="24" customHeight="1">
      <x:c r="C961" s="256" t="n">
        <x:f>930</x:f>
        <x:v>930</x:v>
      </x:c>
      <x:c r="D961" s="258" t="n">
        <x:f>IF(X961&lt;($E$12-$D$12)/($F$12-$D$12),$D$12+SQRT(X961*($F$12-$D$12)*($E$12-$D$12)),$F$12-SQRT((1-X961)*($F$12-$D$12)*($F$12-$E$12)))</x:f>
        <x:v>0.15495207549939363</x:v>
      </x:c>
      <x:c r="E961" s="258" t="n">
        <x:f>IF(Y961&lt;($E$13-$D$13)/($F$13-$D$13),$D$13+SQRT(Y961*($F$13-$D$13)*($E$13-$D$13)),$F$13-SQRT((1-Y961)*($F$13-$D$13)*($F$13-$E$13)))</x:f>
        <x:v>-0.00484905204943422</x:v>
      </x:c>
      <x:c r="F961" s="260" t="n">
        <x:f>IF(Z961&lt;($E$14-$D$14)/($F$14-$D$14),$D$14+SQRT(Z961*($F$14-$D$14)*($E$14-$D$14)),$F$14-SQRT((1-Z961)*($F$14-$D$14)*($F$14-$E$14)))</x:f>
        <x:v>1.155187461377251</x:v>
      </x:c>
      <x:c r="G961" s="258" t="n">
        <x:f>IF(AA961&lt;($E$15-$D$15)/($F$15-$D$15),$D$15+SQRT(AA961*($F$15-$D$15)*($E$15-$D$15)),$F$15-SQRT((1-AA961)*($F$15-$D$15)*($F$15-$E$15)))</x:f>
        <x:v>0.08751931787229006</x:v>
      </x:c>
      <x:c r="H961" s="258" t="n">
        <x:f>IF(AB961&lt;($E$16-$D$16)/($F$16-$D$16),$D$16+SQRT(AB961*($F$16-$D$16)*($E$16-$D$16)),$F$16-SQRT((1-AB961)*($F$16-$D$16)*($F$16-$E$16)))</x:f>
        <x:v>0.03275549177640377</x:v>
      </x:c>
      <x:c r="I961" s="262" t="n">
        <x:f>'Historical Inputs'!$N$9*(1+D961)^5</x:f>
        <x:v>681941.6941431345</x:v>
      </x:c>
      <x:c r="J961" s="262" t="n">
        <x:f>I961*(1+H961)*('Terminal Value'!$E$10+E961)*(1-'Assumptions'!$E$15)*(1-H961/'Terminal Value'!$E$12)</x:f>
        <x:v>186174.26266311345</x:v>
      </x:c>
      <x:c r="K961" s="264" t="n">
        <x:f>((SUM((('Historical Inputs'!$N$9*(1+(D961))^1)*(('Assumptions'!E37+(E961))*(1-'Assumptions'!E42-(0))+'Assumptions'!E47-'Assumptions'!E52*(F961)+'Assumptions'!E57-'Assumptions'!E62*(1)-'Assumptions'!E67-(0))+('Working Capital'!$E$6))*'DCF'!E12/(1+(G961))^'DCF'!E13,(('Historical Inputs'!$N$9*(1+(D961))^2)*(('Assumptions'!F37+(E961))*(1-'Assumptions'!F42-(0))+'Assumptions'!F47-'Assumptions'!F52*(F961)+'Assumptions'!F57-'Assumptions'!F62*(1)-'Assumptions'!F67-(0))+(('Historical Inputs'!$N$9*(1+(D961))^1)*('Assumptions'!E67+(0))))*'DCF'!F12/(1+(G961))^'DCF'!F13,(('Historical Inputs'!$N$9*(1+(D961))^3)*(('Assumptions'!G37+(E961))*(1-'Assumptions'!G42-(0))+'Assumptions'!G47-'Assumptions'!G52*(F961)+'Assumptions'!G57-'Assumptions'!G62*(1)-'Assumptions'!G67-(0))+(('Historical Inputs'!$N$9*(1+(D961))^2)*('Assumptions'!F67+(0))))*'DCF'!G12/(1+(G961))^'DCF'!G13,(('Historical Inputs'!$N$9*(1+(D961))^4)*(('Assumptions'!H37+(E961))*(1-'Assumptions'!H42-(0))+'Assumptions'!H47-'Assumptions'!H52*(F961)+'Assumptions'!H57-'Assumptions'!H62*(1)-'Assumptions'!H67-(0))+(('Historical Inputs'!$N$9*(1+(D961))^3)*('Assumptions'!G67+(0))))*'DCF'!H12/(1+(G961))^'DCF'!H13,(('Historical Inputs'!$N$9*(1+(D961))^5)*(('Assumptions'!I37+(E961))*(1-'Assumptions'!I42-(0))+'Assumptions'!I47-'Assumptions'!I52*(F961)+'Assumptions'!I57-'Assumptions'!I62*(1)-'Assumptions'!I67-(0))+(('Historical Inputs'!$N$9*(1+(D961))^4)*('Assumptions'!H67+(0))))*'DCF'!I12/(1+(G961))^'DCF'!I13)+('Historical Inputs'!$N$9*(1+(D961))^5)*(1+(H961))*('Terminal Value'!$E$10+(E961))*(1-'Assumptions'!$E$15-(0))*(1-(H961)/('Terminal Value'!$E$12))/((G961)-(H961))/(1+(G961))^'DCF'!$E$19)+'Equity Bridge'!$E$17)/'Equity Bridge'!$E$20</x:f>
        <x:v>354.98363284023753</x:v>
      </x:c>
      <x:c r="X961" s="255" t="n">
        <x:v>0.7065462173822821</x:v>
      </x:c>
      <x:c r="Y961" s="255" t="n">
        <x:v>0.40772162016694</x:v>
      </x:c>
      <x:c r="Z961" s="255" t="n">
        <x:v>0.9713119483169235</x:v>
      </x:c>
      <x:c r="AA961" s="255" t="n">
        <x:v>0.042611534838559506</x:v>
      </x:c>
      <x:c r="AB961" s="255" t="n">
        <x:v>0.737585502991233</x:v>
      </x:c>
    </x:row>
    <x:row r="962" ht="24" customHeight="1">
      <x:c r="C962" s="256" t="n">
        <x:f>931</x:f>
        <x:v>931</x:v>
      </x:c>
      <x:c r="D962" s="258" t="n">
        <x:f>IF(X962&lt;($E$12-$D$12)/($F$12-$D$12),$D$12+SQRT(X962*($F$12-$D$12)*($E$12-$D$12)),$F$12-SQRT((1-X962)*($F$12-$D$12)*($F$12-$E$12)))</x:f>
        <x:v>0.1311112669015993</x:v>
      </x:c>
      <x:c r="E962" s="258" t="n">
        <x:f>IF(Y962&lt;($E$13-$D$13)/($F$13-$D$13),$D$13+SQRT(Y962*($F$13-$D$13)*($E$13-$D$13)),$F$13-SQRT((1-Y962)*($F$13-$D$13)*($F$13-$E$13)))</x:f>
        <x:v>-0.01865721409590762</x:v>
      </x:c>
      <x:c r="F962" s="260" t="n">
        <x:f>IF(Z962&lt;($E$14-$D$14)/($F$14-$D$14),$D$14+SQRT(Z962*($F$14-$D$14)*($E$14-$D$14)),$F$14-SQRT((1-Z962)*($F$14-$D$14)*($F$14-$E$14)))</x:f>
        <x:v>1.1172945193774004</x:v>
      </x:c>
      <x:c r="G962" s="258" t="n">
        <x:f>IF(AA962&lt;($E$15-$D$15)/($F$15-$D$15),$D$15+SQRT(AA962*($F$15-$D$15)*($E$15-$D$15)),$F$15-SQRT((1-AA962)*($F$15-$D$15)*($F$15-$E$15)))</x:f>
        <x:v>0.09665861928328304</x:v>
      </x:c>
      <x:c r="H962" s="258" t="n">
        <x:f>IF(AB962&lt;($E$16-$D$16)/($F$16-$D$16),$D$16+SQRT(AB962*($F$16-$D$16)*($E$16-$D$16)),$F$16-SQRT((1-AB962)*($F$16-$D$16)*($F$16-$E$16)))</x:f>
        <x:v>0.03771168099420284</x:v>
      </x:c>
      <x:c r="I962" s="262" t="n">
        <x:f>'Historical Inputs'!$N$9*(1+D962)^5</x:f>
        <x:v>614404.0472471998</x:v>
      </x:c>
      <x:c r="J962" s="262" t="n">
        <x:f>I962*(1+H962)*('Terminal Value'!$E$10+E962)*(1-'Assumptions'!$E$15)*(1-H962/'Terminal Value'!$E$12)</x:f>
        <x:v>157831.4554426132</x:v>
      </x:c>
      <x:c r="K962" s="264" t="n">
        <x:f>((SUM((('Historical Inputs'!$N$9*(1+(D962))^1)*(('Assumptions'!E37+(E962))*(1-'Assumptions'!E42-(0))+'Assumptions'!E47-'Assumptions'!E52*(F962)+'Assumptions'!E57-'Assumptions'!E62*(1)-'Assumptions'!E67-(0))+('Working Capital'!$E$6))*'DCF'!E12/(1+(G962))^'DCF'!E13,(('Historical Inputs'!$N$9*(1+(D962))^2)*(('Assumptions'!F37+(E962))*(1-'Assumptions'!F42-(0))+'Assumptions'!F47-'Assumptions'!F52*(F962)+'Assumptions'!F57-'Assumptions'!F62*(1)-'Assumptions'!F67-(0))+(('Historical Inputs'!$N$9*(1+(D962))^1)*('Assumptions'!E67+(0))))*'DCF'!F12/(1+(G962))^'DCF'!F13,(('Historical Inputs'!$N$9*(1+(D962))^3)*(('Assumptions'!G37+(E962))*(1-'Assumptions'!G42-(0))+'Assumptions'!G47-'Assumptions'!G52*(F962)+'Assumptions'!G57-'Assumptions'!G62*(1)-'Assumptions'!G67-(0))+(('Historical Inputs'!$N$9*(1+(D962))^2)*('Assumptions'!F67+(0))))*'DCF'!G12/(1+(G962))^'DCF'!G13,(('Historical Inputs'!$N$9*(1+(D962))^4)*(('Assumptions'!H37+(E962))*(1-'Assumptions'!H42-(0))+'Assumptions'!H47-'Assumptions'!H52*(F962)+'Assumptions'!H57-'Assumptions'!H62*(1)-'Assumptions'!H67-(0))+(('Historical Inputs'!$N$9*(1+(D962))^3)*('Assumptions'!G67+(0))))*'DCF'!H12/(1+(G962))^'DCF'!H13,(('Historical Inputs'!$N$9*(1+(D962))^5)*(('Assumptions'!I37+(E962))*(1-'Assumptions'!I42-(0))+'Assumptions'!I47-'Assumptions'!I52*(F962)+'Assumptions'!I57-'Assumptions'!I62*(1)-'Assumptions'!I67-(0))+(('Historical Inputs'!$N$9*(1+(D962))^4)*('Assumptions'!H67+(0))))*'DCF'!I12/(1+(G962))^'DCF'!I13)+('Historical Inputs'!$N$9*(1+(D962))^5)*(1+(H962))*('Terminal Value'!$E$10+(E962))*(1-'Assumptions'!$E$15-(0))*(1-(H962)/('Terminal Value'!$E$12))/((G962)-(H962))/(1+(G962))^'DCF'!$E$19)+'Equity Bridge'!$E$17)/'Equity Bridge'!$E$20</x:f>
        <x:v>275.2115525854239</x:v>
      </x:c>
      <x:c r="X962" s="255" t="n">
        <x:v>0.286588774047838</x:v>
      </x:c>
      <x:c r="Y962" s="255" t="n">
        <x:v>0.1964740456459544</x:v>
      </x:c>
      <x:c r="Z962" s="255" t="n">
        <x:v>0.9022829067854972</x:v>
      </x:c>
      <x:c r="AA962" s="255" t="n">
        <x:v>0.4060957396736643</x:v>
      </x:c>
      <x:c r="AB962" s="255" t="n">
        <x:v>0.9738179806385375</x:v>
      </x:c>
    </x:row>
    <x:row r="963" ht="24" customHeight="1">
      <x:c r="C963" s="256" t="n">
        <x:f>932</x:f>
        <x:v>932</x:v>
      </x:c>
      <x:c r="D963" s="258" t="n">
        <x:f>IF(X963&lt;($E$12-$D$12)/($F$12-$D$12),$D$12+SQRT(X963*($F$12-$D$12)*($E$12-$D$12)),$F$12-SQRT((1-X963)*($F$12-$D$12)*($F$12-$E$12)))</x:f>
        <x:v>0.14867717214583576</x:v>
      </x:c>
      <x:c r="E963" s="258" t="n">
        <x:f>IF(Y963&lt;($E$13-$D$13)/($F$13-$D$13),$D$13+SQRT(Y963*($F$13-$D$13)*($E$13-$D$13)),$F$13-SQRT((1-Y963)*($F$13-$D$13)*($F$13-$E$13)))</x:f>
        <x:v>-0.01713217988565232</x:v>
      </x:c>
      <x:c r="F963" s="260" t="n">
        <x:f>IF(Z963&lt;($E$14-$D$14)/($F$14-$D$14),$D$14+SQRT(Z963*($F$14-$D$14)*($E$14-$D$14)),$F$14-SQRT((1-Z963)*($F$14-$D$14)*($F$14-$E$14)))</x:f>
        <x:v>0.896961748436233</x:v>
      </x:c>
      <x:c r="G963" s="258" t="n">
        <x:f>IF(AA963&lt;($E$15-$D$15)/($F$15-$D$15),$D$15+SQRT(AA963*($F$15-$D$15)*($E$15-$D$15)),$F$15-SQRT((1-AA963)*($F$15-$D$15)*($F$15-$E$15)))</x:f>
        <x:v>0.1039842367773639</x:v>
      </x:c>
      <x:c r="H963" s="258" t="n">
        <x:f>IF(AB963&lt;($E$16-$D$16)/($F$16-$D$16),$D$16+SQRT(AB963*($F$16-$D$16)*($E$16-$D$16)),$F$16-SQRT((1-AB963)*($F$16-$D$16)*($F$16-$E$16)))</x:f>
        <x:v>0.03381705302325338</x:v>
      </x:c>
      <x:c r="I963" s="262" t="n">
        <x:f>'Historical Inputs'!$N$9*(1+D963)^5</x:f>
        <x:v>663616.8086795596</x:v>
      </x:c>
      <x:c r="J963" s="262" t="n">
        <x:f>I963*(1+H963)*('Terminal Value'!$E$10+E963)*(1-'Assumptions'!$E$15)*(1-H963/'Terminal Value'!$E$12)</x:f>
        <x:v>174604.88197890695</x:v>
      </x:c>
      <x:c r="K963" s="264" t="n">
        <x:f>((SUM((('Historical Inputs'!$N$9*(1+(D963))^1)*(('Assumptions'!E37+(E963))*(1-'Assumptions'!E42-(0))+'Assumptions'!E47-'Assumptions'!E52*(F963)+'Assumptions'!E57-'Assumptions'!E62*(1)-'Assumptions'!E67-(0))+('Working Capital'!$E$6))*'DCF'!E12/(1+(G963))^'DCF'!E13,(('Historical Inputs'!$N$9*(1+(D963))^2)*(('Assumptions'!F37+(E963))*(1-'Assumptions'!F42-(0))+'Assumptions'!F47-'Assumptions'!F52*(F963)+'Assumptions'!F57-'Assumptions'!F62*(1)-'Assumptions'!F67-(0))+(('Historical Inputs'!$N$9*(1+(D963))^1)*('Assumptions'!E67+(0))))*'DCF'!F12/(1+(G963))^'DCF'!F13,(('Historical Inputs'!$N$9*(1+(D963))^3)*(('Assumptions'!G37+(E963))*(1-'Assumptions'!G42-(0))+'Assumptions'!G47-'Assumptions'!G52*(F963)+'Assumptions'!G57-'Assumptions'!G62*(1)-'Assumptions'!G67-(0))+(('Historical Inputs'!$N$9*(1+(D963))^2)*('Assumptions'!F67+(0))))*'DCF'!G12/(1+(G963))^'DCF'!G13,(('Historical Inputs'!$N$9*(1+(D963))^4)*(('Assumptions'!H37+(E963))*(1-'Assumptions'!H42-(0))+'Assumptions'!H47-'Assumptions'!H52*(F963)+'Assumptions'!H57-'Assumptions'!H62*(1)-'Assumptions'!H67-(0))+(('Historical Inputs'!$N$9*(1+(D963))^3)*('Assumptions'!G67+(0))))*'DCF'!H12/(1+(G963))^'DCF'!H13,(('Historical Inputs'!$N$9*(1+(D963))^5)*(('Assumptions'!I37+(E963))*(1-'Assumptions'!I42-(0))+'Assumptions'!I47-'Assumptions'!I52*(F963)+'Assumptions'!I57-'Assumptions'!I62*(1)-'Assumptions'!I67-(0))+(('Historical Inputs'!$N$9*(1+(D963))^4)*('Assumptions'!H67+(0))))*'DCF'!I12/(1+(G963))^'DCF'!I13)+('Historical Inputs'!$N$9*(1+(D963))^5)*(1+(H963))*('Terminal Value'!$E$10+(E963))*(1-'Assumptions'!$E$15-(0))*(1-(H963)/('Terminal Value'!$E$12))/((G963)-(H963))/(1+(G963))^'DCF'!$E$19)+'Equity Bridge'!$E$17)/'Equity Bridge'!$E$20</x:f>
        <x:v>268.1368787410586</x:v>
      </x:c>
      <x:c r="X963" s="255" t="n">
        <x:v>0.6025274004977691</x:v>
      </x:c>
      <x:c r="Y963" s="255" t="n">
        <x:v>0.21605871981382363</x:v>
      </x:c>
      <x:c r="Z963" s="255" t="n">
        <x:v>0.04200772983215295</x:v>
      </x:c>
      <x:c r="AA963" s="255" t="n">
        <x:v>0.813700527538342</x:v>
      </x:c>
      <x:c r="AB963" s="255" t="n">
        <x:v>0.808855833413699</x:v>
      </x:c>
    </x:row>
    <x:row r="964" ht="24" customHeight="1">
      <x:c r="C964" s="256" t="n">
        <x:f>933</x:f>
        <x:v>933</x:v>
      </x:c>
      <x:c r="D964" s="258" t="n">
        <x:f>IF(X964&lt;($E$12-$D$12)/($F$12-$D$12),$D$12+SQRT(X964*($F$12-$D$12)*($E$12-$D$12)),$F$12-SQRT((1-X964)*($F$12-$D$12)*($F$12-$E$12)))</x:f>
        <x:v>0.1786457024304964</x:v>
      </x:c>
      <x:c r="E964" s="258" t="n">
        <x:f>IF(Y964&lt;($E$13-$D$13)/($F$13-$D$13),$D$13+SQRT(Y964*($F$13-$D$13)*($E$13-$D$13)),$F$13-SQRT((1-Y964)*($F$13-$D$13)*($F$13-$E$13)))</x:f>
        <x:v>0.005475262391771887</x:v>
      </x:c>
      <x:c r="F964" s="260" t="n">
        <x:f>IF(Z964&lt;($E$14-$D$14)/($F$14-$D$14),$D$14+SQRT(Z964*($F$14-$D$14)*($E$14-$D$14)),$F$14-SQRT((1-Z964)*($F$14-$D$14)*($F$14-$E$14)))</x:f>
        <x:v>1.1427388093218176</x:v>
      </x:c>
      <x:c r="G964" s="258" t="n">
        <x:f>IF(AA964&lt;($E$15-$D$15)/($F$15-$D$15),$D$15+SQRT(AA964*($F$15-$D$15)*($E$15-$D$15)),$F$15-SQRT((1-AA964)*($F$15-$D$15)*($F$15-$E$15)))</x:f>
        <x:v>0.09871452743567463</x:v>
      </x:c>
      <x:c r="H964" s="258" t="n">
        <x:f>IF(AB964&lt;($E$16-$D$16)/($F$16-$D$16),$D$16+SQRT(AB964*($F$16-$D$16)*($E$16-$D$16)),$F$16-SQRT((1-AB964)*($F$16-$D$16)*($F$16-$E$16)))</x:f>
        <x:v>0.0274794544701735</x:v>
      </x:c>
      <x:c r="I964" s="262" t="n">
        <x:f>'Historical Inputs'!$N$9*(1+D964)^5</x:f>
        <x:v>754820.7163665437</x:v>
      </x:c>
      <x:c r="J964" s="262" t="n">
        <x:f>I964*(1+H964)*('Terminal Value'!$E$10+E964)*(1-'Assumptions'!$E$15)*(1-H964/'Terminal Value'!$E$12)</x:f>
        <x:v>217011.193329577</x:v>
      </x:c>
      <x:c r="K964" s="264" t="n">
        <x:f>((SUM((('Historical Inputs'!$N$9*(1+(D964))^1)*(('Assumptions'!E37+(E964))*(1-'Assumptions'!E42-(0))+'Assumptions'!E47-'Assumptions'!E52*(F964)+'Assumptions'!E57-'Assumptions'!E62*(1)-'Assumptions'!E67-(0))+('Working Capital'!$E$6))*'DCF'!E12/(1+(G964))^'DCF'!E13,(('Historical Inputs'!$N$9*(1+(D964))^2)*(('Assumptions'!F37+(E964))*(1-'Assumptions'!F42-(0))+'Assumptions'!F47-'Assumptions'!F52*(F964)+'Assumptions'!F57-'Assumptions'!F62*(1)-'Assumptions'!F67-(0))+(('Historical Inputs'!$N$9*(1+(D964))^1)*('Assumptions'!E67+(0))))*'DCF'!F12/(1+(G964))^'DCF'!F13,(('Historical Inputs'!$N$9*(1+(D964))^3)*(('Assumptions'!G37+(E964))*(1-'Assumptions'!G42-(0))+'Assumptions'!G47-'Assumptions'!G52*(F964)+'Assumptions'!G57-'Assumptions'!G62*(1)-'Assumptions'!G67-(0))+(('Historical Inputs'!$N$9*(1+(D964))^2)*('Assumptions'!F67+(0))))*'DCF'!G12/(1+(G964))^'DCF'!G13,(('Historical Inputs'!$N$9*(1+(D964))^4)*(('Assumptions'!H37+(E964))*(1-'Assumptions'!H42-(0))+'Assumptions'!H47-'Assumptions'!H52*(F964)+'Assumptions'!H57-'Assumptions'!H62*(1)-'Assumptions'!H67-(0))+(('Historical Inputs'!$N$9*(1+(D964))^3)*('Assumptions'!G67+(0))))*'DCF'!H12/(1+(G964))^'DCF'!H13,(('Historical Inputs'!$N$9*(1+(D964))^5)*(('Assumptions'!I37+(E964))*(1-'Assumptions'!I42-(0))+'Assumptions'!I47-'Assumptions'!I52*(F964)+'Assumptions'!I57-'Assumptions'!I62*(1)-'Assumptions'!I67-(0))+(('Historical Inputs'!$N$9*(1+(D964))^4)*('Assumptions'!H67+(0))))*'DCF'!I12/(1+(G964))^'DCF'!I13)+('Historical Inputs'!$N$9*(1+(D964))^5)*(1+(H964))*('Terminal Value'!$E$10+(E964))*(1-'Assumptions'!$E$15-(0))*(1-(H964)/('Terminal Value'!$E$12))/((G964)-(H964))/(1+(G964))^'DCF'!$E$19)+'Equity Bridge'!$E$17)/'Equity Bridge'!$E$20</x:f>
        <x:v>315.5856509368856</x:v>
      </x:c>
      <x:c r="X964" s="255" t="n">
        <x:v>0.9573018691041808</x:v>
      </x:c>
      <x:c r="Y964" s="255" t="n">
        <x:v>0.6035095481836874</x:v>
      </x:c>
      <x:c r="Z964" s="255" t="n">
        <x:v>0.9531593720302406</x:v>
      </x:c>
      <x:c r="AA964" s="255" t="n">
        <x:v>0.5375446372541851</x:v>
      </x:c>
      <x:c r="AB964" s="255" t="n">
        <x:v>0.279711195856992</x:v>
      </x:c>
    </x:row>
    <x:row r="965" ht="24" customHeight="1">
      <x:c r="C965" s="256" t="n">
        <x:f>934</x:f>
        <x:v>934</x:v>
      </x:c>
      <x:c r="D965" s="258" t="n">
        <x:f>IF(X965&lt;($E$12-$D$12)/($F$12-$D$12),$D$12+SQRT(X965*($F$12-$D$12)*($E$12-$D$12)),$F$12-SQRT((1-X965)*($F$12-$D$12)*($F$12-$E$12)))</x:f>
        <x:v>0.13617550342221416</x:v>
      </x:c>
      <x:c r="E965" s="258" t="n">
        <x:f>IF(Y965&lt;($E$13-$D$13)/($F$13-$D$13),$D$13+SQRT(Y965*($F$13-$D$13)*($E$13-$D$13)),$F$13-SQRT((1-Y965)*($F$13-$D$13)*($F$13-$E$13)))</x:f>
        <x:v>0.0023571018464518118</x:v>
      </x:c>
      <x:c r="F965" s="260" t="n">
        <x:f>IF(Z965&lt;($E$14-$D$14)/($F$14-$D$14),$D$14+SQRT(Z965*($F$14-$D$14)*($E$14-$D$14)),$F$14-SQRT((1-Z965)*($F$14-$D$14)*($F$14-$E$14)))</x:f>
        <x:v>1.0971326922287972</x:v>
      </x:c>
      <x:c r="G965" s="258" t="n">
        <x:f>IF(AA965&lt;($E$15-$D$15)/($F$15-$D$15),$D$15+SQRT(AA965*($F$15-$D$15)*($E$15-$D$15)),$F$15-SQRT((1-AA965)*($F$15-$D$15)*($F$15-$E$15)))</x:f>
        <x:v>0.09561337894823024</x:v>
      </x:c>
      <x:c r="H965" s="258" t="n">
        <x:f>IF(AB965&lt;($E$16-$D$16)/($F$16-$D$16),$D$16+SQRT(AB965*($F$16-$D$16)*($E$16-$D$16)),$F$16-SQRT((1-AB965)*($F$16-$D$16)*($F$16-$E$16)))</x:f>
        <x:v>0.027380063445827964</x:v>
      </x:c>
      <x:c r="I965" s="262" t="n">
        <x:f>'Historical Inputs'!$N$9*(1+D965)^5</x:f>
        <x:v>628281.8777043637</x:v>
      </x:c>
      <x:c r="J965" s="262" t="n">
        <x:f>I965*(1+H965)*('Terminal Value'!$E$10+E965)*(1-'Assumptions'!$E$15)*(1-H965/'Terminal Value'!$E$12)</x:f>
        <x:v>179328.07318277442</x:v>
      </x:c>
      <x:c r="K965" s="264" t="n">
        <x:f>((SUM((('Historical Inputs'!$N$9*(1+(D965))^1)*(('Assumptions'!E37+(E965))*(1-'Assumptions'!E42-(0))+'Assumptions'!E47-'Assumptions'!E52*(F965)+'Assumptions'!E57-'Assumptions'!E62*(1)-'Assumptions'!E67-(0))+('Working Capital'!$E$6))*'DCF'!E12/(1+(G965))^'DCF'!E13,(('Historical Inputs'!$N$9*(1+(D965))^2)*(('Assumptions'!F37+(E965))*(1-'Assumptions'!F42-(0))+'Assumptions'!F47-'Assumptions'!F52*(F965)+'Assumptions'!F57-'Assumptions'!F62*(1)-'Assumptions'!F67-(0))+(('Historical Inputs'!$N$9*(1+(D965))^1)*('Assumptions'!E67+(0))))*'DCF'!F12/(1+(G965))^'DCF'!F13,(('Historical Inputs'!$N$9*(1+(D965))^3)*(('Assumptions'!G37+(E965))*(1-'Assumptions'!G42-(0))+'Assumptions'!G47-'Assumptions'!G52*(F965)+'Assumptions'!G57-'Assumptions'!G62*(1)-'Assumptions'!G67-(0))+(('Historical Inputs'!$N$9*(1+(D965))^2)*('Assumptions'!F67+(0))))*'DCF'!G12/(1+(G965))^'DCF'!G13,(('Historical Inputs'!$N$9*(1+(D965))^4)*(('Assumptions'!H37+(E965))*(1-'Assumptions'!H42-(0))+'Assumptions'!H47-'Assumptions'!H52*(F965)+'Assumptions'!H57-'Assumptions'!H62*(1)-'Assumptions'!H67-(0))+(('Historical Inputs'!$N$9*(1+(D965))^3)*('Assumptions'!G67+(0))))*'DCF'!H12/(1+(G965))^'DCF'!H13,(('Historical Inputs'!$N$9*(1+(D965))^5)*(('Assumptions'!I37+(E965))*(1-'Assumptions'!I42-(0))+'Assumptions'!I47-'Assumptions'!I52*(F965)+'Assumptions'!I57-'Assumptions'!I62*(1)-'Assumptions'!I67-(0))+(('Historical Inputs'!$N$9*(1+(D965))^4)*('Assumptions'!H67+(0))))*'DCF'!I12/(1+(G965))^'DCF'!I13)+('Historical Inputs'!$N$9*(1+(D965))^5)*(1+(H965))*('Terminal Value'!$E$10+(E965))*(1-'Assumptions'!$E$15-(0))*(1-(H965)/('Terminal Value'!$E$12))/((G965)-(H965))/(1+(G965))^'DCF'!$E$19)+'Equity Bridge'!$E$17)/'Equity Bridge'!$E$20</x:f>
        <x:v>278.3326275125143</x:v>
      </x:c>
      <x:c r="X965" s="255" t="n">
        <x:v>0.3683992125039298</x:v>
      </x:c>
      <x:c r="Y965" s="255" t="n">
        <x:v>0.5460308511061269</x:v>
      </x:c>
      <x:c r="Z965" s="255" t="n">
        <x:v>0.8488330998843521</x:v>
      </x:c>
      <x:c r="AA965" s="255" t="n">
        <x:v>0.3457243775748944</x:v>
      </x:c>
      <x:c r="AB965" s="255" t="n">
        <x:v>0.2723266823222307</x:v>
      </x:c>
    </x:row>
    <x:row r="966" ht="24" customHeight="1">
      <x:c r="C966" s="256" t="n">
        <x:f>935</x:f>
        <x:v>935</x:v>
      </x:c>
      <x:c r="D966" s="258" t="n">
        <x:f>IF(X966&lt;($E$12-$D$12)/($F$12-$D$12),$D$12+SQRT(X966*($F$12-$D$12)*($E$12-$D$12)),$F$12-SQRT((1-X966)*($F$12-$D$12)*($F$12-$E$12)))</x:f>
        <x:v>0.1587678464330041</x:v>
      </x:c>
      <x:c r="E966" s="258" t="n">
        <x:f>IF(Y966&lt;($E$13-$D$13)/($F$13-$D$13),$D$13+SQRT(Y966*($F$13-$D$13)*($E$13-$D$13)),$F$13-SQRT((1-Y966)*($F$13-$D$13)*($F$13-$E$13)))</x:f>
        <x:v>0.010886378023717447</x:v>
      </x:c>
      <x:c r="F966" s="260" t="n">
        <x:f>IF(Z966&lt;($E$14-$D$14)/($F$14-$D$14),$D$14+SQRT(Z966*($F$14-$D$14)*($E$14-$D$14)),$F$14-SQRT((1-Z966)*($F$14-$D$14)*($F$14-$E$14)))</x:f>
        <x:v>0.9926146404915952</x:v>
      </x:c>
      <x:c r="G966" s="258" t="n">
        <x:f>IF(AA966&lt;($E$15-$D$15)/($F$15-$D$15),$D$15+SQRT(AA966*($F$15-$D$15)*($E$15-$D$15)),$F$15-SQRT((1-AA966)*($F$15-$D$15)*($F$15-$E$15)))</x:f>
        <x:v>0.09218001761312544</x:v>
      </x:c>
      <x:c r="H966" s="258" t="n">
        <x:f>IF(AB966&lt;($E$16-$D$16)/($F$16-$D$16),$D$16+SQRT(AB966*($F$16-$D$16)*($E$16-$D$16)),$F$16-SQRT((1-AB966)*($F$16-$D$16)*($F$16-$E$16)))</x:f>
        <x:v>0.03806323055848593</x:v>
      </x:c>
      <x:c r="I966" s="262" t="n">
        <x:f>'Historical Inputs'!$N$9*(1+D966)^5</x:f>
        <x:v>693281.4903479245</x:v>
      </x:c>
      <x:c r="J966" s="262" t="n">
        <x:f>I966*(1+H966)*('Terminal Value'!$E$10+E966)*(1-'Assumptions'!$E$15)*(1-H966/'Terminal Value'!$E$12)</x:f>
        <x:v>191540.50109527467</x:v>
      </x:c>
      <x:c r="K966" s="264" t="n">
        <x:f>((SUM((('Historical Inputs'!$N$9*(1+(D966))^1)*(('Assumptions'!E37+(E966))*(1-'Assumptions'!E42-(0))+'Assumptions'!E47-'Assumptions'!E52*(F966)+'Assumptions'!E57-'Assumptions'!E62*(1)-'Assumptions'!E67-(0))+('Working Capital'!$E$6))*'DCF'!E12/(1+(G966))^'DCF'!E13,(('Historical Inputs'!$N$9*(1+(D966))^2)*(('Assumptions'!F37+(E966))*(1-'Assumptions'!F42-(0))+'Assumptions'!F47-'Assumptions'!F52*(F966)+'Assumptions'!F57-'Assumptions'!F62*(1)-'Assumptions'!F67-(0))+(('Historical Inputs'!$N$9*(1+(D966))^1)*('Assumptions'!E67+(0))))*'DCF'!F12/(1+(G966))^'DCF'!F13,(('Historical Inputs'!$N$9*(1+(D966))^3)*(('Assumptions'!G37+(E966))*(1-'Assumptions'!G42-(0))+'Assumptions'!G47-'Assumptions'!G52*(F966)+'Assumptions'!G57-'Assumptions'!G62*(1)-'Assumptions'!G67-(0))+(('Historical Inputs'!$N$9*(1+(D966))^2)*('Assumptions'!F67+(0))))*'DCF'!G12/(1+(G966))^'DCF'!G13,(('Historical Inputs'!$N$9*(1+(D966))^4)*(('Assumptions'!H37+(E966))*(1-'Assumptions'!H42-(0))+'Assumptions'!H47-'Assumptions'!H52*(F966)+'Assumptions'!H57-'Assumptions'!H62*(1)-'Assumptions'!H67-(0))+(('Historical Inputs'!$N$9*(1+(D966))^3)*('Assumptions'!G67+(0))))*'DCF'!H12/(1+(G966))^'DCF'!H13,(('Historical Inputs'!$N$9*(1+(D966))^5)*(('Assumptions'!I37+(E966))*(1-'Assumptions'!I42-(0))+'Assumptions'!I47-'Assumptions'!I52*(F966)+'Assumptions'!I57-'Assumptions'!I62*(1)-'Assumptions'!I67-(0))+(('Historical Inputs'!$N$9*(1+(D966))^4)*('Assumptions'!H67+(0))))*'DCF'!I12/(1+(G966))^'DCF'!I13)+('Historical Inputs'!$N$9*(1+(D966))^5)*(1+(H966))*('Terminal Value'!$E$10+(E966))*(1-'Assumptions'!$E$15-(0))*(1-(H966)/('Terminal Value'!$E$12))/((G966)-(H966))/(1+(G966))^'DCF'!$E$19)+'Equity Bridge'!$E$17)/'Equity Bridge'!$E$20</x:f>
        <x:v>375.50215131801446</x:v>
      </x:c>
      <x:c r="X966" s="255" t="n">
        <x:v>0.7620993561414418</x:v>
      </x:c>
      <x:c r="Y966" s="255" t="n">
        <x:v>0.6940249151792933</x:v>
      </x:c>
      <x:c r="Z966" s="255" t="n">
        <x:v>0.3874082987151799</x:v>
      </x:c>
      <x:c r="AA966" s="255" t="n">
        <x:v>0.18158942619384355</x:v>
      </x:c>
      <x:c r="AB966" s="255" t="n">
        <x:v>0.9812446206520864</x:v>
      </x:c>
    </x:row>
    <x:row r="967" ht="24" customHeight="1">
      <x:c r="C967" s="256" t="n">
        <x:f>936</x:f>
        <x:v>936</x:v>
      </x:c>
      <x:c r="D967" s="258" t="n">
        <x:f>IF(X967&lt;($E$12-$D$12)/($F$12-$D$12),$D$12+SQRT(X967*($F$12-$D$12)*($E$12-$D$12)),$F$12-SQRT((1-X967)*($F$12-$D$12)*($F$12-$E$12)))</x:f>
        <x:v>0.15072157146609755</x:v>
      </x:c>
      <x:c r="E967" s="258" t="n">
        <x:f>IF(Y967&lt;($E$13-$D$13)/($F$13-$D$13),$D$13+SQRT(Y967*($F$13-$D$13)*($E$13-$D$13)),$F$13-SQRT((1-Y967)*($F$13-$D$13)*($F$13-$E$13)))</x:f>
        <x:v>0.015433368590588588</x:v>
      </x:c>
      <x:c r="F967" s="260" t="n">
        <x:f>IF(Z967&lt;($E$14-$D$14)/($F$14-$D$14),$D$14+SQRT(Z967*($F$14-$D$14)*($E$14-$D$14)),$F$14-SQRT((1-Z967)*($F$14-$D$14)*($F$14-$E$14)))</x:f>
        <x:v>1.0862057455172818</x:v>
      </x:c>
      <x:c r="G967" s="258" t="n">
        <x:f>IF(AA967&lt;($E$15-$D$15)/($F$15-$D$15),$D$15+SQRT(AA967*($F$15-$D$15)*($E$15-$D$15)),$F$15-SQRT((1-AA967)*($F$15-$D$15)*($F$15-$E$15)))</x:f>
        <x:v>0.09544143561915745</x:v>
      </x:c>
      <x:c r="H967" s="258" t="n">
        <x:f>IF(AB967&lt;($E$16-$D$16)/($F$16-$D$16),$D$16+SQRT(AB967*($F$16-$D$16)*($E$16-$D$16)),$F$16-SQRT((1-AB967)*($F$16-$D$16)*($F$16-$E$16)))</x:f>
        <x:v>0.028852227730209665</x:v>
      </x:c>
      <x:c r="I967" s="262" t="n">
        <x:f>'Historical Inputs'!$N$9*(1+D967)^5</x:f>
        <x:v>669543.3459656233</x:v>
      </x:c>
      <x:c r="J967" s="262" t="n">
        <x:f>I967*(1+H967)*('Terminal Value'!$E$10+E967)*(1-'Assumptions'!$E$15)*(1-H967/'Terminal Value'!$E$12)</x:f>
        <x:v>195913.48026428037</x:v>
      </x:c>
      <x:c r="K967" s="264" t="n">
        <x:f>((SUM((('Historical Inputs'!$N$9*(1+(D967))^1)*(('Assumptions'!E37+(E967))*(1-'Assumptions'!E42-(0))+'Assumptions'!E47-'Assumptions'!E52*(F967)+'Assumptions'!E57-'Assumptions'!E62*(1)-'Assumptions'!E67-(0))+('Working Capital'!$E$6))*'DCF'!E12/(1+(G967))^'DCF'!E13,(('Historical Inputs'!$N$9*(1+(D967))^2)*(('Assumptions'!F37+(E967))*(1-'Assumptions'!F42-(0))+'Assumptions'!F47-'Assumptions'!F52*(F967)+'Assumptions'!F57-'Assumptions'!F62*(1)-'Assumptions'!F67-(0))+(('Historical Inputs'!$N$9*(1+(D967))^1)*('Assumptions'!E67+(0))))*'DCF'!F12/(1+(G967))^'DCF'!F13,(('Historical Inputs'!$N$9*(1+(D967))^3)*(('Assumptions'!G37+(E967))*(1-'Assumptions'!G42-(0))+'Assumptions'!G47-'Assumptions'!G52*(F967)+'Assumptions'!G57-'Assumptions'!G62*(1)-'Assumptions'!G67-(0))+(('Historical Inputs'!$N$9*(1+(D967))^2)*('Assumptions'!F67+(0))))*'DCF'!G12/(1+(G967))^'DCF'!G13,(('Historical Inputs'!$N$9*(1+(D967))^4)*(('Assumptions'!H37+(E967))*(1-'Assumptions'!H42-(0))+'Assumptions'!H47-'Assumptions'!H52*(F967)+'Assumptions'!H57-'Assumptions'!H62*(1)-'Assumptions'!H67-(0))+(('Historical Inputs'!$N$9*(1+(D967))^3)*('Assumptions'!G67+(0))))*'DCF'!H12/(1+(G967))^'DCF'!H13,(('Historical Inputs'!$N$9*(1+(D967))^5)*(('Assumptions'!I37+(E967))*(1-'Assumptions'!I42-(0))+'Assumptions'!I47-'Assumptions'!I52*(F967)+'Assumptions'!I57-'Assumptions'!I62*(1)-'Assumptions'!I67-(0))+(('Historical Inputs'!$N$9*(1+(D967))^4)*('Assumptions'!H67+(0))))*'DCF'!I12/(1+(G967))^'DCF'!I13)+('Historical Inputs'!$N$9*(1+(D967))^5)*(1+(H967))*('Terminal Value'!$E$10+(E967))*(1-'Assumptions'!$E$15-(0))*(1-(H967)/('Terminal Value'!$E$12))/((G967)-(H967))/(1+(G967))^'DCF'!$E$19)+'Equity Bridge'!$E$17)/'Equity Bridge'!$E$20</x:f>
        <x:v>311.7820915592317</x:v>
      </x:c>
      <x:c r="X967" s="255" t="n">
        <x:v>0.6381470925350787</x:v>
      </x:c>
      <x:c r="Y967" s="255" t="n">
        <x:v>0.7610295986011785</x:v>
      </x:c>
      <x:c r="Z967" s="255" t="n">
        <x:v>0.8150123949531769</x:v>
      </x:c>
      <x:c r="AA967" s="255" t="n">
        <x:v>0.33625829513129246</x:v>
      </x:c>
      <x:c r="AB967" s="255" t="n">
        <x:v>0.39180967893746466</x:v>
      </x:c>
    </x:row>
    <x:row r="968" ht="24" customHeight="1">
      <x:c r="C968" s="256" t="n">
        <x:f>937</x:f>
        <x:v>937</x:v>
      </x:c>
      <x:c r="D968" s="258" t="n">
        <x:f>IF(X968&lt;($E$12-$D$12)/($F$12-$D$12),$D$12+SQRT(X968*($F$12-$D$12)*($E$12-$D$12)),$F$12-SQRT((1-X968)*($F$12-$D$12)*($F$12-$E$12)))</x:f>
        <x:v>0.13189469079976812</x:v>
      </x:c>
      <x:c r="E968" s="258" t="n">
        <x:f>IF(Y968&lt;($E$13-$D$13)/($F$13-$D$13),$D$13+SQRT(Y968*($F$13-$D$13)*($E$13-$D$13)),$F$13-SQRT((1-Y968)*($F$13-$D$13)*($F$13-$E$13)))</x:f>
        <x:v>-0.023555096006374482</x:v>
      </x:c>
      <x:c r="F968" s="260" t="n">
        <x:f>IF(Z968&lt;($E$14-$D$14)/($F$14-$D$14),$D$14+SQRT(Z968*($F$14-$D$14)*($E$14-$D$14)),$F$14-SQRT((1-Z968)*($F$14-$D$14)*($F$14-$E$14)))</x:f>
        <x:v>1.1942597810416542</x:v>
      </x:c>
      <x:c r="G968" s="258" t="n">
        <x:f>IF(AA968&lt;($E$15-$D$15)/($F$15-$D$15),$D$15+SQRT(AA968*($F$15-$D$15)*($E$15-$D$15)),$F$15-SQRT((1-AA968)*($F$15-$D$15)*($F$15-$E$15)))</x:f>
        <x:v>0.1028930773101572</x:v>
      </x:c>
      <x:c r="H968" s="258" t="n">
        <x:f>IF(AB968&lt;($E$16-$D$16)/($F$16-$D$16),$D$16+SQRT(AB968*($F$16-$D$16)*($E$16-$D$16)),$F$16-SQRT((1-AB968)*($F$16-$D$16)*($F$16-$E$16)))</x:f>
        <x:v>0.030213092719906312</x:v>
      </x:c>
      <x:c r="I968" s="262" t="n">
        <x:f>'Historical Inputs'!$N$9*(1+D968)^5</x:f>
        <x:v>616534.7219834613</x:v>
      </x:c>
      <x:c r="J968" s="262" t="n">
        <x:f>I968*(1+H968)*('Terminal Value'!$E$10+E968)*(1-'Assumptions'!$E$15)*(1-H968/'Terminal Value'!$E$12)</x:f>
        <x:v>162386.6103399538</x:v>
      </x:c>
      <x:c r="K968" s="264" t="n">
        <x:f>((SUM((('Historical Inputs'!$N$9*(1+(D968))^1)*(('Assumptions'!E37+(E968))*(1-'Assumptions'!E42-(0))+'Assumptions'!E47-'Assumptions'!E52*(F968)+'Assumptions'!E57-'Assumptions'!E62*(1)-'Assumptions'!E67-(0))+('Working Capital'!$E$6))*'DCF'!E12/(1+(G968))^'DCF'!E13,(('Historical Inputs'!$N$9*(1+(D968))^2)*(('Assumptions'!F37+(E968))*(1-'Assumptions'!F42-(0))+'Assumptions'!F47-'Assumptions'!F52*(F968)+'Assumptions'!F57-'Assumptions'!F62*(1)-'Assumptions'!F67-(0))+(('Historical Inputs'!$N$9*(1+(D968))^1)*('Assumptions'!E67+(0))))*'DCF'!F12/(1+(G968))^'DCF'!F13,(('Historical Inputs'!$N$9*(1+(D968))^3)*(('Assumptions'!G37+(E968))*(1-'Assumptions'!G42-(0))+'Assumptions'!G47-'Assumptions'!G52*(F968)+'Assumptions'!G57-'Assumptions'!G62*(1)-'Assumptions'!G67-(0))+(('Historical Inputs'!$N$9*(1+(D968))^2)*('Assumptions'!F67+(0))))*'DCF'!G12/(1+(G968))^'DCF'!G13,(('Historical Inputs'!$N$9*(1+(D968))^4)*(('Assumptions'!H37+(E968))*(1-'Assumptions'!H42-(0))+'Assumptions'!H47-'Assumptions'!H52*(F968)+'Assumptions'!H57-'Assumptions'!H62*(1)-'Assumptions'!H67-(0))+(('Historical Inputs'!$N$9*(1+(D968))^3)*('Assumptions'!G67+(0))))*'DCF'!H12/(1+(G968))^'DCF'!H13,(('Historical Inputs'!$N$9*(1+(D968))^5)*(('Assumptions'!I37+(E968))*(1-'Assumptions'!I42-(0))+'Assumptions'!I47-'Assumptions'!I52*(F968)+'Assumptions'!I57-'Assumptions'!I62*(1)-'Assumptions'!I67-(0))+(('Historical Inputs'!$N$9*(1+(D968))^4)*('Assumptions'!H67+(0))))*'DCF'!I12/(1+(G968))^'DCF'!I13)+('Historical Inputs'!$N$9*(1+(D968))^5)*(1+(H968))*('Terminal Value'!$E$10+(E968))*(1-'Assumptions'!$E$15-(0))*(1-(H968)/('Terminal Value'!$E$12))/((G968)-(H968))/(1+(G968))^'DCF'!$E$19)+'Equity Bridge'!$E$17)/'Equity Bridge'!$E$20</x:f>
        <x:v>225.32903869256535</x:v>
      </x:c>
      <x:c r="X968" s="255" t="n">
        <x:v>0.29857389274440993</x:v>
      </x:c>
      <x:c r="Y968" s="255" t="n">
        <x:v>0.13986658944641417</x:v>
      </x:c>
      <x:c r="Z968" s="255" t="n">
        <x:v>0.9995292840901464</x:v>
      </x:c>
      <x:c r="AA968" s="255" t="n">
        <x:v>0.7666511267973676</x:v>
      </x:c>
      <x:c r="AB968" s="255" t="n">
        <x:v>0.5210822294542461</x:v>
      </x:c>
    </x:row>
    <x:row r="969" ht="24" customHeight="1">
      <x:c r="C969" s="256" t="n">
        <x:f>938</x:f>
        <x:v>938</x:v>
      </x:c>
      <x:c r="D969" s="258" t="n">
        <x:f>IF(X969&lt;($E$12-$D$12)/($F$12-$D$12),$D$12+SQRT(X969*($F$12-$D$12)*($E$12-$D$12)),$F$12-SQRT((1-X969)*($F$12-$D$12)*($F$12-$E$12)))</x:f>
        <x:v>0.17894707272763002</x:v>
      </x:c>
      <x:c r="E969" s="258" t="n">
        <x:f>IF(Y969&lt;($E$13-$D$13)/($F$13-$D$13),$D$13+SQRT(Y969*($F$13-$D$13)*($E$13-$D$13)),$F$13-SQRT((1-Y969)*($F$13-$D$13)*($F$13-$E$13)))</x:f>
        <x:v>-0.004947529586047723</x:v>
      </x:c>
      <x:c r="F969" s="260" t="n">
        <x:f>IF(Z969&lt;($E$14-$D$14)/($F$14-$D$14),$D$14+SQRT(Z969*($F$14-$D$14)*($E$14-$D$14)),$F$14-SQRT((1-Z969)*($F$14-$D$14)*($F$14-$E$14)))</x:f>
        <x:v>1.1205303101578479</x:v>
      </x:c>
      <x:c r="G969" s="258" t="n">
        <x:f>IF(AA969&lt;($E$15-$D$15)/($F$15-$D$15),$D$15+SQRT(AA969*($F$15-$D$15)*($E$15-$D$15)),$F$15-SQRT((1-AA969)*($F$15-$D$15)*($F$15-$E$15)))</x:f>
        <x:v>0.10283724248775365</x:v>
      </x:c>
      <x:c r="H969" s="258" t="n">
        <x:f>IF(AB969&lt;($E$16-$D$16)/($F$16-$D$16),$D$16+SQRT(AB969*($F$16-$D$16)*($E$16-$D$16)),$F$16-SQRT((1-AB969)*($F$16-$D$16)*($F$16-$E$16)))</x:f>
        <x:v>0.02207315499353571</x:v>
      </x:c>
      <x:c r="I969" s="262" t="n">
        <x:f>'Historical Inputs'!$N$9*(1+D969)^5</x:f>
        <x:v>755786.218140195</x:v>
      </x:c>
      <x:c r="J969" s="262" t="n">
        <x:f>I969*(1+H969)*('Terminal Value'!$E$10+E969)*(1-'Assumptions'!$E$15)*(1-H969/'Terminal Value'!$E$12)</x:f>
        <x:v>217188.6876002199</x:v>
      </x:c>
      <x:c r="K969" s="264" t="n">
        <x:f>((SUM((('Historical Inputs'!$N$9*(1+(D969))^1)*(('Assumptions'!E37+(E969))*(1-'Assumptions'!E42-(0))+'Assumptions'!E47-'Assumptions'!E52*(F969)+'Assumptions'!E57-'Assumptions'!E62*(1)-'Assumptions'!E67-(0))+('Working Capital'!$E$6))*'DCF'!E12/(1+(G969))^'DCF'!E13,(('Historical Inputs'!$N$9*(1+(D969))^2)*(('Assumptions'!F37+(E969))*(1-'Assumptions'!F42-(0))+'Assumptions'!F47-'Assumptions'!F52*(F969)+'Assumptions'!F57-'Assumptions'!F62*(1)-'Assumptions'!F67-(0))+(('Historical Inputs'!$N$9*(1+(D969))^1)*('Assumptions'!E67+(0))))*'DCF'!F12/(1+(G969))^'DCF'!F13,(('Historical Inputs'!$N$9*(1+(D969))^3)*(('Assumptions'!G37+(E969))*(1-'Assumptions'!G42-(0))+'Assumptions'!G47-'Assumptions'!G52*(F969)+'Assumptions'!G57-'Assumptions'!G62*(1)-'Assumptions'!G67-(0))+(('Historical Inputs'!$N$9*(1+(D969))^2)*('Assumptions'!F67+(0))))*'DCF'!G12/(1+(G969))^'DCF'!G13,(('Historical Inputs'!$N$9*(1+(D969))^4)*(('Assumptions'!H37+(E969))*(1-'Assumptions'!H42-(0))+'Assumptions'!H47-'Assumptions'!H52*(F969)+'Assumptions'!H57-'Assumptions'!H62*(1)-'Assumptions'!H67-(0))+(('Historical Inputs'!$N$9*(1+(D969))^3)*('Assumptions'!G67+(0))))*'DCF'!H12/(1+(G969))^'DCF'!H13,(('Historical Inputs'!$N$9*(1+(D969))^5)*(('Assumptions'!I37+(E969))*(1-'Assumptions'!I42-(0))+'Assumptions'!I47-'Assumptions'!I52*(F969)+'Assumptions'!I57-'Assumptions'!I62*(1)-'Assumptions'!I67-(0))+(('Historical Inputs'!$N$9*(1+(D969))^4)*('Assumptions'!H67+(0))))*'DCF'!I12/(1+(G969))^'DCF'!I13)+('Historical Inputs'!$N$9*(1+(D969))^5)*(1+(H969))*('Terminal Value'!$E$10+(E969))*(1-'Assumptions'!$E$15-(0))*(1-(H969)/('Terminal Value'!$E$12))/((G969)-(H969))/(1+(G969))^'DCF'!$E$19)+'Equity Bridge'!$E$17)/'Equity Bridge'!$E$20</x:f>
        <x:v>279.4379915776771</x:v>
      </x:c>
      <x:c r="X969" s="255" t="n">
        <x:v>0.9590450713600837</x:v>
      </x:c>
      <x:c r="Y969" s="255" t="n">
        <x:v>0.40594501808000905</x:v>
      </x:c>
      <x:c r="Z969" s="255" t="n">
        <x:v>0.9097795485198877</x:v>
      </x:c>
      <x:c r="AA969" s="255" t="n">
        <x:v>0.7641012846126322</x:v>
      </x:c>
      <x:c r="AB969" s="255" t="n">
        <x:v>0.021489858136110263</x:v>
      </x:c>
    </x:row>
    <x:row r="970" ht="24" customHeight="1">
      <x:c r="C970" s="256" t="n">
        <x:f>939</x:f>
        <x:v>939</x:v>
      </x:c>
      <x:c r="D970" s="258" t="n">
        <x:f>IF(X970&lt;($E$12-$D$12)/($F$12-$D$12),$D$12+SQRT(X970*($F$12-$D$12)*($E$12-$D$12)),$F$12-SQRT((1-X970)*($F$12-$D$12)*($F$12-$E$12)))</x:f>
        <x:v>0.17487430528983144</x:v>
      </x:c>
      <x:c r="E970" s="258" t="n">
        <x:f>IF(Y970&lt;($E$13-$D$13)/($F$13-$D$13),$D$13+SQRT(Y970*($F$13-$D$13)*($E$13-$D$13)),$F$13-SQRT((1-Y970)*($F$13-$D$13)*($F$13-$E$13)))</x:f>
        <x:v>0.03526424658629865</x:v>
      </x:c>
      <x:c r="F970" s="260" t="n">
        <x:f>IF(Z970&lt;($E$14-$D$14)/($F$14-$D$14),$D$14+SQRT(Z970*($F$14-$D$14)*($E$14-$D$14)),$F$14-SQRT((1-Z970)*($F$14-$D$14)*($F$14-$E$14)))</x:f>
        <x:v>1.0792789442608266</x:v>
      </x:c>
      <x:c r="G970" s="258" t="n">
        <x:f>IF(AA970&lt;($E$15-$D$15)/($F$15-$D$15),$D$15+SQRT(AA970*($F$15-$D$15)*($E$15-$D$15)),$F$15-SQRT((1-AA970)*($F$15-$D$15)*($F$15-$E$15)))</x:f>
        <x:v>0.09655620329302603</x:v>
      </x:c>
      <x:c r="H970" s="258" t="n">
        <x:f>IF(AB970&lt;($E$16-$D$16)/($F$16-$D$16),$D$16+SQRT(AB970*($F$16-$D$16)*($E$16-$D$16)),$F$16-SQRT((1-AB970)*($F$16-$D$16)*($F$16-$E$16)))</x:f>
        <x:v>0.03289583221862096</x:v>
      </x:c>
      <x:c r="I970" s="262" t="n">
        <x:f>'Historical Inputs'!$N$9*(1+D970)^5</x:f>
        <x:v>742821.4823245918</x:v>
      </x:c>
      <x:c r="J970" s="262" t="n">
        <x:f>I970*(1+H970)*('Terminal Value'!$E$10+E970)*(1-'Assumptions'!$E$15)*(1-H970/'Terminal Value'!$E$12)</x:f>
        <x:v>223224.18606702946</x:v>
      </x:c>
      <x:c r="K970" s="264" t="n">
        <x:f>((SUM((('Historical Inputs'!$N$9*(1+(D970))^1)*(('Assumptions'!E37+(E970))*(1-'Assumptions'!E42-(0))+'Assumptions'!E47-'Assumptions'!E52*(F970)+'Assumptions'!E57-'Assumptions'!E62*(1)-'Assumptions'!E67-(0))+('Working Capital'!$E$6))*'DCF'!E12/(1+(G970))^'DCF'!E13,(('Historical Inputs'!$N$9*(1+(D970))^2)*(('Assumptions'!F37+(E970))*(1-'Assumptions'!F42-(0))+'Assumptions'!F47-'Assumptions'!F52*(F970)+'Assumptions'!F57-'Assumptions'!F62*(1)-'Assumptions'!F67-(0))+(('Historical Inputs'!$N$9*(1+(D970))^1)*('Assumptions'!E67+(0))))*'DCF'!F12/(1+(G970))^'DCF'!F13,(('Historical Inputs'!$N$9*(1+(D970))^3)*(('Assumptions'!G37+(E970))*(1-'Assumptions'!G42-(0))+'Assumptions'!G47-'Assumptions'!G52*(F970)+'Assumptions'!G57-'Assumptions'!G62*(1)-'Assumptions'!G67-(0))+(('Historical Inputs'!$N$9*(1+(D970))^2)*('Assumptions'!F67+(0))))*'DCF'!G12/(1+(G970))^'DCF'!G13,(('Historical Inputs'!$N$9*(1+(D970))^4)*(('Assumptions'!H37+(E970))*(1-'Assumptions'!H42-(0))+'Assumptions'!H47-'Assumptions'!H52*(F970)+'Assumptions'!H57-'Assumptions'!H62*(1)-'Assumptions'!H67-(0))+(('Historical Inputs'!$N$9*(1+(D970))^3)*('Assumptions'!G67+(0))))*'DCF'!H12/(1+(G970))^'DCF'!H13,(('Historical Inputs'!$N$9*(1+(D970))^5)*(('Assumptions'!I37+(E970))*(1-'Assumptions'!I42-(0))+'Assumptions'!I47-'Assumptions'!I52*(F970)+'Assumptions'!I57-'Assumptions'!I62*(1)-'Assumptions'!I67-(0))+(('Historical Inputs'!$N$9*(1+(D970))^4)*('Assumptions'!H67+(0))))*'DCF'!I12/(1+(G970))^'DCF'!I13)+('Historical Inputs'!$N$9*(1+(D970))^5)*(1+(H970))*('Terminal Value'!$E$10+(E970))*(1-'Assumptions'!$E$15-(0))*(1-(H970)/('Terminal Value'!$E$12))/((G970)-(H970))/(1+(G970))^'DCF'!$E$19)+'Equity Bridge'!$E$17)/'Equity Bridge'!$E$20</x:f>
        <x:v>368.74119694296155</x:v>
      </x:c>
      <x:c r="X970" s="255" t="n">
        <x:v>0.9324151465497533</x:v>
      </x:c>
      <x:c r="Y970" s="255" t="n">
        <x:v>0.9565715142661178</x:v>
      </x:c>
      <x:c r="Z970" s="255" t="n">
        <x:v>0.7918060957317058</x:v>
      </x:c>
      <x:c r="AA970" s="255" t="n">
        <x:v>0.39996578215380296</x:v>
      </x:c>
      <x:c r="AB970" s="255" t="n">
        <x:v>0.74765400067008</x:v>
      </x:c>
    </x:row>
    <x:row r="971" ht="24" customHeight="1">
      <x:c r="C971" s="256" t="n">
        <x:f>940</x:f>
        <x:v>940</x:v>
      </x:c>
      <x:c r="D971" s="258" t="n">
        <x:f>IF(X971&lt;($E$12-$D$12)/($F$12-$D$12),$D$12+SQRT(X971*($F$12-$D$12)*($E$12-$D$12)),$F$12-SQRT((1-X971)*($F$12-$D$12)*($F$12-$E$12)))</x:f>
        <x:v>0.1840946795697211</x:v>
      </x:c>
      <x:c r="E971" s="258" t="n">
        <x:f>IF(Y971&lt;($E$13-$D$13)/($F$13-$D$13),$D$13+SQRT(Y971*($F$13-$D$13)*($E$13-$D$13)),$F$13-SQRT((1-Y971)*($F$13-$D$13)*($F$13-$E$13)))</x:f>
        <x:v>0.021304719985610107</x:v>
      </x:c>
      <x:c r="F971" s="260" t="n">
        <x:f>IF(Z971&lt;($E$14-$D$14)/($F$14-$D$14),$D$14+SQRT(Z971*($F$14-$D$14)*($E$14-$D$14)),$F$14-SQRT((1-Z971)*($F$14-$D$14)*($F$14-$E$14)))</x:f>
        <x:v>0.9206855975262628</x:v>
      </x:c>
      <x:c r="G971" s="258" t="n">
        <x:f>IF(AA971&lt;($E$15-$D$15)/($F$15-$D$15),$D$15+SQRT(AA971*($F$15-$D$15)*($E$15-$D$15)),$F$15-SQRT((1-AA971)*($F$15-$D$15)*($F$15-$E$15)))</x:f>
        <x:v>0.1024645321250737</x:v>
      </x:c>
      <x:c r="H971" s="258" t="n">
        <x:f>IF(AB971&lt;($E$16-$D$16)/($F$16-$D$16),$D$16+SQRT(AB971*($F$16-$D$16)*($E$16-$D$16)),$F$16-SQRT((1-AB971)*($F$16-$D$16)*($F$16-$E$16)))</x:f>
        <x:v>0.029406304909204713</x:v>
      </x:c>
      <x:c r="I971" s="262" t="n">
        <x:f>'Historical Inputs'!$N$9*(1+D971)^5</x:f>
        <x:v>772430.7858276963</x:v>
      </x:c>
      <x:c r="J971" s="262" t="n">
        <x:f>I971*(1+H971)*('Terminal Value'!$E$10+E971)*(1-'Assumptions'!$E$15)*(1-H971/'Terminal Value'!$E$12)</x:f>
        <x:v>228594.4545495284</x:v>
      </x:c>
      <x:c r="K971" s="264" t="n">
        <x:f>((SUM((('Historical Inputs'!$N$9*(1+(D971))^1)*(('Assumptions'!E37+(E971))*(1-'Assumptions'!E42-(0))+'Assumptions'!E47-'Assumptions'!E52*(F971)+'Assumptions'!E57-'Assumptions'!E62*(1)-'Assumptions'!E67-(0))+('Working Capital'!$E$6))*'DCF'!E12/(1+(G971))^'DCF'!E13,(('Historical Inputs'!$N$9*(1+(D971))^2)*(('Assumptions'!F37+(E971))*(1-'Assumptions'!F42-(0))+'Assumptions'!F47-'Assumptions'!F52*(F971)+'Assumptions'!F57-'Assumptions'!F62*(1)-'Assumptions'!F67-(0))+(('Historical Inputs'!$N$9*(1+(D971))^1)*('Assumptions'!E67+(0))))*'DCF'!F12/(1+(G971))^'DCF'!F13,(('Historical Inputs'!$N$9*(1+(D971))^3)*(('Assumptions'!G37+(E971))*(1-'Assumptions'!G42-(0))+'Assumptions'!G47-'Assumptions'!G52*(F971)+'Assumptions'!G57-'Assumptions'!G62*(1)-'Assumptions'!G67-(0))+(('Historical Inputs'!$N$9*(1+(D971))^2)*('Assumptions'!F67+(0))))*'DCF'!G12/(1+(G971))^'DCF'!G13,(('Historical Inputs'!$N$9*(1+(D971))^4)*(('Assumptions'!H37+(E971))*(1-'Assumptions'!H42-(0))+'Assumptions'!H47-'Assumptions'!H52*(F971)+'Assumptions'!H57-'Assumptions'!H62*(1)-'Assumptions'!H67-(0))+(('Historical Inputs'!$N$9*(1+(D971))^3)*('Assumptions'!G67+(0))))*'DCF'!H12/(1+(G971))^'DCF'!H13,(('Historical Inputs'!$N$9*(1+(D971))^5)*(('Assumptions'!I37+(E971))*(1-'Assumptions'!I42-(0))+'Assumptions'!I47-'Assumptions'!I52*(F971)+'Assumptions'!I57-'Assumptions'!I62*(1)-'Assumptions'!I67-(0))+(('Historical Inputs'!$N$9*(1+(D971))^4)*('Assumptions'!H67+(0))))*'DCF'!I12/(1+(G971))^'DCF'!I13)+('Historical Inputs'!$N$9*(1+(D971))^5)*(1+(H971))*('Terminal Value'!$E$10+(E971))*(1-'Assumptions'!$E$15-(0))*(1-(H971)/('Terminal Value'!$E$12))/((G971)-(H971))/(1+(G971))^'DCF'!$E$19)+'Equity Bridge'!$E$17)/'Equity Bridge'!$E$20</x:f>
        <x:v>337.92368532931766</x:v>
      </x:c>
      <x:c r="X971" s="255" t="n">
        <x:v>0.983210296875551</x:v>
      </x:c>
      <x:c r="Y971" s="255" t="n">
        <x:v>0.8353161809791512</x:v>
      </x:c>
      <x:c r="Z971" s="255" t="n">
        <x:v>0.09517054662180591</x:v>
      </x:c>
      <x:c r="AA971" s="255" t="n">
        <x:v>0.7467255573468101</x:v>
      </x:c>
      <x:c r="AB971" s="255" t="n">
        <x:v>0.44239286022464375</x:v>
      </x:c>
    </x:row>
    <x:row r="972" ht="24" customHeight="1">
      <x:c r="C972" s="256" t="n">
        <x:f>941</x:f>
        <x:v>941</x:v>
      </x:c>
      <x:c r="D972" s="258" t="n">
        <x:f>IF(X972&lt;($E$12-$D$12)/($F$12-$D$12),$D$12+SQRT(X972*($F$12-$D$12)*($E$12-$D$12)),$F$12-SQRT((1-X972)*($F$12-$D$12)*($F$12-$E$12)))</x:f>
        <x:v>0.14235989742536082</x:v>
      </x:c>
      <x:c r="E972" s="258" t="n">
        <x:f>IF(Y972&lt;($E$13-$D$13)/($F$13-$D$13),$D$13+SQRT(Y972*($F$13-$D$13)*($E$13-$D$13)),$F$13-SQRT((1-Y972)*($F$13-$D$13)*($F$13-$E$13)))</x:f>
        <x:v>0.024010666589605358</x:v>
      </x:c>
      <x:c r="F972" s="260" t="n">
        <x:f>IF(Z972&lt;($E$14-$D$14)/($F$14-$D$14),$D$14+SQRT(Z972*($F$14-$D$14)*($E$14-$D$14)),$F$14-SQRT((1-Z972)*($F$14-$D$14)*($F$14-$E$14)))</x:f>
        <x:v>1.1048987965672414</x:v>
      </x:c>
      <x:c r="G972" s="258" t="n">
        <x:f>IF(AA972&lt;($E$15-$D$15)/($F$15-$D$15),$D$15+SQRT(AA972*($F$15-$D$15)*($E$15-$D$15)),$F$15-SQRT((1-AA972)*($F$15-$D$15)*($F$15-$E$15)))</x:f>
        <x:v>0.09391230402296212</x:v>
      </x:c>
      <x:c r="H972" s="258" t="n">
        <x:f>IF(AB972&lt;($E$16-$D$16)/($F$16-$D$16),$D$16+SQRT(AB972*($F$16-$D$16)*($E$16-$D$16)),$F$16-SQRT((1-AB972)*($F$16-$D$16)*($F$16-$E$16)))</x:f>
        <x:v>0.03330101729065663</x:v>
      </x:c>
      <x:c r="I972" s="262" t="n">
        <x:f>'Historical Inputs'!$N$9*(1+D972)^5</x:f>
        <x:v>645568.260207394</x:v>
      </x:c>
      <x:c r="J972" s="262" t="n">
        <x:f>I972*(1+H972)*('Terminal Value'!$E$10+E972)*(1-'Assumptions'!$E$15)*(1-H972/'Terminal Value'!$E$12)</x:f>
        <x:v>188598.7238200429</x:v>
      </x:c>
      <x:c r="K972" s="264" t="n">
        <x:f>((SUM((('Historical Inputs'!$N$9*(1+(D972))^1)*(('Assumptions'!E37+(E972))*(1-'Assumptions'!E42-(0))+'Assumptions'!E47-'Assumptions'!E52*(F972)+'Assumptions'!E57-'Assumptions'!E62*(1)-'Assumptions'!E67-(0))+('Working Capital'!$E$6))*'DCF'!E12/(1+(G972))^'DCF'!E13,(('Historical Inputs'!$N$9*(1+(D972))^2)*(('Assumptions'!F37+(E972))*(1-'Assumptions'!F42-(0))+'Assumptions'!F47-'Assumptions'!F52*(F972)+'Assumptions'!F57-'Assumptions'!F62*(1)-'Assumptions'!F67-(0))+(('Historical Inputs'!$N$9*(1+(D972))^1)*('Assumptions'!E67+(0))))*'DCF'!F12/(1+(G972))^'DCF'!F13,(('Historical Inputs'!$N$9*(1+(D972))^3)*(('Assumptions'!G37+(E972))*(1-'Assumptions'!G42-(0))+'Assumptions'!G47-'Assumptions'!G52*(F972)+'Assumptions'!G57-'Assumptions'!G62*(1)-'Assumptions'!G67-(0))+(('Historical Inputs'!$N$9*(1+(D972))^2)*('Assumptions'!F67+(0))))*'DCF'!G12/(1+(G972))^'DCF'!G13,(('Historical Inputs'!$N$9*(1+(D972))^4)*(('Assumptions'!H37+(E972))*(1-'Assumptions'!H42-(0))+'Assumptions'!H47-'Assumptions'!H52*(F972)+'Assumptions'!H57-'Assumptions'!H62*(1)-'Assumptions'!H67-(0))+(('Historical Inputs'!$N$9*(1+(D972))^3)*('Assumptions'!G67+(0))))*'DCF'!H12/(1+(G972))^'DCF'!H13,(('Historical Inputs'!$N$9*(1+(D972))^5)*(('Assumptions'!I37+(E972))*(1-'Assumptions'!I42-(0))+'Assumptions'!I47-'Assumptions'!I52*(F972)+'Assumptions'!I57-'Assumptions'!I62*(1)-'Assumptions'!I67-(0))+(('Historical Inputs'!$N$9*(1+(D972))^4)*('Assumptions'!H67+(0))))*'DCF'!I12/(1+(G972))^'DCF'!I13)+('Historical Inputs'!$N$9*(1+(D972))^5)*(1+(H972))*('Terminal Value'!$E$10+(E972))*(1-'Assumptions'!$E$15-(0))*(1-(H972)/('Terminal Value'!$E$12))/((G972)-(H972))/(1+(G972))^'DCF'!$E$19)+'Equity Bridge'!$E$17)/'Equity Bridge'!$E$20</x:f>
        <x:v>327.69791284943113</x:v>
      </x:c>
      <x:c r="X972" s="255" t="n">
        <x:v>0.4822184784241339</x:v>
      </x:c>
      <x:c r="Y972" s="255" t="n">
        <x:v>0.864910909776669</x:v>
      </x:c>
      <x:c r="Z972" s="255" t="n">
        <x:v>0.8707965872234437</x:v>
      </x:c>
      <x:c r="AA972" s="255" t="n">
        <x:v>0.2578546174868549</x:v>
      </x:c>
      <x:c r="AB972" s="255" t="n">
        <x:v>0.7756181532995932</x:v>
      </x:c>
    </x:row>
    <x:row r="973" ht="24" customHeight="1">
      <x:c r="C973" s="256" t="n">
        <x:f>942</x:f>
        <x:v>942</x:v>
      </x:c>
      <x:c r="D973" s="258" t="n">
        <x:f>IF(X973&lt;($E$12-$D$12)/($F$12-$D$12),$D$12+SQRT(X973*($F$12-$D$12)*($E$12-$D$12)),$F$12-SQRT((1-X973)*($F$12-$D$12)*($F$12-$E$12)))</x:f>
        <x:v>0.13144307969702948</x:v>
      </x:c>
      <x:c r="E973" s="258" t="n">
        <x:f>IF(Y973&lt;($E$13-$D$13)/($F$13-$D$13),$D$13+SQRT(Y973*($F$13-$D$13)*($E$13-$D$13)),$F$13-SQRT((1-Y973)*($F$13-$D$13)*($F$13-$E$13)))</x:f>
        <x:v>0.0037474224322262134</x:v>
      </x:c>
      <x:c r="F973" s="260" t="n">
        <x:f>IF(Z973&lt;($E$14-$D$14)/($F$14-$D$14),$D$14+SQRT(Z973*($F$14-$D$14)*($E$14-$D$14)),$F$14-SQRT((1-Z973)*($F$14-$D$14)*($F$14-$E$14)))</x:f>
        <x:v>0.974798058129613</x:v>
      </x:c>
      <x:c r="G973" s="258" t="n">
        <x:f>IF(AA973&lt;($E$15-$D$15)/($F$15-$D$15),$D$15+SQRT(AA973*($F$15-$D$15)*($E$15-$D$15)),$F$15-SQRT((1-AA973)*($F$15-$D$15)*($F$15-$E$15)))</x:f>
        <x:v>0.09570462460290002</x:v>
      </x:c>
      <x:c r="H973" s="258" t="n">
        <x:f>IF(AB973&lt;($E$16-$D$16)/($F$16-$D$16),$D$16+SQRT(AB973*($F$16-$D$16)*($E$16-$D$16)),$F$16-SQRT((1-AB973)*($F$16-$D$16)*($F$16-$E$16)))</x:f>
        <x:v>0.03204474855541411</x:v>
      </x:c>
      <x:c r="I973" s="262" t="n">
        <x:f>'Historical Inputs'!$N$9*(1+D973)^5</x:f>
        <x:v>615305.756808473</x:v>
      </x:c>
      <x:c r="J973" s="262" t="n">
        <x:f>I973*(1+H973)*('Terminal Value'!$E$10+E973)*(1-'Assumptions'!$E$15)*(1-H973/'Terminal Value'!$E$12)</x:f>
        <x:v>172247.4686514091</x:v>
      </x:c>
      <x:c r="K973" s="264" t="n">
        <x:f>((SUM((('Historical Inputs'!$N$9*(1+(D973))^1)*(('Assumptions'!E37+(E973))*(1-'Assumptions'!E42-(0))+'Assumptions'!E47-'Assumptions'!E52*(F973)+'Assumptions'!E57-'Assumptions'!E62*(1)-'Assumptions'!E67-(0))+('Working Capital'!$E$6))*'DCF'!E12/(1+(G973))^'DCF'!E13,(('Historical Inputs'!$N$9*(1+(D973))^2)*(('Assumptions'!F37+(E973))*(1-'Assumptions'!F42-(0))+'Assumptions'!F47-'Assumptions'!F52*(F973)+'Assumptions'!F57-'Assumptions'!F62*(1)-'Assumptions'!F67-(0))+(('Historical Inputs'!$N$9*(1+(D973))^1)*('Assumptions'!E67+(0))))*'DCF'!F12/(1+(G973))^'DCF'!F13,(('Historical Inputs'!$N$9*(1+(D973))^3)*(('Assumptions'!G37+(E973))*(1-'Assumptions'!G42-(0))+'Assumptions'!G47-'Assumptions'!G52*(F973)+'Assumptions'!G57-'Assumptions'!G62*(1)-'Assumptions'!G67-(0))+(('Historical Inputs'!$N$9*(1+(D973))^2)*('Assumptions'!F67+(0))))*'DCF'!G12/(1+(G973))^'DCF'!G13,(('Historical Inputs'!$N$9*(1+(D973))^4)*(('Assumptions'!H37+(E973))*(1-'Assumptions'!H42-(0))+'Assumptions'!H47-'Assumptions'!H52*(F973)+'Assumptions'!H57-'Assumptions'!H62*(1)-'Assumptions'!H67-(0))+(('Historical Inputs'!$N$9*(1+(D973))^3)*('Assumptions'!G67+(0))))*'DCF'!H12/(1+(G973))^'DCF'!H13,(('Historical Inputs'!$N$9*(1+(D973))^5)*(('Assumptions'!I37+(E973))*(1-'Assumptions'!I42-(0))+'Assumptions'!I47-'Assumptions'!I52*(F973)+'Assumptions'!I57-'Assumptions'!I62*(1)-'Assumptions'!I67-(0))+(('Historical Inputs'!$N$9*(1+(D973))^4)*('Assumptions'!H67+(0))))*'DCF'!I12/(1+(G973))^'DCF'!I13)+('Historical Inputs'!$N$9*(1+(D973))^5)*(1+(H973))*('Terminal Value'!$E$10+(E973))*(1-'Assumptions'!$E$15-(0))*(1-(H973)/('Terminal Value'!$E$12))/((G973)-(H973))/(1+(G973))^'DCF'!$E$19)+'Equity Bridge'!$E$17)/'Equity Bridge'!$E$20</x:f>
        <x:v>292.089672035769</x:v>
      </x:c>
      <x:c r="X973" s="255" t="n">
        <x:v>0.2916350031450461</x:v>
      </x:c>
      <x:c r="Y973" s="255" t="n">
        <x:v>0.5721398136674138</x:v>
      </x:c>
      <x:c r="Z973" s="255" t="n">
        <x:v>0.2966581964366142</x:v>
      </x:c>
      <x:c r="AA973" s="255" t="n">
        <x:v>0.35080113675988134</x:v>
      </x:c>
      <x:c r="AB973" s="255" t="n">
        <x:v>0.6835698722670706</x:v>
      </x:c>
    </x:row>
    <x:row r="974" ht="24" customHeight="1">
      <x:c r="C974" s="256" t="n">
        <x:f>943</x:f>
        <x:v>943</x:v>
      </x:c>
      <x:c r="D974" s="258" t="n">
        <x:f>IF(X974&lt;($E$12-$D$12)/($F$12-$D$12),$D$12+SQRT(X974*($F$12-$D$12)*($E$12-$D$12)),$F$12-SQRT((1-X974)*($F$12-$D$12)*($F$12-$E$12)))</x:f>
        <x:v>0.14813127822892397</x:v>
      </x:c>
      <x:c r="E974" s="258" t="n">
        <x:f>IF(Y974&lt;($E$13-$D$13)/($F$13-$D$13),$D$13+SQRT(Y974*($F$13-$D$13)*($E$13-$D$13)),$F$13-SQRT((1-Y974)*($F$13-$D$13)*($F$13-$E$13)))</x:f>
        <x:v>-0.017114696183447548</x:v>
      </x:c>
      <x:c r="F974" s="260" t="n">
        <x:f>IF(Z974&lt;($E$14-$D$14)/($F$14-$D$14),$D$14+SQRT(Z974*($F$14-$D$14)*($E$14-$D$14)),$F$14-SQRT((1-Z974)*($F$14-$D$14)*($F$14-$E$14)))</x:f>
        <x:v>1.1253802379880449</x:v>
      </x:c>
      <x:c r="G974" s="258" t="n">
        <x:f>IF(AA974&lt;($E$15-$D$15)/($F$15-$D$15),$D$15+SQRT(AA974*($F$15-$D$15)*($E$15-$D$15)),$F$15-SQRT((1-AA974)*($F$15-$D$15)*($F$15-$E$15)))</x:f>
        <x:v>0.10569241668790778</x:v>
      </x:c>
      <x:c r="H974" s="258" t="n">
        <x:f>IF(AB974&lt;($E$16-$D$16)/($F$16-$D$16),$D$16+SQRT(AB974*($F$16-$D$16)*($E$16-$D$16)),$F$16-SQRT((1-AB974)*($F$16-$D$16)*($F$16-$E$16)))</x:f>
        <x:v>0.022704960437856254</x:v>
      </x:c>
      <x:c r="I974" s="262" t="n">
        <x:f>'Historical Inputs'!$N$9*(1+D974)^5</x:f>
        <x:v>662041.4303726576</x:v>
      </x:c>
      <x:c r="J974" s="262" t="n">
        <x:f>I974*(1+H974)*('Terminal Value'!$E$10+E974)*(1-'Assumptions'!$E$15)*(1-H974/'Terminal Value'!$E$12)</x:f>
        <x:v>183848.80198400066</x:v>
      </x:c>
      <x:c r="K974" s="264" t="n">
        <x:f>((SUM((('Historical Inputs'!$N$9*(1+(D974))^1)*(('Assumptions'!E37+(E974))*(1-'Assumptions'!E42-(0))+'Assumptions'!E47-'Assumptions'!E52*(F974)+'Assumptions'!E57-'Assumptions'!E62*(1)-'Assumptions'!E67-(0))+('Working Capital'!$E$6))*'DCF'!E12/(1+(G974))^'DCF'!E13,(('Historical Inputs'!$N$9*(1+(D974))^2)*(('Assumptions'!F37+(E974))*(1-'Assumptions'!F42-(0))+'Assumptions'!F47-'Assumptions'!F52*(F974)+'Assumptions'!F57-'Assumptions'!F62*(1)-'Assumptions'!F67-(0))+(('Historical Inputs'!$N$9*(1+(D974))^1)*('Assumptions'!E67+(0))))*'DCF'!F12/(1+(G974))^'DCF'!F13,(('Historical Inputs'!$N$9*(1+(D974))^3)*(('Assumptions'!G37+(E974))*(1-'Assumptions'!G42-(0))+'Assumptions'!G47-'Assumptions'!G52*(F974)+'Assumptions'!G57-'Assumptions'!G62*(1)-'Assumptions'!G67-(0))+(('Historical Inputs'!$N$9*(1+(D974))^2)*('Assumptions'!F67+(0))))*'DCF'!G12/(1+(G974))^'DCF'!G13,(('Historical Inputs'!$N$9*(1+(D974))^4)*(('Assumptions'!H37+(E974))*(1-'Assumptions'!H42-(0))+'Assumptions'!H47-'Assumptions'!H52*(F974)+'Assumptions'!H57-'Assumptions'!H62*(1)-'Assumptions'!H67-(0))+(('Historical Inputs'!$N$9*(1+(D974))^3)*('Assumptions'!G67+(0))))*'DCF'!H12/(1+(G974))^'DCF'!H13,(('Historical Inputs'!$N$9*(1+(D974))^5)*(('Assumptions'!I37+(E974))*(1-'Assumptions'!I42-(0))+'Assumptions'!I47-'Assumptions'!I52*(F974)+'Assumptions'!I57-'Assumptions'!I62*(1)-'Assumptions'!I67-(0))+(('Historical Inputs'!$N$9*(1+(D974))^4)*('Assumptions'!H67+(0))))*'DCF'!I12/(1+(G974))^'DCF'!I13)+('Historical Inputs'!$N$9*(1+(D974))^5)*(1+(H974))*('Terminal Value'!$E$10+(E974))*(1-'Assumptions'!$E$15-(0))*(1-(H974)/('Terminal Value'!$E$12))/((G974)-(H974))/(1+(G974))^'DCF'!$E$19)+'Equity Bridge'!$E$17)/'Equity Bridge'!$E$20</x:f>
        <x:v>228.97914445073965</x:v>
      </x:c>
      <x:c r="X974" s="255" t="n">
        <x:v>0.5927334529611545</x:v>
      </x:c>
      <x:c r="Y974" s="255" t="n">
        <x:v>0.21628864142139193</x:v>
      </x:c>
      <x:c r="Z974" s="255" t="n">
        <x:v>0.9204555873897025</x:v>
      </x:c>
      <x:c r="AA974" s="255" t="n">
        <x:v>0.876728893381555</x:v>
      </x:c>
      <x:c r="AB974" s="255" t="n">
        <x:v>0.03658405485183758</x:v>
      </x:c>
    </x:row>
    <x:row r="975" ht="24" customHeight="1">
      <x:c r="C975" s="256" t="n">
        <x:f>944</x:f>
        <x:v>944</x:v>
      </x:c>
      <x:c r="D975" s="258" t="n">
        <x:f>IF(X975&lt;($E$12-$D$12)/($F$12-$D$12),$D$12+SQRT(X975*($F$12-$D$12)*($E$12-$D$12)),$F$12-SQRT((1-X975)*($F$12-$D$12)*($F$12-$E$12)))</x:f>
        <x:v>0.12658624264854562</x:v>
      </x:c>
      <x:c r="E975" s="258" t="n">
        <x:f>IF(Y975&lt;($E$13-$D$13)/($F$13-$D$13),$D$13+SQRT(Y975*($F$13-$D$13)*($E$13-$D$13)),$F$13-SQRT((1-Y975)*($F$13-$D$13)*($F$13-$E$13)))</x:f>
        <x:v>-0.002362951264258409</x:v>
      </x:c>
      <x:c r="F975" s="260" t="n">
        <x:f>IF(Z975&lt;($E$14-$D$14)/($F$14-$D$14),$D$14+SQRT(Z975*($F$14-$D$14)*($E$14-$D$14)),$F$14-SQRT((1-Z975)*($F$14-$D$14)*($F$14-$E$14)))</x:f>
        <x:v>1.1235235781631165</x:v>
      </x:c>
      <x:c r="G975" s="258" t="n">
        <x:f>IF(AA975&lt;($E$15-$D$15)/($F$15-$D$15),$D$15+SQRT(AA975*($F$15-$D$15)*($E$15-$D$15)),$F$15-SQRT((1-AA975)*($F$15-$D$15)*($F$15-$E$15)))</x:f>
        <x:v>0.10371462989170464</x:v>
      </x:c>
      <x:c r="H975" s="258" t="n">
        <x:f>IF(AB975&lt;($E$16-$D$16)/($F$16-$D$16),$D$16+SQRT(AB975*($F$16-$D$16)*($E$16-$D$16)),$F$16-SQRT((1-AB975)*($F$16-$D$16)*($F$16-$E$16)))</x:f>
        <x:v>0.02470743514782639</x:v>
      </x:c>
      <x:c r="I975" s="262" t="n">
        <x:f>'Historical Inputs'!$N$9*(1+D975)^5</x:f>
        <x:v>602212.3305087076</x:v>
      </x:c>
      <x:c r="J975" s="262" t="n">
        <x:f>I975*(1+H975)*('Terminal Value'!$E$10+E975)*(1-'Assumptions'!$E$15)*(1-H975/'Terminal Value'!$E$12)</x:f>
        <x:v>172052.0532205122</x:v>
      </x:c>
      <x:c r="K975" s="264" t="n">
        <x:f>((SUM((('Historical Inputs'!$N$9*(1+(D975))^1)*(('Assumptions'!E37+(E975))*(1-'Assumptions'!E42-(0))+'Assumptions'!E47-'Assumptions'!E52*(F975)+'Assumptions'!E57-'Assumptions'!E62*(1)-'Assumptions'!E67-(0))+('Working Capital'!$E$6))*'DCF'!E12/(1+(G975))^'DCF'!E13,(('Historical Inputs'!$N$9*(1+(D975))^2)*(('Assumptions'!F37+(E975))*(1-'Assumptions'!F42-(0))+'Assumptions'!F47-'Assumptions'!F52*(F975)+'Assumptions'!F57-'Assumptions'!F62*(1)-'Assumptions'!F67-(0))+(('Historical Inputs'!$N$9*(1+(D975))^1)*('Assumptions'!E67+(0))))*'DCF'!F12/(1+(G975))^'DCF'!F13,(('Historical Inputs'!$N$9*(1+(D975))^3)*(('Assumptions'!G37+(E975))*(1-'Assumptions'!G42-(0))+'Assumptions'!G47-'Assumptions'!G52*(F975)+'Assumptions'!G57-'Assumptions'!G62*(1)-'Assumptions'!G67-(0))+(('Historical Inputs'!$N$9*(1+(D975))^2)*('Assumptions'!F67+(0))))*'DCF'!G12/(1+(G975))^'DCF'!G13,(('Historical Inputs'!$N$9*(1+(D975))^4)*(('Assumptions'!H37+(E975))*(1-'Assumptions'!H42-(0))+'Assumptions'!H47-'Assumptions'!H52*(F975)+'Assumptions'!H57-'Assumptions'!H62*(1)-'Assumptions'!H67-(0))+(('Historical Inputs'!$N$9*(1+(D975))^3)*('Assumptions'!G67+(0))))*'DCF'!H12/(1+(G975))^'DCF'!H13,(('Historical Inputs'!$N$9*(1+(D975))^5)*(('Assumptions'!I37+(E975))*(1-'Assumptions'!I42-(0))+'Assumptions'!I47-'Assumptions'!I52*(F975)+'Assumptions'!I57-'Assumptions'!I62*(1)-'Assumptions'!I67-(0))+(('Historical Inputs'!$N$9*(1+(D975))^4)*('Assumptions'!H67+(0))))*'DCF'!I12/(1+(G975))^'DCF'!I13)+('Historical Inputs'!$N$9*(1+(D975))^5)*(1+(H975))*('Terminal Value'!$E$10+(E975))*(1-'Assumptions'!$E$15-(0))*(1-(H975)/('Terminal Value'!$E$12))/((G975)-(H975))/(1+(G975))^'DCF'!$E$19)+'Equity Bridge'!$E$17)/'Equity Bridge'!$E$20</x:f>
        <x:v>227.50951894856388</x:v>
      </x:c>
      <x:c r="X975" s="255" t="n">
        <x:v>0.22216739212683678</x:v>
      </x:c>
      <x:c r="Y975" s="255" t="n">
        <x:v>0.4538576824502839</x:v>
      </x:c>
      <x:c r="Z975" s="255" t="n">
        <x:v>0.9164479557575294</x:v>
      </x:c>
      <x:c r="AA975" s="255" t="n">
        <x:v>0.8025676372801668</x:v>
      </x:c>
      <x:c r="AB975" s="255" t="n">
        <x:v>0.11079972835495644</x:v>
      </x:c>
    </x:row>
    <x:row r="976" ht="24" customHeight="1">
      <x:c r="C976" s="256" t="n">
        <x:f>945</x:f>
        <x:v>945</x:v>
      </x:c>
      <x:c r="D976" s="258" t="n">
        <x:f>IF(X976&lt;($E$12-$D$12)/($F$12-$D$12),$D$12+SQRT(X976*($F$12-$D$12)*($E$12-$D$12)),$F$12-SQRT((1-X976)*($F$12-$D$12)*($F$12-$E$12)))</x:f>
        <x:v>0.15919493425212508</x:v>
      </x:c>
      <x:c r="E976" s="258" t="n">
        <x:f>IF(Y976&lt;($E$13-$D$13)/($F$13-$D$13),$D$13+SQRT(Y976*($F$13-$D$13)*($E$13-$D$13)),$F$13-SQRT((1-Y976)*($F$13-$D$13)*($F$13-$E$13)))</x:f>
        <x:v>0.023764494080745054</x:v>
      </x:c>
      <x:c r="F976" s="260" t="n">
        <x:f>IF(Z976&lt;($E$14-$D$14)/($F$14-$D$14),$D$14+SQRT(Z976*($F$14-$D$14)*($E$14-$D$14)),$F$14-SQRT((1-Z976)*($F$14-$D$14)*($F$14-$E$14)))</x:f>
        <x:v>0.9415563365839565</x:v>
      </x:c>
      <x:c r="G976" s="258" t="n">
        <x:f>IF(AA976&lt;($E$15-$D$15)/($F$15-$D$15),$D$15+SQRT(AA976*($F$15-$D$15)*($E$15-$D$15)),$F$15-SQRT((1-AA976)*($F$15-$D$15)*($F$15-$E$15)))</x:f>
        <x:v>0.09501028602363587</x:v>
      </x:c>
      <x:c r="H976" s="258" t="n">
        <x:f>IF(AB976&lt;($E$16-$D$16)/($F$16-$D$16),$D$16+SQRT(AB976*($F$16-$D$16)*($E$16-$D$16)),$F$16-SQRT((1-AB976)*($F$16-$D$16)*($F$16-$E$16)))</x:f>
        <x:v>0.023759062459750263</x:v>
      </x:c>
      <x:c r="I976" s="262" t="n">
        <x:f>'Historical Inputs'!$N$9*(1+D976)^5</x:f>
        <x:v>694560.0485285925</x:v>
      </x:c>
      <x:c r="J976" s="262" t="n">
        <x:f>I976*(1+H976)*('Terminal Value'!$E$10+E976)*(1-'Assumptions'!$E$15)*(1-H976/'Terminal Value'!$E$12)</x:f>
        <x:v>212421.71437177065</x:v>
      </x:c>
      <x:c r="K976" s="264" t="n">
        <x:f>((SUM((('Historical Inputs'!$N$9*(1+(D976))^1)*(('Assumptions'!E37+(E976))*(1-'Assumptions'!E42-(0))+'Assumptions'!E47-'Assumptions'!E52*(F976)+'Assumptions'!E57-'Assumptions'!E62*(1)-'Assumptions'!E67-(0))+('Working Capital'!$E$6))*'DCF'!E12/(1+(G976))^'DCF'!E13,(('Historical Inputs'!$N$9*(1+(D976))^2)*(('Assumptions'!F37+(E976))*(1-'Assumptions'!F42-(0))+'Assumptions'!F47-'Assumptions'!F52*(F976)+'Assumptions'!F57-'Assumptions'!F62*(1)-'Assumptions'!F67-(0))+(('Historical Inputs'!$N$9*(1+(D976))^1)*('Assumptions'!E67+(0))))*'DCF'!F12/(1+(G976))^'DCF'!F13,(('Historical Inputs'!$N$9*(1+(D976))^3)*(('Assumptions'!G37+(E976))*(1-'Assumptions'!G42-(0))+'Assumptions'!G47-'Assumptions'!G52*(F976)+'Assumptions'!G57-'Assumptions'!G62*(1)-'Assumptions'!G67-(0))+(('Historical Inputs'!$N$9*(1+(D976))^2)*('Assumptions'!F67+(0))))*'DCF'!G12/(1+(G976))^'DCF'!G13,(('Historical Inputs'!$N$9*(1+(D976))^4)*(('Assumptions'!H37+(E976))*(1-'Assumptions'!H42-(0))+'Assumptions'!H47-'Assumptions'!H52*(F976)+'Assumptions'!H57-'Assumptions'!H62*(1)-'Assumptions'!H67-(0))+(('Historical Inputs'!$N$9*(1+(D976))^3)*('Assumptions'!G67+(0))))*'DCF'!H12/(1+(G976))^'DCF'!H13,(('Historical Inputs'!$N$9*(1+(D976))^5)*(('Assumptions'!I37+(E976))*(1-'Assumptions'!I42-(0))+'Assumptions'!I47-'Assumptions'!I52*(F976)+'Assumptions'!I57-'Assumptions'!I62*(1)-'Assumptions'!I67-(0))+(('Historical Inputs'!$N$9*(1+(D976))^4)*('Assumptions'!H67+(0))))*'DCF'!I12/(1+(G976))^'DCF'!I13)+('Historical Inputs'!$N$9*(1+(D976))^5)*(1+(H976))*('Terminal Value'!$E$10+(E976))*(1-'Assumptions'!$E$15-(0))*(1-(H976)/('Terminal Value'!$E$12))/((G976)-(H976))/(1+(G976))^'DCF'!$E$19)+'Equity Bridge'!$E$17)/'Equity Bridge'!$E$20</x:f>
        <x:v>328.71737538186363</x:v>
      </x:c>
      <x:c r="X976" s="255" t="n">
        <x:v>0.7679548380211536</x:v>
      </x:c>
      <x:c r="Y976" s="255" t="n">
        <x:v>0.8623396458321477</x:v>
      </x:c>
      <x:c r="Z976" s="255" t="n">
        <x:v>0.15966786226047125</x:v>
      </x:c>
      <x:c r="AA976" s="255" t="n">
        <x:v>0.3130998294201872</x:v>
      </x:c>
      <x:c r="AB976" s="255" t="n">
        <x:v>0.07065275288151851</x:v>
      </x:c>
    </x:row>
    <x:row r="977" ht="24" customHeight="1">
      <x:c r="C977" s="256" t="n">
        <x:f>946</x:f>
        <x:v>946</x:v>
      </x:c>
      <x:c r="D977" s="258" t="n">
        <x:f>IF(X977&lt;($E$12-$D$12)/($F$12-$D$12),$D$12+SQRT(X977*($F$12-$D$12)*($E$12-$D$12)),$F$12-SQRT((1-X977)*($F$12-$D$12)*($F$12-$E$12)))</x:f>
        <x:v>0.10711816881116766</x:v>
      </x:c>
      <x:c r="E977" s="258" t="n">
        <x:f>IF(Y977&lt;($E$13-$D$13)/($F$13-$D$13),$D$13+SQRT(Y977*($F$13-$D$13)*($E$13-$D$13)),$F$13-SQRT((1-Y977)*($F$13-$D$13)*($F$13-$E$13)))</x:f>
        <x:v>-0.004785334967954621</x:v>
      </x:c>
      <x:c r="F977" s="260" t="n">
        <x:f>IF(Z977&lt;($E$14-$D$14)/($F$14-$D$14),$D$14+SQRT(Z977*($F$14-$D$14)*($E$14-$D$14)),$F$14-SQRT((1-Z977)*($F$14-$D$14)*($F$14-$E$14)))</x:f>
        <x:v>1.120984793428461</x:v>
      </x:c>
      <x:c r="G977" s="258" t="n">
        <x:f>IF(AA977&lt;($E$15-$D$15)/($F$15-$D$15),$D$15+SQRT(AA977*($F$15-$D$15)*($E$15-$D$15)),$F$15-SQRT((1-AA977)*($F$15-$D$15)*($F$15-$E$15)))</x:f>
        <x:v>0.09308577783582478</x:v>
      </x:c>
      <x:c r="H977" s="258" t="n">
        <x:f>IF(AB977&lt;($E$16-$D$16)/($F$16-$D$16),$D$16+SQRT(AB977*($F$16-$D$16)*($E$16-$D$16)),$F$16-SQRT((1-AB977)*($F$16-$D$16)*($F$16-$E$16)))</x:f>
        <x:v>0.03349726712810443</x:v>
      </x:c>
      <x:c r="I977" s="262" t="n">
        <x:f>'Historical Inputs'!$N$9*(1+D977)^5</x:f>
        <x:v>551946.9221625344</x:v>
      </x:c>
      <x:c r="J977" s="262" t="n">
        <x:f>I977*(1+H977)*('Terminal Value'!$E$10+E977)*(1-'Assumptions'!$E$15)*(1-H977/'Terminal Value'!$E$12)</x:f>
        <x:v>150148.52053670931</x:v>
      </x:c>
      <x:c r="K977" s="264" t="n">
        <x:f>((SUM((('Historical Inputs'!$N$9*(1+(D977))^1)*(('Assumptions'!E37+(E977))*(1-'Assumptions'!E42-(0))+'Assumptions'!E47-'Assumptions'!E52*(F977)+'Assumptions'!E57-'Assumptions'!E62*(1)-'Assumptions'!E67-(0))+('Working Capital'!$E$6))*'DCF'!E12/(1+(G977))^'DCF'!E13,(('Historical Inputs'!$N$9*(1+(D977))^2)*(('Assumptions'!F37+(E977))*(1-'Assumptions'!F42-(0))+'Assumptions'!F47-'Assumptions'!F52*(F977)+'Assumptions'!F57-'Assumptions'!F62*(1)-'Assumptions'!F67-(0))+(('Historical Inputs'!$N$9*(1+(D977))^1)*('Assumptions'!E67+(0))))*'DCF'!F12/(1+(G977))^'DCF'!F13,(('Historical Inputs'!$N$9*(1+(D977))^3)*(('Assumptions'!G37+(E977))*(1-'Assumptions'!G42-(0))+'Assumptions'!G47-'Assumptions'!G52*(F977)+'Assumptions'!G57-'Assumptions'!G62*(1)-'Assumptions'!G67-(0))+(('Historical Inputs'!$N$9*(1+(D977))^2)*('Assumptions'!F67+(0))))*'DCF'!G12/(1+(G977))^'DCF'!G13,(('Historical Inputs'!$N$9*(1+(D977))^4)*(('Assumptions'!H37+(E977))*(1-'Assumptions'!H42-(0))+'Assumptions'!H47-'Assumptions'!H52*(F977)+'Assumptions'!H57-'Assumptions'!H62*(1)-'Assumptions'!H67-(0))+(('Historical Inputs'!$N$9*(1+(D977))^3)*('Assumptions'!G67+(0))))*'DCF'!H12/(1+(G977))^'DCF'!H13,(('Historical Inputs'!$N$9*(1+(D977))^5)*(('Assumptions'!I37+(E977))*(1-'Assumptions'!I42-(0))+'Assumptions'!I47-'Assumptions'!I52*(F977)+'Assumptions'!I57-'Assumptions'!I62*(1)-'Assumptions'!I67-(0))+(('Historical Inputs'!$N$9*(1+(D977))^4)*('Assumptions'!H67+(0))))*'DCF'!I12/(1+(G977))^'DCF'!I13)+('Historical Inputs'!$N$9*(1+(D977))^5)*(1+(H977))*('Terminal Value'!$E$10+(E977))*(1-'Assumptions'!$E$15-(0))*(1-(H977)/('Terminal Value'!$E$12))/((G977)-(H977))/(1+(G977))^'DCF'!$E$19)+'Equity Bridge'!$E$17)/'Equity Bridge'!$E$20</x:f>
        <x:v>264.35606475145005</x:v>
      </x:c>
      <x:c r="X977" s="255" t="n">
        <x:v>0.038426279148566445</x:v>
      </x:c>
      <x:c r="Y977" s="255" t="n">
        <x:v>0.40887318679201334</x:v>
      </x:c>
      <x:c r="Z977" s="255" t="n">
        <x:v>0.9108085304351002</x:v>
      </x:c>
      <x:c r="AA977" s="255" t="n">
        <x:v>0.21980255805100013</x:v>
      </x:c>
      <x:c r="AB977" s="255" t="n">
        <x:v>0.7885723259838437</x:v>
      </x:c>
    </x:row>
    <x:row r="978" ht="24" customHeight="1">
      <x:c r="C978" s="256" t="n">
        <x:f>947</x:f>
        <x:v>947</x:v>
      </x:c>
      <x:c r="D978" s="258" t="n">
        <x:f>IF(X978&lt;($E$12-$D$12)/($F$12-$D$12),$D$12+SQRT(X978*($F$12-$D$12)*($E$12-$D$12)),$F$12-SQRT((1-X978)*($F$12-$D$12)*($F$12-$E$12)))</x:f>
        <x:v>0.13878521351374268</x:v>
      </x:c>
      <x:c r="E978" s="258" t="n">
        <x:f>IF(Y978&lt;($E$13-$D$13)/($F$13-$D$13),$D$13+SQRT(Y978*($F$13-$D$13)*($E$13-$D$13)),$F$13-SQRT((1-Y978)*($F$13-$D$13)*($F$13-$E$13)))</x:f>
        <x:v>-0.005791143486103566</x:v>
      </x:c>
      <x:c r="F978" s="260" t="n">
        <x:f>IF(Z978&lt;($E$14-$D$14)/($F$14-$D$14),$D$14+SQRT(Z978*($F$14-$D$14)*($E$14-$D$14)),$F$14-SQRT((1-Z978)*($F$14-$D$14)*($F$14-$E$14)))</x:f>
        <x:v>0.9676478005582786</x:v>
      </x:c>
      <x:c r="G978" s="258" t="n">
        <x:f>IF(AA978&lt;($E$15-$D$15)/($F$15-$D$15),$D$15+SQRT(AA978*($F$15-$D$15)*($E$15-$D$15)),$F$15-SQRT((1-AA978)*($F$15-$D$15)*($F$15-$E$15)))</x:f>
        <x:v>0.10230803063245582</x:v>
      </x:c>
      <x:c r="H978" s="258" t="n">
        <x:f>IF(AB978&lt;($E$16-$D$16)/($F$16-$D$16),$D$16+SQRT(AB978*($F$16-$D$16)*($E$16-$D$16)),$F$16-SQRT((1-AB978)*($F$16-$D$16)*($F$16-$E$16)))</x:f>
        <x:v>0.033327146806547574</x:v>
      </x:c>
      <x:c r="I978" s="262" t="n">
        <x:f>'Historical Inputs'!$N$9*(1+D978)^5</x:f>
        <x:v>635530.6834723636</x:v>
      </x:c>
      <x:c r="J978" s="262" t="n">
        <x:f>I978*(1+H978)*('Terminal Value'!$E$10+E978)*(1-'Assumptions'!$E$15)*(1-H978/'Terminal Value'!$E$12)</x:f>
        <x:v>172593.96289836173</x:v>
      </x:c>
      <x:c r="K978" s="264" t="n">
        <x:f>((SUM((('Historical Inputs'!$N$9*(1+(D978))^1)*(('Assumptions'!E37+(E978))*(1-'Assumptions'!E42-(0))+'Assumptions'!E47-'Assumptions'!E52*(F978)+'Assumptions'!E57-'Assumptions'!E62*(1)-'Assumptions'!E67-(0))+('Working Capital'!$E$6))*'DCF'!E12/(1+(G978))^'DCF'!E13,(('Historical Inputs'!$N$9*(1+(D978))^2)*(('Assumptions'!F37+(E978))*(1-'Assumptions'!F42-(0))+'Assumptions'!F47-'Assumptions'!F52*(F978)+'Assumptions'!F57-'Assumptions'!F62*(1)-'Assumptions'!F67-(0))+(('Historical Inputs'!$N$9*(1+(D978))^1)*('Assumptions'!E67+(0))))*'DCF'!F12/(1+(G978))^'DCF'!F13,(('Historical Inputs'!$N$9*(1+(D978))^3)*(('Assumptions'!G37+(E978))*(1-'Assumptions'!G42-(0))+'Assumptions'!G47-'Assumptions'!G52*(F978)+'Assumptions'!G57-'Assumptions'!G62*(1)-'Assumptions'!G67-(0))+(('Historical Inputs'!$N$9*(1+(D978))^2)*('Assumptions'!F67+(0))))*'DCF'!G12/(1+(G978))^'DCF'!G13,(('Historical Inputs'!$N$9*(1+(D978))^4)*(('Assumptions'!H37+(E978))*(1-'Assumptions'!H42-(0))+'Assumptions'!H47-'Assumptions'!H52*(F978)+'Assumptions'!H57-'Assumptions'!H62*(1)-'Assumptions'!H67-(0))+(('Historical Inputs'!$N$9*(1+(D978))^3)*('Assumptions'!G67+(0))))*'DCF'!H12/(1+(G978))^'DCF'!H13,(('Historical Inputs'!$N$9*(1+(D978))^5)*(('Assumptions'!I37+(E978))*(1-'Assumptions'!I42-(0))+'Assumptions'!I47-'Assumptions'!I52*(F978)+'Assumptions'!I57-'Assumptions'!I62*(1)-'Assumptions'!I67-(0))+(('Historical Inputs'!$N$9*(1+(D978))^4)*('Assumptions'!H67+(0))))*'DCF'!I12/(1+(G978))^'DCF'!I13)+('Historical Inputs'!$N$9*(1+(D978))^5)*(1+(H978))*('Terminal Value'!$E$10+(E978))*(1-'Assumptions'!$E$15-(0))*(1-(H978)/('Terminal Value'!$E$12))/((G978)-(H978))/(1+(G978))^'DCF'!$E$19)+'Equity Bridge'!$E$17)/'Equity Bridge'!$E$20</x:f>
        <x:v>267.11670044829566</x:v>
      </x:c>
      <x:c r="X978" s="255" t="n">
        <x:v>0.4145632476701232</x:v>
      </x:c>
      <x:c r="Y978" s="255" t="n">
        <x:v>0.39088459885325666</x:v>
      </x:c>
      <x:c r="Z978" s="255" t="n">
        <x:v>0.2636381900228667</x:v>
      </x:c>
      <x:c r="AA978" s="255" t="n">
        <x:v>0.7392454204134203</x:v>
      </x:c>
      <x:c r="AB978" s="255" t="n">
        <x:v>0.7773651512931589</x:v>
      </x:c>
    </x:row>
    <x:row r="979" ht="24" customHeight="1">
      <x:c r="C979" s="256" t="n">
        <x:f>948</x:f>
        <x:v>948</x:v>
      </x:c>
      <x:c r="D979" s="258" t="n">
        <x:f>IF(X979&lt;($E$12-$D$12)/($F$12-$D$12),$D$12+SQRT(X979*($F$12-$D$12)*($E$12-$D$12)),$F$12-SQRT((1-X979)*($F$12-$D$12)*($F$12-$E$12)))</x:f>
        <x:v>0.16212821565344798</x:v>
      </x:c>
      <x:c r="E979" s="258" t="n">
        <x:f>IF(Y979&lt;($E$13-$D$13)/($F$13-$D$13),$D$13+SQRT(Y979*($F$13-$D$13)*($E$13-$D$13)),$F$13-SQRT((1-Y979)*($F$13-$D$13)*($F$13-$E$13)))</x:f>
        <x:v>0.006382779724448916</x:v>
      </x:c>
      <x:c r="F979" s="260" t="n">
        <x:f>IF(Z979&lt;($E$14-$D$14)/($F$14-$D$14),$D$14+SQRT(Z979*($F$14-$D$14)*($E$14-$D$14)),$F$14-SQRT((1-Z979)*($F$14-$D$14)*($F$14-$E$14)))</x:f>
        <x:v>1.0488923945523008</x:v>
      </x:c>
      <x:c r="G979" s="258" t="n">
        <x:f>IF(AA979&lt;($E$15-$D$15)/($F$15-$D$15),$D$15+SQRT(AA979*($F$15-$D$15)*($E$15-$D$15)),$F$15-SQRT((1-AA979)*($F$15-$D$15)*($F$15-$E$15)))</x:f>
        <x:v>0.10614865049821247</x:v>
      </x:c>
      <x:c r="H979" s="258" t="n">
        <x:f>IF(AB979&lt;($E$16-$D$16)/($F$16-$D$16),$D$16+SQRT(AB979*($F$16-$D$16)*($E$16-$D$16)),$F$16-SQRT((1-AB979)*($F$16-$D$16)*($F$16-$E$16)))</x:f>
        <x:v>0.029860337527372424</x:v>
      </x:c>
      <x:c r="I979" s="262" t="n">
        <x:f>'Historical Inputs'!$N$9*(1+D979)^5</x:f>
        <x:v>703392.3721445875</x:v>
      </x:c>
      <x:c r="J979" s="262" t="n">
        <x:f>I979*(1+H979)*('Terminal Value'!$E$10+E979)*(1-'Assumptions'!$E$15)*(1-H979/'Terminal Value'!$E$12)</x:f>
        <x:v>200344.23131937953</x:v>
      </x:c>
      <x:c r="K979" s="264" t="n">
        <x:f>((SUM((('Historical Inputs'!$N$9*(1+(D979))^1)*(('Assumptions'!E37+(E979))*(1-'Assumptions'!E42-(0))+'Assumptions'!E47-'Assumptions'!E52*(F979)+'Assumptions'!E57-'Assumptions'!E62*(1)-'Assumptions'!E67-(0))+('Working Capital'!$E$6))*'DCF'!E12/(1+(G979))^'DCF'!E13,(('Historical Inputs'!$N$9*(1+(D979))^2)*(('Assumptions'!F37+(E979))*(1-'Assumptions'!F42-(0))+'Assumptions'!F47-'Assumptions'!F52*(F979)+'Assumptions'!F57-'Assumptions'!F62*(1)-'Assumptions'!F67-(0))+(('Historical Inputs'!$N$9*(1+(D979))^1)*('Assumptions'!E67+(0))))*'DCF'!F12/(1+(G979))^'DCF'!F13,(('Historical Inputs'!$N$9*(1+(D979))^3)*(('Assumptions'!G37+(E979))*(1-'Assumptions'!G42-(0))+'Assumptions'!G47-'Assumptions'!G52*(F979)+'Assumptions'!G57-'Assumptions'!G62*(1)-'Assumptions'!G67-(0))+(('Historical Inputs'!$N$9*(1+(D979))^2)*('Assumptions'!F67+(0))))*'DCF'!G12/(1+(G979))^'DCF'!G13,(('Historical Inputs'!$N$9*(1+(D979))^4)*(('Assumptions'!H37+(E979))*(1-'Assumptions'!H42-(0))+'Assumptions'!H47-'Assumptions'!H52*(F979)+'Assumptions'!H57-'Assumptions'!H62*(1)-'Assumptions'!H67-(0))+(('Historical Inputs'!$N$9*(1+(D979))^3)*('Assumptions'!G67+(0))))*'DCF'!H12/(1+(G979))^'DCF'!H13,(('Historical Inputs'!$N$9*(1+(D979))^5)*(('Assumptions'!I37+(E979))*(1-'Assumptions'!I42-(0))+'Assumptions'!I47-'Assumptions'!I52*(F979)+'Assumptions'!I57-'Assumptions'!I62*(1)-'Assumptions'!I67-(0))+(('Historical Inputs'!$N$9*(1+(D979))^4)*('Assumptions'!H67+(0))))*'DCF'!I12/(1+(G979))^'DCF'!I13)+('Historical Inputs'!$N$9*(1+(D979))^5)*(1+(H979))*('Terminal Value'!$E$10+(E979))*(1-'Assumptions'!$E$15-(0))*(1-(H979)/('Terminal Value'!$E$12))/((G979)-(H979))/(1+(G979))^'DCF'!$E$19)+'Equity Bridge'!$E$17)/'Equity Bridge'!$E$20</x:f>
        <x:v>274.88820158874404</x:v>
      </x:c>
      <x:c r="X979" s="255" t="n">
        <x:v>0.8061994852536233</x:v>
      </x:c>
      <x:c r="Y979" s="255" t="n">
        <x:v>0.6195076190868111</x:v>
      </x:c>
      <x:c r="Z979" s="255" t="n">
        <x:v>0.673807022512321</x:v>
      </x:c>
      <x:c r="AA979" s="255" t="n">
        <x:v>0.891368596271586</x:v>
      </x:c>
      <x:c r="AB979" s="255" t="n">
        <x:v>0.48613128076854495</x:v>
      </x:c>
    </x:row>
    <x:row r="980" ht="24" customHeight="1">
      <x:c r="C980" s="256" t="n">
        <x:f>949</x:f>
        <x:v>949</x:v>
      </x:c>
      <x:c r="D980" s="258" t="n">
        <x:f>IF(X980&lt;($E$12-$D$12)/($F$12-$D$12),$D$12+SQRT(X980*($F$12-$D$12)*($E$12-$D$12)),$F$12-SQRT((1-X980)*($F$12-$D$12)*($F$12-$E$12)))</x:f>
        <x:v>0.1654941915758982</x:v>
      </x:c>
      <x:c r="E980" s="258" t="n">
        <x:f>IF(Y980&lt;($E$13-$D$13)/($F$13-$D$13),$D$13+SQRT(Y980*($F$13-$D$13)*($E$13-$D$13)),$F$13-SQRT((1-Y980)*($F$13-$D$13)*($F$13-$E$13)))</x:f>
        <x:v>-0.04073890656021337</x:v>
      </x:c>
      <x:c r="F980" s="260" t="n">
        <x:f>IF(Z980&lt;($E$14-$D$14)/($F$14-$D$14),$D$14+SQRT(Z980*($F$14-$D$14)*($E$14-$D$14)),$F$14-SQRT((1-Z980)*($F$14-$D$14)*($F$14-$E$14)))</x:f>
        <x:v>0.9519735617131972</x:v>
      </x:c>
      <x:c r="G980" s="258" t="n">
        <x:f>IF(AA980&lt;($E$15-$D$15)/($F$15-$D$15),$D$15+SQRT(AA980*($F$15-$D$15)*($E$15-$D$15)),$F$15-SQRT((1-AA980)*($F$15-$D$15)*($F$15-$E$15)))</x:f>
        <x:v>0.08904630808088682</x:v>
      </x:c>
      <x:c r="H980" s="258" t="n">
        <x:f>IF(AB980&lt;($E$16-$D$16)/($F$16-$D$16),$D$16+SQRT(AB980*($F$16-$D$16)*($E$16-$D$16)),$F$16-SQRT((1-AB980)*($F$16-$D$16)*($F$16-$E$16)))</x:f>
        <x:v>0.03363523779659059</x:v>
      </x:c>
      <x:c r="I980" s="262" t="n">
        <x:f>'Historical Inputs'!$N$9*(1+D980)^5</x:f>
        <x:v>713638.0426819922</x:v>
      </x:c>
      <x:c r="J980" s="262" t="n">
        <x:f>I980*(1+H980)*('Terminal Value'!$E$10+E980)*(1-'Assumptions'!$E$15)*(1-H980/'Terminal Value'!$E$12)</x:f>
        <x:v>176350.55149922232</x:v>
      </x:c>
      <x:c r="K980" s="264" t="n">
        <x:f>((SUM((('Historical Inputs'!$N$9*(1+(D980))^1)*(('Assumptions'!E37+(E980))*(1-'Assumptions'!E42-(0))+'Assumptions'!E47-'Assumptions'!E52*(F980)+'Assumptions'!E57-'Assumptions'!E62*(1)-'Assumptions'!E67-(0))+('Working Capital'!$E$6))*'DCF'!E12/(1+(G980))^'DCF'!E13,(('Historical Inputs'!$N$9*(1+(D980))^2)*(('Assumptions'!F37+(E980))*(1-'Assumptions'!F42-(0))+'Assumptions'!F47-'Assumptions'!F52*(F980)+'Assumptions'!F57-'Assumptions'!F62*(1)-'Assumptions'!F67-(0))+(('Historical Inputs'!$N$9*(1+(D980))^1)*('Assumptions'!E67+(0))))*'DCF'!F12/(1+(G980))^'DCF'!F13,(('Historical Inputs'!$N$9*(1+(D980))^3)*(('Assumptions'!G37+(E980))*(1-'Assumptions'!G42-(0))+'Assumptions'!G47-'Assumptions'!G52*(F980)+'Assumptions'!G57-'Assumptions'!G62*(1)-'Assumptions'!G67-(0))+(('Historical Inputs'!$N$9*(1+(D980))^2)*('Assumptions'!F67+(0))))*'DCF'!G12/(1+(G980))^'DCF'!G13,(('Historical Inputs'!$N$9*(1+(D980))^4)*(('Assumptions'!H37+(E980))*(1-'Assumptions'!H42-(0))+'Assumptions'!H47-'Assumptions'!H52*(F980)+'Assumptions'!H57-'Assumptions'!H62*(1)-'Assumptions'!H67-(0))+(('Historical Inputs'!$N$9*(1+(D980))^3)*('Assumptions'!G67+(0))))*'DCF'!H12/(1+(G980))^'DCF'!H13,(('Historical Inputs'!$N$9*(1+(D980))^5)*(('Assumptions'!I37+(E980))*(1-'Assumptions'!I42-(0))+'Assumptions'!I47-'Assumptions'!I52*(F980)+'Assumptions'!I57-'Assumptions'!I62*(1)-'Assumptions'!I67-(0))+(('Historical Inputs'!$N$9*(1+(D980))^4)*('Assumptions'!H67+(0))))*'DCF'!I12/(1+(G980))^'DCF'!I13)+('Historical Inputs'!$N$9*(1+(D980))^5)*(1+(H980))*('Terminal Value'!$E$10+(E980))*(1-'Assumptions'!$E$15-(0))*(1-(H980)/('Terminal Value'!$E$12))/((G980)-(H980))/(1+(G980))^'DCF'!$E$19)+'Equity Bridge'!$E$17)/'Equity Bridge'!$E$20</x:f>
        <x:v>340.92836941575644</x:v>
      </x:c>
      <x:c r="X980" s="255" t="n">
        <x:v>0.8458450513001695</x:v>
      </x:c>
      <x:c r="Y980" s="255" t="n">
        <x:v>0.017153570340091795</x:v>
      </x:c>
      <x:c r="Z980" s="255" t="n">
        <x:v>0.19806871025667128</x:v>
      </x:c>
      <x:c r="AA980" s="255" t="n">
        <x:v>0.07751136219906396</x:v>
      </x:c>
      <x:c r="AB980" s="255" t="n">
        <x:v>0.797449010470255</x:v>
      </x:c>
    </x:row>
    <x:row r="981" ht="24" customHeight="1">
      <x:c r="C981" s="256" t="n">
        <x:f>950</x:f>
        <x:v>950</x:v>
      </x:c>
      <x:c r="D981" s="258" t="n">
        <x:f>IF(X981&lt;($E$12-$D$12)/($F$12-$D$12),$D$12+SQRT(X981*($F$12-$D$12)*($E$12-$D$12)),$F$12-SQRT((1-X981)*($F$12-$D$12)*($F$12-$E$12)))</x:f>
        <x:v>0.1506580407036347</x:v>
      </x:c>
      <x:c r="E981" s="258" t="n">
        <x:f>IF(Y981&lt;($E$13-$D$13)/($F$13-$D$13),$D$13+SQRT(Y981*($F$13-$D$13)*($E$13-$D$13)),$F$13-SQRT((1-Y981)*($F$13-$D$13)*($F$13-$E$13)))</x:f>
        <x:v>0.01335459263316114</x:v>
      </x:c>
      <x:c r="F981" s="260" t="n">
        <x:f>IF(Z981&lt;($E$14-$D$14)/($F$14-$D$14),$D$14+SQRT(Z981*($F$14-$D$14)*($E$14-$D$14)),$F$14-SQRT((1-Z981)*($F$14-$D$14)*($F$14-$E$14)))</x:f>
        <x:v>1.0288767873890825</x:v>
      </x:c>
      <x:c r="G981" s="258" t="n">
        <x:f>IF(AA981&lt;($E$15-$D$15)/($F$15-$D$15),$D$15+SQRT(AA981*($F$15-$D$15)*($E$15-$D$15)),$F$15-SQRT((1-AA981)*($F$15-$D$15)*($F$15-$E$15)))</x:f>
        <x:v>0.10102995609890411</x:v>
      </x:c>
      <x:c r="H981" s="258" t="n">
        <x:f>IF(AB981&lt;($E$16-$D$16)/($F$16-$D$16),$D$16+SQRT(AB981*($F$16-$D$16)*($E$16-$D$16)),$F$16-SQRT((1-AB981)*($F$16-$D$16)*($F$16-$E$16)))</x:f>
        <x:v>0.020986289024000706</x:v>
      </x:c>
      <x:c r="I981" s="262" t="n">
        <x:f>'Historical Inputs'!$N$9*(1+D981)^5</x:f>
        <x:v>669358.540606376</x:v>
      </x:c>
      <x:c r="J981" s="262" t="n">
        <x:f>I981*(1+H981)*('Terminal Value'!$E$10+E981)*(1-'Assumptions'!$E$15)*(1-H981/'Terminal Value'!$E$12)</x:f>
        <x:v>202277.5912050729</x:v>
      </x:c>
      <x:c r="K981" s="264" t="n">
        <x:f>((SUM((('Historical Inputs'!$N$9*(1+(D981))^1)*(('Assumptions'!E37+(E981))*(1-'Assumptions'!E42-(0))+'Assumptions'!E47-'Assumptions'!E52*(F981)+'Assumptions'!E57-'Assumptions'!E62*(1)-'Assumptions'!E67-(0))+('Working Capital'!$E$6))*'DCF'!E12/(1+(G981))^'DCF'!E13,(('Historical Inputs'!$N$9*(1+(D981))^2)*(('Assumptions'!F37+(E981))*(1-'Assumptions'!F42-(0))+'Assumptions'!F47-'Assumptions'!F52*(F981)+'Assumptions'!F57-'Assumptions'!F62*(1)-'Assumptions'!F67-(0))+(('Historical Inputs'!$N$9*(1+(D981))^1)*('Assumptions'!E67+(0))))*'DCF'!F12/(1+(G981))^'DCF'!F13,(('Historical Inputs'!$N$9*(1+(D981))^3)*(('Assumptions'!G37+(E981))*(1-'Assumptions'!G42-(0))+'Assumptions'!G47-'Assumptions'!G52*(F981)+'Assumptions'!G57-'Assumptions'!G62*(1)-'Assumptions'!G67-(0))+(('Historical Inputs'!$N$9*(1+(D981))^2)*('Assumptions'!F67+(0))))*'DCF'!G12/(1+(G981))^'DCF'!G13,(('Historical Inputs'!$N$9*(1+(D981))^4)*(('Assumptions'!H37+(E981))*(1-'Assumptions'!H42-(0))+'Assumptions'!H47-'Assumptions'!H52*(F981)+'Assumptions'!H57-'Assumptions'!H62*(1)-'Assumptions'!H67-(0))+(('Historical Inputs'!$N$9*(1+(D981))^3)*('Assumptions'!G67+(0))))*'DCF'!H12/(1+(G981))^'DCF'!H13,(('Historical Inputs'!$N$9*(1+(D981))^5)*(('Assumptions'!I37+(E981))*(1-'Assumptions'!I42-(0))+'Assumptions'!I47-'Assumptions'!I52*(F981)+'Assumptions'!I57-'Assumptions'!I62*(1)-'Assumptions'!I67-(0))+(('Historical Inputs'!$N$9*(1+(D981))^4)*('Assumptions'!H67+(0))))*'DCF'!I12/(1+(G981))^'DCF'!I13)+('Historical Inputs'!$N$9*(1+(D981))^5)*(1+(H981))*('Terminal Value'!$E$10+(E981))*(1-'Assumptions'!$E$15-(0))*(1-(H981)/('Terminal Value'!$E$12))/((G981)-(H981))/(1+(G981))^'DCF'!$E$19)+'Equity Bridge'!$E$17)/'Equity Bridge'!$E$20</x:f>
        <x:v>272.76466851625344</x:v>
      </x:c>
      <x:c r="X981" s="255" t="n">
        <x:v>0.6370653614662954</x:v>
      </x:c>
      <x:c r="Y981" s="255" t="n">
        <x:v>0.7314228237836864</x:v>
      </x:c>
      <x:c r="Z981" s="255" t="n">
        <x:v>0.581669230081696</x:v>
      </x:c>
      <x:c r="AA981" s="255" t="n">
        <x:v>0.6740842051468275</x:v>
      </x:c>
      <x:c r="AB981" s="255" t="n">
        <x:v>0.00486383019432135</x:v>
      </x:c>
    </x:row>
    <x:row r="982" ht="24" customHeight="1">
      <x:c r="C982" s="256" t="n">
        <x:f>951</x:f>
        <x:v>951</x:v>
      </x:c>
      <x:c r="D982" s="258" t="n">
        <x:f>IF(X982&lt;($E$12-$D$12)/($F$12-$D$12),$D$12+SQRT(X982*($F$12-$D$12)*($E$12-$D$12)),$F$12-SQRT((1-X982)*($F$12-$D$12)*($F$12-$E$12)))</x:f>
        <x:v>0.15553158487923616</x:v>
      </x:c>
      <x:c r="E982" s="258" t="n">
        <x:f>IF(Y982&lt;($E$13-$D$13)/($F$13-$D$13),$D$13+SQRT(Y982*($F$13-$D$13)*($E$13-$D$13)),$F$13-SQRT((1-Y982)*($F$13-$D$13)*($F$13-$E$13)))</x:f>
        <x:v>0.04311376947053785</x:v>
      </x:c>
      <x:c r="F982" s="260" t="n">
        <x:f>IF(Z982&lt;($E$14-$D$14)/($F$14-$D$14),$D$14+SQRT(Z982*($F$14-$D$14)*($E$14-$D$14)),$F$14-SQRT((1-Z982)*($F$14-$D$14)*($F$14-$E$14)))</x:f>
        <x:v>1.086598799797481</x:v>
      </x:c>
      <x:c r="G982" s="258" t="n">
        <x:f>IF(AA982&lt;($E$15-$D$15)/($F$15-$D$15),$D$15+SQRT(AA982*($F$15-$D$15)*($E$15-$D$15)),$F$15-SQRT((1-AA982)*($F$15-$D$15)*($F$15-$E$15)))</x:f>
        <x:v>0.09698927349758898</x:v>
      </x:c>
      <x:c r="H982" s="258" t="n">
        <x:f>IF(AB982&lt;($E$16-$D$16)/($F$16-$D$16),$D$16+SQRT(AB982*($F$16-$D$16)*($E$16-$D$16)),$F$16-SQRT((1-AB982)*($F$16-$D$16)*($F$16-$E$16)))</x:f>
        <x:v>0.03302136745944532</x:v>
      </x:c>
      <x:c r="I982" s="262" t="n">
        <x:f>'Historical Inputs'!$N$9*(1+D982)^5</x:f>
        <x:v>683654.2690577335</x:v>
      </x:c>
      <x:c r="J982" s="262" t="n">
        <x:f>I982*(1+H982)*('Terminal Value'!$E$10+E982)*(1-'Assumptions'!$E$15)*(1-H982/'Terminal Value'!$E$12)</x:f>
        <x:v>209017.17415671566</x:v>
      </x:c>
      <x:c r="K982" s="264" t="n">
        <x:f>((SUM((('Historical Inputs'!$N$9*(1+(D982))^1)*(('Assumptions'!E37+(E982))*(1-'Assumptions'!E42-(0))+'Assumptions'!E47-'Assumptions'!E52*(F982)+'Assumptions'!E57-'Assumptions'!E62*(1)-'Assumptions'!E67-(0))+('Working Capital'!$E$6))*'DCF'!E12/(1+(G982))^'DCF'!E13,(('Historical Inputs'!$N$9*(1+(D982))^2)*(('Assumptions'!F37+(E982))*(1-'Assumptions'!F42-(0))+'Assumptions'!F47-'Assumptions'!F52*(F982)+'Assumptions'!F57-'Assumptions'!F62*(1)-'Assumptions'!F67-(0))+(('Historical Inputs'!$N$9*(1+(D982))^1)*('Assumptions'!E67+(0))))*'DCF'!F12/(1+(G982))^'DCF'!F13,(('Historical Inputs'!$N$9*(1+(D982))^3)*(('Assumptions'!G37+(E982))*(1-'Assumptions'!G42-(0))+'Assumptions'!G47-'Assumptions'!G52*(F982)+'Assumptions'!G57-'Assumptions'!G62*(1)-'Assumptions'!G67-(0))+(('Historical Inputs'!$N$9*(1+(D982))^2)*('Assumptions'!F67+(0))))*'DCF'!G12/(1+(G982))^'DCF'!G13,(('Historical Inputs'!$N$9*(1+(D982))^4)*(('Assumptions'!H37+(E982))*(1-'Assumptions'!H42-(0))+'Assumptions'!H47-'Assumptions'!H52*(F982)+'Assumptions'!H57-'Assumptions'!H62*(1)-'Assumptions'!H67-(0))+(('Historical Inputs'!$N$9*(1+(D982))^3)*('Assumptions'!G67+(0))))*'DCF'!H12/(1+(G982))^'DCF'!H13,(('Historical Inputs'!$N$9*(1+(D982))^5)*(('Assumptions'!I37+(E982))*(1-'Assumptions'!I42-(0))+'Assumptions'!I47-'Assumptions'!I52*(F982)+'Assumptions'!I57-'Assumptions'!I62*(1)-'Assumptions'!I67-(0))+(('Historical Inputs'!$N$9*(1+(D982))^4)*('Assumptions'!H67+(0))))*'DCF'!I12/(1+(G982))^'DCF'!I13)+('Historical Inputs'!$N$9*(1+(D982))^5)*(1+(H982))*('Terminal Value'!$E$10+(E982))*(1-'Assumptions'!$E$15-(0))*(1-(H982)/('Terminal Value'!$E$12))/((G982)-(H982))/(1+(G982))^'DCF'!$E$19)+'Equity Bridge'!$E$17)/'Equity Bridge'!$E$20</x:f>
        <x:v>344.7730261402129</x:v>
      </x:c>
      <x:c r="X982" s="255" t="n">
        <x:v>0.7153582814342835</x:v>
      </x:c>
      <x:c r="Y982" s="255" t="n">
        <x:v>0.9905159658190207</x:v>
      </x:c>
      <x:c r="Z982" s="255" t="n">
        <x:v>0.8162881113232603</x:v>
      </x:c>
      <x:c r="AA982" s="255" t="n">
        <x:v>0.4262047727167755</x:v>
      </x:c>
      <x:c r="AB982" s="255" t="n">
        <x:v>0.7564934393195567</x:v>
      </x:c>
    </x:row>
    <x:row r="983" ht="24" customHeight="1">
      <x:c r="C983" s="256" t="n">
        <x:f>952</x:f>
        <x:v>952</x:v>
      </x:c>
      <x:c r="D983" s="258" t="n">
        <x:f>IF(X983&lt;($E$12-$D$12)/($F$12-$D$12),$D$12+SQRT(X983*($F$12-$D$12)*($E$12-$D$12)),$F$12-SQRT((1-X983)*($F$12-$D$12)*($F$12-$E$12)))</x:f>
        <x:v>0.16563126535607847</x:v>
      </x:c>
      <x:c r="E983" s="258" t="n">
        <x:f>IF(Y983&lt;($E$13-$D$13)/($F$13-$D$13),$D$13+SQRT(Y983*($F$13-$D$13)*($E$13-$D$13)),$F$13-SQRT((1-Y983)*($F$13-$D$13)*($F$13-$E$13)))</x:f>
        <x:v>0.023538144926425364</x:v>
      </x:c>
      <x:c r="F983" s="260" t="n">
        <x:f>IF(Z983&lt;($E$14-$D$14)/($F$14-$D$14),$D$14+SQRT(Z983*($F$14-$D$14)*($E$14-$D$14)),$F$14-SQRT((1-Z983)*($F$14-$D$14)*($F$14-$E$14)))</x:f>
        <x:v>1.0006270592074065</x:v>
      </x:c>
      <x:c r="G983" s="258" t="n">
        <x:f>IF(AA983&lt;($E$15-$D$15)/($F$15-$D$15),$D$15+SQRT(AA983*($F$15-$D$15)*($E$15-$D$15)),$F$15-SQRT((1-AA983)*($F$15-$D$15)*($F$15-$E$15)))</x:f>
        <x:v>0.09893876286058605</x:v>
      </x:c>
      <x:c r="H983" s="258" t="n">
        <x:f>IF(AB983&lt;($E$16-$D$16)/($F$16-$D$16),$D$16+SQRT(AB983*($F$16-$D$16)*($E$16-$D$16)),$F$16-SQRT((1-AB983)*($F$16-$D$16)*($F$16-$E$16)))</x:f>
        <x:v>0.028302206463924805</x:v>
      </x:c>
      <x:c r="I983" s="262" t="n">
        <x:f>'Historical Inputs'!$N$9*(1+D983)^5</x:f>
        <x:v>714057.7962812657</x:v>
      </x:c>
      <x:c r="J983" s="262" t="n">
        <x:f>I983*(1+H983)*('Terminal Value'!$E$10+E983)*(1-'Assumptions'!$E$15)*(1-H983/'Terminal Value'!$E$12)</x:f>
        <x:v>213585.30463856866</x:v>
      </x:c>
      <x:c r="K983" s="264" t="n">
        <x:f>((SUM((('Historical Inputs'!$N$9*(1+(D983))^1)*(('Assumptions'!E37+(E983))*(1-'Assumptions'!E42-(0))+'Assumptions'!E47-'Assumptions'!E52*(F983)+'Assumptions'!E57-'Assumptions'!E62*(1)-'Assumptions'!E67-(0))+('Working Capital'!$E$6))*'DCF'!E12/(1+(G983))^'DCF'!E13,(('Historical Inputs'!$N$9*(1+(D983))^2)*(('Assumptions'!F37+(E983))*(1-'Assumptions'!F42-(0))+'Assumptions'!F47-'Assumptions'!F52*(F983)+'Assumptions'!F57-'Assumptions'!F62*(1)-'Assumptions'!F67-(0))+(('Historical Inputs'!$N$9*(1+(D983))^1)*('Assumptions'!E67+(0))))*'DCF'!F12/(1+(G983))^'DCF'!F13,(('Historical Inputs'!$N$9*(1+(D983))^3)*(('Assumptions'!G37+(E983))*(1-'Assumptions'!G42-(0))+'Assumptions'!G47-'Assumptions'!G52*(F983)+'Assumptions'!G57-'Assumptions'!G62*(1)-'Assumptions'!G67-(0))+(('Historical Inputs'!$N$9*(1+(D983))^2)*('Assumptions'!F67+(0))))*'DCF'!G12/(1+(G983))^'DCF'!G13,(('Historical Inputs'!$N$9*(1+(D983))^4)*(('Assumptions'!H37+(E983))*(1-'Assumptions'!H42-(0))+'Assumptions'!H47-'Assumptions'!H52*(F983)+'Assumptions'!H57-'Assumptions'!H62*(1)-'Assumptions'!H67-(0))+(('Historical Inputs'!$N$9*(1+(D983))^3)*('Assumptions'!G67+(0))))*'DCF'!H12/(1+(G983))^'DCF'!H13,(('Historical Inputs'!$N$9*(1+(D983))^5)*(('Assumptions'!I37+(E983))*(1-'Assumptions'!I42-(0))+'Assumptions'!I47-'Assumptions'!I52*(F983)+'Assumptions'!I57-'Assumptions'!I62*(1)-'Assumptions'!I67-(0))+(('Historical Inputs'!$N$9*(1+(D983))^4)*('Assumptions'!H67+(0))))*'DCF'!I12/(1+(G983))^'DCF'!I13)+('Historical Inputs'!$N$9*(1+(D983))^5)*(1+(H983))*('Terminal Value'!$E$10+(E983))*(1-'Assumptions'!$E$15-(0))*(1-(H983)/('Terminal Value'!$E$12))/((G983)-(H983))/(1+(G983))^'DCF'!$E$19)+'Equity Bridge'!$E$17)/'Equity Bridge'!$E$20</x:f>
        <x:v>324.63734529791543</x:v>
      </x:c>
      <x:c r="X983" s="255" t="n">
        <x:v>0.8473635158922839</x:v>
      </x:c>
      <x:c r="Y983" s="255" t="n">
        <x:v>0.8599540452130264</x:v>
      </x:c>
      <x:c r="Z983" s="255" t="n">
        <x:v>0.4321490068530428</x:v>
      </x:c>
      <x:c r="AA983" s="255" t="n">
        <x:v>0.5518097217663943</x:v>
      </x:c>
      <x:c r="AB983" s="255" t="n">
        <x:v>0.3446331608481742</x:v>
      </x:c>
    </x:row>
    <x:row r="984" ht="24" customHeight="1">
      <x:c r="C984" s="256" t="n">
        <x:f>953</x:f>
        <x:v>953</x:v>
      </x:c>
      <x:c r="D984" s="258" t="n">
        <x:f>IF(X984&lt;($E$12-$D$12)/($F$12-$D$12),$D$12+SQRT(X984*($F$12-$D$12)*($E$12-$D$12)),$F$12-SQRT((1-X984)*($F$12-$D$12)*($F$12-$E$12)))</x:f>
        <x:v>0.13927993551732581</x:v>
      </x:c>
      <x:c r="E984" s="258" t="n">
        <x:f>IF(Y984&lt;($E$13-$D$13)/($F$13-$D$13),$D$13+SQRT(Y984*($F$13-$D$13)*($E$13-$D$13)),$F$13-SQRT((1-Y984)*($F$13-$D$13)*($F$13-$E$13)))</x:f>
        <x:v>-0.005303725467415699</x:v>
      </x:c>
      <x:c r="F984" s="260" t="n">
        <x:f>IF(Z984&lt;($E$14-$D$14)/($F$14-$D$14),$D$14+SQRT(Z984*($F$14-$D$14)*($E$14-$D$14)),$F$14-SQRT((1-Z984)*($F$14-$D$14)*($F$14-$E$14)))</x:f>
        <x:v>0.8950448975031767</x:v>
      </x:c>
      <x:c r="G984" s="258" t="n">
        <x:f>IF(AA984&lt;($E$15-$D$15)/($F$15-$D$15),$D$15+SQRT(AA984*($F$15-$D$15)*($E$15-$D$15)),$F$15-SQRT((1-AA984)*($F$15-$D$15)*($F$15-$E$15)))</x:f>
        <x:v>0.09597619993935495</x:v>
      </x:c>
      <x:c r="H984" s="258" t="n">
        <x:f>IF(AB984&lt;($E$16-$D$16)/($F$16-$D$16),$D$16+SQRT(AB984*($F$16-$D$16)*($E$16-$D$16)),$F$16-SQRT((1-AB984)*($F$16-$D$16)*($F$16-$E$16)))</x:f>
        <x:v>0.03383979205662837</x:v>
      </x:c>
      <x:c r="I984" s="262" t="n">
        <x:f>'Historical Inputs'!$N$9*(1+D984)^5</x:f>
        <x:v>636912.3501244027</x:v>
      </x:c>
      <x:c r="J984" s="262" t="n">
        <x:f>I984*(1+H984)*('Terminal Value'!$E$10+E984)*(1-'Assumptions'!$E$15)*(1-H984/'Terminal Value'!$E$12)</x:f>
        <x:v>172736.04024163014</x:v>
      </x:c>
      <x:c r="K984" s="264" t="n">
        <x:f>((SUM((('Historical Inputs'!$N$9*(1+(D984))^1)*(('Assumptions'!E37+(E984))*(1-'Assumptions'!E42-(0))+'Assumptions'!E47-'Assumptions'!E52*(F984)+'Assumptions'!E57-'Assumptions'!E62*(1)-'Assumptions'!E67-(0))+('Working Capital'!$E$6))*'DCF'!E12/(1+(G984))^'DCF'!E13,(('Historical Inputs'!$N$9*(1+(D984))^2)*(('Assumptions'!F37+(E984))*(1-'Assumptions'!F42-(0))+'Assumptions'!F47-'Assumptions'!F52*(F984)+'Assumptions'!F57-'Assumptions'!F62*(1)-'Assumptions'!F67-(0))+(('Historical Inputs'!$N$9*(1+(D984))^1)*('Assumptions'!E67+(0))))*'DCF'!F12/(1+(G984))^'DCF'!F13,(('Historical Inputs'!$N$9*(1+(D984))^3)*(('Assumptions'!G37+(E984))*(1-'Assumptions'!G42-(0))+'Assumptions'!G47-'Assumptions'!G52*(F984)+'Assumptions'!G57-'Assumptions'!G62*(1)-'Assumptions'!G67-(0))+(('Historical Inputs'!$N$9*(1+(D984))^2)*('Assumptions'!F67+(0))))*'DCF'!G12/(1+(G984))^'DCF'!G13,(('Historical Inputs'!$N$9*(1+(D984))^4)*(('Assumptions'!H37+(E984))*(1-'Assumptions'!H42-(0))+'Assumptions'!H47-'Assumptions'!H52*(F984)+'Assumptions'!H57-'Assumptions'!H62*(1)-'Assumptions'!H67-(0))+(('Historical Inputs'!$N$9*(1+(D984))^3)*('Assumptions'!G67+(0))))*'DCF'!H12/(1+(G984))^'DCF'!H13,(('Historical Inputs'!$N$9*(1+(D984))^5)*(('Assumptions'!I37+(E984))*(1-'Assumptions'!I42-(0))+'Assumptions'!I47-'Assumptions'!I52*(F984)+'Assumptions'!I57-'Assumptions'!I62*(1)-'Assumptions'!I67-(0))+(('Historical Inputs'!$N$9*(1+(D984))^4)*('Assumptions'!H67+(0))))*'DCF'!I12/(1+(G984))^'DCF'!I13)+('Historical Inputs'!$N$9*(1+(D984))^5)*(1+(H984))*('Terminal Value'!$E$10+(E984))*(1-'Assumptions'!$E$15-(0))*(1-(H984)/('Terminal Value'!$E$12))/((G984)-(H984))/(1+(G984))^'DCF'!$E$19)+'Equity Bridge'!$E$17)/'Equity Bridge'!$E$20</x:f>
        <x:v>302.8503947347232</x:v>
      </x:c>
      <x:c r="X984" s="255" t="n">
        <x:v>0.42362171692678896</x:v>
      </x:c>
      <x:c r="Y984" s="255" t="n">
        <x:v>0.3995513914184289</x:v>
      </x:c>
      <x:c r="Z984" s="255" t="n">
        <x:v>0.03864843411565144</x:v>
      </x:c>
      <x:c r="AA984" s="255" t="n">
        <x:v>0.36613010762793907</x:v>
      </x:c>
      <x:c r="AB984" s="255" t="n">
        <x:v>0.8102591904721054</x:v>
      </x:c>
    </x:row>
    <x:row r="985" ht="24" customHeight="1">
      <x:c r="C985" s="256" t="n">
        <x:f>954</x:f>
        <x:v>954</x:v>
      </x:c>
      <x:c r="D985" s="258" t="n">
        <x:f>IF(X985&lt;($E$12-$D$12)/($F$12-$D$12),$D$12+SQRT(X985*($F$12-$D$12)*($E$12-$D$12)),$F$12-SQRT((1-X985)*($F$12-$D$12)*($F$12-$E$12)))</x:f>
        <x:v>0.1322792362630801</x:v>
      </x:c>
      <x:c r="E985" s="258" t="n">
        <x:f>IF(Y985&lt;($E$13-$D$13)/($F$13-$D$13),$D$13+SQRT(Y985*($F$13-$D$13)*($E$13-$D$13)),$F$13-SQRT((1-Y985)*($F$13-$D$13)*($F$13-$E$13)))</x:f>
        <x:v>0.022812465356397665</x:v>
      </x:c>
      <x:c r="F985" s="260" t="n">
        <x:f>IF(Z985&lt;($E$14-$D$14)/($F$14-$D$14),$D$14+SQRT(Z985*($F$14-$D$14)*($E$14-$D$14)),$F$14-SQRT((1-Z985)*($F$14-$D$14)*($F$14-$E$14)))</x:f>
        <x:v>0.955642609932108</x:v>
      </x:c>
      <x:c r="G985" s="258" t="n">
        <x:f>IF(AA985&lt;($E$15-$D$15)/($F$15-$D$15),$D$15+SQRT(AA985*($F$15-$D$15)*($E$15-$D$15)),$F$15-SQRT((1-AA985)*($F$15-$D$15)*($F$15-$E$15)))</x:f>
        <x:v>0.10013567467987156</x:v>
      </x:c>
      <x:c r="H985" s="258" t="n">
        <x:f>IF(AB985&lt;($E$16-$D$16)/($F$16-$D$16),$D$16+SQRT(AB985*($F$16-$D$16)*($E$16-$D$16)),$F$16-SQRT((1-AB985)*($F$16-$D$16)*($F$16-$E$16)))</x:f>
        <x:v>0.027863816500454785</x:v>
      </x:c>
      <x:c r="I985" s="262" t="n">
        <x:f>'Historical Inputs'!$N$9*(1+D985)^5</x:f>
        <x:v>617582.7292762969</x:v>
      </x:c>
      <x:c r="J985" s="262" t="n">
        <x:f>I985*(1+H985)*('Terminal Value'!$E$10+E985)*(1-'Assumptions'!$E$15)*(1-H985/'Terminal Value'!$E$12)</x:f>
        <x:v>184803.7009423075</x:v>
      </x:c>
      <x:c r="K985" s="264" t="n">
        <x:f>((SUM((('Historical Inputs'!$N$9*(1+(D985))^1)*(('Assumptions'!E37+(E985))*(1-'Assumptions'!E42-(0))+'Assumptions'!E47-'Assumptions'!E52*(F985)+'Assumptions'!E57-'Assumptions'!E62*(1)-'Assumptions'!E67-(0))+('Working Capital'!$E$6))*'DCF'!E12/(1+(G985))^'DCF'!E13,(('Historical Inputs'!$N$9*(1+(D985))^2)*(('Assumptions'!F37+(E985))*(1-'Assumptions'!F42-(0))+'Assumptions'!F47-'Assumptions'!F52*(F985)+'Assumptions'!F57-'Assumptions'!F62*(1)-'Assumptions'!F67-(0))+(('Historical Inputs'!$N$9*(1+(D985))^1)*('Assumptions'!E67+(0))))*'DCF'!F12/(1+(G985))^'DCF'!F13,(('Historical Inputs'!$N$9*(1+(D985))^3)*(('Assumptions'!G37+(E985))*(1-'Assumptions'!G42-(0))+'Assumptions'!G47-'Assumptions'!G52*(F985)+'Assumptions'!G57-'Assumptions'!G62*(1)-'Assumptions'!G67-(0))+(('Historical Inputs'!$N$9*(1+(D985))^2)*('Assumptions'!F67+(0))))*'DCF'!G12/(1+(G985))^'DCF'!G13,(('Historical Inputs'!$N$9*(1+(D985))^4)*(('Assumptions'!H37+(E985))*(1-'Assumptions'!H42-(0))+'Assumptions'!H47-'Assumptions'!H52*(F985)+'Assumptions'!H57-'Assumptions'!H62*(1)-'Assumptions'!H67-(0))+(('Historical Inputs'!$N$9*(1+(D985))^3)*('Assumptions'!G67+(0))))*'DCF'!H12/(1+(G985))^'DCF'!H13,(('Historical Inputs'!$N$9*(1+(D985))^5)*(('Assumptions'!I37+(E985))*(1-'Assumptions'!I42-(0))+'Assumptions'!I47-'Assumptions'!I52*(F985)+'Assumptions'!I57-'Assumptions'!I62*(1)-'Assumptions'!I67-(0))+(('Historical Inputs'!$N$9*(1+(D985))^4)*('Assumptions'!H67+(0))))*'DCF'!I12/(1+(G985))^'DCF'!I13)+('Historical Inputs'!$N$9*(1+(D985))^5)*(1+(H985))*('Terminal Value'!$E$10+(E985))*(1-'Assumptions'!$E$15-(0))*(1-(H985)/('Terminal Value'!$E$12))/((G985)-(H985))/(1+(G985))^'DCF'!$E$19)+'Equity Bridge'!$E$17)/'Equity Bridge'!$E$20</x:f>
        <x:v>279.38338328470877</x:v>
      </x:c>
      <x:c r="X985" s="255" t="n">
        <x:v>0.30454664391379715</x:v>
      </x:c>
      <x:c r="Y985" s="255" t="n">
        <x:v>0.8521675920005846</x:v>
      </x:c>
      <x:c r="Z985" s="255" t="n">
        <x:v>0.2125783053955721</x:v>
      </x:c>
      <x:c r="AA985" s="255" t="n">
        <x:v>0.6241731512680054</x:v>
      </x:c>
      <x:c r="AB985" s="255" t="n">
        <x:v>0.3091980497641248</x:v>
      </x:c>
    </x:row>
    <x:row r="986" ht="24" customHeight="1">
      <x:c r="C986" s="256" t="n">
        <x:f>955</x:f>
        <x:v>955</x:v>
      </x:c>
      <x:c r="D986" s="258" t="n">
        <x:f>IF(X986&lt;($E$12-$D$12)/($F$12-$D$12),$D$12+SQRT(X986*($F$12-$D$12)*($E$12-$D$12)),$F$12-SQRT((1-X986)*($F$12-$D$12)*($F$12-$E$12)))</x:f>
        <x:v>0.14523958996970457</x:v>
      </x:c>
      <x:c r="E986" s="258" t="n">
        <x:f>IF(Y986&lt;($E$13-$D$13)/($F$13-$D$13),$D$13+SQRT(Y986*($F$13-$D$13)*($E$13-$D$13)),$F$13-SQRT((1-Y986)*($F$13-$D$13)*($F$13-$E$13)))</x:f>
        <x:v>0.02601389521620509</x:v>
      </x:c>
      <x:c r="F986" s="260" t="n">
        <x:f>IF(Z986&lt;($E$14-$D$14)/($F$14-$D$14),$D$14+SQRT(Z986*($F$14-$D$14)*($E$14-$D$14)),$F$14-SQRT((1-Z986)*($F$14-$D$14)*($F$14-$E$14)))</x:f>
        <x:v>1.1534058862316674</x:v>
      </x:c>
      <x:c r="G986" s="258" t="n">
        <x:f>IF(AA986&lt;($E$15-$D$15)/($F$15-$D$15),$D$15+SQRT(AA986*($F$15-$D$15)*($E$15-$D$15)),$F$15-SQRT((1-AA986)*($F$15-$D$15)*($F$15-$E$15)))</x:f>
        <x:v>0.10594811479549253</x:v>
      </x:c>
      <x:c r="H986" s="258" t="n">
        <x:f>IF(AB986&lt;($E$16-$D$16)/($F$16-$D$16),$D$16+SQRT(AB986*($F$16-$D$16)*($E$16-$D$16)),$F$16-SQRT((1-AB986)*($F$16-$D$16)*($F$16-$E$16)))</x:f>
        <x:v>0.033773413143183724</x:v>
      </x:c>
      <x:c r="I986" s="262" t="n">
        <x:f>'Historical Inputs'!$N$9*(1+D986)^5</x:f>
        <x:v>653746.2188188296</x:v>
      </x:c>
      <x:c r="J986" s="262" t="n">
        <x:f>I986*(1+H986)*('Terminal Value'!$E$10+E986)*(1-'Assumptions'!$E$15)*(1-H986/'Terminal Value'!$E$12)</x:f>
        <x:v>191433.8757848261</x:v>
      </x:c>
      <x:c r="K986" s="264" t="n">
        <x:f>((SUM((('Historical Inputs'!$N$9*(1+(D986))^1)*(('Assumptions'!E37+(E986))*(1-'Assumptions'!E42-(0))+'Assumptions'!E47-'Assumptions'!E52*(F986)+'Assumptions'!E57-'Assumptions'!E62*(1)-'Assumptions'!E67-(0))+('Working Capital'!$E$6))*'DCF'!E12/(1+(G986))^'DCF'!E13,(('Historical Inputs'!$N$9*(1+(D986))^2)*(('Assumptions'!F37+(E986))*(1-'Assumptions'!F42-(0))+'Assumptions'!F47-'Assumptions'!F52*(F986)+'Assumptions'!F57-'Assumptions'!F62*(1)-'Assumptions'!F67-(0))+(('Historical Inputs'!$N$9*(1+(D986))^1)*('Assumptions'!E67+(0))))*'DCF'!F12/(1+(G986))^'DCF'!F13,(('Historical Inputs'!$N$9*(1+(D986))^3)*(('Assumptions'!G37+(E986))*(1-'Assumptions'!G42-(0))+'Assumptions'!G47-'Assumptions'!G52*(F986)+'Assumptions'!G57-'Assumptions'!G62*(1)-'Assumptions'!G67-(0))+(('Historical Inputs'!$N$9*(1+(D986))^2)*('Assumptions'!F67+(0))))*'DCF'!G12/(1+(G986))^'DCF'!G13,(('Historical Inputs'!$N$9*(1+(D986))^4)*(('Assumptions'!H37+(E986))*(1-'Assumptions'!H42-(0))+'Assumptions'!H47-'Assumptions'!H52*(F986)+'Assumptions'!H57-'Assumptions'!H62*(1)-'Assumptions'!H67-(0))+(('Historical Inputs'!$N$9*(1+(D986))^3)*('Assumptions'!G67+(0))))*'DCF'!H12/(1+(G986))^'DCF'!H13,(('Historical Inputs'!$N$9*(1+(D986))^5)*(('Assumptions'!I37+(E986))*(1-'Assumptions'!I42-(0))+'Assumptions'!I47-'Assumptions'!I52*(F986)+'Assumptions'!I57-'Assumptions'!I62*(1)-'Assumptions'!I67-(0))+(('Historical Inputs'!$N$9*(1+(D986))^4)*('Assumptions'!H67+(0))))*'DCF'!I12/(1+(G986))^'DCF'!I13)+('Historical Inputs'!$N$9*(1+(D986))^5)*(1+(H986))*('Terminal Value'!$E$10+(E986))*(1-'Assumptions'!$E$15-(0))*(1-(H986)/('Terminal Value'!$E$12))/((G986)-(H986))/(1+(G986))^'DCF'!$E$19)+'Equity Bridge'!$E$17)/'Equity Bridge'!$E$20</x:f>
        <x:v>271.75665871367255</x:v>
      </x:c>
      <x:c r="X986" s="255" t="n">
        <x:v>0.5388652475841031</x:v>
      </x:c>
      <x:c r="Y986" s="255" t="n">
        <x:v>0.8849333554601622</x:v>
      </x:c>
      <x:c r="Z986" s="255" t="n">
        <x:v>0.9689855508877668</x:v>
      </x:c>
      <x:c r="AA986" s="255" t="n">
        <x:v>0.8850477228254976</x:v>
      </x:c>
      <x:c r="AB986" s="255" t="n">
        <x:v>0.8061480805726141</x:v>
      </x:c>
    </x:row>
    <x:row r="987" ht="24" customHeight="1">
      <x:c r="C987" s="256" t="n">
        <x:f>956</x:f>
        <x:v>956</x:v>
      </x:c>
      <x:c r="D987" s="258" t="n">
        <x:f>IF(X987&lt;($E$12-$D$12)/($F$12-$D$12),$D$12+SQRT(X987*($F$12-$D$12)*($E$12-$D$12)),$F$12-SQRT((1-X987)*($F$12-$D$12)*($F$12-$E$12)))</x:f>
        <x:v>0.13006574836233306</x:v>
      </x:c>
      <x:c r="E987" s="258" t="n">
        <x:f>IF(Y987&lt;($E$13-$D$13)/($F$13-$D$13),$D$13+SQRT(Y987*($F$13-$D$13)*($E$13-$D$13)),$F$13-SQRT((1-Y987)*($F$13-$D$13)*($F$13-$E$13)))</x:f>
        <x:v>-0.0018531456792637985</x:v>
      </x:c>
      <x:c r="F987" s="260" t="n">
        <x:f>IF(Z987&lt;($E$14-$D$14)/($F$14-$D$14),$D$14+SQRT(Z987*($F$14-$D$14)*($E$14-$D$14)),$F$14-SQRT((1-Z987)*($F$14-$D$14)*($F$14-$E$14)))</x:f>
        <x:v>1.0985902484654273</x:v>
      </x:c>
      <x:c r="G987" s="258" t="n">
        <x:f>IF(AA987&lt;($E$15-$D$15)/($F$15-$D$15),$D$15+SQRT(AA987*($F$15-$D$15)*($E$15-$D$15)),$F$15-SQRT((1-AA987)*($F$15-$D$15)*($F$15-$E$15)))</x:f>
        <x:v>0.1023974060590301</x:v>
      </x:c>
      <x:c r="H987" s="258" t="n">
        <x:f>IF(AB987&lt;($E$16-$D$16)/($F$16-$D$16),$D$16+SQRT(AB987*($F$16-$D$16)*($E$16-$D$16)),$F$16-SQRT((1-AB987)*($F$16-$D$16)*($F$16-$E$16)))</x:f>
        <x:v>0.0219599148688524</x:v>
      </x:c>
      <x:c r="I987" s="262" t="n">
        <x:f>'Historical Inputs'!$N$9*(1+D987)^5</x:f>
        <x:v>611569.735476036</x:v>
      </x:c>
      <x:c r="J987" s="262" t="n">
        <x:f>I987*(1+H987)*('Terminal Value'!$E$10+E987)*(1-'Assumptions'!$E$15)*(1-H987/'Terminal Value'!$E$12)</x:f>
        <x:v>177215.18007079954</x:v>
      </x:c>
      <x:c r="K987" s="264" t="n">
        <x:f>((SUM((('Historical Inputs'!$N$9*(1+(D987))^1)*(('Assumptions'!E37+(E987))*(1-'Assumptions'!E42-(0))+'Assumptions'!E47-'Assumptions'!E52*(F987)+'Assumptions'!E57-'Assumptions'!E62*(1)-'Assumptions'!E67-(0))+('Working Capital'!$E$6))*'DCF'!E12/(1+(G987))^'DCF'!E13,(('Historical Inputs'!$N$9*(1+(D987))^2)*(('Assumptions'!F37+(E987))*(1-'Assumptions'!F42-(0))+'Assumptions'!F47-'Assumptions'!F52*(F987)+'Assumptions'!F57-'Assumptions'!F62*(1)-'Assumptions'!F67-(0))+(('Historical Inputs'!$N$9*(1+(D987))^1)*('Assumptions'!E67+(0))))*'DCF'!F12/(1+(G987))^'DCF'!F13,(('Historical Inputs'!$N$9*(1+(D987))^3)*(('Assumptions'!G37+(E987))*(1-'Assumptions'!G42-(0))+'Assumptions'!G47-'Assumptions'!G52*(F987)+'Assumptions'!G57-'Assumptions'!G62*(1)-'Assumptions'!G67-(0))+(('Historical Inputs'!$N$9*(1+(D987))^2)*('Assumptions'!F67+(0))))*'DCF'!G12/(1+(G987))^'DCF'!G13,(('Historical Inputs'!$N$9*(1+(D987))^4)*(('Assumptions'!H37+(E987))*(1-'Assumptions'!H42-(0))+'Assumptions'!H47-'Assumptions'!H52*(F987)+'Assumptions'!H57-'Assumptions'!H62*(1)-'Assumptions'!H67-(0))+(('Historical Inputs'!$N$9*(1+(D987))^3)*('Assumptions'!G67+(0))))*'DCF'!H12/(1+(G987))^'DCF'!H13,(('Historical Inputs'!$N$9*(1+(D987))^5)*(('Assumptions'!I37+(E987))*(1-'Assumptions'!I42-(0))+'Assumptions'!I47-'Assumptions'!I52*(F987)+'Assumptions'!I57-'Assumptions'!I62*(1)-'Assumptions'!I67-(0))+(('Historical Inputs'!$N$9*(1+(D987))^4)*('Assumptions'!H67+(0))))*'DCF'!I12/(1+(G987))^'DCF'!I13)+('Historical Inputs'!$N$9*(1+(D987))^5)*(1+(H987))*('Terminal Value'!$E$10+(E987))*(1-'Assumptions'!$E$15-(0))*(1-(H987)/('Terminal Value'!$E$12))/((G987)-(H987))/(1+(G987))^'DCF'!$E$19)+'Equity Bridge'!$E$17)/'Equity Bridge'!$E$20</x:f>
        <x:v>232.9941836868051</x:v>
      </x:c>
      <x:c r="X987" s="255" t="n">
        <x:v>0.27097646984446533</x:v>
      </x:c>
      <x:c r="Y987" s="255" t="n">
        <x:v>0.46362391619643895</x:v>
      </x:c>
      <x:c r="Z987" s="255" t="n">
        <x:v>0.8530866041956606</x:v>
      </x:c>
      <x:c r="AA987" s="255" t="n">
        <x:v>0.7435305355466163</x:v>
      </x:c>
      <x:c r="AB987" s="255" t="n">
        <x:v>0.019206331465743687</x:v>
      </x:c>
    </x:row>
    <x:row r="988" ht="24" customHeight="1">
      <x:c r="C988" s="256" t="n">
        <x:f>957</x:f>
        <x:v>957</x:v>
      </x:c>
      <x:c r="D988" s="258" t="n">
        <x:f>IF(X988&lt;($E$12-$D$12)/($F$12-$D$12),$D$12+SQRT(X988*($F$12-$D$12)*($E$12-$D$12)),$F$12-SQRT((1-X988)*($F$12-$D$12)*($F$12-$E$12)))</x:f>
        <x:v>0.14983176958290612</x:v>
      </x:c>
      <x:c r="E988" s="258" t="n">
        <x:f>IF(Y988&lt;($E$13-$D$13)/($F$13-$D$13),$D$13+SQRT(Y988*($F$13-$D$13)*($E$13-$D$13)),$F$13-SQRT((1-Y988)*($F$13-$D$13)*($F$13-$E$13)))</x:f>
        <x:v>0.007409006896851776</x:v>
      </x:c>
      <x:c r="F988" s="260" t="n">
        <x:f>IF(Z988&lt;($E$14-$D$14)/($F$14-$D$14),$D$14+SQRT(Z988*($F$14-$D$14)*($E$14-$D$14)),$F$14-SQRT((1-Z988)*($F$14-$D$14)*($F$14-$E$14)))</x:f>
        <x:v>0.9882016574671377</x:v>
      </x:c>
      <x:c r="G988" s="258" t="n">
        <x:f>IF(AA988&lt;($E$15-$D$15)/($F$15-$D$15),$D$15+SQRT(AA988*($F$15-$D$15)*($E$15-$D$15)),$F$15-SQRT((1-AA988)*($F$15-$D$15)*($F$15-$E$15)))</x:f>
        <x:v>0.10473629933421397</x:v>
      </x:c>
      <x:c r="H988" s="258" t="n">
        <x:f>IF(AB988&lt;($E$16-$D$16)/($F$16-$D$16),$D$16+SQRT(AB988*($F$16-$D$16)*($E$16-$D$16)),$F$16-SQRT((1-AB988)*($F$16-$D$16)*($F$16-$E$16)))</x:f>
        <x:v>0.027314947223690406</x:v>
      </x:c>
      <x:c r="I988" s="262" t="n">
        <x:f>'Historical Inputs'!$N$9*(1+D988)^5</x:f>
        <x:v>666958.7055708554</x:v>
      </x:c>
      <x:c r="J988" s="262" t="n">
        <x:f>I988*(1+H988)*('Terminal Value'!$E$10+E988)*(1-'Assumptions'!$E$15)*(1-H988/'Terminal Value'!$E$12)</x:f>
        <x:v>192818.15266670316</x:v>
      </x:c>
      <x:c r="K988" s="264" t="n">
        <x:f>((SUM((('Historical Inputs'!$N$9*(1+(D988))^1)*(('Assumptions'!E37+(E988))*(1-'Assumptions'!E42-(0))+'Assumptions'!E47-'Assumptions'!E52*(F988)+'Assumptions'!E57-'Assumptions'!E62*(1)-'Assumptions'!E67-(0))+('Working Capital'!$E$6))*'DCF'!E12/(1+(G988))^'DCF'!E13,(('Historical Inputs'!$N$9*(1+(D988))^2)*(('Assumptions'!F37+(E988))*(1-'Assumptions'!F42-(0))+'Assumptions'!F47-'Assumptions'!F52*(F988)+'Assumptions'!F57-'Assumptions'!F62*(1)-'Assumptions'!F67-(0))+(('Historical Inputs'!$N$9*(1+(D988))^1)*('Assumptions'!E67+(0))))*'DCF'!F12/(1+(G988))^'DCF'!F13,(('Historical Inputs'!$N$9*(1+(D988))^3)*(('Assumptions'!G37+(E988))*(1-'Assumptions'!G42-(0))+'Assumptions'!G47-'Assumptions'!G52*(F988)+'Assumptions'!G57-'Assumptions'!G62*(1)-'Assumptions'!G67-(0))+(('Historical Inputs'!$N$9*(1+(D988))^2)*('Assumptions'!F67+(0))))*'DCF'!G12/(1+(G988))^'DCF'!G13,(('Historical Inputs'!$N$9*(1+(D988))^4)*(('Assumptions'!H37+(E988))*(1-'Assumptions'!H42-(0))+'Assumptions'!H47-'Assumptions'!H52*(F988)+'Assumptions'!H57-'Assumptions'!H62*(1)-'Assumptions'!H67-(0))+(('Historical Inputs'!$N$9*(1+(D988))^3)*('Assumptions'!G67+(0))))*'DCF'!H12/(1+(G988))^'DCF'!H13,(('Historical Inputs'!$N$9*(1+(D988))^5)*(('Assumptions'!I37+(E988))*(1-'Assumptions'!I42-(0))+'Assumptions'!I47-'Assumptions'!I52*(F988)+'Assumptions'!I57-'Assumptions'!I62*(1)-'Assumptions'!I67-(0))+(('Historical Inputs'!$N$9*(1+(D988))^4)*('Assumptions'!H67+(0))))*'DCF'!I12/(1+(G988))^'DCF'!I13)+('Historical Inputs'!$N$9*(1+(D988))^5)*(1+(H988))*('Terminal Value'!$E$10+(E988))*(1-'Assumptions'!$E$15-(0))*(1-(H988)/('Terminal Value'!$E$12))/((G988)-(H988))/(1+(G988))^'DCF'!$E$19)+'Equity Bridge'!$E$17)/'Equity Bridge'!$E$20</x:f>
        <x:v>266.97207342465333</x:v>
      </x:c>
      <x:c r="X988" s="255" t="n">
        <x:v>0.6228494935237371</x:v>
      </x:c>
      <x:c r="Y988" s="255" t="n">
        <x:v>0.6372014612975161</x:v>
      </x:c>
      <x:c r="Z988" s="255" t="n">
        <x:v>0.3638037738412204</x:v>
      </x:c>
      <x:c r="AA988" s="255" t="n">
        <x:v>0.8430480181355643</x:v>
      </x:c>
      <x:c r="AB988" s="255" t="n">
        <x:v>0.2675422644268801</x:v>
      </x:c>
    </x:row>
    <x:row r="989" ht="24" customHeight="1">
      <x:c r="C989" s="256" t="n">
        <x:f>958</x:f>
        <x:v>958</x:v>
      </x:c>
      <x:c r="D989" s="258" t="n">
        <x:f>IF(X989&lt;($E$12-$D$12)/($F$12-$D$12),$D$12+SQRT(X989*($F$12-$D$12)*($E$12-$D$12)),$F$12-SQRT((1-X989)*($F$12-$D$12)*($F$12-$E$12)))</x:f>
        <x:v>0.13565736004903906</x:v>
      </x:c>
      <x:c r="E989" s="258" t="n">
        <x:f>IF(Y989&lt;($E$13-$D$13)/($F$13-$D$13),$D$13+SQRT(Y989*($F$13-$D$13)*($E$13-$D$13)),$F$13-SQRT((1-Y989)*($F$13-$D$13)*($F$13-$E$13)))</x:f>
        <x:v>-0.010038629920876764</x:v>
      </x:c>
      <x:c r="F989" s="260" t="n">
        <x:f>IF(Z989&lt;($E$14-$D$14)/($F$14-$D$14),$D$14+SQRT(Z989*($F$14-$D$14)*($E$14-$D$14)),$F$14-SQRT((1-Z989)*($F$14-$D$14)*($F$14-$E$14)))</x:f>
        <x:v>1.1242170177559698</x:v>
      </x:c>
      <x:c r="G989" s="258" t="n">
        <x:f>IF(AA989&lt;($E$15-$D$15)/($F$15-$D$15),$D$15+SQRT(AA989*($F$15-$D$15)*($E$15-$D$15)),$F$15-SQRT((1-AA989)*($F$15-$D$15)*($F$15-$E$15)))</x:f>
        <x:v>0.09136110566804558</x:v>
      </x:c>
      <x:c r="H989" s="258" t="n">
        <x:f>IF(AB989&lt;($E$16-$D$16)/($F$16-$D$16),$D$16+SQRT(AB989*($F$16-$D$16)*($E$16-$D$16)),$F$16-SQRT((1-AB989)*($F$16-$D$16)*($F$16-$E$16)))</x:f>
        <x:v>0.026433969622291918</x:v>
      </x:c>
      <x:c r="I989" s="262" t="n">
        <x:f>'Historical Inputs'!$N$9*(1+D989)^5</x:f>
        <x:v>626850.5701901539</x:v>
      </x:c>
      <x:c r="J989" s="262" t="n">
        <x:f>I989*(1+H989)*('Terminal Value'!$E$10+E989)*(1-'Assumptions'!$E$15)*(1-H989/'Terminal Value'!$E$12)</x:f>
        <x:v>174197.27278844637</x:v>
      </x:c>
      <x:c r="K989" s="264" t="n">
        <x:f>((SUM((('Historical Inputs'!$N$9*(1+(D989))^1)*(('Assumptions'!E37+(E989))*(1-'Assumptions'!E42-(0))+'Assumptions'!E47-'Assumptions'!E52*(F989)+'Assumptions'!E57-'Assumptions'!E62*(1)-'Assumptions'!E67-(0))+('Working Capital'!$E$6))*'DCF'!E12/(1+(G989))^'DCF'!E13,(('Historical Inputs'!$N$9*(1+(D989))^2)*(('Assumptions'!F37+(E989))*(1-'Assumptions'!F42-(0))+'Assumptions'!F47-'Assumptions'!F52*(F989)+'Assumptions'!F57-'Assumptions'!F62*(1)-'Assumptions'!F67-(0))+(('Historical Inputs'!$N$9*(1+(D989))^1)*('Assumptions'!E67+(0))))*'DCF'!F12/(1+(G989))^'DCF'!F13,(('Historical Inputs'!$N$9*(1+(D989))^3)*(('Assumptions'!G37+(E989))*(1-'Assumptions'!G42-(0))+'Assumptions'!G47-'Assumptions'!G52*(F989)+'Assumptions'!G57-'Assumptions'!G62*(1)-'Assumptions'!G67-(0))+(('Historical Inputs'!$N$9*(1+(D989))^2)*('Assumptions'!F67+(0))))*'DCF'!G12/(1+(G989))^'DCF'!G13,(('Historical Inputs'!$N$9*(1+(D989))^4)*(('Assumptions'!H37+(E989))*(1-'Assumptions'!H42-(0))+'Assumptions'!H47-'Assumptions'!H52*(F989)+'Assumptions'!H57-'Assumptions'!H62*(1)-'Assumptions'!H67-(0))+(('Historical Inputs'!$N$9*(1+(D989))^3)*('Assumptions'!G67+(0))))*'DCF'!H12/(1+(G989))^'DCF'!H13,(('Historical Inputs'!$N$9*(1+(D989))^5)*(('Assumptions'!I37+(E989))*(1-'Assumptions'!I42-(0))+'Assumptions'!I47-'Assumptions'!I52*(F989)+'Assumptions'!I57-'Assumptions'!I62*(1)-'Assumptions'!I67-(0))+(('Historical Inputs'!$N$9*(1+(D989))^4)*('Assumptions'!H67+(0))))*'DCF'!I12/(1+(G989))^'DCF'!I13)+('Historical Inputs'!$N$9*(1+(D989))^5)*(1+(H989))*('Terminal Value'!$E$10+(E989))*(1-'Assumptions'!$E$15-(0))*(1-(H989)/('Terminal Value'!$E$12))/((G989)-(H989))/(1+(G989))^'DCF'!$E$19)+'Equity Bridge'!$E$17)/'Equity Bridge'!$E$20</x:f>
        <x:v>283.69468383010104</x:v>
      </x:c>
      <x:c r="X989" s="255" t="n">
        <x:v>0.3595577362846484</x:v>
      </x:c>
      <x:c r="Y989" s="255" t="n">
        <x:v>0.31938221972012915</x:v>
      </x:c>
      <x:c r="Z989" s="255" t="n">
        <x:v>0.9179562800314429</x:v>
      </x:c>
      <x:c r="AA989" s="255" t="n">
        <x:v>0.15017890351210605</x:v>
      </x:c>
      <x:c r="AB989" s="255" t="n">
        <x:v>0.2069798255028762</x:v>
      </x:c>
    </x:row>
    <x:row r="990" ht="24" customHeight="1">
      <x:c r="C990" s="256" t="n">
        <x:f>959</x:f>
        <x:v>959</x:v>
      </x:c>
      <x:c r="D990" s="258" t="n">
        <x:f>IF(X990&lt;($E$12-$D$12)/($F$12-$D$12),$D$12+SQRT(X990*($F$12-$D$12)*($E$12-$D$12)),$F$12-SQRT((1-X990)*($F$12-$D$12)*($F$12-$E$12)))</x:f>
        <x:v>0.17906523918630396</x:v>
      </x:c>
      <x:c r="E990" s="258" t="n">
        <x:f>IF(Y990&lt;($E$13-$D$13)/($F$13-$D$13),$D$13+SQRT(Y990*($F$13-$D$13)*($E$13-$D$13)),$F$13-SQRT((1-Y990)*($F$13-$D$13)*($F$13-$E$13)))</x:f>
        <x:v>-0.0042958412358887615</x:v>
      </x:c>
      <x:c r="F990" s="260" t="n">
        <x:f>IF(Z990&lt;($E$14-$D$14)/($F$14-$D$14),$D$14+SQRT(Z990*($F$14-$D$14)*($E$14-$D$14)),$F$14-SQRT((1-Z990)*($F$14-$D$14)*($F$14-$E$14)))</x:f>
        <x:v>0.9172071902182132</x:v>
      </x:c>
      <x:c r="G990" s="258" t="n">
        <x:f>IF(AA990&lt;($E$15-$D$15)/($F$15-$D$15),$D$15+SQRT(AA990*($F$15-$D$15)*($E$15-$D$15)),$F$15-SQRT((1-AA990)*($F$15-$D$15)*($F$15-$E$15)))</x:f>
        <x:v>0.108687467180763</x:v>
      </x:c>
      <x:c r="H990" s="258" t="n">
        <x:f>IF(AB990&lt;($E$16-$D$16)/($F$16-$D$16),$D$16+SQRT(AB990*($F$16-$D$16)*($E$16-$D$16)),$F$16-SQRT((1-AB990)*($F$16-$D$16)*($F$16-$E$16)))</x:f>
        <x:v>0.028295763269074535</x:v>
      </x:c>
      <x:c r="I990" s="262" t="n">
        <x:f>'Historical Inputs'!$N$9*(1+D990)^5</x:f>
        <x:v>756165.0582410826</x:v>
      </x:c>
      <x:c r="J990" s="262" t="n">
        <x:f>I990*(1+H990)*('Terminal Value'!$E$10+E990)*(1-'Assumptions'!$E$15)*(1-H990/'Terminal Value'!$E$12)</x:f>
        <x:v>211322.75739526073</x:v>
      </x:c>
      <x:c r="K990" s="264" t="n">
        <x:f>((SUM((('Historical Inputs'!$N$9*(1+(D990))^1)*(('Assumptions'!E37+(E990))*(1-'Assumptions'!E42-(0))+'Assumptions'!E47-'Assumptions'!E52*(F990)+'Assumptions'!E57-'Assumptions'!E62*(1)-'Assumptions'!E67-(0))+('Working Capital'!$E$6))*'DCF'!E12/(1+(G990))^'DCF'!E13,(('Historical Inputs'!$N$9*(1+(D990))^2)*(('Assumptions'!F37+(E990))*(1-'Assumptions'!F42-(0))+'Assumptions'!F47-'Assumptions'!F52*(F990)+'Assumptions'!F57-'Assumptions'!F62*(1)-'Assumptions'!F67-(0))+(('Historical Inputs'!$N$9*(1+(D990))^1)*('Assumptions'!E67+(0))))*'DCF'!F12/(1+(G990))^'DCF'!F13,(('Historical Inputs'!$N$9*(1+(D990))^3)*(('Assumptions'!G37+(E990))*(1-'Assumptions'!G42-(0))+'Assumptions'!G47-'Assumptions'!G52*(F990)+'Assumptions'!G57-'Assumptions'!G62*(1)-'Assumptions'!G67-(0))+(('Historical Inputs'!$N$9*(1+(D990))^2)*('Assumptions'!F67+(0))))*'DCF'!G12/(1+(G990))^'DCF'!G13,(('Historical Inputs'!$N$9*(1+(D990))^4)*(('Assumptions'!H37+(E990))*(1-'Assumptions'!H42-(0))+'Assumptions'!H47-'Assumptions'!H52*(F990)+'Assumptions'!H57-'Assumptions'!H62*(1)-'Assumptions'!H67-(0))+(('Historical Inputs'!$N$9*(1+(D990))^3)*('Assumptions'!G67+(0))))*'DCF'!H12/(1+(G990))^'DCF'!H13,(('Historical Inputs'!$N$9*(1+(D990))^5)*(('Assumptions'!I37+(E990))*(1-'Assumptions'!I42-(0))+'Assumptions'!I47-'Assumptions'!I52*(F990)+'Assumptions'!I57-'Assumptions'!I62*(1)-'Assumptions'!I67-(0))+(('Historical Inputs'!$N$9*(1+(D990))^4)*('Assumptions'!H67+(0))))*'DCF'!I12/(1+(G990))^'DCF'!I13)+('Historical Inputs'!$N$9*(1+(D990))^5)*(1+(H990))*('Terminal Value'!$E$10+(E990))*(1-'Assumptions'!$E$15-(0))*(1-(H990)/('Terminal Value'!$E$12))/((G990)-(H990))/(1+(G990))^'DCF'!$E$19)+'Equity Bridge'!$E$17)/'Equity Bridge'!$E$20</x:f>
        <x:v>282.047705647408</x:v>
      </x:c>
      <x:c r="X990" s="255" t="n">
        <x:v>0.9597186611011987</x:v>
      </x:c>
      <x:c r="Y990" s="255" t="n">
        <x:v>0.41777402566701727</x:v>
      </x:c>
      <x:c r="Z990" s="255" t="n">
        <x:v>0.08603440794337325</x:v>
      </x:c>
      <x:c r="AA990" s="255" t="n">
        <x:v>0.9559370284364721</x:v>
      </x:c>
      <x:c r="AB990" s="255" t="n">
        <x:v>0.3440984410826313</x:v>
      </x:c>
    </x:row>
    <x:row r="991" ht="24" customHeight="1">
      <x:c r="C991" s="256" t="n">
        <x:f>960</x:f>
        <x:v>960</x:v>
      </x:c>
      <x:c r="D991" s="258" t="n">
        <x:f>IF(X991&lt;($E$12-$D$12)/($F$12-$D$12),$D$12+SQRT(X991*($F$12-$D$12)*($E$12-$D$12)),$F$12-SQRT((1-X991)*($F$12-$D$12)*($F$12-$E$12)))</x:f>
        <x:v>0.14452688464615687</x:v>
      </x:c>
      <x:c r="E991" s="258" t="n">
        <x:f>IF(Y991&lt;($E$13-$D$13)/($F$13-$D$13),$D$13+SQRT(Y991*($F$13-$D$13)*($E$13-$D$13)),$F$13-SQRT((1-Y991)*($F$13-$D$13)*($F$13-$E$13)))</x:f>
        <x:v>0.03195450286016971</x:v>
      </x:c>
      <x:c r="F991" s="260" t="n">
        <x:f>IF(Z991&lt;($E$14-$D$14)/($F$14-$D$14),$D$14+SQRT(Z991*($F$14-$D$14)*($E$14-$D$14)),$F$14-SQRT((1-Z991)*($F$14-$D$14)*($F$14-$E$14)))</x:f>
        <x:v>1.0093075278670125</x:v>
      </x:c>
      <x:c r="G991" s="258" t="n">
        <x:f>IF(AA991&lt;($E$15-$D$15)/($F$15-$D$15),$D$15+SQRT(AA991*($F$15-$D$15)*($E$15-$D$15)),$F$15-SQRT((1-AA991)*($F$15-$D$15)*($F$15-$E$15)))</x:f>
        <x:v>0.09300864355792085</x:v>
      </x:c>
      <x:c r="H991" s="258" t="n">
        <x:f>IF(AB991&lt;($E$16-$D$16)/($F$16-$D$16),$D$16+SQRT(AB991*($F$16-$D$16)*($E$16-$D$16)),$F$16-SQRT((1-AB991)*($F$16-$D$16)*($F$16-$E$16)))</x:f>
        <x:v>0.033829907951392305</x:v>
      </x:c>
      <x:c r="I991" s="262" t="n">
        <x:f>'Historical Inputs'!$N$9*(1+D991)^5</x:f>
        <x:v>651714.5528588671</x:v>
      </x:c>
      <x:c r="J991" s="262" t="n">
        <x:f>I991*(1+H991)*('Terminal Value'!$E$10+E991)*(1-'Assumptions'!$E$15)*(1-H991/'Terminal Value'!$E$12)</x:f>
        <x:v>193444.93730242987</x:v>
      </x:c>
      <x:c r="K991" s="264" t="n">
        <x:f>((SUM((('Historical Inputs'!$N$9*(1+(D991))^1)*(('Assumptions'!E37+(E991))*(1-'Assumptions'!E42-(0))+'Assumptions'!E47-'Assumptions'!E52*(F991)+'Assumptions'!E57-'Assumptions'!E62*(1)-'Assumptions'!E67-(0))+('Working Capital'!$E$6))*'DCF'!E12/(1+(G991))^'DCF'!E13,(('Historical Inputs'!$N$9*(1+(D991))^2)*(('Assumptions'!F37+(E991))*(1-'Assumptions'!F42-(0))+'Assumptions'!F47-'Assumptions'!F52*(F991)+'Assumptions'!F57-'Assumptions'!F62*(1)-'Assumptions'!F67-(0))+(('Historical Inputs'!$N$9*(1+(D991))^1)*('Assumptions'!E67+(0))))*'DCF'!F12/(1+(G991))^'DCF'!F13,(('Historical Inputs'!$N$9*(1+(D991))^3)*(('Assumptions'!G37+(E991))*(1-'Assumptions'!G42-(0))+'Assumptions'!G47-'Assumptions'!G52*(F991)+'Assumptions'!G57-'Assumptions'!G62*(1)-'Assumptions'!G67-(0))+(('Historical Inputs'!$N$9*(1+(D991))^2)*('Assumptions'!F67+(0))))*'DCF'!G12/(1+(G991))^'DCF'!G13,(('Historical Inputs'!$N$9*(1+(D991))^4)*(('Assumptions'!H37+(E991))*(1-'Assumptions'!H42-(0))+'Assumptions'!H47-'Assumptions'!H52*(F991)+'Assumptions'!H57-'Assumptions'!H62*(1)-'Assumptions'!H67-(0))+(('Historical Inputs'!$N$9*(1+(D991))^3)*('Assumptions'!G67+(0))))*'DCF'!H12/(1+(G991))^'DCF'!H13,(('Historical Inputs'!$N$9*(1+(D991))^5)*(('Assumptions'!I37+(E991))*(1-'Assumptions'!I42-(0))+'Assumptions'!I47-'Assumptions'!I52*(F991)+'Assumptions'!I57-'Assumptions'!I62*(1)-'Assumptions'!I67-(0))+(('Historical Inputs'!$N$9*(1+(D991))^4)*('Assumptions'!H67+(0))))*'DCF'!I12/(1+(G991))^'DCF'!I13)+('Historical Inputs'!$N$9*(1+(D991))^5)*(1+(H991))*('Terminal Value'!$E$10+(E991))*(1-'Assumptions'!$E$15-(0))*(1-(H991)/('Terminal Value'!$E$12))/((G991)-(H991))/(1+(G991))^'DCF'!$E$19)+'Equity Bridge'!$E$17)/'Equity Bridge'!$E$20</x:f>
        <x:v>350.96113171208356</x:v>
      </x:c>
      <x:c r="X991" s="255" t="n">
        <x:v>0.5250747460856158</x:v>
      </x:c>
      <x:c r="Y991" s="255" t="n">
        <x:v>0.9348720065952754</x:v>
      </x:c>
      <x:c r="Z991" s="255" t="n">
        <x:v>0.4805197295972826</x:v>
      </x:c>
      <x:c r="AA991" s="255" t="n">
        <x:v>0.21640630445922837</x:v>
      </x:c>
      <x:c r="AB991" s="255" t="n">
        <x:v>0.8096498205585404</x:v>
      </x:c>
    </x:row>
    <x:row r="992" ht="24" customHeight="1">
      <x:c r="C992" s="256" t="n">
        <x:f>961</x:f>
        <x:v>961</x:v>
      </x:c>
      <x:c r="D992" s="258" t="n">
        <x:f>IF(X992&lt;($E$12-$D$12)/($F$12-$D$12),$D$12+SQRT(X992*($F$12-$D$12)*($E$12-$D$12)),$F$12-SQRT((1-X992)*($F$12-$D$12)*($F$12-$E$12)))</x:f>
        <x:v>0.10080654394763289</x:v>
      </x:c>
      <x:c r="E992" s="258" t="n">
        <x:f>IF(Y992&lt;($E$13-$D$13)/($F$13-$D$13),$D$13+SQRT(Y992*($F$13-$D$13)*($E$13-$D$13)),$F$13-SQRT((1-Y992)*($F$13-$D$13)*($F$13-$E$13)))</x:f>
        <x:v>-0.0053459344135469225</x:v>
      </x:c>
      <x:c r="F992" s="260" t="n">
        <x:f>IF(Z992&lt;($E$14-$D$14)/($F$14-$D$14),$D$14+SQRT(Z992*($F$14-$D$14)*($E$14-$D$14)),$F$14-SQRT((1-Z992)*($F$14-$D$14)*($F$14-$E$14)))</x:f>
        <x:v>0.990009603994875</x:v>
      </x:c>
      <x:c r="G992" s="258" t="n">
        <x:f>IF(AA992&lt;($E$15-$D$15)/($F$15-$D$15),$D$15+SQRT(AA992*($F$15-$D$15)*($E$15-$D$15)),$F$15-SQRT((1-AA992)*($F$15-$D$15)*($F$15-$E$15)))</x:f>
        <x:v>0.09322058429190011</x:v>
      </x:c>
      <x:c r="H992" s="258" t="n">
        <x:f>IF(AB992&lt;($E$16-$D$16)/($F$16-$D$16),$D$16+SQRT(AB992*($F$16-$D$16)*($E$16-$D$16)),$F$16-SQRT((1-AB992)*($F$16-$D$16)*($F$16-$E$16)))</x:f>
        <x:v>0.030192918955602013</x:v>
      </x:c>
      <x:c r="I992" s="262" t="n">
        <x:f>'Historical Inputs'!$N$9*(1+D992)^5</x:f>
        <x:v>536392.1818254662</x:v>
      </x:c>
      <x:c r="J992" s="262" t="n">
        <x:f>I992*(1+H992)*('Terminal Value'!$E$10+E992)*(1-'Assumptions'!$E$15)*(1-H992/'Terminal Value'!$E$12)</x:f>
        <x:v>148126.70716276293</x:v>
      </x:c>
      <x:c r="K992" s="264" t="n">
        <x:f>((SUM((('Historical Inputs'!$N$9*(1+(D992))^1)*(('Assumptions'!E37+(E992))*(1-'Assumptions'!E42-(0))+'Assumptions'!E47-'Assumptions'!E52*(F992)+'Assumptions'!E57-'Assumptions'!E62*(1)-'Assumptions'!E67-(0))+('Working Capital'!$E$6))*'DCF'!E12/(1+(G992))^'DCF'!E13,(('Historical Inputs'!$N$9*(1+(D992))^2)*(('Assumptions'!F37+(E992))*(1-'Assumptions'!F42-(0))+'Assumptions'!F47-'Assumptions'!F52*(F992)+'Assumptions'!F57-'Assumptions'!F62*(1)-'Assumptions'!F67-(0))+(('Historical Inputs'!$N$9*(1+(D992))^1)*('Assumptions'!E67+(0))))*'DCF'!F12/(1+(G992))^'DCF'!F13,(('Historical Inputs'!$N$9*(1+(D992))^3)*(('Assumptions'!G37+(E992))*(1-'Assumptions'!G42-(0))+'Assumptions'!G47-'Assumptions'!G52*(F992)+'Assumptions'!G57-'Assumptions'!G62*(1)-'Assumptions'!G67-(0))+(('Historical Inputs'!$N$9*(1+(D992))^2)*('Assumptions'!F67+(0))))*'DCF'!G12/(1+(G992))^'DCF'!G13,(('Historical Inputs'!$N$9*(1+(D992))^4)*(('Assumptions'!H37+(E992))*(1-'Assumptions'!H42-(0))+'Assumptions'!H47-'Assumptions'!H52*(F992)+'Assumptions'!H57-'Assumptions'!H62*(1)-'Assumptions'!H67-(0))+(('Historical Inputs'!$N$9*(1+(D992))^3)*('Assumptions'!G67+(0))))*'DCF'!H12/(1+(G992))^'DCF'!H13,(('Historical Inputs'!$N$9*(1+(D992))^5)*(('Assumptions'!I37+(E992))*(1-'Assumptions'!I42-(0))+'Assumptions'!I47-'Assumptions'!I52*(F992)+'Assumptions'!I57-'Assumptions'!I62*(1)-'Assumptions'!I67-(0))+(('Historical Inputs'!$N$9*(1+(D992))^4)*('Assumptions'!H67+(0))))*'DCF'!I12/(1+(G992))^'DCF'!I13)+('Historical Inputs'!$N$9*(1+(D992))^5)*(1+(H992))*('Terminal Value'!$E$10+(E992))*(1-'Assumptions'!$E$15-(0))*(1-(H992)/('Terminal Value'!$E$12))/((G992)-(H992))/(1+(G992))^'DCF'!$E$19)+'Equity Bridge'!$E$17)/'Equity Bridge'!$E$20</x:f>
        <x:v>255.80055429533786</x:v>
      </x:c>
      <x:c r="X992" s="255" t="n">
        <x:v>0.011399056852831602</x:v>
      </x:c>
      <x:c r="Y992" s="255" t="n">
        <x:v>0.3987971146798506</x:v>
      </x:c>
      <x:c r="Z992" s="255" t="n">
        <x:v>0.37338455639622325</x:v>
      </x:c>
      <x:c r="AA992" s="255" t="n">
        <x:v>0.2258016321418691</x:v>
      </x:c>
      <x:c r="AB992" s="255" t="n">
        <x:v>0.5191058069430488</x:v>
      </x:c>
    </x:row>
    <x:row r="993" ht="24" customHeight="1">
      <x:c r="C993" s="256" t="n">
        <x:f>962</x:f>
        <x:v>962</x:v>
      </x:c>
      <x:c r="D993" s="258" t="n">
        <x:f>IF(X993&lt;($E$12-$D$12)/($F$12-$D$12),$D$12+SQRT(X993*($F$12-$D$12)*($E$12-$D$12)),$F$12-SQRT((1-X993)*($F$12-$D$12)*($F$12-$E$12)))</x:f>
        <x:v>0.13139204426237813</x:v>
      </x:c>
      <x:c r="E993" s="258" t="n">
        <x:f>IF(Y993&lt;($E$13-$D$13)/($F$13-$D$13),$D$13+SQRT(Y993*($F$13-$D$13)*($E$13-$D$13)),$F$13-SQRT((1-Y993)*($F$13-$D$13)*($F$13-$E$13)))</x:f>
        <x:v>0.042181820334480605</x:v>
      </x:c>
      <x:c r="F993" s="260" t="n">
        <x:f>IF(Z993&lt;($E$14-$D$14)/($F$14-$D$14),$D$14+SQRT(Z993*($F$14-$D$14)*($E$14-$D$14)),$F$14-SQRT((1-Z993)*($F$14-$D$14)*($F$14-$E$14)))</x:f>
        <x:v>0.8931197597089712</x:v>
      </x:c>
      <x:c r="G993" s="258" t="n">
        <x:f>IF(AA993&lt;($E$15-$D$15)/($F$15-$D$15),$D$15+SQRT(AA993*($F$15-$D$15)*($E$15-$D$15)),$F$15-SQRT((1-AA993)*($F$15-$D$15)*($F$15-$E$15)))</x:f>
        <x:v>0.09929857760147326</x:v>
      </x:c>
      <x:c r="H993" s="258" t="n">
        <x:f>IF(AB993&lt;($E$16-$D$16)/($F$16-$D$16),$D$16+SQRT(AB993*($F$16-$D$16)*($E$16-$D$16)),$F$16-SQRT((1-AB993)*($F$16-$D$16)*($F$16-$E$16)))</x:f>
        <x:v>0.03544232089566898</x:v>
      </x:c>
      <x:c r="I993" s="262" t="n">
        <x:f>'Historical Inputs'!$N$9*(1+D993)^5</x:f>
        <x:v>615166.9978884306</x:v>
      </x:c>
      <x:c r="J993" s="262" t="n">
        <x:f>I993*(1+H993)*('Terminal Value'!$E$10+E993)*(1-'Assumptions'!$E$15)*(1-H993/'Terminal Value'!$E$12)</x:f>
        <x:v>185394.97909795045</x:v>
      </x:c>
      <x:c r="K993" s="264" t="n">
        <x:f>((SUM((('Historical Inputs'!$N$9*(1+(D993))^1)*(('Assumptions'!E37+(E993))*(1-'Assumptions'!E42-(0))+'Assumptions'!E47-'Assumptions'!E52*(F993)+'Assumptions'!E57-'Assumptions'!E62*(1)-'Assumptions'!E67-(0))+('Working Capital'!$E$6))*'DCF'!E12/(1+(G993))^'DCF'!E13,(('Historical Inputs'!$N$9*(1+(D993))^2)*(('Assumptions'!F37+(E993))*(1-'Assumptions'!F42-(0))+'Assumptions'!F47-'Assumptions'!F52*(F993)+'Assumptions'!F57-'Assumptions'!F62*(1)-'Assumptions'!F67-(0))+(('Historical Inputs'!$N$9*(1+(D993))^1)*('Assumptions'!E67+(0))))*'DCF'!F12/(1+(G993))^'DCF'!F13,(('Historical Inputs'!$N$9*(1+(D993))^3)*(('Assumptions'!G37+(E993))*(1-'Assumptions'!G42-(0))+'Assumptions'!G47-'Assumptions'!G52*(F993)+'Assumptions'!G57-'Assumptions'!G62*(1)-'Assumptions'!G67-(0))+(('Historical Inputs'!$N$9*(1+(D993))^2)*('Assumptions'!F67+(0))))*'DCF'!G12/(1+(G993))^'DCF'!G13,(('Historical Inputs'!$N$9*(1+(D993))^4)*(('Assumptions'!H37+(E993))*(1-'Assumptions'!H42-(0))+'Assumptions'!H47-'Assumptions'!H52*(F993)+'Assumptions'!H57-'Assumptions'!H62*(1)-'Assumptions'!H67-(0))+(('Historical Inputs'!$N$9*(1+(D993))^3)*('Assumptions'!G67+(0))))*'DCF'!H12/(1+(G993))^'DCF'!H13,(('Historical Inputs'!$N$9*(1+(D993))^5)*(('Assumptions'!I37+(E993))*(1-'Assumptions'!I42-(0))+'Assumptions'!I47-'Assumptions'!I52*(F993)+'Assumptions'!I57-'Assumptions'!I62*(1)-'Assumptions'!I67-(0))+(('Historical Inputs'!$N$9*(1+(D993))^4)*('Assumptions'!H67+(0))))*'DCF'!I12/(1+(G993))^'DCF'!I13)+('Historical Inputs'!$N$9*(1+(D993))^5)*(1+(H993))*('Terminal Value'!$E$10+(E993))*(1-'Assumptions'!$E$15-(0))*(1-(H993)/('Terminal Value'!$E$12))/((G993)-(H993))/(1+(G993))^'DCF'!$E$19)+'Equity Bridge'!$E$17)/'Equity Bridge'!$E$20</x:f>
        <x:v>317.5243475616331</x:v>
      </x:c>
      <x:c r="X993" s="255" t="n">
        <x:v>0.2908559872437376</x:v>
      </x:c>
      <x:c r="Y993" s="255" t="n">
        <x:v>0.9877752133435318</x:v>
      </x:c>
      <x:c r="Z993" s="255" t="n">
        <x:v>0.035415498616369834</x:v>
      </x:c>
      <x:c r="AA993" s="255" t="n">
        <x:v>0.5742328951622665</x:v>
      </x:c>
      <x:c r="AB993" s="255" t="n">
        <x:v>0.8961378059097223</x:v>
      </x:c>
    </x:row>
    <x:row r="994" ht="24" customHeight="1">
      <x:c r="C994" s="256" t="n">
        <x:f>963</x:f>
        <x:v>963</x:v>
      </x:c>
      <x:c r="D994" s="258" t="n">
        <x:f>IF(X994&lt;($E$12-$D$12)/($F$12-$D$12),$D$12+SQRT(X994*($F$12-$D$12)*($E$12-$D$12)),$F$12-SQRT((1-X994)*($F$12-$D$12)*($F$12-$E$12)))</x:f>
        <x:v>0.16644091714906956</x:v>
      </x:c>
      <x:c r="E994" s="258" t="n">
        <x:f>IF(Y994&lt;($E$13-$D$13)/($F$13-$D$13),$D$13+SQRT(Y994*($F$13-$D$13)*($E$13-$D$13)),$F$13-SQRT((1-Y994)*($F$13-$D$13)*($F$13-$E$13)))</x:f>
        <x:v>-0.005070976690792317</x:v>
      </x:c>
      <x:c r="F994" s="260" t="n">
        <x:f>IF(Z994&lt;($E$14-$D$14)/($F$14-$D$14),$D$14+SQRT(Z994*($F$14-$D$14)*($E$14-$D$14)),$F$14-SQRT((1-Z994)*($F$14-$D$14)*($F$14-$E$14)))</x:f>
        <x:v>1.136232558631923</x:v>
      </x:c>
      <x:c r="G994" s="258" t="n">
        <x:f>IF(AA994&lt;($E$15-$D$15)/($F$15-$D$15),$D$15+SQRT(AA994*($F$15-$D$15)*($E$15-$D$15)),$F$15-SQRT((1-AA994)*($F$15-$D$15)*($F$15-$E$15)))</x:f>
        <x:v>0.09458969141253623</x:v>
      </x:c>
      <x:c r="H994" s="258" t="n">
        <x:f>IF(AB994&lt;($E$16-$D$16)/($F$16-$D$16),$D$16+SQRT(AB994*($F$16-$D$16)*($E$16-$D$16)),$F$16-SQRT((1-AB994)*($F$16-$D$16)*($F$16-$E$16)))</x:f>
        <x:v>0.026867873119822056</x:v>
      </x:c>
      <x:c r="I994" s="262" t="n">
        <x:f>'Historical Inputs'!$N$9*(1+D994)^5</x:f>
        <x:v>716541.1797669647</x:v>
      </x:c>
      <x:c r="J994" s="262" t="n">
        <x:f>I994*(1+H994)*('Terminal Value'!$E$10+E994)*(1-'Assumptions'!$E$15)*(1-H994/'Terminal Value'!$E$12)</x:f>
        <x:v>201239.12847210933</x:v>
      </x:c>
      <x:c r="K994" s="264" t="n">
        <x:f>((SUM((('Historical Inputs'!$N$9*(1+(D994))^1)*(('Assumptions'!E37+(E994))*(1-'Assumptions'!E42-(0))+'Assumptions'!E47-'Assumptions'!E52*(F994)+'Assumptions'!E57-'Assumptions'!E62*(1)-'Assumptions'!E67-(0))+('Working Capital'!$E$6))*'DCF'!E12/(1+(G994))^'DCF'!E13,(('Historical Inputs'!$N$9*(1+(D994))^2)*(('Assumptions'!F37+(E994))*(1-'Assumptions'!F42-(0))+'Assumptions'!F47-'Assumptions'!F52*(F994)+'Assumptions'!F57-'Assumptions'!F62*(1)-'Assumptions'!F67-(0))+(('Historical Inputs'!$N$9*(1+(D994))^1)*('Assumptions'!E67+(0))))*'DCF'!F12/(1+(G994))^'DCF'!F13,(('Historical Inputs'!$N$9*(1+(D994))^3)*(('Assumptions'!G37+(E994))*(1-'Assumptions'!G42-(0))+'Assumptions'!G47-'Assumptions'!G52*(F994)+'Assumptions'!G57-'Assumptions'!G62*(1)-'Assumptions'!G67-(0))+(('Historical Inputs'!$N$9*(1+(D994))^2)*('Assumptions'!F67+(0))))*'DCF'!G12/(1+(G994))^'DCF'!G13,(('Historical Inputs'!$N$9*(1+(D994))^4)*(('Assumptions'!H37+(E994))*(1-'Assumptions'!H42-(0))+'Assumptions'!H47-'Assumptions'!H52*(F994)+'Assumptions'!H57-'Assumptions'!H62*(1)-'Assumptions'!H67-(0))+(('Historical Inputs'!$N$9*(1+(D994))^3)*('Assumptions'!G67+(0))))*'DCF'!H12/(1+(G994))^'DCF'!H13,(('Historical Inputs'!$N$9*(1+(D994))^5)*(('Assumptions'!I37+(E994))*(1-'Assumptions'!I42-(0))+'Assumptions'!I47-'Assumptions'!I52*(F994)+'Assumptions'!I57-'Assumptions'!I62*(1)-'Assumptions'!I67-(0))+(('Historical Inputs'!$N$9*(1+(D994))^4)*('Assumptions'!H67+(0))))*'DCF'!I12/(1+(G994))^'DCF'!I13)+('Historical Inputs'!$N$9*(1+(D994))^5)*(1+(H994))*('Terminal Value'!$E$10+(E994))*(1-'Assumptions'!$E$15-(0))*(1-(H994)/('Terminal Value'!$E$12))/((G994)-(H994))/(1+(G994))^'DCF'!$E$19)+'Equity Bridge'!$E$17)/'Equity Bridge'!$E$20</x:f>
        <x:v>310.3594559915625</x:v>
      </x:c>
      <x:c r="X994" s="255" t="n">
        <x:v>0.8561793059905665</x:v>
      </x:c>
      <x:c r="Y994" s="255" t="n">
        <x:v>0.40372342710386544</x:v>
      </x:c>
      <x:c r="Z994" s="255" t="n">
        <x:v>0.9419101917338413</x:v>
      </x:c>
      <x:c r="AA994" s="255" t="n">
        <x:v>0.29130439342688086</x:v>
      </x:c>
      <x:c r="AB994" s="255" t="n">
        <x:v>0.23583840594987182</x:v>
      </x:c>
    </x:row>
    <x:row r="995" ht="24" customHeight="1">
      <x:c r="C995" s="256" t="n">
        <x:f>964</x:f>
        <x:v>964</x:v>
      </x:c>
      <x:c r="D995" s="258" t="n">
        <x:f>IF(X995&lt;($E$12-$D$12)/($F$12-$D$12),$D$12+SQRT(X995*($F$12-$D$12)*($E$12-$D$12)),$F$12-SQRT((1-X995)*($F$12-$D$12)*($F$12-$E$12)))</x:f>
        <x:v>0.13445498193973618</x:v>
      </x:c>
      <x:c r="E995" s="258" t="n">
        <x:f>IF(Y995&lt;($E$13-$D$13)/($F$13-$D$13),$D$13+SQRT(Y995*($F$13-$D$13)*($E$13-$D$13)),$F$13-SQRT((1-Y995)*($F$13-$D$13)*($F$13-$E$13)))</x:f>
        <x:v>-0.04227993963130346</x:v>
      </x:c>
      <x:c r="F995" s="260" t="n">
        <x:f>IF(Z995&lt;($E$14-$D$14)/($F$14-$D$14),$D$14+SQRT(Z995*($F$14-$D$14)*($E$14-$D$14)),$F$14-SQRT((1-Z995)*($F$14-$D$14)*($F$14-$E$14)))</x:f>
        <x:v>1.0145029055966395</x:v>
      </x:c>
      <x:c r="G995" s="258" t="n">
        <x:f>IF(AA995&lt;($E$15-$D$15)/($F$15-$D$15),$D$15+SQRT(AA995*($F$15-$D$15)*($E$15-$D$15)),$F$15-SQRT((1-AA995)*($F$15-$D$15)*($F$15-$E$15)))</x:f>
        <x:v>0.09909662901079243</x:v>
      </x:c>
      <x:c r="H995" s="258" t="n">
        <x:f>IF(AB995&lt;($E$16-$D$16)/($F$16-$D$16),$D$16+SQRT(AB995*($F$16-$D$16)*($E$16-$D$16)),$F$16-SQRT((1-AB995)*($F$16-$D$16)*($F$16-$E$16)))</x:f>
        <x:v>0.03552275757463023</x:v>
      </x:c>
      <x:c r="I995" s="262" t="n">
        <x:f>'Historical Inputs'!$N$9*(1+D995)^5</x:f>
        <x:v>623539.1968232768</x:v>
      </x:c>
      <x:c r="J995" s="262" t="n">
        <x:f>I995*(1+H995)*('Terminal Value'!$E$10+E995)*(1-'Assumptions'!$E$15)*(1-H995/'Terminal Value'!$E$12)</x:f>
        <x:v>151961.12841646207</x:v>
      </x:c>
      <x:c r="K995" s="264" t="n">
        <x:f>((SUM((('Historical Inputs'!$N$9*(1+(D995))^1)*(('Assumptions'!E37+(E995))*(1-'Assumptions'!E42-(0))+'Assumptions'!E47-'Assumptions'!E52*(F995)+'Assumptions'!E57-'Assumptions'!E62*(1)-'Assumptions'!E67-(0))+('Working Capital'!$E$6))*'DCF'!E12/(1+(G995))^'DCF'!E13,(('Historical Inputs'!$N$9*(1+(D995))^2)*(('Assumptions'!F37+(E995))*(1-'Assumptions'!F42-(0))+'Assumptions'!F47-'Assumptions'!F52*(F995)+'Assumptions'!F57-'Assumptions'!F62*(1)-'Assumptions'!F67-(0))+(('Historical Inputs'!$N$9*(1+(D995))^1)*('Assumptions'!E67+(0))))*'DCF'!F12/(1+(G995))^'DCF'!F13,(('Historical Inputs'!$N$9*(1+(D995))^3)*(('Assumptions'!G37+(E995))*(1-'Assumptions'!G42-(0))+'Assumptions'!G47-'Assumptions'!G52*(F995)+'Assumptions'!G57-'Assumptions'!G62*(1)-'Assumptions'!G67-(0))+(('Historical Inputs'!$N$9*(1+(D995))^2)*('Assumptions'!F67+(0))))*'DCF'!G12/(1+(G995))^'DCF'!G13,(('Historical Inputs'!$N$9*(1+(D995))^4)*(('Assumptions'!H37+(E995))*(1-'Assumptions'!H42-(0))+'Assumptions'!H47-'Assumptions'!H52*(F995)+'Assumptions'!H57-'Assumptions'!H62*(1)-'Assumptions'!H67-(0))+(('Historical Inputs'!$N$9*(1+(D995))^3)*('Assumptions'!G67+(0))))*'DCF'!H12/(1+(G995))^'DCF'!H13,(('Historical Inputs'!$N$9*(1+(D995))^5)*(('Assumptions'!I37+(E995))*(1-'Assumptions'!I42-(0))+'Assumptions'!I47-'Assumptions'!I52*(F995)+'Assumptions'!I57-'Assumptions'!I62*(1)-'Assumptions'!I67-(0))+(('Historical Inputs'!$N$9*(1+(D995))^4)*('Assumptions'!H67+(0))))*'DCF'!I12/(1+(G995))^'DCF'!I13)+('Historical Inputs'!$N$9*(1+(D995))^5)*(1+(H995))*('Terminal Value'!$E$10+(E995))*(1-'Assumptions'!$E$15-(0))*(1-(H995)/('Terminal Value'!$E$12))/((G995)-(H995))/(1+(G995))^'DCF'!$E$19)+'Equity Bridge'!$E$17)/'Equity Bridge'!$E$20</x:f>
        <x:v>249.96456629749986</x:v>
      </x:c>
      <x:c r="X995" s="255" t="n">
        <x:v>0.33945438350565404</x:v>
      </x:c>
      <x:c r="Y995" s="255" t="n">
        <x:v>0.011919866419263792</x:v>
      </x:c>
      <x:c r="Z995" s="255" t="n">
        <x:v>0.5084403995415825</x:v>
      </x:c>
      <x:c r="AA995" s="255" t="n">
        <x:v>0.5617185754251912</x:v>
      </x:c>
      <x:c r="AB995" s="255" t="n">
        <x:v>0.8997715013223448</x:v>
      </x:c>
    </x:row>
    <x:row r="996" ht="24" customHeight="1">
      <x:c r="C996" s="256" t="n">
        <x:f>965</x:f>
        <x:v>965</x:v>
      </x:c>
      <x:c r="D996" s="258" t="n">
        <x:f>IF(X996&lt;($E$12-$D$12)/($F$12-$D$12),$D$12+SQRT(X996*($F$12-$D$12)*($E$12-$D$12)),$F$12-SQRT((1-X996)*($F$12-$D$12)*($F$12-$E$12)))</x:f>
        <x:v>0.13068021786112327</x:v>
      </x:c>
      <x:c r="E996" s="258" t="n">
        <x:f>IF(Y996&lt;($E$13-$D$13)/($F$13-$D$13),$D$13+SQRT(Y996*($F$13-$D$13)*($E$13-$D$13)),$F$13-SQRT((1-Y996)*($F$13-$D$13)*($F$13-$E$13)))</x:f>
        <x:v>-0.012038205704310856</x:v>
      </x:c>
      <x:c r="F996" s="260" t="n">
        <x:f>IF(Z996&lt;($E$14-$D$14)/($F$14-$D$14),$D$14+SQRT(Z996*($F$14-$D$14)*($E$14-$D$14)),$F$14-SQRT((1-Z996)*($F$14-$D$14)*($F$14-$E$14)))</x:f>
        <x:v>1.0125797811320725</x:v>
      </x:c>
      <x:c r="G996" s="258" t="n">
        <x:f>IF(AA996&lt;($E$15-$D$15)/($F$15-$D$15),$D$15+SQRT(AA996*($F$15-$D$15)*($E$15-$D$15)),$F$15-SQRT((1-AA996)*($F$15-$D$15)*($F$15-$E$15)))</x:f>
        <x:v>0.08644108864856329</x:v>
      </x:c>
      <x:c r="H996" s="258" t="n">
        <x:f>IF(AB996&lt;($E$16-$D$16)/($F$16-$D$16),$D$16+SQRT(AB996*($F$16-$D$16)*($E$16-$D$16)),$F$16-SQRT((1-AB996)*($F$16-$D$16)*($F$16-$E$16)))</x:f>
        <x:v>0.021860670865917746</x:v>
      </x:c>
      <x:c r="I996" s="262" t="n">
        <x:f>'Historical Inputs'!$N$9*(1+D996)^5</x:f>
        <x:v>613234.2396954295</x:v>
      </x:c>
      <x:c r="J996" s="262" t="n">
        <x:f>I996*(1+H996)*('Terminal Value'!$E$10+E996)*(1-'Assumptions'!$E$15)*(1-H996/'Terminal Value'!$E$12)</x:f>
        <x:v>173231.490851055</x:v>
      </x:c>
      <x:c r="K996" s="264" t="n">
        <x:f>((SUM((('Historical Inputs'!$N$9*(1+(D996))^1)*(('Assumptions'!E37+(E996))*(1-'Assumptions'!E42-(0))+'Assumptions'!E47-'Assumptions'!E52*(F996)+'Assumptions'!E57-'Assumptions'!E62*(1)-'Assumptions'!E67-(0))+('Working Capital'!$E$6))*'DCF'!E12/(1+(G996))^'DCF'!E13,(('Historical Inputs'!$N$9*(1+(D996))^2)*(('Assumptions'!F37+(E996))*(1-'Assumptions'!F42-(0))+'Assumptions'!F47-'Assumptions'!F52*(F996)+'Assumptions'!F57-'Assumptions'!F62*(1)-'Assumptions'!F67-(0))+(('Historical Inputs'!$N$9*(1+(D996))^1)*('Assumptions'!E67+(0))))*'DCF'!F12/(1+(G996))^'DCF'!F13,(('Historical Inputs'!$N$9*(1+(D996))^3)*(('Assumptions'!G37+(E996))*(1-'Assumptions'!G42-(0))+'Assumptions'!G47-'Assumptions'!G52*(F996)+'Assumptions'!G57-'Assumptions'!G62*(1)-'Assumptions'!G67-(0))+(('Historical Inputs'!$N$9*(1+(D996))^2)*('Assumptions'!F67+(0))))*'DCF'!G12/(1+(G996))^'DCF'!G13,(('Historical Inputs'!$N$9*(1+(D996))^4)*(('Assumptions'!H37+(E996))*(1-'Assumptions'!H42-(0))+'Assumptions'!H47-'Assumptions'!H52*(F996)+'Assumptions'!H57-'Assumptions'!H62*(1)-'Assumptions'!H67-(0))+(('Historical Inputs'!$N$9*(1+(D996))^3)*('Assumptions'!G67+(0))))*'DCF'!H12/(1+(G996))^'DCF'!H13,(('Historical Inputs'!$N$9*(1+(D996))^5)*(('Assumptions'!I37+(E996))*(1-'Assumptions'!I42-(0))+'Assumptions'!I47-'Assumptions'!I52*(F996)+'Assumptions'!I57-'Assumptions'!I62*(1)-'Assumptions'!I67-(0))+(('Historical Inputs'!$N$9*(1+(D996))^4)*('Assumptions'!H67+(0))))*'DCF'!I12/(1+(G996))^'DCF'!I13)+('Historical Inputs'!$N$9*(1+(D996))^5)*(1+(H996))*('Terminal Value'!$E$10+(E996))*(1-'Assumptions'!$E$15-(0))*(1-(H996)/('Terminal Value'!$E$12))/((G996)-(H996))/(1+(G996))^'DCF'!$E$19)+'Equity Bridge'!$E$17)/'Equity Bridge'!$E$20</x:f>
        <x:v>295.27701509772373</x:v>
      </x:c>
      <x:c r="X996" s="255" t="n">
        <x:v>0.28009912029579453</x:v>
      </x:c>
      <x:c r="Y996" s="255" t="n">
        <x:v>0.2882195652296433</x:v>
      </x:c>
      <x:c r="Z996" s="255" t="n">
        <x:v>0.4981951651356875</x:v>
      </x:c>
      <x:c r="AA996" s="255" t="n">
        <x:v>0.024210551727153917</x:v>
      </x:c>
      <x:c r="AB996" s="255" t="n">
        <x:v>0.0173104803563755</x:v>
      </x:c>
    </x:row>
    <x:row r="997" ht="24" customHeight="1">
      <x:c r="C997" s="256" t="n">
        <x:f>966</x:f>
        <x:v>966</x:v>
      </x:c>
      <x:c r="D997" s="258" t="n">
        <x:f>IF(X997&lt;($E$12-$D$12)/($F$12-$D$12),$D$12+SQRT(X997*($F$12-$D$12)*($E$12-$D$12)),$F$12-SQRT((1-X997)*($F$12-$D$12)*($F$12-$E$12)))</x:f>
        <x:v>0.14762073769010128</x:v>
      </x:c>
      <x:c r="E997" s="258" t="n">
        <x:f>IF(Y997&lt;($E$13-$D$13)/($F$13-$D$13),$D$13+SQRT(Y997*($F$13-$D$13)*($E$13-$D$13)),$F$13-SQRT((1-Y997)*($F$13-$D$13)*($F$13-$E$13)))</x:f>
        <x:v>0.006694369096663336</x:v>
      </x:c>
      <x:c r="F997" s="260" t="n">
        <x:f>IF(Z997&lt;($E$14-$D$14)/($F$14-$D$14),$D$14+SQRT(Z997*($F$14-$D$14)*($E$14-$D$14)),$F$14-SQRT((1-Z997)*($F$14-$D$14)*($F$14-$E$14)))</x:f>
        <x:v>1.0672990896240035</x:v>
      </x:c>
      <x:c r="G997" s="258" t="n">
        <x:f>IF(AA997&lt;($E$15-$D$15)/($F$15-$D$15),$D$15+SQRT(AA997*($F$15-$D$15)*($E$15-$D$15)),$F$15-SQRT((1-AA997)*($F$15-$D$15)*($F$15-$E$15)))</x:f>
        <x:v>0.10214214244581438</x:v>
      </x:c>
      <x:c r="H997" s="258" t="n">
        <x:f>IF(AB997&lt;($E$16-$D$16)/($F$16-$D$16),$D$16+SQRT(AB997*($F$16-$D$16)*($E$16-$D$16)),$F$16-SQRT((1-AB997)*($F$16-$D$16)*($F$16-$E$16)))</x:f>
        <x:v>0.03495562004643348</x:v>
      </x:c>
      <x:c r="I997" s="262" t="n">
        <x:f>'Historical Inputs'!$N$9*(1+D997)^5</x:f>
        <x:v>660570.7861527218</x:v>
      </x:c>
      <x:c r="J997" s="262" t="n">
        <x:f>I997*(1+H997)*('Terminal Value'!$E$10+E997)*(1-'Assumptions'!$E$15)*(1-H997/'Terminal Value'!$E$12)</x:f>
        <x:v>183556.59015511686</x:v>
      </x:c>
      <x:c r="K997" s="264" t="n">
        <x:f>((SUM((('Historical Inputs'!$N$9*(1+(D997))^1)*(('Assumptions'!E37+(E997))*(1-'Assumptions'!E42-(0))+'Assumptions'!E47-'Assumptions'!E52*(F997)+'Assumptions'!E57-'Assumptions'!E62*(1)-'Assumptions'!E67-(0))+('Working Capital'!$E$6))*'DCF'!E12/(1+(G997))^'DCF'!E13,(('Historical Inputs'!$N$9*(1+(D997))^2)*(('Assumptions'!F37+(E997))*(1-'Assumptions'!F42-(0))+'Assumptions'!F47-'Assumptions'!F52*(F997)+'Assumptions'!F57-'Assumptions'!F62*(1)-'Assumptions'!F67-(0))+(('Historical Inputs'!$N$9*(1+(D997))^1)*('Assumptions'!E67+(0))))*'DCF'!F12/(1+(G997))^'DCF'!F13,(('Historical Inputs'!$N$9*(1+(D997))^3)*(('Assumptions'!G37+(E997))*(1-'Assumptions'!G42-(0))+'Assumptions'!G47-'Assumptions'!G52*(F997)+'Assumptions'!G57-'Assumptions'!G62*(1)-'Assumptions'!G67-(0))+(('Historical Inputs'!$N$9*(1+(D997))^2)*('Assumptions'!F67+(0))))*'DCF'!G12/(1+(G997))^'DCF'!G13,(('Historical Inputs'!$N$9*(1+(D997))^4)*(('Assumptions'!H37+(E997))*(1-'Assumptions'!H42-(0))+'Assumptions'!H47-'Assumptions'!H52*(F997)+'Assumptions'!H57-'Assumptions'!H62*(1)-'Assumptions'!H67-(0))+(('Historical Inputs'!$N$9*(1+(D997))^3)*('Assumptions'!G67+(0))))*'DCF'!H12/(1+(G997))^'DCF'!H13,(('Historical Inputs'!$N$9*(1+(D997))^5)*(('Assumptions'!I37+(E997))*(1-'Assumptions'!I42-(0))+'Assumptions'!I47-'Assumptions'!I52*(F997)+'Assumptions'!I57-'Assumptions'!I62*(1)-'Assumptions'!I67-(0))+(('Historical Inputs'!$N$9*(1+(D997))^4)*('Assumptions'!H67+(0))))*'DCF'!I12/(1+(G997))^'DCF'!I13)+('Historical Inputs'!$N$9*(1+(D997))^5)*(1+(H997))*('Terminal Value'!$E$10+(E997))*(1-'Assumptions'!$E$15-(0))*(1-(H997)/('Terminal Value'!$E$12))/((G997)-(H997))/(1+(G997))^'DCF'!$E$19)+'Equity Bridge'!$E$17)/'Equity Bridge'!$E$20</x:f>
        <x:v>284.5740199272393</x:v>
      </x:c>
      <x:c r="X997" s="255" t="n">
        <x:v>0.5834659140524565</x:v>
      </x:c>
      <x:c r="Y997" s="255" t="n">
        <x:v>0.6249244664127945</x:v>
      </x:c>
      <x:c r="Z997" s="255" t="n">
        <x:v>0.7484352626483107</x:v>
      </x:c>
      <x:c r="AA997" s="255" t="n">
        <x:v>0.7311977916916876</x:v>
      </x:c>
      <x:c r="AB997" s="255" t="n">
        <x:v>0.8727711544202814</x:v>
      </x:c>
    </x:row>
    <x:row r="998" ht="24" customHeight="1">
      <x:c r="C998" s="256" t="n">
        <x:f>967</x:f>
        <x:v>967</x:v>
      </x:c>
      <x:c r="D998" s="258" t="n">
        <x:f>IF(X998&lt;($E$12-$D$12)/($F$12-$D$12),$D$12+SQRT(X998*($F$12-$D$12)*($E$12-$D$12)),$F$12-SQRT((1-X998)*($F$12-$D$12)*($F$12-$E$12)))</x:f>
        <x:v>0.13732986192079788</x:v>
      </x:c>
      <x:c r="E998" s="258" t="n">
        <x:f>IF(Y998&lt;($E$13-$D$13)/($F$13-$D$13),$D$13+SQRT(Y998*($F$13-$D$13)*($E$13-$D$13)),$F$13-SQRT((1-Y998)*($F$13-$D$13)*($F$13-$E$13)))</x:f>
        <x:v>-0.003855396277169555</x:v>
      </x:c>
      <x:c r="F998" s="260" t="n">
        <x:f>IF(Z998&lt;($E$14-$D$14)/($F$14-$D$14),$D$14+SQRT(Z998*($F$14-$D$14)*($E$14-$D$14)),$F$14-SQRT((1-Z998)*($F$14-$D$14)*($F$14-$E$14)))</x:f>
        <x:v>1.1259867628496134</x:v>
      </x:c>
      <x:c r="G998" s="258" t="n">
        <x:f>IF(AA998&lt;($E$15-$D$15)/($F$15-$D$15),$D$15+SQRT(AA998*($F$15-$D$15)*($E$15-$D$15)),$F$15-SQRT((1-AA998)*($F$15-$D$15)*($F$15-$E$15)))</x:f>
        <x:v>0.09974322620437491</x:v>
      </x:c>
      <x:c r="H998" s="258" t="n">
        <x:f>IF(AB998&lt;($E$16-$D$16)/($F$16-$D$16),$D$16+SQRT(AB998*($F$16-$D$16)*($E$16-$D$16)),$F$16-SQRT((1-AB998)*($F$16-$D$16)*($F$16-$E$16)))</x:f>
        <x:v>0.027543418909685445</x:v>
      </x:c>
      <x:c r="I998" s="262" t="n">
        <x:f>'Historical Inputs'!$N$9*(1+D998)^5</x:f>
        <x:v>631480.0533371182</x:v>
      </x:c>
      <x:c r="J998" s="262" t="n">
        <x:f>I998*(1+H998)*('Terminal Value'!$E$10+E998)*(1-'Assumptions'!$E$15)*(1-H998/'Terminal Value'!$E$12)</x:f>
        <x:v>177318.2052164628</x:v>
      </x:c>
      <x:c r="K998" s="264" t="n">
        <x:f>((SUM((('Historical Inputs'!$N$9*(1+(D998))^1)*(('Assumptions'!E37+(E998))*(1-'Assumptions'!E42-(0))+'Assumptions'!E47-'Assumptions'!E52*(F998)+'Assumptions'!E57-'Assumptions'!E62*(1)-'Assumptions'!E67-(0))+('Working Capital'!$E$6))*'DCF'!E12/(1+(G998))^'DCF'!E13,(('Historical Inputs'!$N$9*(1+(D998))^2)*(('Assumptions'!F37+(E998))*(1-'Assumptions'!F42-(0))+'Assumptions'!F47-'Assumptions'!F52*(F998)+'Assumptions'!F57-'Assumptions'!F62*(1)-'Assumptions'!F67-(0))+(('Historical Inputs'!$N$9*(1+(D998))^1)*('Assumptions'!E67+(0))))*'DCF'!F12/(1+(G998))^'DCF'!F13,(('Historical Inputs'!$N$9*(1+(D998))^3)*(('Assumptions'!G37+(E998))*(1-'Assumptions'!G42-(0))+'Assumptions'!G47-'Assumptions'!G52*(F998)+'Assumptions'!G57-'Assumptions'!G62*(1)-'Assumptions'!G67-(0))+(('Historical Inputs'!$N$9*(1+(D998))^2)*('Assumptions'!F67+(0))))*'DCF'!G12/(1+(G998))^'DCF'!G13,(('Historical Inputs'!$N$9*(1+(D998))^4)*(('Assumptions'!H37+(E998))*(1-'Assumptions'!H42-(0))+'Assumptions'!H47-'Assumptions'!H52*(F998)+'Assumptions'!H57-'Assumptions'!H62*(1)-'Assumptions'!H67-(0))+(('Historical Inputs'!$N$9*(1+(D998))^3)*('Assumptions'!G67+(0))))*'DCF'!H12/(1+(G998))^'DCF'!H13,(('Historical Inputs'!$N$9*(1+(D998))^5)*(('Assumptions'!I37+(E998))*(1-'Assumptions'!I42-(0))+'Assumptions'!I47-'Assumptions'!I52*(F998)+'Assumptions'!I57-'Assumptions'!I62*(1)-'Assumptions'!I67-(0))+(('Historical Inputs'!$N$9*(1+(D998))^4)*('Assumptions'!H67+(0))))*'DCF'!I12/(1+(G998))^'DCF'!I13)+('Historical Inputs'!$N$9*(1+(D998))^5)*(1+(H998))*('Terminal Value'!$E$10+(E998))*(1-'Assumptions'!$E$15-(0))*(1-(H998)/('Terminal Value'!$E$12))/((G998)-(H998))/(1+(G998))^'DCF'!$E$19)+'Equity Bridge'!$E$17)/'Equity Bridge'!$E$20</x:f>
        <x:v>256.1341710897056</x:v>
      </x:c>
      <x:c r="X998" s="255" t="n">
        <x:v>0.38848304680331336</x:v>
      </x:c>
      <x:c r="Y998" s="255" t="n">
        <x:v>0.4258648905474115</x:v>
      </x:c>
      <x:c r="Z998" s="255" t="n">
        <x:v>0.9217434389502949</x:v>
      </x:c>
      <x:c r="AA998" s="255" t="n">
        <x:v>0.6011479047017517</x:v>
      </x:c>
      <x:c r="AB998" s="255" t="n">
        <x:v>0.28451584423499987</x:v>
      </x:c>
    </x:row>
    <x:row r="999" ht="24" customHeight="1">
      <x:c r="C999" s="256" t="n">
        <x:f>968</x:f>
        <x:v>968</x:v>
      </x:c>
      <x:c r="D999" s="258" t="n">
        <x:f>IF(X999&lt;($E$12-$D$12)/($F$12-$D$12),$D$12+SQRT(X999*($F$12-$D$12)*($E$12-$D$12)),$F$12-SQRT((1-X999)*($F$12-$D$12)*($F$12-$E$12)))</x:f>
        <x:v>0.15661857790506603</x:v>
      </x:c>
      <x:c r="E999" s="258" t="n">
        <x:f>IF(Y999&lt;($E$13-$D$13)/($F$13-$D$13),$D$13+SQRT(Y999*($F$13-$D$13)*($E$13-$D$13)),$F$13-SQRT((1-Y999)*($F$13-$D$13)*($F$13-$E$13)))</x:f>
        <x:v>-0.012077212200463337</x:v>
      </x:c>
      <x:c r="F999" s="260" t="n">
        <x:f>IF(Z999&lt;($E$14-$D$14)/($F$14-$D$14),$D$14+SQRT(Z999*($F$14-$D$14)*($E$14-$D$14)),$F$14-SQRT((1-Z999)*($F$14-$D$14)*($F$14-$E$14)))</x:f>
        <x:v>0.8842451027709372</x:v>
      </x:c>
      <x:c r="G999" s="258" t="n">
        <x:f>IF(AA999&lt;($E$15-$D$15)/($F$15-$D$15),$D$15+SQRT(AA999*($F$15-$D$15)*($E$15-$D$15)),$F$15-SQRT((1-AA999)*($F$15-$D$15)*($F$15-$E$15)))</x:f>
        <x:v>0.08871147874744033</x:v>
      </x:c>
      <x:c r="H999" s="258" t="n">
        <x:f>IF(AB999&lt;($E$16-$D$16)/($F$16-$D$16),$D$16+SQRT(AB999*($F$16-$D$16)*($E$16-$D$16)),$F$16-SQRT((1-AB999)*($F$16-$D$16)*($F$16-$E$16)))</x:f>
        <x:v>0.02619154758798887</x:v>
      </x:c>
      <x:c r="I999" s="262" t="n">
        <x:f>'Historical Inputs'!$N$9*(1+D999)^5</x:f>
        <x:v>686875.846243635</x:v>
      </x:c>
      <x:c r="J999" s="262" t="n">
        <x:f>I999*(1+H999)*('Terminal Value'!$E$10+E999)*(1-'Assumptions'!$E$15)*(1-H999/'Terminal Value'!$E$12)</x:f>
        <x:v>190100.3227235187</x:v>
      </x:c>
      <x:c r="K999" s="264" t="n">
        <x:f>((SUM((('Historical Inputs'!$N$9*(1+(D999))^1)*(('Assumptions'!E37+(E999))*(1-'Assumptions'!E42-(0))+'Assumptions'!E47-'Assumptions'!E52*(F999)+'Assumptions'!E57-'Assumptions'!E62*(1)-'Assumptions'!E67-(0))+('Working Capital'!$E$6))*'DCF'!E12/(1+(G999))^'DCF'!E13,(('Historical Inputs'!$N$9*(1+(D999))^2)*(('Assumptions'!F37+(E999))*(1-'Assumptions'!F42-(0))+'Assumptions'!F47-'Assumptions'!F52*(F999)+'Assumptions'!F57-'Assumptions'!F62*(1)-'Assumptions'!F67-(0))+(('Historical Inputs'!$N$9*(1+(D999))^1)*('Assumptions'!E67+(0))))*'DCF'!F12/(1+(G999))^'DCF'!F13,(('Historical Inputs'!$N$9*(1+(D999))^3)*(('Assumptions'!G37+(E999))*(1-'Assumptions'!G42-(0))+'Assumptions'!G47-'Assumptions'!G52*(F999)+'Assumptions'!G57-'Assumptions'!G62*(1)-'Assumptions'!G67-(0))+(('Historical Inputs'!$N$9*(1+(D999))^2)*('Assumptions'!F67+(0))))*'DCF'!G12/(1+(G999))^'DCF'!G13,(('Historical Inputs'!$N$9*(1+(D999))^4)*(('Assumptions'!H37+(E999))*(1-'Assumptions'!H42-(0))+'Assumptions'!H47-'Assumptions'!H52*(F999)+'Assumptions'!H57-'Assumptions'!H62*(1)-'Assumptions'!H67-(0))+(('Historical Inputs'!$N$9*(1+(D999))^3)*('Assumptions'!G67+(0))))*'DCF'!H12/(1+(G999))^'DCF'!H13,(('Historical Inputs'!$N$9*(1+(D999))^5)*(('Assumptions'!I37+(E999))*(1-'Assumptions'!I42-(0))+'Assumptions'!I47-'Assumptions'!I52*(F999)+'Assumptions'!I57-'Assumptions'!I62*(1)-'Assumptions'!I67-(0))+(('Historical Inputs'!$N$9*(1+(D999))^4)*('Assumptions'!H67+(0))))*'DCF'!I12/(1+(G999))^'DCF'!I13)+('Historical Inputs'!$N$9*(1+(D999))^5)*(1+(H999))*('Terminal Value'!$E$10+(E999))*(1-'Assumptions'!$E$15-(0))*(1-(H999)/('Terminal Value'!$E$12))/((G999)-(H999))/(1+(G999))^'DCF'!$E$19)+'Equity Bridge'!$E$17)/'Equity Bridge'!$E$20</x:f>
        <x:v>337.86853702892677</x:v>
      </x:c>
      <x:c r="X999" s="255" t="n">
        <x:v>0.7315248854096745</x:v>
      </x:c>
      <x:c r="Y999" s="255" t="n">
        <x:v>0.2876275668977374</x:v>
      </x:c>
      <x:c r="Z999" s="255" t="n">
        <x:v>0.022337658357943768</x:v>
      </x:c>
      <x:c r="AA999" s="255" t="n">
        <x:v>0.06897169016743465</x:v>
      </x:c>
      <x:c r="AB999" s="255" t="n">
        <x:v>0.1916763076716539</x:v>
      </x:c>
    </x:row>
    <x:row r="1000" ht="24" customHeight="1">
      <x:c r="C1000" s="256" t="n">
        <x:f>969</x:f>
        <x:v>969</x:v>
      </x:c>
      <x:c r="D1000" s="258" t="n">
        <x:f>IF(X1000&lt;($E$12-$D$12)/($F$12-$D$12),$D$12+SQRT(X1000*($F$12-$D$12)*($E$12-$D$12)),$F$12-SQRT((1-X1000)*($F$12-$D$12)*($F$12-$E$12)))</x:f>
        <x:v>0.15210233736159037</x:v>
      </x:c>
      <x:c r="E1000" s="258" t="n">
        <x:f>IF(Y1000&lt;($E$13-$D$13)/($F$13-$D$13),$D$13+SQRT(Y1000*($F$13-$D$13)*($E$13-$D$13)),$F$13-SQRT((1-Y1000)*($F$13-$D$13)*($F$13-$E$13)))</x:f>
        <x:v>0.008738331814719176</x:v>
      </x:c>
      <x:c r="F1000" s="260" t="n">
        <x:f>IF(Z1000&lt;($E$14-$D$14)/($F$14-$D$14),$D$14+SQRT(Z1000*($F$14-$D$14)*($E$14-$D$14)),$F$14-SQRT((1-Z1000)*($F$14-$D$14)*($F$14-$E$14)))</x:f>
        <x:v>0.97056971124239</x:v>
      </x:c>
      <x:c r="G1000" s="258" t="n">
        <x:f>IF(AA1000&lt;($E$15-$D$15)/($F$15-$D$15),$D$15+SQRT(AA1000*($F$15-$D$15)*($E$15-$D$15)),$F$15-SQRT((1-AA1000)*($F$15-$D$15)*($F$15-$E$15)))</x:f>
        <x:v>0.10545820027913407</x:v>
      </x:c>
      <x:c r="H1000" s="258" t="n">
        <x:f>IF(AB1000&lt;($E$16-$D$16)/($F$16-$D$16),$D$16+SQRT(AB1000*($F$16-$D$16)*($E$16-$D$16)),$F$16-SQRT((1-AB1000)*($F$16-$D$16)*($F$16-$E$16)))</x:f>
        <x:v>0.03446244325674238</x:v>
      </x:c>
      <x:c r="I1000" s="262" t="n">
        <x:f>'Historical Inputs'!$N$9*(1+D1000)^5</x:f>
        <x:v>673569.9667485466</x:v>
      </x:c>
      <x:c r="J1000" s="262" t="n">
        <x:f>I1000*(1+H1000)*('Terminal Value'!$E$10+E1000)*(1-'Assumptions'!$E$15)*(1-H1000/'Terminal Value'!$E$12)</x:f>
        <x:v>188581.61160947508</x:v>
      </x:c>
      <x:c r="K1000" s="264" t="n">
        <x:f>((SUM((('Historical Inputs'!$N$9*(1+(D1000))^1)*(('Assumptions'!E37+(E1000))*(1-'Assumptions'!E42-(0))+'Assumptions'!E47-'Assumptions'!E52*(F1000)+'Assumptions'!E57-'Assumptions'!E62*(1)-'Assumptions'!E67-(0))+('Working Capital'!$E$6))*'DCF'!E12/(1+(G1000))^'DCF'!E13,(('Historical Inputs'!$N$9*(1+(D1000))^2)*(('Assumptions'!F37+(E1000))*(1-'Assumptions'!F42-(0))+'Assumptions'!F47-'Assumptions'!F52*(F1000)+'Assumptions'!F57-'Assumptions'!F62*(1)-'Assumptions'!F67-(0))+(('Historical Inputs'!$N$9*(1+(D1000))^1)*('Assumptions'!E67+(0))))*'DCF'!F12/(1+(G1000))^'DCF'!F13,(('Historical Inputs'!$N$9*(1+(D1000))^3)*(('Assumptions'!G37+(E1000))*(1-'Assumptions'!G42-(0))+'Assumptions'!G47-'Assumptions'!G52*(F1000)+'Assumptions'!G57-'Assumptions'!G62*(1)-'Assumptions'!G67-(0))+(('Historical Inputs'!$N$9*(1+(D1000))^2)*('Assumptions'!F67+(0))))*'DCF'!G12/(1+(G1000))^'DCF'!G13,(('Historical Inputs'!$N$9*(1+(D1000))^4)*(('Assumptions'!H37+(E1000))*(1-'Assumptions'!H42-(0))+'Assumptions'!H47-'Assumptions'!H52*(F1000)+'Assumptions'!H57-'Assumptions'!H62*(1)-'Assumptions'!H67-(0))+(('Historical Inputs'!$N$9*(1+(D1000))^3)*('Assumptions'!G67+(0))))*'DCF'!H12/(1+(G1000))^'DCF'!H13,(('Historical Inputs'!$N$9*(1+(D1000))^5)*(('Assumptions'!I37+(E1000))*(1-'Assumptions'!I42-(0))+'Assumptions'!I47-'Assumptions'!I52*(F1000)+'Assumptions'!I57-'Assumptions'!I62*(1)-'Assumptions'!I67-(0))+(('Historical Inputs'!$N$9*(1+(D1000))^4)*('Assumptions'!H67+(0))))*'DCF'!I12/(1+(G1000))^'DCF'!I13)+('Historical Inputs'!$N$9*(1+(D1000))^5)*(1+(H1000))*('Terminal Value'!$E$10+(E1000))*(1-'Assumptions'!$E$15-(0))*(1-(H1000)/('Terminal Value'!$E$12))/((G1000)-(H1000))/(1+(G1000))^'DCF'!$E$19)+'Equity Bridge'!$E$17)/'Equity Bridge'!$E$20</x:f>
        <x:v>281.89407691100376</x:v>
      </x:c>
      <x:c r="X1000" s="255" t="n">
        <x:v>0.6612583893260319</x:v>
      </x:c>
      <x:c r="Y1000" s="255" t="n">
        <x:v>0.6594949477135569</x:v>
      </x:c>
      <x:c r="Z1000" s="255" t="n">
        <x:v>0.27689629083949174</x:v>
      </x:c>
      <x:c r="AA1000" s="255" t="n">
        <x:v>0.8688539539393829</x:v>
      </x:c>
      <x:c r="AB1000" s="255" t="n">
        <x:v>0.8466773265760102</x:v>
      </x:c>
    </x:row>
    <x:row r="1001" ht="24" customHeight="1">
      <x:c r="C1001" s="256" t="n">
        <x:f>970</x:f>
        <x:v>970</x:v>
      </x:c>
      <x:c r="D1001" s="258" t="n">
        <x:f>IF(X1001&lt;($E$12-$D$12)/($F$12-$D$12),$D$12+SQRT(X1001*($F$12-$D$12)*($E$12-$D$12)),$F$12-SQRT((1-X1001)*($F$12-$D$12)*($F$12-$E$12)))</x:f>
        <x:v>0.14855975876514108</x:v>
      </x:c>
      <x:c r="E1001" s="258" t="n">
        <x:f>IF(Y1001&lt;($E$13-$D$13)/($F$13-$D$13),$D$13+SQRT(Y1001*($F$13-$D$13)*($E$13-$D$13)),$F$13-SQRT((1-Y1001)*($F$13-$D$13)*($F$13-$E$13)))</x:f>
        <x:v>-0.00468298890388303</x:v>
      </x:c>
      <x:c r="F1001" s="260" t="n">
        <x:f>IF(Z1001&lt;($E$14-$D$14)/($F$14-$D$14),$D$14+SQRT(Z1001*($F$14-$D$14)*($E$14-$D$14)),$F$14-SQRT((1-Z1001)*($F$14-$D$14)*($F$14-$E$14)))</x:f>
        <x:v>0.9325994678505581</x:v>
      </x:c>
      <x:c r="G1001" s="258" t="n">
        <x:f>IF(AA1001&lt;($E$15-$D$15)/($F$15-$D$15),$D$15+SQRT(AA1001*($F$15-$D$15)*($E$15-$D$15)),$F$15-SQRT((1-AA1001)*($F$15-$D$15)*($F$15-$E$15)))</x:f>
        <x:v>0.11049201425384375</x:v>
      </x:c>
      <x:c r="H1001" s="258" t="n">
        <x:f>IF(AB1001&lt;($E$16-$D$16)/($F$16-$D$16),$D$16+SQRT(AB1001*($F$16-$D$16)*($E$16-$D$16)),$F$16-SQRT((1-AB1001)*($F$16-$D$16)*($F$16-$E$16)))</x:f>
        <x:v>0.03491218161434151</x:v>
      </x:c>
      <x:c r="I1001" s="262" t="n">
        <x:f>'Historical Inputs'!$N$9*(1+D1001)^5</x:f>
        <x:v>663277.716166647</x:v>
      </x:c>
      <x:c r="J1001" s="262" t="n">
        <x:f>I1001*(1+H1001)*('Terminal Value'!$E$10+E1001)*(1-'Assumptions'!$E$15)*(1-H1001/'Terminal Value'!$E$12)</x:f>
        <x:v>179192.33494225785</x:v>
      </x:c>
      <x:c r="K1001" s="264" t="n">
        <x:f>((SUM((('Historical Inputs'!$N$9*(1+(D1001))^1)*(('Assumptions'!E37+(E1001))*(1-'Assumptions'!E42-(0))+'Assumptions'!E47-'Assumptions'!E52*(F1001)+'Assumptions'!E57-'Assumptions'!E62*(1)-'Assumptions'!E67-(0))+('Working Capital'!$E$6))*'DCF'!E12/(1+(G1001))^'DCF'!E13,(('Historical Inputs'!$N$9*(1+(D1001))^2)*(('Assumptions'!F37+(E1001))*(1-'Assumptions'!F42-(0))+'Assumptions'!F47-'Assumptions'!F52*(F1001)+'Assumptions'!F57-'Assumptions'!F62*(1)-'Assumptions'!F67-(0))+(('Historical Inputs'!$N$9*(1+(D1001))^1)*('Assumptions'!E67+(0))))*'DCF'!F12/(1+(G1001))^'DCF'!F13,(('Historical Inputs'!$N$9*(1+(D1001))^3)*(('Assumptions'!G37+(E1001))*(1-'Assumptions'!G42-(0))+'Assumptions'!G47-'Assumptions'!G52*(F1001)+'Assumptions'!G57-'Assumptions'!G62*(1)-'Assumptions'!G67-(0))+(('Historical Inputs'!$N$9*(1+(D1001))^2)*('Assumptions'!F67+(0))))*'DCF'!G12/(1+(G1001))^'DCF'!G13,(('Historical Inputs'!$N$9*(1+(D1001))^4)*(('Assumptions'!H37+(E1001))*(1-'Assumptions'!H42-(0))+'Assumptions'!H47-'Assumptions'!H52*(F1001)+'Assumptions'!H57-'Assumptions'!H62*(1)-'Assumptions'!H67-(0))+(('Historical Inputs'!$N$9*(1+(D1001))^3)*('Assumptions'!G67+(0))))*'DCF'!H12/(1+(G1001))^'DCF'!H13,(('Historical Inputs'!$N$9*(1+(D1001))^5)*(('Assumptions'!I37+(E1001))*(1-'Assumptions'!I42-(0))+'Assumptions'!I47-'Assumptions'!I52*(F1001)+'Assumptions'!I57-'Assumptions'!I62*(1)-'Assumptions'!I67-(0))+(('Historical Inputs'!$N$9*(1+(D1001))^4)*('Assumptions'!H67+(0))))*'DCF'!I12/(1+(G1001))^'DCF'!I13)+('Historical Inputs'!$N$9*(1+(D1001))^5)*(1+(H1001))*('Terminal Value'!$E$10+(E1001))*(1-'Assumptions'!$E$15-(0))*(1-(H1001)/('Terminal Value'!$E$12))/((G1001)-(H1001))/(1+(G1001))^'DCF'!$E$19)+'Equity Bridge'!$E$17)/'Equity Bridge'!$E$20</x:f>
        <x:v>252.08060261714894</x:v>
      </x:c>
      <x:c r="X1001" s="255" t="n">
        <x:v>0.6004309349726497</x:v>
      </x:c>
      <x:c r="Y1001" s="255" t="n">
        <x:v>0.41072629893711776</x:v>
      </x:c>
      <x:c r="Z1001" s="255" t="n">
        <x:v>0.12995565884181703</x:v>
      </x:c>
      <x:c r="AA1001" s="255" t="n">
        <x:v>0.9844138124378438</x:v>
      </x:c>
      <x:c r="AB1001" s="255" t="n">
        <x:v>0.8705705203727773</x:v>
      </x:c>
    </x:row>
    <x:row r="1002" ht="24" customHeight="1">
      <x:c r="C1002" s="256" t="n">
        <x:f>971</x:f>
        <x:v>971</x:v>
      </x:c>
      <x:c r="D1002" s="258" t="n">
        <x:f>IF(X1002&lt;($E$12-$D$12)/($F$12-$D$12),$D$12+SQRT(X1002*($F$12-$D$12)*($E$12-$D$12)),$F$12-SQRT((1-X1002)*($F$12-$D$12)*($F$12-$E$12)))</x:f>
        <x:v>0.17646825451585685</x:v>
      </x:c>
      <x:c r="E1002" s="258" t="n">
        <x:f>IF(Y1002&lt;($E$13-$D$13)/($F$13-$D$13),$D$13+SQRT(Y1002*($F$13-$D$13)*($E$13-$D$13)),$F$13-SQRT((1-Y1002)*($F$13-$D$13)*($F$13-$E$13)))</x:f>
        <x:v>-0.011369740424299543</x:v>
      </x:c>
      <x:c r="F1002" s="260" t="n">
        <x:f>IF(Z1002&lt;($E$14-$D$14)/($F$14-$D$14),$D$14+SQRT(Z1002*($F$14-$D$14)*($E$14-$D$14)),$F$14-SQRT((1-Z1002)*($F$14-$D$14)*($F$14-$E$14)))</x:f>
        <x:v>1.0058457123142486</x:v>
      </x:c>
      <x:c r="G1002" s="258" t="n">
        <x:f>IF(AA1002&lt;($E$15-$D$15)/($F$15-$D$15),$D$15+SQRT(AA1002*($F$15-$D$15)*($E$15-$D$15)),$F$15-SQRT((1-AA1002)*($F$15-$D$15)*($F$15-$E$15)))</x:f>
        <x:v>0.09995037290396105</x:v>
      </x:c>
      <x:c r="H1002" s="258" t="n">
        <x:f>IF(AB1002&lt;($E$16-$D$16)/($F$16-$D$16),$D$16+SQRT(AB1002*($F$16-$D$16)*($E$16-$D$16)),$F$16-SQRT((1-AB1002)*($F$16-$D$16)*($F$16-$E$16)))</x:f>
        <x:v>0.0329048008089389</x:v>
      </x:c>
      <x:c r="I1002" s="262" t="n">
        <x:f>'Historical Inputs'!$N$9*(1+D1002)^5</x:f>
        <x:v>747874.0943219587</x:v>
      </x:c>
      <x:c r="J1002" s="262" t="n">
        <x:f>I1002*(1+H1002)*('Terminal Value'!$E$10+E1002)*(1-'Assumptions'!$E$15)*(1-H1002/'Terminal Value'!$E$12)</x:f>
        <x:v>200654.7117569011</x:v>
      </x:c>
      <x:c r="K1002" s="264" t="n">
        <x:f>((SUM((('Historical Inputs'!$N$9*(1+(D1002))^1)*(('Assumptions'!E37+(E1002))*(1-'Assumptions'!E42-(0))+'Assumptions'!E47-'Assumptions'!E52*(F1002)+'Assumptions'!E57-'Assumptions'!E62*(1)-'Assumptions'!E67-(0))+('Working Capital'!$E$6))*'DCF'!E12/(1+(G1002))^'DCF'!E13,(('Historical Inputs'!$N$9*(1+(D1002))^2)*(('Assumptions'!F37+(E1002))*(1-'Assumptions'!F42-(0))+'Assumptions'!F47-'Assumptions'!F52*(F1002)+'Assumptions'!F57-'Assumptions'!F62*(1)-'Assumptions'!F67-(0))+(('Historical Inputs'!$N$9*(1+(D1002))^1)*('Assumptions'!E67+(0))))*'DCF'!F12/(1+(G1002))^'DCF'!F13,(('Historical Inputs'!$N$9*(1+(D1002))^3)*(('Assumptions'!G37+(E1002))*(1-'Assumptions'!G42-(0))+'Assumptions'!G47-'Assumptions'!G52*(F1002)+'Assumptions'!G57-'Assumptions'!G62*(1)-'Assumptions'!G67-(0))+(('Historical Inputs'!$N$9*(1+(D1002))^2)*('Assumptions'!F67+(0))))*'DCF'!G12/(1+(G1002))^'DCF'!G13,(('Historical Inputs'!$N$9*(1+(D1002))^4)*(('Assumptions'!H37+(E1002))*(1-'Assumptions'!H42-(0))+'Assumptions'!H47-'Assumptions'!H52*(F1002)+'Assumptions'!H57-'Assumptions'!H62*(1)-'Assumptions'!H67-(0))+(('Historical Inputs'!$N$9*(1+(D1002))^3)*('Assumptions'!G67+(0))))*'DCF'!H12/(1+(G1002))^'DCF'!H13,(('Historical Inputs'!$N$9*(1+(D1002))^5)*(('Assumptions'!I37+(E1002))*(1-'Assumptions'!I42-(0))+'Assumptions'!I47-'Assumptions'!I52*(F1002)+'Assumptions'!I57-'Assumptions'!I62*(1)-'Assumptions'!I67-(0))+(('Historical Inputs'!$N$9*(1+(D1002))^4)*('Assumptions'!H67+(0))))*'DCF'!I12/(1+(G1002))^'DCF'!I13)+('Historical Inputs'!$N$9*(1+(D1002))^5)*(1+(H1002))*('Terminal Value'!$E$10+(E1002))*(1-'Assumptions'!$E$15-(0))*(1-(H1002)/('Terminal Value'!$E$12))/((G1002)-(H1002))/(1+(G1002))^'DCF'!$E$19)+'Equity Bridge'!$E$17)/'Equity Bridge'!$E$20</x:f>
        <x:v>314.72731642516686</x:v>
      </x:c>
      <x:c r="X1002" s="255" t="n">
        <x:v>0.9436274584407885</x:v>
      </x:c>
      <x:c r="Y1002" s="255" t="n">
        <x:v>0.2984593909771994</x:v>
      </x:c>
      <x:c r="Z1002" s="255" t="n">
        <x:v>0.4614873224748355</x:v>
      </x:c>
      <x:c r="AA1002" s="255" t="n">
        <x:v>0.613386656242678</x:v>
      </x:c>
      <x:c r="AB1002" s="255" t="n">
        <x:v>0.7482907421958296</x:v>
      </x:c>
    </x:row>
    <x:row r="1003" ht="24" customHeight="1">
      <x:c r="C1003" s="256" t="n">
        <x:f>972</x:f>
        <x:v>972</x:v>
      </x:c>
      <x:c r="D1003" s="258" t="n">
        <x:f>IF(X1003&lt;($E$12-$D$12)/($F$12-$D$12),$D$12+SQRT(X1003*($F$12-$D$12)*($E$12-$D$12)),$F$12-SQRT((1-X1003)*($F$12-$D$12)*($F$12-$E$12)))</x:f>
        <x:v>0.13709196836022713</x:v>
      </x:c>
      <x:c r="E1003" s="258" t="n">
        <x:f>IF(Y1003&lt;($E$13-$D$13)/($F$13-$D$13),$D$13+SQRT(Y1003*($F$13-$D$13)*($E$13-$D$13)),$F$13-SQRT((1-Y1003)*($F$13-$D$13)*($F$13-$E$13)))</x:f>
        <x:v>-0.0023652506730410666</x:v>
      </x:c>
      <x:c r="F1003" s="260" t="n">
        <x:f>IF(Z1003&lt;($E$14-$D$14)/($F$14-$D$14),$D$14+SQRT(Z1003*($F$14-$D$14)*($E$14-$D$14)),$F$14-SQRT((1-Z1003)*($F$14-$D$14)*($F$14-$E$14)))</x:f>
        <x:v>0.9458630147601859</x:v>
      </x:c>
      <x:c r="G1003" s="258" t="n">
        <x:f>IF(AA1003&lt;($E$15-$D$15)/($F$15-$D$15),$D$15+SQRT(AA1003*($F$15-$D$15)*($E$15-$D$15)),$F$15-SQRT((1-AA1003)*($F$15-$D$15)*($F$15-$E$15)))</x:f>
        <x:v>0.09061909601993669</x:v>
      </x:c>
      <x:c r="H1003" s="258" t="n">
        <x:f>IF(AB1003&lt;($E$16-$D$16)/($F$16-$D$16),$D$16+SQRT(AB1003*($F$16-$D$16)*($E$16-$D$16)),$F$16-SQRT((1-AB1003)*($F$16-$D$16)*($F$16-$E$16)))</x:f>
        <x:v>0.03587389475521637</x:v>
      </x:c>
      <x:c r="I1003" s="262" t="n">
        <x:f>'Historical Inputs'!$N$9*(1+D1003)^5</x:f>
        <x:v>630819.9009406908</x:v>
      </x:c>
      <x:c r="J1003" s="262" t="n">
        <x:f>I1003*(1+H1003)*('Terminal Value'!$E$10+E1003)*(1-'Assumptions'!$E$15)*(1-H1003/'Terminal Value'!$E$12)</x:f>
        <x:v>170582.41547084108</x:v>
      </x:c>
      <x:c r="K1003" s="264" t="n">
        <x:f>((SUM((('Historical Inputs'!$N$9*(1+(D1003))^1)*(('Assumptions'!E37+(E1003))*(1-'Assumptions'!E42-(0))+'Assumptions'!E47-'Assumptions'!E52*(F1003)+'Assumptions'!E57-'Assumptions'!E62*(1)-'Assumptions'!E67-(0))+('Working Capital'!$E$6))*'DCF'!E12/(1+(G1003))^'DCF'!E13,(('Historical Inputs'!$N$9*(1+(D1003))^2)*(('Assumptions'!F37+(E1003))*(1-'Assumptions'!F42-(0))+'Assumptions'!F47-'Assumptions'!F52*(F1003)+'Assumptions'!F57-'Assumptions'!F62*(1)-'Assumptions'!F67-(0))+(('Historical Inputs'!$N$9*(1+(D1003))^1)*('Assumptions'!E67+(0))))*'DCF'!F12/(1+(G1003))^'DCF'!F13,(('Historical Inputs'!$N$9*(1+(D1003))^3)*(('Assumptions'!G37+(E1003))*(1-'Assumptions'!G42-(0))+'Assumptions'!G47-'Assumptions'!G52*(F1003)+'Assumptions'!G57-'Assumptions'!G62*(1)-'Assumptions'!G67-(0))+(('Historical Inputs'!$N$9*(1+(D1003))^2)*('Assumptions'!F67+(0))))*'DCF'!G12/(1+(G1003))^'DCF'!G13,(('Historical Inputs'!$N$9*(1+(D1003))^4)*(('Assumptions'!H37+(E1003))*(1-'Assumptions'!H42-(0))+'Assumptions'!H47-'Assumptions'!H52*(F1003)+'Assumptions'!H57-'Assumptions'!H62*(1)-'Assumptions'!H67-(0))+(('Historical Inputs'!$N$9*(1+(D1003))^3)*('Assumptions'!G67+(0))))*'DCF'!H12/(1+(G1003))^'DCF'!H13,(('Historical Inputs'!$N$9*(1+(D1003))^5)*(('Assumptions'!I37+(E1003))*(1-'Assumptions'!I42-(0))+'Assumptions'!I47-'Assumptions'!I52*(F1003)+'Assumptions'!I57-'Assumptions'!I62*(1)-'Assumptions'!I67-(0))+(('Historical Inputs'!$N$9*(1+(D1003))^4)*('Assumptions'!H67+(0))))*'DCF'!I12/(1+(G1003))^'DCF'!I13)+('Historical Inputs'!$N$9*(1+(D1003))^5)*(1+(H1003))*('Terminal Value'!$E$10+(E1003))*(1-'Assumptions'!$E$15-(0))*(1-(H1003)/('Terminal Value'!$E$12))/((G1003)-(H1003))/(1+(G1003))^'DCF'!$E$19)+'Equity Bridge'!$E$17)/'Equity Bridge'!$E$20</x:f>
        <x:v>336.24979769254827</x:v>
      </x:c>
      <x:c r="X1003" s="255" t="n">
        <x:v>0.3843005075307043</x:v>
      </x:c>
      <x:c r="Y1003" s="255" t="n">
        <x:v>0.45381386868844287</x:v>
      </x:c>
      <x:c r="Z1003" s="255" t="n">
        <x:v>0.17504223997926904</x:v>
      </x:c>
      <x:c r="AA1003" s="255" t="n">
        <x:v>0.12429189663492979</x:v>
      </x:c>
      <x:c r="AB1003" s="255" t="n">
        <x:v>0.9148762775448451</x:v>
      </x:c>
    </x:row>
    <x:row r="1004" ht="24" customHeight="1">
      <x:c r="C1004" s="256" t="n">
        <x:f>973</x:f>
        <x:v>973</x:v>
      </x:c>
      <x:c r="D1004" s="258" t="n">
        <x:f>IF(X1004&lt;($E$12-$D$12)/($F$12-$D$12),$D$12+SQRT(X1004*($F$12-$D$12)*($E$12-$D$12)),$F$12-SQRT((1-X1004)*($F$12-$D$12)*($F$12-$E$12)))</x:f>
        <x:v>0.1380735528512247</x:v>
      </x:c>
      <x:c r="E1004" s="258" t="n">
        <x:f>IF(Y1004&lt;($E$13-$D$13)/($F$13-$D$13),$D$13+SQRT(Y1004*($F$13-$D$13)*($E$13-$D$13)),$F$13-SQRT((1-Y1004)*($F$13-$D$13)*($F$13-$E$13)))</x:f>
        <x:v>0.003697002425392816</x:v>
      </x:c>
      <x:c r="F1004" s="260" t="n">
        <x:f>IF(Z1004&lt;($E$14-$D$14)/($F$14-$D$14),$D$14+SQRT(Z1004*($F$14-$D$14)*($E$14-$D$14)),$F$14-SQRT((1-Z1004)*($F$14-$D$14)*($F$14-$E$14)))</x:f>
        <x:v>0.9790047134249881</x:v>
      </x:c>
      <x:c r="G1004" s="258" t="n">
        <x:f>IF(AA1004&lt;($E$15-$D$15)/($F$15-$D$15),$D$15+SQRT(AA1004*($F$15-$D$15)*($E$15-$D$15)),$F$15-SQRT((1-AA1004)*($F$15-$D$15)*($F$15-$E$15)))</x:f>
        <x:v>0.09985357284699338</x:v>
      </x:c>
      <x:c r="H1004" s="258" t="n">
        <x:f>IF(AB1004&lt;($E$16-$D$16)/($F$16-$D$16),$D$16+SQRT(AB1004*($F$16-$D$16)*($E$16-$D$16)),$F$16-SQRT((1-AB1004)*($F$16-$D$16)*($F$16-$E$16)))</x:f>
        <x:v>0.02902208068364371</x:v>
      </x:c>
      <x:c r="I1004" s="262" t="n">
        <x:f>'Historical Inputs'!$N$9*(1+D1004)^5</x:f>
        <x:v>633547.3540177238</x:v>
      </x:c>
      <x:c r="J1004" s="262" t="n">
        <x:f>I1004*(1+H1004)*('Terminal Value'!$E$10+E1004)*(1-'Assumptions'!$E$15)*(1-H1004/'Terminal Value'!$E$12)</x:f>
        <x:v>179994.53492551847</x:v>
      </x:c>
      <x:c r="K1004" s="264" t="n">
        <x:f>((SUM((('Historical Inputs'!$N$9*(1+(D1004))^1)*(('Assumptions'!E37+(E1004))*(1-'Assumptions'!E42-(0))+'Assumptions'!E47-'Assumptions'!E52*(F1004)+'Assumptions'!E57-'Assumptions'!E62*(1)-'Assumptions'!E67-(0))+('Working Capital'!$E$6))*'DCF'!E12/(1+(G1004))^'DCF'!E13,(('Historical Inputs'!$N$9*(1+(D1004))^2)*(('Assumptions'!F37+(E1004))*(1-'Assumptions'!F42-(0))+'Assumptions'!F47-'Assumptions'!F52*(F1004)+'Assumptions'!F57-'Assumptions'!F62*(1)-'Assumptions'!F67-(0))+(('Historical Inputs'!$N$9*(1+(D1004))^1)*('Assumptions'!E67+(0))))*'DCF'!F12/(1+(G1004))^'DCF'!F13,(('Historical Inputs'!$N$9*(1+(D1004))^3)*(('Assumptions'!G37+(E1004))*(1-'Assumptions'!G42-(0))+'Assumptions'!G47-'Assumptions'!G52*(F1004)+'Assumptions'!G57-'Assumptions'!G62*(1)-'Assumptions'!G67-(0))+(('Historical Inputs'!$N$9*(1+(D1004))^2)*('Assumptions'!F67+(0))))*'DCF'!G12/(1+(G1004))^'DCF'!G13,(('Historical Inputs'!$N$9*(1+(D1004))^4)*(('Assumptions'!H37+(E1004))*(1-'Assumptions'!H42-(0))+'Assumptions'!H47-'Assumptions'!H52*(F1004)+'Assumptions'!H57-'Assumptions'!H62*(1)-'Assumptions'!H67-(0))+(('Historical Inputs'!$N$9*(1+(D1004))^3)*('Assumptions'!G67+(0))))*'DCF'!H12/(1+(G1004))^'DCF'!H13,(('Historical Inputs'!$N$9*(1+(D1004))^5)*(('Assumptions'!I37+(E1004))*(1-'Assumptions'!I42-(0))+'Assumptions'!I47-'Assumptions'!I52*(F1004)+'Assumptions'!I57-'Assumptions'!I62*(1)-'Assumptions'!I67-(0))+(('Historical Inputs'!$N$9*(1+(D1004))^4)*('Assumptions'!H67+(0))))*'DCF'!I12/(1+(G1004))^'DCF'!I13)+('Historical Inputs'!$N$9*(1+(D1004))^5)*(1+(H1004))*('Terminal Value'!$E$10+(E1004))*(1-'Assumptions'!$E$15-(0))*(1-(H1004)/('Terminal Value'!$E$12))/((G1004)-(H1004))/(1+(G1004))^'DCF'!$E$19)+'Equity Bridge'!$E$17)/'Equity Bridge'!$E$20</x:f>
        <x:v>274.13865256331474</x:v>
      </x:c>
      <x:c r="X1004" s="255" t="n">
        <x:v>0.4017042906259568</x:v>
      </x:c>
      <x:c r="Y1004" s="255" t="n">
        <x:v>0.5712064831211843</x:v>
      </x:c>
      <x:c r="Z1004" s="255" t="n">
        <x:v>0.3169945921116818</x:v>
      </x:c>
      <x:c r="AA1004" s="255" t="n">
        <x:v>0.6076912005662971</x:v>
      </x:c>
      <x:c r="AB1004" s="255" t="n">
        <x:v>0.4069896993108847</x:v>
      </x:c>
    </x:row>
    <x:row r="1005" ht="24" customHeight="1">
      <x:c r="C1005" s="256" t="n">
        <x:f>974</x:f>
        <x:v>974</x:v>
      </x:c>
      <x:c r="D1005" s="258" t="n">
        <x:f>IF(X1005&lt;($E$12-$D$12)/($F$12-$D$12),$D$12+SQRT(X1005*($F$12-$D$12)*($E$12-$D$12)),$F$12-SQRT((1-X1005)*($F$12-$D$12)*($F$12-$E$12)))</x:f>
        <x:v>0.1843940642054536</x:v>
      </x:c>
      <x:c r="E1005" s="258" t="n">
        <x:f>IF(Y1005&lt;($E$13-$D$13)/($F$13-$D$13),$D$13+SQRT(Y1005*($F$13-$D$13)*($E$13-$D$13)),$F$13-SQRT((1-Y1005)*($F$13-$D$13)*($F$13-$E$13)))</x:f>
        <x:v>-0.01271533616599773</x:v>
      </x:c>
      <x:c r="F1005" s="260" t="n">
        <x:f>IF(Z1005&lt;($E$14-$D$14)/($F$14-$D$14),$D$14+SQRT(Z1005*($F$14-$D$14)*($E$14-$D$14)),$F$14-SQRT((1-Z1005)*($F$14-$D$14)*($F$14-$E$14)))</x:f>
        <x:v>0.9481446323884234</x:v>
      </x:c>
      <x:c r="G1005" s="258" t="n">
        <x:f>IF(AA1005&lt;($E$15-$D$15)/($F$15-$D$15),$D$15+SQRT(AA1005*($F$15-$D$15)*($E$15-$D$15)),$F$15-SQRT((1-AA1005)*($F$15-$D$15)*($F$15-$E$15)))</x:f>
        <x:v>0.09575021976699373</x:v>
      </x:c>
      <x:c r="H1005" s="258" t="n">
        <x:f>IF(AB1005&lt;($E$16-$D$16)/($F$16-$D$16),$D$16+SQRT(AB1005*($F$16-$D$16)*($E$16-$D$16)),$F$16-SQRT((1-AB1005)*($F$16-$D$16)*($F$16-$E$16)))</x:f>
        <x:v>0.030538229916158767</x:v>
      </x:c>
      <x:c r="I1005" s="262" t="n">
        <x:f>'Historical Inputs'!$N$9*(1+D1005)^5</x:f>
        <x:v>773407.7806692213</x:v>
      </x:c>
      <x:c r="J1005" s="262" t="n">
        <x:f>I1005*(1+H1005)*('Terminal Value'!$E$10+E1005)*(1-'Assumptions'!$E$15)*(1-H1005/'Terminal Value'!$E$12)</x:f>
        <x:v>209235.16398454414</x:v>
      </x:c>
      <x:c r="K1005" s="264" t="n">
        <x:f>((SUM((('Historical Inputs'!$N$9*(1+(D1005))^1)*(('Assumptions'!E37+(E1005))*(1-'Assumptions'!E42-(0))+'Assumptions'!E47-'Assumptions'!E52*(F1005)+'Assumptions'!E57-'Assumptions'!E62*(1)-'Assumptions'!E67-(0))+('Working Capital'!$E$6))*'DCF'!E12/(1+(G1005))^'DCF'!E13,(('Historical Inputs'!$N$9*(1+(D1005))^2)*(('Assumptions'!F37+(E1005))*(1-'Assumptions'!F42-(0))+'Assumptions'!F47-'Assumptions'!F52*(F1005)+'Assumptions'!F57-'Assumptions'!F62*(1)-'Assumptions'!F67-(0))+(('Historical Inputs'!$N$9*(1+(D1005))^1)*('Assumptions'!E67+(0))))*'DCF'!F12/(1+(G1005))^'DCF'!F13,(('Historical Inputs'!$N$9*(1+(D1005))^3)*(('Assumptions'!G37+(E1005))*(1-'Assumptions'!G42-(0))+'Assumptions'!G47-'Assumptions'!G52*(F1005)+'Assumptions'!G57-'Assumptions'!G62*(1)-'Assumptions'!G67-(0))+(('Historical Inputs'!$N$9*(1+(D1005))^2)*('Assumptions'!F67+(0))))*'DCF'!G12/(1+(G1005))^'DCF'!G13,(('Historical Inputs'!$N$9*(1+(D1005))^4)*(('Assumptions'!H37+(E1005))*(1-'Assumptions'!H42-(0))+'Assumptions'!H47-'Assumptions'!H52*(F1005)+'Assumptions'!H57-'Assumptions'!H62*(1)-'Assumptions'!H67-(0))+(('Historical Inputs'!$N$9*(1+(D1005))^3)*('Assumptions'!G67+(0))))*'DCF'!H12/(1+(G1005))^'DCF'!H13,(('Historical Inputs'!$N$9*(1+(D1005))^5)*(('Assumptions'!I37+(E1005))*(1-'Assumptions'!I42-(0))+'Assumptions'!I47-'Assumptions'!I52*(F1005)+'Assumptions'!I57-'Assumptions'!I62*(1)-'Assumptions'!I67-(0))+(('Historical Inputs'!$N$9*(1+(D1005))^4)*('Assumptions'!H67+(0))))*'DCF'!I12/(1+(G1005))^'DCF'!I13)+('Historical Inputs'!$N$9*(1+(D1005))^5)*(1+(H1005))*('Terminal Value'!$E$10+(E1005))*(1-'Assumptions'!$E$15-(0))*(1-(H1005)/('Terminal Value'!$E$12))/((G1005)-(H1005))/(1+(G1005))^'DCF'!$E$19)+'Equity Bridge'!$E$17)/'Equity Bridge'!$E$20</x:f>
        <x:v>344.1516916280278</x:v>
      </x:c>
      <x:c r="X1005" s="255" t="n">
        <x:v>0.9842895964430763</x:v>
      </x:c>
      <x:c r="Y1005" s="255" t="n">
        <x:v>0.27802923144291136</x:v>
      </x:c>
      <x:c r="Z1005" s="255" t="n">
        <x:v>0.18347369269826241</x:v>
      </x:c>
      <x:c r="AA1005" s="255" t="n">
        <x:v>0.35335184228056815</x:v>
      </x:c>
      <x:c r="AB1005" s="255" t="n">
        <x:v>0.5523745344026354</x:v>
      </x:c>
    </x:row>
    <x:row r="1006" ht="24" customHeight="1">
      <x:c r="C1006" s="256" t="n">
        <x:f>975</x:f>
        <x:v>975</x:v>
      </x:c>
      <x:c r="D1006" s="258" t="n">
        <x:f>IF(X1006&lt;($E$12-$D$12)/($F$12-$D$12),$D$12+SQRT(X1006*($F$12-$D$12)*($E$12-$D$12)),$F$12-SQRT((1-X1006)*($F$12-$D$12)*($F$12-$E$12)))</x:f>
        <x:v>0.15057058097486642</x:v>
      </x:c>
      <x:c r="E1006" s="258" t="n">
        <x:f>IF(Y1006&lt;($E$13-$D$13)/($F$13-$D$13),$D$13+SQRT(Y1006*($F$13-$D$13)*($E$13-$D$13)),$F$13-SQRT((1-Y1006)*($F$13-$D$13)*($F$13-$E$13)))</x:f>
        <x:v>-0.008303965182436215</x:v>
      </x:c>
      <x:c r="F1006" s="260" t="n">
        <x:f>IF(Z1006&lt;($E$14-$D$14)/($F$14-$D$14),$D$14+SQRT(Z1006*($F$14-$D$14)*($E$14-$D$14)),$F$14-SQRT((1-Z1006)*($F$14-$D$14)*($F$14-$E$14)))</x:f>
        <x:v>1.122696097335786</x:v>
      </x:c>
      <x:c r="G1006" s="258" t="n">
        <x:f>IF(AA1006&lt;($E$15-$D$15)/($F$15-$D$15),$D$15+SQRT(AA1006*($F$15-$D$15)*($E$15-$D$15)),$F$15-SQRT((1-AA1006)*($F$15-$D$15)*($F$15-$E$15)))</x:f>
        <x:v>0.09633114360670594</x:v>
      </x:c>
      <x:c r="H1006" s="258" t="n">
        <x:f>IF(AB1006&lt;($E$16-$D$16)/($F$16-$D$16),$D$16+SQRT(AB1006*($F$16-$D$16)*($E$16-$D$16)),$F$16-SQRT((1-AB1006)*($F$16-$D$16)*($F$16-$E$16)))</x:f>
        <x:v>0.02947840845465219</x:v>
      </x:c>
      <x:c r="I1006" s="262" t="n">
        <x:f>'Historical Inputs'!$N$9*(1+D1006)^5</x:f>
        <x:v>669104.1947640155</x:v>
      </x:c>
      <x:c r="J1006" s="262" t="n">
        <x:f>I1006*(1+H1006)*('Terminal Value'!$E$10+E1006)*(1-'Assumptions'!$E$15)*(1-H1006/'Terminal Value'!$E$12)</x:f>
        <x:v>184034.62431934988</x:v>
      </x:c>
      <x:c r="K1006" s="264" t="n">
        <x:f>((SUM((('Historical Inputs'!$N$9*(1+(D1006))^1)*(('Assumptions'!E37+(E1006))*(1-'Assumptions'!E42-(0))+'Assumptions'!E47-'Assumptions'!E52*(F1006)+'Assumptions'!E57-'Assumptions'!E62*(1)-'Assumptions'!E67-(0))+('Working Capital'!$E$6))*'DCF'!E12/(1+(G1006))^'DCF'!E13,(('Historical Inputs'!$N$9*(1+(D1006))^2)*(('Assumptions'!F37+(E1006))*(1-'Assumptions'!F42-(0))+'Assumptions'!F47-'Assumptions'!F52*(F1006)+'Assumptions'!F57-'Assumptions'!F62*(1)-'Assumptions'!F67-(0))+(('Historical Inputs'!$N$9*(1+(D1006))^1)*('Assumptions'!E67+(0))))*'DCF'!F12/(1+(G1006))^'DCF'!F13,(('Historical Inputs'!$N$9*(1+(D1006))^3)*(('Assumptions'!G37+(E1006))*(1-'Assumptions'!G42-(0))+'Assumptions'!G47-'Assumptions'!G52*(F1006)+'Assumptions'!G57-'Assumptions'!G62*(1)-'Assumptions'!G67-(0))+(('Historical Inputs'!$N$9*(1+(D1006))^2)*('Assumptions'!F67+(0))))*'DCF'!G12/(1+(G1006))^'DCF'!G13,(('Historical Inputs'!$N$9*(1+(D1006))^4)*(('Assumptions'!H37+(E1006))*(1-'Assumptions'!H42-(0))+'Assumptions'!H47-'Assumptions'!H52*(F1006)+'Assumptions'!H57-'Assumptions'!H62*(1)-'Assumptions'!H67-(0))+(('Historical Inputs'!$N$9*(1+(D1006))^3)*('Assumptions'!G67+(0))))*'DCF'!H12/(1+(G1006))^'DCF'!H13,(('Historical Inputs'!$N$9*(1+(D1006))^5)*(('Assumptions'!I37+(E1006))*(1-'Assumptions'!I42-(0))+'Assumptions'!I47-'Assumptions'!I52*(F1006)+'Assumptions'!I57-'Assumptions'!I62*(1)-'Assumptions'!I67-(0))+(('Historical Inputs'!$N$9*(1+(D1006))^4)*('Assumptions'!H67+(0))))*'DCF'!I12/(1+(G1006))^'DCF'!I13)+('Historical Inputs'!$N$9*(1+(D1006))^5)*(1+(H1006))*('Terminal Value'!$E$10+(E1006))*(1-'Assumptions'!$E$15-(0))*(1-(H1006)/('Terminal Value'!$E$12))/((G1006)-(H1006))/(1+(G1006))^'DCF'!$E$19)+'Equity Bridge'!$E$17)/'Equity Bridge'!$E$20</x:f>
        <x:v>286.8241882394164</x:v>
      </x:c>
      <x:c r="X1006" s="255" t="n">
        <x:v>0.6355735534915554</x:v>
      </x:c>
      <x:c r="Y1006" s="255" t="n">
        <x:v>0.34771186390149833</x:v>
      </x:c>
      <x:c r="Z1006" s="255" t="n">
        <x:v>0.9146300947554532</x:v>
      </x:c>
      <x:c r="AA1006" s="255" t="n">
        <x:v>0.38665894899376274</x:v>
      </x:c>
      <x:c r="AB1006" s="255" t="n">
        <x:v>0.4492011341661105</x:v>
      </x:c>
    </x:row>
    <x:row r="1007" ht="24" customHeight="1">
      <x:c r="C1007" s="256" t="n">
        <x:f>976</x:f>
        <x:v>976</x:v>
      </x:c>
      <x:c r="D1007" s="258" t="n">
        <x:f>IF(X1007&lt;($E$12-$D$12)/($F$12-$D$12),$D$12+SQRT(X1007*($F$12-$D$12)*($E$12-$D$12)),$F$12-SQRT((1-X1007)*($F$12-$D$12)*($F$12-$E$12)))</x:f>
        <x:v>0.15659706215008276</x:v>
      </x:c>
      <x:c r="E1007" s="258" t="n">
        <x:f>IF(Y1007&lt;($E$13-$D$13)/($F$13-$D$13),$D$13+SQRT(Y1007*($F$13-$D$13)*($E$13-$D$13)),$F$13-SQRT((1-Y1007)*($F$13-$D$13)*($F$13-$E$13)))</x:f>
        <x:v>0.014113200305650692</x:v>
      </x:c>
      <x:c r="F1007" s="260" t="n">
        <x:f>IF(Z1007&lt;($E$14-$D$14)/($F$14-$D$14),$D$14+SQRT(Z1007*($F$14-$D$14)*($E$14-$D$14)),$F$14-SQRT((1-Z1007)*($F$14-$D$14)*($F$14-$E$14)))</x:f>
        <x:v>1.0930766325569419</x:v>
      </x:c>
      <x:c r="G1007" s="258" t="n">
        <x:f>IF(AA1007&lt;($E$15-$D$15)/($F$15-$D$15),$D$15+SQRT(AA1007*($F$15-$D$15)*($E$15-$D$15)),$F$15-SQRT((1-AA1007)*($F$15-$D$15)*($F$15-$E$15)))</x:f>
        <x:v>0.09668311189037712</x:v>
      </x:c>
      <x:c r="H1007" s="258" t="n">
        <x:f>IF(AB1007&lt;($E$16-$D$16)/($F$16-$D$16),$D$16+SQRT(AB1007*($F$16-$D$16)*($E$16-$D$16)),$F$16-SQRT((1-AB1007)*($F$16-$D$16)*($F$16-$E$16)))</x:f>
        <x:v>0.03253009560095727</x:v>
      </x:c>
      <x:c r="I1007" s="262" t="n">
        <x:f>'Historical Inputs'!$N$9*(1+D1007)^5</x:f>
        <x:v>686811.9612997537</x:v>
      </x:c>
      <x:c r="J1007" s="262" t="n">
        <x:f>I1007*(1+H1007)*('Terminal Value'!$E$10+E1007)*(1-'Assumptions'!$E$15)*(1-H1007/'Terminal Value'!$E$12)</x:f>
        <x:v>196723.5746017247</x:v>
      </x:c>
      <x:c r="K1007" s="264" t="n">
        <x:f>((SUM((('Historical Inputs'!$N$9*(1+(D1007))^1)*(('Assumptions'!E37+(E1007))*(1-'Assumptions'!E42-(0))+'Assumptions'!E47-'Assumptions'!E52*(F1007)+'Assumptions'!E57-'Assumptions'!E62*(1)-'Assumptions'!E67-(0))+('Working Capital'!$E$6))*'DCF'!E12/(1+(G1007))^'DCF'!E13,(('Historical Inputs'!$N$9*(1+(D1007))^2)*(('Assumptions'!F37+(E1007))*(1-'Assumptions'!F42-(0))+'Assumptions'!F47-'Assumptions'!F52*(F1007)+'Assumptions'!F57-'Assumptions'!F62*(1)-'Assumptions'!F67-(0))+(('Historical Inputs'!$N$9*(1+(D1007))^1)*('Assumptions'!E67+(0))))*'DCF'!F12/(1+(G1007))^'DCF'!F13,(('Historical Inputs'!$N$9*(1+(D1007))^3)*(('Assumptions'!G37+(E1007))*(1-'Assumptions'!G42-(0))+'Assumptions'!G47-'Assumptions'!G52*(F1007)+'Assumptions'!G57-'Assumptions'!G62*(1)-'Assumptions'!G67-(0))+(('Historical Inputs'!$N$9*(1+(D1007))^2)*('Assumptions'!F67+(0))))*'DCF'!G12/(1+(G1007))^'DCF'!G13,(('Historical Inputs'!$N$9*(1+(D1007))^4)*(('Assumptions'!H37+(E1007))*(1-'Assumptions'!H42-(0))+'Assumptions'!H47-'Assumptions'!H52*(F1007)+'Assumptions'!H57-'Assumptions'!H62*(1)-'Assumptions'!H67-(0))+(('Historical Inputs'!$N$9*(1+(D1007))^3)*('Assumptions'!G67+(0))))*'DCF'!H12/(1+(G1007))^'DCF'!H13,(('Historical Inputs'!$N$9*(1+(D1007))^5)*(('Assumptions'!I37+(E1007))*(1-'Assumptions'!I42-(0))+'Assumptions'!I47-'Assumptions'!I52*(F1007)+'Assumptions'!I57-'Assumptions'!I62*(1)-'Assumptions'!I67-(0))+(('Historical Inputs'!$N$9*(1+(D1007))^4)*('Assumptions'!H67+(0))))*'DCF'!I12/(1+(G1007))^'DCF'!I13)+('Historical Inputs'!$N$9*(1+(D1007))^5)*(1+(H1007))*('Terminal Value'!$E$10+(E1007))*(1-'Assumptions'!$E$15-(0))*(1-(H1007)/('Terminal Value'!$E$12))/((G1007)-(H1007))/(1+(G1007))^'DCF'!$E$19)+'Equity Bridge'!$E$17)/'Equity Bridge'!$E$20</x:f>
        <x:v>321.33151388167585</x:v>
      </x:c>
      <x:c r="X1007" s="255" t="n">
        <x:v>0.7312094713111831</x:v>
      </x:c>
      <x:c r="Y1007" s="255" t="n">
        <x:v>0.7424275215395301</x:v>
      </x:c>
      <x:c r="Z1007" s="255" t="n">
        <x:v>0.8366770499233829</x:v>
      </x:c>
      <x:c r="AA1007" s="255" t="n">
        <x:v>0.4075686158050469</x:v>
      </x:c>
      <x:c r="AB1007" s="255" t="n">
        <x:v>0.7210026413458104</x:v>
      </x:c>
    </x:row>
    <x:row r="1008" ht="24" customHeight="1">
      <x:c r="C1008" s="256" t="n">
        <x:f>977</x:f>
        <x:v>977</x:v>
      </x:c>
      <x:c r="D1008" s="258" t="n">
        <x:f>IF(X1008&lt;($E$12-$D$12)/($F$12-$D$12),$D$12+SQRT(X1008*($F$12-$D$12)*($E$12-$D$12)),$F$12-SQRT((1-X1008)*($F$12-$D$12)*($F$12-$E$12)))</x:f>
        <x:v>0.14073863639809617</x:v>
      </x:c>
      <x:c r="E1008" s="258" t="n">
        <x:f>IF(Y1008&lt;($E$13-$D$13)/($F$13-$D$13),$D$13+SQRT(Y1008*($F$13-$D$13)*($E$13-$D$13)),$F$13-SQRT((1-Y1008)*($F$13-$D$13)*($F$13-$E$13)))</x:f>
        <x:v>-0.01053022628529314</x:v>
      </x:c>
      <x:c r="F1008" s="260" t="n">
        <x:f>IF(Z1008&lt;($E$14-$D$14)/($F$14-$D$14),$D$14+SQRT(Z1008*($F$14-$D$14)*($E$14-$D$14)),$F$14-SQRT((1-Z1008)*($F$14-$D$14)*($F$14-$E$14)))</x:f>
        <x:v>1.093885015535557</x:v>
      </x:c>
      <x:c r="G1008" s="258" t="n">
        <x:f>IF(AA1008&lt;($E$15-$D$15)/($F$15-$D$15),$D$15+SQRT(AA1008*($F$15-$D$15)*($E$15-$D$15)),$F$15-SQRT((1-AA1008)*($F$15-$D$15)*($F$15-$E$15)))</x:f>
        <x:v>0.09369379808330333</x:v>
      </x:c>
      <x:c r="H1008" s="258" t="n">
        <x:f>IF(AB1008&lt;($E$16-$D$16)/($F$16-$D$16),$D$16+SQRT(AB1008*($F$16-$D$16)*($E$16-$D$16)),$F$16-SQRT((1-AB1008)*($F$16-$D$16)*($F$16-$E$16)))</x:f>
        <x:v>0.025181716953063156</x:v>
      </x:c>
      <x:c r="I1008" s="262" t="n">
        <x:f>'Historical Inputs'!$N$9*(1+D1008)^5</x:f>
        <x:v>641000.2249289829</x:v>
      </x:c>
      <x:c r="J1008" s="262" t="n">
        <x:f>I1008*(1+H1008)*('Terminal Value'!$E$10+E1008)*(1-'Assumptions'!$E$15)*(1-H1008/'Terminal Value'!$E$12)</x:f>
        <x:v>178969.75123451184</x:v>
      </x:c>
      <x:c r="K1008" s="264" t="n">
        <x:f>((SUM((('Historical Inputs'!$N$9*(1+(D1008))^1)*(('Assumptions'!E37+(E1008))*(1-'Assumptions'!E42-(0))+'Assumptions'!E47-'Assumptions'!E52*(F1008)+'Assumptions'!E57-'Assumptions'!E62*(1)-'Assumptions'!E67-(0))+('Working Capital'!$E$6))*'DCF'!E12/(1+(G1008))^'DCF'!E13,(('Historical Inputs'!$N$9*(1+(D1008))^2)*(('Assumptions'!F37+(E1008))*(1-'Assumptions'!F42-(0))+'Assumptions'!F47-'Assumptions'!F52*(F1008)+'Assumptions'!F57-'Assumptions'!F62*(1)-'Assumptions'!F67-(0))+(('Historical Inputs'!$N$9*(1+(D1008))^1)*('Assumptions'!E67+(0))))*'DCF'!F12/(1+(G1008))^'DCF'!F13,(('Historical Inputs'!$N$9*(1+(D1008))^3)*(('Assumptions'!G37+(E1008))*(1-'Assumptions'!G42-(0))+'Assumptions'!G47-'Assumptions'!G52*(F1008)+'Assumptions'!G57-'Assumptions'!G62*(1)-'Assumptions'!G67-(0))+(('Historical Inputs'!$N$9*(1+(D1008))^2)*('Assumptions'!F67+(0))))*'DCF'!G12/(1+(G1008))^'DCF'!G13,(('Historical Inputs'!$N$9*(1+(D1008))^4)*(('Assumptions'!H37+(E1008))*(1-'Assumptions'!H42-(0))+'Assumptions'!H47-'Assumptions'!H52*(F1008)+'Assumptions'!H57-'Assumptions'!H62*(1)-'Assumptions'!H67-(0))+(('Historical Inputs'!$N$9*(1+(D1008))^3)*('Assumptions'!G67+(0))))*'DCF'!H12/(1+(G1008))^'DCF'!H13,(('Historical Inputs'!$N$9*(1+(D1008))^5)*(('Assumptions'!I37+(E1008))*(1-'Assumptions'!I42-(0))+'Assumptions'!I47-'Assumptions'!I52*(F1008)+'Assumptions'!I57-'Assumptions'!I62*(1)-'Assumptions'!I67-(0))+(('Historical Inputs'!$N$9*(1+(D1008))^4)*('Assumptions'!H67+(0))))*'DCF'!I12/(1+(G1008))^'DCF'!I13)+('Historical Inputs'!$N$9*(1+(D1008))^5)*(1+(H1008))*('Terminal Value'!$E$10+(E1008))*(1-'Assumptions'!$E$15-(0))*(1-(H1008)/('Terminal Value'!$E$12))/((G1008)-(H1008))/(1+(G1008))^'DCF'!$E$19)+'Equity Bridge'!$E$17)/'Equity Bridge'!$E$20</x:f>
        <x:v>277.3950566557382</x:v>
      </x:c>
      <x:c r="X1008" s="255" t="n">
        <x:v>0.45090074447352957</x:v>
      </x:c>
      <x:c r="Y1008" s="255" t="n">
        <x:v>0.31157260741803294</x:v>
      </x:c>
      <x:c r="Z1008" s="255" t="n">
        <x:v>0.8391372867444438</x:v>
      </x:c>
      <x:c r="AA1008" s="255" t="n">
        <x:v>0.24749968727480354</x:v>
      </x:c>
      <x:c r="AB1008" s="255" t="n">
        <x:v>0.13425095290831068</x:v>
      </x:c>
    </x:row>
    <x:row r="1009" ht="24" customHeight="1">
      <x:c r="C1009" s="256" t="n">
        <x:f>978</x:f>
        <x:v>978</x:v>
      </x:c>
      <x:c r="D1009" s="258" t="n">
        <x:f>IF(X1009&lt;($E$12-$D$12)/($F$12-$D$12),$D$12+SQRT(X1009*($F$12-$D$12)*($E$12-$D$12)),$F$12-SQRT((1-X1009)*($F$12-$D$12)*($F$12-$E$12)))</x:f>
        <x:v>0.14387971261743548</x:v>
      </x:c>
      <x:c r="E1009" s="258" t="n">
        <x:f>IF(Y1009&lt;($E$13-$D$13)/($F$13-$D$13),$D$13+SQRT(Y1009*($F$13-$D$13)*($E$13-$D$13)),$F$13-SQRT((1-Y1009)*($F$13-$D$13)*($F$13-$E$13)))</x:f>
        <x:v>0.026819925984764008</x:v>
      </x:c>
      <x:c r="F1009" s="260" t="n">
        <x:f>IF(Z1009&lt;($E$14-$D$14)/($F$14-$D$14),$D$14+SQRT(Z1009*($F$14-$D$14)*($E$14-$D$14)),$F$14-SQRT((1-Z1009)*($F$14-$D$14)*($F$14-$E$14)))</x:f>
        <x:v>0.9641145042788064</x:v>
      </x:c>
      <x:c r="G1009" s="258" t="n">
        <x:f>IF(AA1009&lt;($E$15-$D$15)/($F$15-$D$15),$D$15+SQRT(AA1009*($F$15-$D$15)*($E$15-$D$15)),$F$15-SQRT((1-AA1009)*($F$15-$D$15)*($F$15-$E$15)))</x:f>
        <x:v>0.09994399343421922</x:v>
      </x:c>
      <x:c r="H1009" s="258" t="n">
        <x:f>IF(AB1009&lt;($E$16-$D$16)/($F$16-$D$16),$D$16+SQRT(AB1009*($F$16-$D$16)*($E$16-$D$16)),$F$16-SQRT((1-AB1009)*($F$16-$D$16)*($F$16-$E$16)))</x:f>
        <x:v>0.0323776575766606</x:v>
      </x:c>
      <x:c r="I1009" s="262" t="n">
        <x:f>'Historical Inputs'!$N$9*(1+D1009)^5</x:f>
        <x:v>649874.077445794</x:v>
      </x:c>
      <x:c r="J1009" s="262" t="n">
        <x:f>I1009*(1+H1009)*('Terminal Value'!$E$10+E1009)*(1-'Assumptions'!$E$15)*(1-H1009/'Terminal Value'!$E$12)</x:f>
        <x:v>192001.3993160915</x:v>
      </x:c>
      <x:c r="K1009" s="264" t="n">
        <x:f>((SUM((('Historical Inputs'!$N$9*(1+(D1009))^1)*(('Assumptions'!E37+(E1009))*(1-'Assumptions'!E42-(0))+'Assumptions'!E47-'Assumptions'!E52*(F1009)+'Assumptions'!E57-'Assumptions'!E62*(1)-'Assumptions'!E67-(0))+('Working Capital'!$E$6))*'DCF'!E12/(1+(G1009))^'DCF'!E13,(('Historical Inputs'!$N$9*(1+(D1009))^2)*(('Assumptions'!F37+(E1009))*(1-'Assumptions'!F42-(0))+'Assumptions'!F47-'Assumptions'!F52*(F1009)+'Assumptions'!F57-'Assumptions'!F62*(1)-'Assumptions'!F67-(0))+(('Historical Inputs'!$N$9*(1+(D1009))^1)*('Assumptions'!E67+(0))))*'DCF'!F12/(1+(G1009))^'DCF'!F13,(('Historical Inputs'!$N$9*(1+(D1009))^3)*(('Assumptions'!G37+(E1009))*(1-'Assumptions'!G42-(0))+'Assumptions'!G47-'Assumptions'!G52*(F1009)+'Assumptions'!G57-'Assumptions'!G62*(1)-'Assumptions'!G67-(0))+(('Historical Inputs'!$N$9*(1+(D1009))^2)*('Assumptions'!F67+(0))))*'DCF'!G12/(1+(G1009))^'DCF'!G13,(('Historical Inputs'!$N$9*(1+(D1009))^4)*(('Assumptions'!H37+(E1009))*(1-'Assumptions'!H42-(0))+'Assumptions'!H47-'Assumptions'!H52*(F1009)+'Assumptions'!H57-'Assumptions'!H62*(1)-'Assumptions'!H67-(0))+(('Historical Inputs'!$N$9*(1+(D1009))^3)*('Assumptions'!G67+(0))))*'DCF'!H12/(1+(G1009))^'DCF'!H13,(('Historical Inputs'!$N$9*(1+(D1009))^5)*(('Assumptions'!I37+(E1009))*(1-'Assumptions'!I42-(0))+'Assumptions'!I47-'Assumptions'!I52*(F1009)+'Assumptions'!I57-'Assumptions'!I62*(1)-'Assumptions'!I67-(0))+(('Historical Inputs'!$N$9*(1+(D1009))^4)*('Assumptions'!H67+(0))))*'DCF'!I12/(1+(G1009))^'DCF'!I13)+('Historical Inputs'!$N$9*(1+(D1009))^5)*(1+(H1009))*('Terminal Value'!$E$10+(E1009))*(1-'Assumptions'!$E$15-(0))*(1-(H1009)/('Terminal Value'!$E$12))/((G1009)-(H1009))/(1+(G1009))^'DCF'!$E$19)+'Equity Bridge'!$E$17)/'Equity Bridge'!$E$20</x:f>
        <x:v>306.48964758290106</x:v>
      </x:c>
      <x:c r="X1009" s="255" t="n">
        <x:v>0.5123762670632288</x:v>
      </x:c>
      <x:c r="Y1009" s="255" t="n">
        <x:v>0.8925368337296362</x:v>
      </x:c>
      <x:c r="Z1009" s="255" t="n">
        <x:v>0.24804038260567107</x:v>
      </x:c>
      <x:c r="AA1009" s="255" t="n">
        <x:v>0.6130125872130638</x:v>
      </x:c>
      <x:c r="AB1009" s="255" t="n">
        <x:v>0.709499479906802</x:v>
      </x:c>
    </x:row>
    <x:row r="1010" ht="24" customHeight="1">
      <x:c r="C1010" s="256" t="n">
        <x:f>979</x:f>
        <x:v>979</x:v>
      </x:c>
      <x:c r="D1010" s="258" t="n">
        <x:f>IF(X1010&lt;($E$12-$D$12)/($F$12-$D$12),$D$12+SQRT(X1010*($F$12-$D$12)*($E$12-$D$12)),$F$12-SQRT((1-X1010)*($F$12-$D$12)*($F$12-$E$12)))</x:f>
        <x:v>0.15282669214471611</x:v>
      </x:c>
      <x:c r="E1010" s="258" t="n">
        <x:f>IF(Y1010&lt;($E$13-$D$13)/($F$13-$D$13),$D$13+SQRT(Y1010*($F$13-$D$13)*($E$13-$D$13)),$F$13-SQRT((1-Y1010)*($F$13-$D$13)*($F$13-$E$13)))</x:f>
        <x:v>0.03299143460681288</x:v>
      </x:c>
      <x:c r="F1010" s="260" t="n">
        <x:f>IF(Z1010&lt;($E$14-$D$14)/($F$14-$D$14),$D$14+SQRT(Z1010*($F$14-$D$14)*($E$14-$D$14)),$F$14-SQRT((1-Z1010)*($F$14-$D$14)*($F$14-$E$14)))</x:f>
        <x:v>0.8968962954717739</x:v>
      </x:c>
      <x:c r="G1010" s="258" t="n">
        <x:f>IF(AA1010&lt;($E$15-$D$15)/($F$15-$D$15),$D$15+SQRT(AA1010*($F$15-$D$15)*($E$15-$D$15)),$F$15-SQRT((1-AA1010)*($F$15-$D$15)*($F$15-$E$15)))</x:f>
        <x:v>0.11086402831317127</x:v>
      </x:c>
      <x:c r="H1010" s="258" t="n">
        <x:f>IF(AB1010&lt;($E$16-$D$16)/($F$16-$D$16),$D$16+SQRT(AB1010*($F$16-$D$16)*($E$16-$D$16)),$F$16-SQRT((1-AB1010)*($F$16-$D$16)*($F$16-$E$16)))</x:f>
        <x:v>0.032815949363107395</x:v>
      </x:c>
      <x:c r="I1010" s="262" t="n">
        <x:f>'Historical Inputs'!$N$9*(1+D1010)^5</x:f>
        <x:v>675690.0801749651</x:v>
      </x:c>
      <x:c r="J1010" s="262" t="n">
        <x:f>I1010*(1+H1010)*('Terminal Value'!$E$10+E1010)*(1-'Assumptions'!$E$15)*(1-H1010/'Terminal Value'!$E$12)</x:f>
        <x:v>202071.29234450497</x:v>
      </x:c>
      <x:c r="K1010" s="264" t="n">
        <x:f>((SUM((('Historical Inputs'!$N$9*(1+(D1010))^1)*(('Assumptions'!E37+(E1010))*(1-'Assumptions'!E42-(0))+'Assumptions'!E47-'Assumptions'!E52*(F1010)+'Assumptions'!E57-'Assumptions'!E62*(1)-'Assumptions'!E67-(0))+('Working Capital'!$E$6))*'DCF'!E12/(1+(G1010))^'DCF'!E13,(('Historical Inputs'!$N$9*(1+(D1010))^2)*(('Assumptions'!F37+(E1010))*(1-'Assumptions'!F42-(0))+'Assumptions'!F47-'Assumptions'!F52*(F1010)+'Assumptions'!F57-'Assumptions'!F62*(1)-'Assumptions'!F67-(0))+(('Historical Inputs'!$N$9*(1+(D1010))^1)*('Assumptions'!E67+(0))))*'DCF'!F12/(1+(G1010))^'DCF'!F13,(('Historical Inputs'!$N$9*(1+(D1010))^3)*(('Assumptions'!G37+(E1010))*(1-'Assumptions'!G42-(0))+'Assumptions'!G47-'Assumptions'!G52*(F1010)+'Assumptions'!G57-'Assumptions'!G62*(1)-'Assumptions'!G67-(0))+(('Historical Inputs'!$N$9*(1+(D1010))^2)*('Assumptions'!F67+(0))))*'DCF'!G12/(1+(G1010))^'DCF'!G13,(('Historical Inputs'!$N$9*(1+(D1010))^4)*(('Assumptions'!H37+(E1010))*(1-'Assumptions'!H42-(0))+'Assumptions'!H47-'Assumptions'!H52*(F1010)+'Assumptions'!H57-'Assumptions'!H62*(1)-'Assumptions'!H67-(0))+(('Historical Inputs'!$N$9*(1+(D1010))^3)*('Assumptions'!G67+(0))))*'DCF'!H12/(1+(G1010))^'DCF'!H13,(('Historical Inputs'!$N$9*(1+(D1010))^5)*(('Assumptions'!I37+(E1010))*(1-'Assumptions'!I42-(0))+'Assumptions'!I47-'Assumptions'!I52*(F1010)+'Assumptions'!I57-'Assumptions'!I62*(1)-'Assumptions'!I67-(0))+(('Historical Inputs'!$N$9*(1+(D1010))^4)*('Assumptions'!H67+(0))))*'DCF'!I12/(1+(G1010))^'DCF'!I13)+('Historical Inputs'!$N$9*(1+(D1010))^5)*(1+(H1010))*('Terminal Value'!$E$10+(E1010))*(1-'Assumptions'!$E$15-(0))*(1-(H1010)/('Terminal Value'!$E$12))/((G1010)-(H1010))/(1+(G1010))^'DCF'!$E$19)+'Equity Bridge'!$E$17)/'Equity Bridge'!$E$20</x:f>
        <x:v>280.305589286038</x:v>
      </x:c>
      <x:c r="X1010" s="255" t="n">
        <x:v>0.6730776883716113</x:v>
      </x:c>
      <x:c r="Y1010" s="255" t="n">
        <x:v>0.9421417406531355</x:v>
      </x:c>
      <x:c r="Z1010" s="255" t="n">
        <x:v>0.04189071483763651</x:v>
      </x:c>
      <x:c r="AA1010" s="255" t="n">
        <x:v>0.9884850483389732</x:v>
      </x:c>
      <x:c r="AB1010" s="255" t="n">
        <x:v>0.7419470822328147</x:v>
      </x:c>
    </x:row>
    <x:row r="1011" ht="24" customHeight="1">
      <x:c r="C1011" s="256" t="n">
        <x:f>980</x:f>
        <x:v>980</x:v>
      </x:c>
      <x:c r="D1011" s="258" t="n">
        <x:f>IF(X1011&lt;($E$12-$D$12)/($F$12-$D$12),$D$12+SQRT(X1011*($F$12-$D$12)*($E$12-$D$12)),$F$12-SQRT((1-X1011)*($F$12-$D$12)*($F$12-$E$12)))</x:f>
        <x:v>0.1349042253605463</x:v>
      </x:c>
      <x:c r="E1011" s="258" t="n">
        <x:f>IF(Y1011&lt;($E$13-$D$13)/($F$13-$D$13),$D$13+SQRT(Y1011*($F$13-$D$13)*($E$13-$D$13)),$F$13-SQRT((1-Y1011)*($F$13-$D$13)*($F$13-$E$13)))</x:f>
        <x:v>0.003931689229673789</x:v>
      </x:c>
      <x:c r="F1011" s="260" t="n">
        <x:f>IF(Z1011&lt;($E$14-$D$14)/($F$14-$D$14),$D$14+SQRT(Z1011*($F$14-$D$14)*($E$14-$D$14)),$F$14-SQRT((1-Z1011)*($F$14-$D$14)*($F$14-$E$14)))</x:f>
        <x:v>1.0591961399160745</x:v>
      </x:c>
      <x:c r="G1011" s="258" t="n">
        <x:f>IF(AA1011&lt;($E$15-$D$15)/($F$15-$D$15),$D$15+SQRT(AA1011*($F$15-$D$15)*($E$15-$D$15)),$F$15-SQRT((1-AA1011)*($F$15-$D$15)*($F$15-$E$15)))</x:f>
        <x:v>0.10230789360153253</x:v>
      </x:c>
      <x:c r="H1011" s="258" t="n">
        <x:f>IF(AB1011&lt;($E$16-$D$16)/($F$16-$D$16),$D$16+SQRT(AB1011*($F$16-$D$16)*($E$16-$D$16)),$F$16-SQRT((1-AB1011)*($F$16-$D$16)*($F$16-$E$16)))</x:f>
        <x:v>0.0277044303903808</x:v>
      </x:c>
      <x:c r="I1011" s="262" t="n">
        <x:f>'Historical Inputs'!$N$9*(1+D1011)^5</x:f>
        <x:v>624774.780559485</x:v>
      </x:c>
      <x:c r="J1011" s="262" t="n">
        <x:f>I1011*(1+H1011)*('Terminal Value'!$E$10+E1011)*(1-'Assumptions'!$E$15)*(1-H1011/'Terminal Value'!$E$12)</x:f>
        <x:v>178744.9359867478</x:v>
      </x:c>
      <x:c r="K1011" s="264" t="n">
        <x:f>((SUM((('Historical Inputs'!$N$9*(1+(D1011))^1)*(('Assumptions'!E37+(E1011))*(1-'Assumptions'!E42-(0))+'Assumptions'!E47-'Assumptions'!E52*(F1011)+'Assumptions'!E57-'Assumptions'!E62*(1)-'Assumptions'!E67-(0))+('Working Capital'!$E$6))*'DCF'!E12/(1+(G1011))^'DCF'!E13,(('Historical Inputs'!$N$9*(1+(D1011))^2)*(('Assumptions'!F37+(E1011))*(1-'Assumptions'!F42-(0))+'Assumptions'!F47-'Assumptions'!F52*(F1011)+'Assumptions'!F57-'Assumptions'!F62*(1)-'Assumptions'!F67-(0))+(('Historical Inputs'!$N$9*(1+(D1011))^1)*('Assumptions'!E67+(0))))*'DCF'!F12/(1+(G1011))^'DCF'!F13,(('Historical Inputs'!$N$9*(1+(D1011))^3)*(('Assumptions'!G37+(E1011))*(1-'Assumptions'!G42-(0))+'Assumptions'!G47-'Assumptions'!G52*(F1011)+'Assumptions'!G57-'Assumptions'!G62*(1)-'Assumptions'!G67-(0))+(('Historical Inputs'!$N$9*(1+(D1011))^2)*('Assumptions'!F67+(0))))*'DCF'!G12/(1+(G1011))^'DCF'!G13,(('Historical Inputs'!$N$9*(1+(D1011))^4)*(('Assumptions'!H37+(E1011))*(1-'Assumptions'!H42-(0))+'Assumptions'!H47-'Assumptions'!H52*(F1011)+'Assumptions'!H57-'Assumptions'!H62*(1)-'Assumptions'!H67-(0))+(('Historical Inputs'!$N$9*(1+(D1011))^3)*('Assumptions'!G67+(0))))*'DCF'!H12/(1+(G1011))^'DCF'!H13,(('Historical Inputs'!$N$9*(1+(D1011))^5)*(('Assumptions'!I37+(E1011))*(1-'Assumptions'!I42-(0))+'Assumptions'!I47-'Assumptions'!I52*(F1011)+'Assumptions'!I57-'Assumptions'!I62*(1)-'Assumptions'!I67-(0))+(('Historical Inputs'!$N$9*(1+(D1011))^4)*('Assumptions'!H67+(0))))*'DCF'!I12/(1+(G1011))^'DCF'!I13)+('Historical Inputs'!$N$9*(1+(D1011))^5)*(1+(H1011))*('Terminal Value'!$E$10+(E1011))*(1-'Assumptions'!$E$15-(0))*(1-(H1011)/('Terminal Value'!$E$12))/((G1011)-(H1011))/(1+(G1011))^'DCF'!$E$19)+'Equity Bridge'!$E$17)/'Equity Bridge'!$E$20</x:f>
        <x:v>253.733022196398</x:v>
      </x:c>
      <x:c r="X1011" s="255" t="n">
        <x:v>0.3468979124486298</x:v>
      </x:c>
      <x:c r="Y1011" s="255" t="n">
        <x:v>0.5755421485537292</x:v>
      </x:c>
      <x:c r="Z1011" s="255" t="n">
        <x:v>0.716775328363805</x:v>
      </x:c>
      <x:c r="AA1011" s="255" t="n">
        <x:v>0.7392388231922797</x:v>
      </x:c>
      <x:c r="AB1011" s="255" t="n">
        <x:v>0.2967912382011164</x:v>
      </x:c>
    </x:row>
    <x:row r="1012" ht="24" customHeight="1">
      <x:c r="C1012" s="256" t="n">
        <x:f>981</x:f>
        <x:v>981</x:v>
      </x:c>
      <x:c r="D1012" s="258" t="n">
        <x:f>IF(X1012&lt;($E$12-$D$12)/($F$12-$D$12),$D$12+SQRT(X1012*($F$12-$D$12)*($E$12-$D$12)),$F$12-SQRT((1-X1012)*($F$12-$D$12)*($F$12-$E$12)))</x:f>
        <x:v>0.17549852150215314</x:v>
      </x:c>
      <x:c r="E1012" s="258" t="n">
        <x:f>IF(Y1012&lt;($E$13-$D$13)/($F$13-$D$13),$D$13+SQRT(Y1012*($F$13-$D$13)*($E$13-$D$13)),$F$13-SQRT((1-Y1012)*($F$13-$D$13)*($F$13-$E$13)))</x:f>
        <x:v>-0.004845243296770843</x:v>
      </x:c>
      <x:c r="F1012" s="260" t="n">
        <x:f>IF(Z1012&lt;($E$14-$D$14)/($F$14-$D$14),$D$14+SQRT(Z1012*($F$14-$D$14)*($E$14-$D$14)),$F$14-SQRT((1-Z1012)*($F$14-$D$14)*($F$14-$E$14)))</x:f>
        <x:v>1.0032663618432667</x:v>
      </x:c>
      <x:c r="G1012" s="258" t="n">
        <x:f>IF(AA1012&lt;($E$15-$D$15)/($F$15-$D$15),$D$15+SQRT(AA1012*($F$15-$D$15)*($E$15-$D$15)),$F$15-SQRT((1-AA1012)*($F$15-$D$15)*($F$15-$E$15)))</x:f>
        <x:v>0.09557476410064857</x:v>
      </x:c>
      <x:c r="H1012" s="258" t="n">
        <x:f>IF(AB1012&lt;($E$16-$D$16)/($F$16-$D$16),$D$16+SQRT(AB1012*($F$16-$D$16)*($E$16-$D$16)),$F$16-SQRT((1-AB1012)*($F$16-$D$16)*($F$16-$E$16)))</x:f>
        <x:v>0.03138532256103048</x:v>
      </x:c>
      <x:c r="I1012" s="262" t="n">
        <x:f>'Historical Inputs'!$N$9*(1+D1012)^5</x:f>
        <x:v>744796.9029456755</x:v>
      </x:c>
      <x:c r="J1012" s="262" t="n">
        <x:f>I1012*(1+H1012)*('Terminal Value'!$E$10+E1012)*(1-'Assumptions'!$E$15)*(1-H1012/'Terminal Value'!$E$12)</x:f>
        <x:v>204729.9547168378</x:v>
      </x:c>
      <x:c r="K1012" s="264" t="n">
        <x:f>((SUM((('Historical Inputs'!$N$9*(1+(D1012))^1)*(('Assumptions'!E37+(E1012))*(1-'Assumptions'!E42-(0))+'Assumptions'!E47-'Assumptions'!E52*(F1012)+'Assumptions'!E57-'Assumptions'!E62*(1)-'Assumptions'!E67-(0))+('Working Capital'!$E$6))*'DCF'!E12/(1+(G1012))^'DCF'!E13,(('Historical Inputs'!$N$9*(1+(D1012))^2)*(('Assumptions'!F37+(E1012))*(1-'Assumptions'!F42-(0))+'Assumptions'!F47-'Assumptions'!F52*(F1012)+'Assumptions'!F57-'Assumptions'!F62*(1)-'Assumptions'!F67-(0))+(('Historical Inputs'!$N$9*(1+(D1012))^1)*('Assumptions'!E67+(0))))*'DCF'!F12/(1+(G1012))^'DCF'!F13,(('Historical Inputs'!$N$9*(1+(D1012))^3)*(('Assumptions'!G37+(E1012))*(1-'Assumptions'!G42-(0))+'Assumptions'!G47-'Assumptions'!G52*(F1012)+'Assumptions'!G57-'Assumptions'!G62*(1)-'Assumptions'!G67-(0))+(('Historical Inputs'!$N$9*(1+(D1012))^2)*('Assumptions'!F67+(0))))*'DCF'!G12/(1+(G1012))^'DCF'!G13,(('Historical Inputs'!$N$9*(1+(D1012))^4)*(('Assumptions'!H37+(E1012))*(1-'Assumptions'!H42-(0))+'Assumptions'!H47-'Assumptions'!H52*(F1012)+'Assumptions'!H57-'Assumptions'!H62*(1)-'Assumptions'!H67-(0))+(('Historical Inputs'!$N$9*(1+(D1012))^3)*('Assumptions'!G67+(0))))*'DCF'!H12/(1+(G1012))^'DCF'!H13,(('Historical Inputs'!$N$9*(1+(D1012))^5)*(('Assumptions'!I37+(E1012))*(1-'Assumptions'!I42-(0))+'Assumptions'!I47-'Assumptions'!I52*(F1012)+'Assumptions'!I57-'Assumptions'!I62*(1)-'Assumptions'!I67-(0))+(('Historical Inputs'!$N$9*(1+(D1012))^4)*('Assumptions'!H67+(0))))*'DCF'!I12/(1+(G1012))^'DCF'!I13)+('Historical Inputs'!$N$9*(1+(D1012))^5)*(1+(H1012))*('Terminal Value'!$E$10+(E1012))*(1-'Assumptions'!$E$15-(0))*(1-(H1012)/('Terminal Value'!$E$12))/((G1012)-(H1012))/(1+(G1012))^'DCF'!$E$19)+'Equity Bridge'!$E$17)/'Equity Bridge'!$E$20</x:f>
        <x:v>338.90893815154584</x:v>
      </x:c>
      <x:c r="X1012" s="255" t="n">
        <x:v>0.9369271332491786</x:v>
      </x:c>
      <x:c r="Y1012" s="255" t="n">
        <x:v>0.40779041058556365</x:v>
      </x:c>
      <x:c r="Z1012" s="255" t="n">
        <x:v>0.4470839373945077</x:v>
      </x:c>
      <x:c r="AA1012" s="255" t="n">
        <x:v>0.34358705395902367</x:v>
      </x:c>
      <x:c r="AB1012" s="255" t="n">
        <x:v>0.6289366631125477</x:v>
      </x:c>
    </x:row>
    <x:row r="1013" ht="24" customHeight="1">
      <x:c r="C1013" s="256" t="n">
        <x:f>982</x:f>
        <x:v>982</x:v>
      </x:c>
      <x:c r="D1013" s="258" t="n">
        <x:f>IF(X1013&lt;($E$12-$D$12)/($F$12-$D$12),$D$12+SQRT(X1013*($F$12-$D$12)*($E$12-$D$12)),$F$12-SQRT((1-X1013)*($F$12-$D$12)*($F$12-$E$12)))</x:f>
        <x:v>0.14300538914221303</x:v>
      </x:c>
      <x:c r="E1013" s="258" t="n">
        <x:f>IF(Y1013&lt;($E$13-$D$13)/($F$13-$D$13),$D$13+SQRT(Y1013*($F$13-$D$13)*($E$13-$D$13)),$F$13-SQRT((1-Y1013)*($F$13-$D$13)*($F$13-$E$13)))</x:f>
        <x:v>-0.009557654281541511</x:v>
      </x:c>
      <x:c r="F1013" s="260" t="n">
        <x:f>IF(Z1013&lt;($E$14-$D$14)/($F$14-$D$14),$D$14+SQRT(Z1013*($F$14-$D$14)*($E$14-$D$14)),$F$14-SQRT((1-Z1013)*($F$14-$D$14)*($F$14-$E$14)))</x:f>
        <x:v>1.0060774476027876</x:v>
      </x:c>
      <x:c r="G1013" s="258" t="n">
        <x:f>IF(AA1013&lt;($E$15-$D$15)/($F$15-$D$15),$D$15+SQRT(AA1013*($F$15-$D$15)*($E$15-$D$15)),$F$15-SQRT((1-AA1013)*($F$15-$D$15)*($F$15-$E$15)))</x:f>
        <x:v>0.10148478912732467</x:v>
      </x:c>
      <x:c r="H1013" s="258" t="n">
        <x:f>IF(AB1013&lt;($E$16-$D$16)/($F$16-$D$16),$D$16+SQRT(AB1013*($F$16-$D$16)*($E$16-$D$16)),$F$16-SQRT((1-AB1013)*($F$16-$D$16)*($F$16-$E$16)))</x:f>
        <x:v>0.023714407858511265</x:v>
      </x:c>
      <x:c r="I1013" s="262" t="n">
        <x:f>'Historical Inputs'!$N$9*(1+D1013)^5</x:f>
        <x:v>647394.2178388538</x:v>
      </x:c>
      <x:c r="J1013" s="262" t="n">
        <x:f>I1013*(1+H1013)*('Terminal Value'!$E$10+E1013)*(1-'Assumptions'!$E$15)*(1-H1013/'Terminal Value'!$E$12)</x:f>
        <x:v>182465.74943827858</x:v>
      </x:c>
      <x:c r="K1013" s="264" t="n">
        <x:f>((SUM((('Historical Inputs'!$N$9*(1+(D1013))^1)*(('Assumptions'!E37+(E1013))*(1-'Assumptions'!E42-(0))+'Assumptions'!E47-'Assumptions'!E52*(F1013)+'Assumptions'!E57-'Assumptions'!E62*(1)-'Assumptions'!E67-(0))+('Working Capital'!$E$6))*'DCF'!E12/(1+(G1013))^'DCF'!E13,(('Historical Inputs'!$N$9*(1+(D1013))^2)*(('Assumptions'!F37+(E1013))*(1-'Assumptions'!F42-(0))+'Assumptions'!F47-'Assumptions'!F52*(F1013)+'Assumptions'!F57-'Assumptions'!F62*(1)-'Assumptions'!F67-(0))+(('Historical Inputs'!$N$9*(1+(D1013))^1)*('Assumptions'!E67+(0))))*'DCF'!F12/(1+(G1013))^'DCF'!F13,(('Historical Inputs'!$N$9*(1+(D1013))^3)*(('Assumptions'!G37+(E1013))*(1-'Assumptions'!G42-(0))+'Assumptions'!G47-'Assumptions'!G52*(F1013)+'Assumptions'!G57-'Assumptions'!G62*(1)-'Assumptions'!G67-(0))+(('Historical Inputs'!$N$9*(1+(D1013))^2)*('Assumptions'!F67+(0))))*'DCF'!G12/(1+(G1013))^'DCF'!G13,(('Historical Inputs'!$N$9*(1+(D1013))^4)*(('Assumptions'!H37+(E1013))*(1-'Assumptions'!H42-(0))+'Assumptions'!H47-'Assumptions'!H52*(F1013)+'Assumptions'!H57-'Assumptions'!H62*(1)-'Assumptions'!H67-(0))+(('Historical Inputs'!$N$9*(1+(D1013))^3)*('Assumptions'!G67+(0))))*'DCF'!H12/(1+(G1013))^'DCF'!H13,(('Historical Inputs'!$N$9*(1+(D1013))^5)*(('Assumptions'!I37+(E1013))*(1-'Assumptions'!I42-(0))+'Assumptions'!I47-'Assumptions'!I52*(F1013)+'Assumptions'!I57-'Assumptions'!I62*(1)-'Assumptions'!I67-(0))+(('Historical Inputs'!$N$9*(1+(D1013))^4)*('Assumptions'!H67+(0))))*'DCF'!I12/(1+(G1013))^'DCF'!I13)+('Historical Inputs'!$N$9*(1+(D1013))^5)*(1+(H1013))*('Terminal Value'!$E$10+(E1013))*(1-'Assumptions'!$E$15-(0))*(1-(H1013)/('Terminal Value'!$E$12))/((G1013)-(H1013))/(1+(G1013))^'DCF'!$E$19)+'Equity Bridge'!$E$17)/'Equity Bridge'!$E$20</x:f>
        <x:v>252.29129204731984</x:v>
      </x:c>
      <x:c r="X1013" s="255" t="n">
        <x:v>0.4949800101246289</x:v>
      </x:c>
      <x:c r="Y1013" s="255" t="n">
        <x:v>0.3271166654422635</x:v>
      </x:c>
      <x:c r="Z1013" s="255" t="n">
        <x:v>0.4627720524535781</x:v>
      </x:c>
      <x:c r="AA1013" s="255" t="n">
        <x:v>0.6981054467722771</x:v>
      </x:c>
      <x:c r="AB1013" s="255" t="n">
        <x:v>0.06898412869685133</x:v>
      </x:c>
    </x:row>
    <x:row r="1014" ht="24" customHeight="1">
      <x:c r="C1014" s="256" t="n">
        <x:f>983</x:f>
        <x:v>983</x:v>
      </x:c>
      <x:c r="D1014" s="258" t="n">
        <x:f>IF(X1014&lt;($E$12-$D$12)/($F$12-$D$12),$D$12+SQRT(X1014*($F$12-$D$12)*($E$12-$D$12)),$F$12-SQRT((1-X1014)*($F$12-$D$12)*($F$12-$E$12)))</x:f>
        <x:v>0.11222943307506902</x:v>
      </x:c>
      <x:c r="E1014" s="258" t="n">
        <x:f>IF(Y1014&lt;($E$13-$D$13)/($F$13-$D$13),$D$13+SQRT(Y1014*($F$13-$D$13)*($E$13-$D$13)),$F$13-SQRT((1-Y1014)*($F$13-$D$13)*($F$13-$E$13)))</x:f>
        <x:v>-0.01467983607533177</x:v>
      </x:c>
      <x:c r="F1014" s="260" t="n">
        <x:f>IF(Z1014&lt;($E$14-$D$14)/($F$14-$D$14),$D$14+SQRT(Z1014*($F$14-$D$14)*($E$14-$D$14)),$F$14-SQRT((1-Z1014)*($F$14-$D$14)*($F$14-$E$14)))</x:f>
        <x:v>0.9285499438608569</x:v>
      </x:c>
      <x:c r="G1014" s="258" t="n">
        <x:f>IF(AA1014&lt;($E$15-$D$15)/($F$15-$D$15),$D$15+SQRT(AA1014*($F$15-$D$15)*($E$15-$D$15)),$F$15-SQRT((1-AA1014)*($F$15-$D$15)*($F$15-$E$15)))</x:f>
        <x:v>0.08687910652076364</x:v>
      </x:c>
      <x:c r="H1014" s="258" t="n">
        <x:f>IF(AB1014&lt;($E$16-$D$16)/($F$16-$D$16),$D$16+SQRT(AB1014*($F$16-$D$16)*($E$16-$D$16)),$F$16-SQRT((1-AB1014)*($F$16-$D$16)*($F$16-$E$16)))</x:f>
        <x:v>0.03439477565765588</x:v>
      </x:c>
      <x:c r="I1014" s="262" t="n">
        <x:f>'Historical Inputs'!$N$9*(1+D1014)^5</x:f>
        <x:v>564806.0556079369</x:v>
      </x:c>
      <x:c r="J1014" s="262" t="n">
        <x:f>I1014*(1+H1014)*('Terminal Value'!$E$10+E1014)*(1-'Assumptions'!$E$15)*(1-H1014/'Terminal Value'!$E$12)</x:f>
        <x:v>149121.8984014047</x:v>
      </x:c>
      <x:c r="K1014" s="264" t="n">
        <x:f>((SUM((('Historical Inputs'!$N$9*(1+(D1014))^1)*(('Assumptions'!E37+(E1014))*(1-'Assumptions'!E42-(0))+'Assumptions'!E47-'Assumptions'!E52*(F1014)+'Assumptions'!E57-'Assumptions'!E62*(1)-'Assumptions'!E67-(0))+('Working Capital'!$E$6))*'DCF'!E12/(1+(G1014))^'DCF'!E13,(('Historical Inputs'!$N$9*(1+(D1014))^2)*(('Assumptions'!F37+(E1014))*(1-'Assumptions'!F42-(0))+'Assumptions'!F47-'Assumptions'!F52*(F1014)+'Assumptions'!F57-'Assumptions'!F62*(1)-'Assumptions'!F67-(0))+(('Historical Inputs'!$N$9*(1+(D1014))^1)*('Assumptions'!E67+(0))))*'DCF'!F12/(1+(G1014))^'DCF'!F13,(('Historical Inputs'!$N$9*(1+(D1014))^3)*(('Assumptions'!G37+(E1014))*(1-'Assumptions'!G42-(0))+'Assumptions'!G47-'Assumptions'!G52*(F1014)+'Assumptions'!G57-'Assumptions'!G62*(1)-'Assumptions'!G67-(0))+(('Historical Inputs'!$N$9*(1+(D1014))^2)*('Assumptions'!F67+(0))))*'DCF'!G12/(1+(G1014))^'DCF'!G13,(('Historical Inputs'!$N$9*(1+(D1014))^4)*(('Assumptions'!H37+(E1014))*(1-'Assumptions'!H42-(0))+'Assumptions'!H47-'Assumptions'!H52*(F1014)+'Assumptions'!H57-'Assumptions'!H62*(1)-'Assumptions'!H67-(0))+(('Historical Inputs'!$N$9*(1+(D1014))^3)*('Assumptions'!G67+(0))))*'DCF'!H12/(1+(G1014))^'DCF'!H13,(('Historical Inputs'!$N$9*(1+(D1014))^5)*(('Assumptions'!I37+(E1014))*(1-'Assumptions'!I42-(0))+'Assumptions'!I47-'Assumptions'!I52*(F1014)+'Assumptions'!I57-'Assumptions'!I62*(1)-'Assumptions'!I67-(0))+(('Historical Inputs'!$N$9*(1+(D1014))^4)*('Assumptions'!H67+(0))))*'DCF'!I12/(1+(G1014))^'DCF'!I13)+('Historical Inputs'!$N$9*(1+(D1014))^5)*(1+(H1014))*('Terminal Value'!$E$10+(E1014))*(1-'Assumptions'!$E$15-(0))*(1-(H1014)/('Terminal Value'!$E$12))/((G1014)-(H1014))/(1+(G1014))^'DCF'!$E$19)+'Equity Bridge'!$E$17)/'Equity Bridge'!$E$20</x:f>
        <x:v>310.62492881983854</x:v>
      </x:c>
      <x:c r="X1014" s="255" t="n">
        <x:v>0.07199047772032474</x:v>
      </x:c>
      <x:c r="Y1014" s="255" t="n">
        <x:v>0.249502795933087</x:v>
      </x:c>
      <x:c r="Z1014" s="255" t="n">
        <x:v>0.11752559391511941</x:v>
      </x:c>
      <x:c r="AA1014" s="255" t="n">
        <x:v>0.031062569051164113</x:v>
      </x:c>
      <x:c r="AB1014" s="255" t="n">
        <x:v>0.8429073003599644</x:v>
      </x:c>
    </x:row>
    <x:row r="1015" ht="24" customHeight="1">
      <x:c r="C1015" s="256" t="n">
        <x:f>984</x:f>
        <x:v>984</x:v>
      </x:c>
      <x:c r="D1015" s="258" t="n">
        <x:f>IF(X1015&lt;($E$12-$D$12)/($F$12-$D$12),$D$12+SQRT(X1015*($F$12-$D$12)*($E$12-$D$12)),$F$12-SQRT((1-X1015)*($F$12-$D$12)*($F$12-$E$12)))</x:f>
        <x:v>0.1704618802938677</x:v>
      </x:c>
      <x:c r="E1015" s="258" t="n">
        <x:f>IF(Y1015&lt;($E$13-$D$13)/($F$13-$D$13),$D$13+SQRT(Y1015*($F$13-$D$13)*($E$13-$D$13)),$F$13-SQRT((1-Y1015)*($F$13-$D$13)*($F$13-$E$13)))</x:f>
        <x:v>0.0069127751540001</x:v>
      </x:c>
      <x:c r="F1015" s="260" t="n">
        <x:f>IF(Z1015&lt;($E$14-$D$14)/($F$14-$D$14),$D$14+SQRT(Z1015*($F$14-$D$14)*($E$14-$D$14)),$F$14-SQRT((1-Z1015)*($F$14-$D$14)*($F$14-$E$14)))</x:f>
        <x:v>0.9580740481010039</x:v>
      </x:c>
      <x:c r="G1015" s="258" t="n">
        <x:f>IF(AA1015&lt;($E$15-$D$15)/($F$15-$D$15),$D$15+SQRT(AA1015*($F$15-$D$15)*($E$15-$D$15)),$F$15-SQRT((1-AA1015)*($F$15-$D$15)*($F$15-$E$15)))</x:f>
        <x:v>0.09876872122602376</x:v>
      </x:c>
      <x:c r="H1015" s="258" t="n">
        <x:f>IF(AB1015&lt;($E$16-$D$16)/($F$16-$D$16),$D$16+SQRT(AB1015*($F$16-$D$16)*($E$16-$D$16)),$F$16-SQRT((1-AB1015)*($F$16-$D$16)*($F$16-$E$16)))</x:f>
        <x:v>0.03403023553820422</x:v>
      </x:c>
      <x:c r="I1015" s="262" t="n">
        <x:f>'Historical Inputs'!$N$9*(1+D1015)^5</x:f>
        <x:v>728976.9504637871</x:v>
      </x:c>
      <x:c r="J1015" s="262" t="n">
        <x:f>I1015*(1+H1015)*('Terminal Value'!$E$10+E1015)*(1-'Assumptions'!$E$15)*(1-H1015/'Terminal Value'!$E$12)</x:f>
        <x:v>203627.9215302894</x:v>
      </x:c>
      <x:c r="K1015" s="264" t="n">
        <x:f>((SUM((('Historical Inputs'!$N$9*(1+(D1015))^1)*(('Assumptions'!E37+(E1015))*(1-'Assumptions'!E42-(0))+'Assumptions'!E47-'Assumptions'!E52*(F1015)+'Assumptions'!E57-'Assumptions'!E62*(1)-'Assumptions'!E67-(0))+('Working Capital'!$E$6))*'DCF'!E12/(1+(G1015))^'DCF'!E13,(('Historical Inputs'!$N$9*(1+(D1015))^2)*(('Assumptions'!F37+(E1015))*(1-'Assumptions'!F42-(0))+'Assumptions'!F47-'Assumptions'!F52*(F1015)+'Assumptions'!F57-'Assumptions'!F62*(1)-'Assumptions'!F67-(0))+(('Historical Inputs'!$N$9*(1+(D1015))^1)*('Assumptions'!E67+(0))))*'DCF'!F12/(1+(G1015))^'DCF'!F13,(('Historical Inputs'!$N$9*(1+(D1015))^3)*(('Assumptions'!G37+(E1015))*(1-'Assumptions'!G42-(0))+'Assumptions'!G47-'Assumptions'!G52*(F1015)+'Assumptions'!G57-'Assumptions'!G62*(1)-'Assumptions'!G67-(0))+(('Historical Inputs'!$N$9*(1+(D1015))^2)*('Assumptions'!F67+(0))))*'DCF'!G12/(1+(G1015))^'DCF'!G13,(('Historical Inputs'!$N$9*(1+(D1015))^4)*(('Assumptions'!H37+(E1015))*(1-'Assumptions'!H42-(0))+'Assumptions'!H47-'Assumptions'!H52*(F1015)+'Assumptions'!H57-'Assumptions'!H62*(1)-'Assumptions'!H67-(0))+(('Historical Inputs'!$N$9*(1+(D1015))^3)*('Assumptions'!G67+(0))))*'DCF'!H12/(1+(G1015))^'DCF'!H13,(('Historical Inputs'!$N$9*(1+(D1015))^5)*(('Assumptions'!I37+(E1015))*(1-'Assumptions'!I42-(0))+'Assumptions'!I47-'Assumptions'!I52*(F1015)+'Assumptions'!I57-'Assumptions'!I62*(1)-'Assumptions'!I67-(0))+(('Historical Inputs'!$N$9*(1+(D1015))^4)*('Assumptions'!H67+(0))))*'DCF'!I12/(1+(G1015))^'DCF'!I13)+('Historical Inputs'!$N$9*(1+(D1015))^5)*(1+(H1015))*('Terminal Value'!$E$10+(E1015))*(1-'Assumptions'!$E$15-(0))*(1-(H1015)/('Terminal Value'!$E$12))/((G1015)-(H1015))/(1+(G1015))^'DCF'!$E$19)+'Equity Bridge'!$E$17)/'Equity Bridge'!$E$20</x:f>
        <x:v>335.5297039188528</x:v>
      </x:c>
      <x:c r="X1015" s="255" t="n">
        <x:v>0.8960763045054883</x:v>
      </x:c>
      <x:c r="Y1015" s="255" t="n">
        <x:v>0.6286982110140498</x:v>
      </x:c>
      <x:c r="Z1015" s="255" t="n">
        <x:v>0.22247618805596414</x:v>
      </x:c>
      <x:c r="AA1015" s="255" t="n">
        <x:v>0.5410127375460186</x:v>
      </x:c>
      <x:c r="AB1015" s="255" t="n">
        <x:v>0.8218095613534011</x:v>
      </x:c>
    </x:row>
    <x:row r="1016" ht="24" customHeight="1">
      <x:c r="C1016" s="256" t="n">
        <x:f>985</x:f>
        <x:v>985</x:v>
      </x:c>
      <x:c r="D1016" s="258" t="n">
        <x:f>IF(X1016&lt;($E$12-$D$12)/($F$12-$D$12),$D$12+SQRT(X1016*($F$12-$D$12)*($E$12-$D$12)),$F$12-SQRT((1-X1016)*($F$12-$D$12)*($F$12-$E$12)))</x:f>
        <x:v>0.11131598171322701</x:v>
      </x:c>
      <x:c r="E1016" s="258" t="n">
        <x:f>IF(Y1016&lt;($E$13-$D$13)/($F$13-$D$13),$D$13+SQRT(Y1016*($F$13-$D$13)*($E$13-$D$13)),$F$13-SQRT((1-Y1016)*($F$13-$D$13)*($F$13-$E$13)))</x:f>
        <x:v>-0.021910660083630473</x:v>
      </x:c>
      <x:c r="F1016" s="260" t="n">
        <x:f>IF(Z1016&lt;($E$14-$D$14)/($F$14-$D$14),$D$14+SQRT(Z1016*($F$14-$D$14)*($E$14-$D$14)),$F$14-SQRT((1-Z1016)*($F$14-$D$14)*($F$14-$E$14)))</x:f>
        <x:v>1.0089037761661548</x:v>
      </x:c>
      <x:c r="G1016" s="258" t="n">
        <x:f>IF(AA1016&lt;($E$15-$D$15)/($F$15-$D$15),$D$15+SQRT(AA1016*($F$15-$D$15)*($E$15-$D$15)),$F$15-SQRT((1-AA1016)*($F$15-$D$15)*($F$15-$E$15)))</x:f>
        <x:v>0.09634113082841674</x:v>
      </x:c>
      <x:c r="H1016" s="258" t="n">
        <x:f>IF(AB1016&lt;($E$16-$D$16)/($F$16-$D$16),$D$16+SQRT(AB1016*($F$16-$D$16)*($E$16-$D$16)),$F$16-SQRT((1-AB1016)*($F$16-$D$16)*($F$16-$E$16)))</x:f>
        <x:v>0.02732422261712436</x:v>
      </x:c>
      <x:c r="I1016" s="262" t="n">
        <x:f>'Historical Inputs'!$N$9*(1+D1016)^5</x:f>
        <x:v>562490.543595797</x:v>
      </x:c>
      <x:c r="J1016" s="262" t="n">
        <x:f>I1016*(1+H1016)*('Terminal Value'!$E$10+E1016)*(1-'Assumptions'!$E$15)*(1-H1016/'Terminal Value'!$E$12)</x:f>
        <x:v>150906.7262838813</x:v>
      </x:c>
      <x:c r="K1016" s="264" t="n">
        <x:f>((SUM((('Historical Inputs'!$N$9*(1+(D1016))^1)*(('Assumptions'!E37+(E1016))*(1-'Assumptions'!E42-(0))+'Assumptions'!E47-'Assumptions'!E52*(F1016)+'Assumptions'!E57-'Assumptions'!E62*(1)-'Assumptions'!E67-(0))+('Working Capital'!$E$6))*'DCF'!E12/(1+(G1016))^'DCF'!E13,(('Historical Inputs'!$N$9*(1+(D1016))^2)*(('Assumptions'!F37+(E1016))*(1-'Assumptions'!F42-(0))+'Assumptions'!F47-'Assumptions'!F52*(F1016)+'Assumptions'!F57-'Assumptions'!F62*(1)-'Assumptions'!F67-(0))+(('Historical Inputs'!$N$9*(1+(D1016))^1)*('Assumptions'!E67+(0))))*'DCF'!F12/(1+(G1016))^'DCF'!F13,(('Historical Inputs'!$N$9*(1+(D1016))^3)*(('Assumptions'!G37+(E1016))*(1-'Assumptions'!G42-(0))+'Assumptions'!G47-'Assumptions'!G52*(F1016)+'Assumptions'!G57-'Assumptions'!G62*(1)-'Assumptions'!G67-(0))+(('Historical Inputs'!$N$9*(1+(D1016))^2)*('Assumptions'!F67+(0))))*'DCF'!G12/(1+(G1016))^'DCF'!G13,(('Historical Inputs'!$N$9*(1+(D1016))^4)*(('Assumptions'!H37+(E1016))*(1-'Assumptions'!H42-(0))+'Assumptions'!H47-'Assumptions'!H52*(F1016)+'Assumptions'!H57-'Assumptions'!H62*(1)-'Assumptions'!H67-(0))+(('Historical Inputs'!$N$9*(1+(D1016))^3)*('Assumptions'!G67+(0))))*'DCF'!H12/(1+(G1016))^'DCF'!H13,(('Historical Inputs'!$N$9*(1+(D1016))^5)*(('Assumptions'!I37+(E1016))*(1-'Assumptions'!I42-(0))+'Assumptions'!I47-'Assumptions'!I52*(F1016)+'Assumptions'!I57-'Assumptions'!I62*(1)-'Assumptions'!I67-(0))+(('Historical Inputs'!$N$9*(1+(D1016))^4)*('Assumptions'!H67+(0))))*'DCF'!I12/(1+(G1016))^'DCF'!I13)+('Historical Inputs'!$N$9*(1+(D1016))^5)*(1+(H1016))*('Terminal Value'!$E$10+(E1016))*(1-'Assumptions'!$E$15-(0))*(1-(H1016)/('Terminal Value'!$E$12))/((G1016)-(H1016))/(1+(G1016))^'DCF'!$E$19)+'Equity Bridge'!$E$17)/'Equity Bridge'!$E$20</x:f>
        <x:v>235.8717276351065</x:v>
      </x:c>
      <x:c r="X1016" s="255" t="n">
        <x:v>0.06522520644128038</x:v>
      </x:c>
      <x:c r="Y1016" s="255" t="n">
        <x:v>0.15780220338747009</x:v>
      </x:c>
      <x:c r="Z1016" s="255" t="n">
        <x:v>0.47831761766349934</x:v>
      </x:c>
      <x:c r="AA1016" s="255" t="n">
        <x:v>0.3872446781489912</x:v>
      </x:c>
      <x:c r="AB1016" s="255" t="n">
        <x:v>0.2682211847259802</x:v>
      </x:c>
    </x:row>
    <x:row r="1017" ht="24" customHeight="1">
      <x:c r="C1017" s="256" t="n">
        <x:f>986</x:f>
        <x:v>986</x:v>
      </x:c>
      <x:c r="D1017" s="258" t="n">
        <x:f>IF(X1017&lt;($E$12-$D$12)/($F$12-$D$12),$D$12+SQRT(X1017*($F$12-$D$12)*($E$12-$D$12)),$F$12-SQRT((1-X1017)*($F$12-$D$12)*($F$12-$E$12)))</x:f>
        <x:v>0.17297966232359444</x:v>
      </x:c>
      <x:c r="E1017" s="258" t="n">
        <x:f>IF(Y1017&lt;($E$13-$D$13)/($F$13-$D$13),$D$13+SQRT(Y1017*($F$13-$D$13)*($E$13-$D$13)),$F$13-SQRT((1-Y1017)*($F$13-$D$13)*($F$13-$E$13)))</x:f>
        <x:v>0.0055545332644803755</x:v>
      </x:c>
      <x:c r="F1017" s="260" t="n">
        <x:f>IF(Z1017&lt;($E$14-$D$14)/($F$14-$D$14),$D$14+SQRT(Z1017*($F$14-$D$14)*($E$14-$D$14)),$F$14-SQRT((1-Z1017)*($F$14-$D$14)*($F$14-$E$14)))</x:f>
        <x:v>1.0912753765348966</x:v>
      </x:c>
      <x:c r="G1017" s="258" t="n">
        <x:f>IF(AA1017&lt;($E$15-$D$15)/($F$15-$D$15),$D$15+SQRT(AA1017*($F$15-$D$15)*($E$15-$D$15)),$F$15-SQRT((1-AA1017)*($F$15-$D$15)*($F$15-$E$15)))</x:f>
        <x:v>0.11087090777023809</x:v>
      </x:c>
      <x:c r="H1017" s="258" t="n">
        <x:f>IF(AB1017&lt;($E$16-$D$16)/($F$16-$D$16),$D$16+SQRT(AB1017*($F$16-$D$16)*($E$16-$D$16)),$F$16-SQRT((1-AB1017)*($F$16-$D$16)*($F$16-$E$16)))</x:f>
        <x:v>0.03540353197517799</x:v>
      </x:c>
      <x:c r="I1017" s="262" t="n">
        <x:f>'Historical Inputs'!$N$9*(1+D1017)^5</x:f>
        <x:v>736851.2707867915</x:v>
      </x:c>
      <x:c r="J1017" s="262" t="n">
        <x:f>I1017*(1+H1017)*('Terminal Value'!$E$10+E1017)*(1-'Assumptions'!$E$15)*(1-H1017/'Terminal Value'!$E$12)</x:f>
        <x:v>203713.23349521167</x:v>
      </x:c>
      <x:c r="K1017" s="264" t="n">
        <x:f>((SUM((('Historical Inputs'!$N$9*(1+(D1017))^1)*(('Assumptions'!E37+(E1017))*(1-'Assumptions'!E42-(0))+'Assumptions'!E47-'Assumptions'!E52*(F1017)+'Assumptions'!E57-'Assumptions'!E62*(1)-'Assumptions'!E67-(0))+('Working Capital'!$E$6))*'DCF'!E12/(1+(G1017))^'DCF'!E13,(('Historical Inputs'!$N$9*(1+(D1017))^2)*(('Assumptions'!F37+(E1017))*(1-'Assumptions'!F42-(0))+'Assumptions'!F47-'Assumptions'!F52*(F1017)+'Assumptions'!F57-'Assumptions'!F62*(1)-'Assumptions'!F67-(0))+(('Historical Inputs'!$N$9*(1+(D1017))^1)*('Assumptions'!E67+(0))))*'DCF'!F12/(1+(G1017))^'DCF'!F13,(('Historical Inputs'!$N$9*(1+(D1017))^3)*(('Assumptions'!G37+(E1017))*(1-'Assumptions'!G42-(0))+'Assumptions'!G47-'Assumptions'!G52*(F1017)+'Assumptions'!G57-'Assumptions'!G62*(1)-'Assumptions'!G67-(0))+(('Historical Inputs'!$N$9*(1+(D1017))^2)*('Assumptions'!F67+(0))))*'DCF'!G12/(1+(G1017))^'DCF'!G13,(('Historical Inputs'!$N$9*(1+(D1017))^4)*(('Assumptions'!H37+(E1017))*(1-'Assumptions'!H42-(0))+'Assumptions'!H47-'Assumptions'!H52*(F1017)+'Assumptions'!H57-'Assumptions'!H62*(1)-'Assumptions'!H67-(0))+(('Historical Inputs'!$N$9*(1+(D1017))^3)*('Assumptions'!G67+(0))))*'DCF'!H12/(1+(G1017))^'DCF'!H13,(('Historical Inputs'!$N$9*(1+(D1017))^5)*(('Assumptions'!I37+(E1017))*(1-'Assumptions'!I42-(0))+'Assumptions'!I47-'Assumptions'!I52*(F1017)+'Assumptions'!I57-'Assumptions'!I62*(1)-'Assumptions'!I67-(0))+(('Historical Inputs'!$N$9*(1+(D1017))^4)*('Assumptions'!H67+(0))))*'DCF'!I12/(1+(G1017))^'DCF'!I13)+('Historical Inputs'!$N$9*(1+(D1017))^5)*(1+(H1017))*('Terminal Value'!$E$10+(E1017))*(1-'Assumptions'!$E$15-(0))*(1-(H1017)/('Terminal Value'!$E$12))/((G1017)-(H1017))/(1+(G1017))^'DCF'!$E$19)+'Equity Bridge'!$E$17)/'Equity Bridge'!$E$20</x:f>
        <x:v>274.73098560650476</x:v>
      </x:c>
      <x:c r="X1017" s="255" t="n">
        <x:v>0.9177657383215753</x:v>
      </x:c>
      <x:c r="Y1017" s="255" t="n">
        <x:v>0.6049200973323637</x:v>
      </x:c>
      <x:c r="Z1017" s="255" t="n">
        <x:v>0.8311279464624497</x:v>
      </x:c>
      <x:c r="AA1017" s="255" t="n">
        <x:v>0.9885545431236924</x:v>
      </x:c>
      <x:c r="AB1017" s="255" t="n">
        <x:v>0.8943624084839442</x:v>
      </x:c>
    </x:row>
    <x:row r="1018" ht="24" customHeight="1">
      <x:c r="C1018" s="256" t="n">
        <x:f>987</x:f>
        <x:v>987</x:v>
      </x:c>
      <x:c r="D1018" s="258" t="n">
        <x:f>IF(X1018&lt;($E$12-$D$12)/($F$12-$D$12),$D$12+SQRT(X1018*($F$12-$D$12)*($E$12-$D$12)),$F$12-SQRT((1-X1018)*($F$12-$D$12)*($F$12-$E$12)))</x:f>
        <x:v>0.17928008656102934</x:v>
      </x:c>
      <x:c r="E1018" s="258" t="n">
        <x:f>IF(Y1018&lt;($E$13-$D$13)/($F$13-$D$13),$D$13+SQRT(Y1018*($F$13-$D$13)*($E$13-$D$13)),$F$13-SQRT((1-Y1018)*($F$13-$D$13)*($F$13-$E$13)))</x:f>
        <x:v>-0.04134250025164883</x:v>
      </x:c>
      <x:c r="F1018" s="260" t="n">
        <x:f>IF(Z1018&lt;($E$14-$D$14)/($F$14-$D$14),$D$14+SQRT(Z1018*($F$14-$D$14)*($E$14-$D$14)),$F$14-SQRT((1-Z1018)*($F$14-$D$14)*($F$14-$E$14)))</x:f>
        <x:v>1.142922204869163</x:v>
      </x:c>
      <x:c r="G1018" s="258" t="n">
        <x:f>IF(AA1018&lt;($E$15-$D$15)/($F$15-$D$15),$D$15+SQRT(AA1018*($F$15-$D$15)*($E$15-$D$15)),$F$15-SQRT((1-AA1018)*($F$15-$D$15)*($F$15-$E$15)))</x:f>
        <x:v>0.10701902783883474</x:v>
      </x:c>
      <x:c r="H1018" s="258" t="n">
        <x:f>IF(AB1018&lt;($E$16-$D$16)/($F$16-$D$16),$D$16+SQRT(AB1018*($F$16-$D$16)*($E$16-$D$16)),$F$16-SQRT((1-AB1018)*($F$16-$D$16)*($F$16-$E$16)))</x:f>
        <x:v>0.028318285910459845</x:v>
      </x:c>
      <x:c r="I1018" s="262" t="n">
        <x:f>'Historical Inputs'!$N$9*(1+D1018)^5</x:f>
        <x:v>756854.2452743329</x:v>
      </x:c>
      <x:c r="J1018" s="262" t="n">
        <x:f>I1018*(1+H1018)*('Terminal Value'!$E$10+E1018)*(1-'Assumptions'!$E$15)*(1-H1018/'Terminal Value'!$E$12)</x:f>
        <x:v>191691.89847636712</x:v>
      </x:c>
      <x:c r="K1018" s="264" t="n">
        <x:f>((SUM((('Historical Inputs'!$N$9*(1+(D1018))^1)*(('Assumptions'!E37+(E1018))*(1-'Assumptions'!E42-(0))+'Assumptions'!E47-'Assumptions'!E52*(F1018)+'Assumptions'!E57-'Assumptions'!E62*(1)-'Assumptions'!E67-(0))+('Working Capital'!$E$6))*'DCF'!E12/(1+(G1018))^'DCF'!E13,(('Historical Inputs'!$N$9*(1+(D1018))^2)*(('Assumptions'!F37+(E1018))*(1-'Assumptions'!F42-(0))+'Assumptions'!F47-'Assumptions'!F52*(F1018)+'Assumptions'!F57-'Assumptions'!F62*(1)-'Assumptions'!F67-(0))+(('Historical Inputs'!$N$9*(1+(D1018))^1)*('Assumptions'!E67+(0))))*'DCF'!F12/(1+(G1018))^'DCF'!F13,(('Historical Inputs'!$N$9*(1+(D1018))^3)*(('Assumptions'!G37+(E1018))*(1-'Assumptions'!G42-(0))+'Assumptions'!G47-'Assumptions'!G52*(F1018)+'Assumptions'!G57-'Assumptions'!G62*(1)-'Assumptions'!G67-(0))+(('Historical Inputs'!$N$9*(1+(D1018))^2)*('Assumptions'!F67+(0))))*'DCF'!G12/(1+(G1018))^'DCF'!G13,(('Historical Inputs'!$N$9*(1+(D1018))^4)*(('Assumptions'!H37+(E1018))*(1-'Assumptions'!H42-(0))+'Assumptions'!H47-'Assumptions'!H52*(F1018)+'Assumptions'!H57-'Assumptions'!H62*(1)-'Assumptions'!H67-(0))+(('Historical Inputs'!$N$9*(1+(D1018))^3)*('Assumptions'!G67+(0))))*'DCF'!H12/(1+(G1018))^'DCF'!H13,(('Historical Inputs'!$N$9*(1+(D1018))^5)*(('Assumptions'!I37+(E1018))*(1-'Assumptions'!I42-(0))+'Assumptions'!I47-'Assumptions'!I52*(F1018)+'Assumptions'!I57-'Assumptions'!I62*(1)-'Assumptions'!I67-(0))+(('Historical Inputs'!$N$9*(1+(D1018))^4)*('Assumptions'!H67+(0))))*'DCF'!I12/(1+(G1018))^'DCF'!I13)+('Historical Inputs'!$N$9*(1+(D1018))^5)*(1+(H1018))*('Terminal Value'!$E$10+(E1018))*(1-'Assumptions'!$E$15-(0))*(1-(H1018)/('Terminal Value'!$E$12))/((G1018)-(H1018))/(1+(G1018))^'DCF'!$E$19)+'Equity Bridge'!$E$17)/'Equity Bridge'!$E$20</x:f>
        <x:v>244.20131746868358</x:v>
      </x:c>
      <x:c r="X1018" s="255" t="n">
        <x:v>0.9609290561194431</x:v>
      </x:c>
      <x:c r="Y1018" s="255" t="n">
        <x:v>0.014990460378540127</x:v>
      </x:c>
      <x:c r="Z1018" s="255" t="n">
        <x:v>0.9534589329000313</x:v>
      </x:c>
      <x:c r="AA1018" s="255" t="n">
        <x:v>0.9167315085015136</x:v>
      </x:c>
      <x:c r="AB1018" s="255" t="n">
        <x:v>0.3459694024407738</x:v>
      </x:c>
    </x:row>
    <x:row r="1019" ht="24" customHeight="1">
      <x:c r="C1019" s="256" t="n">
        <x:f>988</x:f>
        <x:v>988</x:v>
      </x:c>
      <x:c r="D1019" s="258" t="n">
        <x:f>IF(X1019&lt;($E$12-$D$12)/($F$12-$D$12),$D$12+SQRT(X1019*($F$12-$D$12)*($E$12-$D$12)),$F$12-SQRT((1-X1019)*($F$12-$D$12)*($F$12-$E$12)))</x:f>
        <x:v>0.14470681304444827</x:v>
      </x:c>
      <x:c r="E1019" s="258" t="n">
        <x:f>IF(Y1019&lt;($E$13-$D$13)/($F$13-$D$13),$D$13+SQRT(Y1019*($F$13-$D$13)*($E$13-$D$13)),$F$13-SQRT((1-Y1019)*($F$13-$D$13)*($F$13-$E$13)))</x:f>
        <x:v>0.020780601842835287</x:v>
      </x:c>
      <x:c r="F1019" s="260" t="n">
        <x:f>IF(Z1019&lt;($E$14-$D$14)/($F$14-$D$14),$D$14+SQRT(Z1019*($F$14-$D$14)*($E$14-$D$14)),$F$14-SQRT((1-Z1019)*($F$14-$D$14)*($F$14-$E$14)))</x:f>
        <x:v>1.0444886381736618</x:v>
      </x:c>
      <x:c r="G1019" s="258" t="n">
        <x:f>IF(AA1019&lt;($E$15-$D$15)/($F$15-$D$15),$D$15+SQRT(AA1019*($F$15-$D$15)*($E$15-$D$15)),$F$15-SQRT((1-AA1019)*($F$15-$D$15)*($F$15-$E$15)))</x:f>
        <x:v>0.09788434003639696</x:v>
      </x:c>
      <x:c r="H1019" s="258" t="n">
        <x:f>IF(AB1019&lt;($E$16-$D$16)/($F$16-$D$16),$D$16+SQRT(AB1019*($F$16-$D$16)*($E$16-$D$16)),$F$16-SQRT((1-AB1019)*($F$16-$D$16)*($F$16-$E$16)))</x:f>
        <x:v>0.03396196185264424</x:v>
      </x:c>
      <x:c r="I1019" s="262" t="n">
        <x:f>'Historical Inputs'!$N$9*(1+D1019)^5</x:f>
        <x:v>652226.9865638567</x:v>
      </x:c>
      <x:c r="J1019" s="262" t="n">
        <x:f>I1019*(1+H1019)*('Terminal Value'!$E$10+E1019)*(1-'Assumptions'!$E$15)*(1-H1019/'Terminal Value'!$E$12)</x:f>
        <x:v>188463.22614307964</x:v>
      </x:c>
      <x:c r="K1019" s="264" t="n">
        <x:f>((SUM((('Historical Inputs'!$N$9*(1+(D1019))^1)*(('Assumptions'!E37+(E1019))*(1-'Assumptions'!E42-(0))+'Assumptions'!E47-'Assumptions'!E52*(F1019)+'Assumptions'!E57-'Assumptions'!E62*(1)-'Assumptions'!E67-(0))+('Working Capital'!$E$6))*'DCF'!E12/(1+(G1019))^'DCF'!E13,(('Historical Inputs'!$N$9*(1+(D1019))^2)*(('Assumptions'!F37+(E1019))*(1-'Assumptions'!F42-(0))+'Assumptions'!F47-'Assumptions'!F52*(F1019)+'Assumptions'!F57-'Assumptions'!F62*(1)-'Assumptions'!F67-(0))+(('Historical Inputs'!$N$9*(1+(D1019))^1)*('Assumptions'!E67+(0))))*'DCF'!F12/(1+(G1019))^'DCF'!F13,(('Historical Inputs'!$N$9*(1+(D1019))^3)*(('Assumptions'!G37+(E1019))*(1-'Assumptions'!G42-(0))+'Assumptions'!G47-'Assumptions'!G52*(F1019)+'Assumptions'!G57-'Assumptions'!G62*(1)-'Assumptions'!G67-(0))+(('Historical Inputs'!$N$9*(1+(D1019))^2)*('Assumptions'!F67+(0))))*'DCF'!G12/(1+(G1019))^'DCF'!G13,(('Historical Inputs'!$N$9*(1+(D1019))^4)*(('Assumptions'!H37+(E1019))*(1-'Assumptions'!H42-(0))+'Assumptions'!H47-'Assumptions'!H52*(F1019)+'Assumptions'!H57-'Assumptions'!H62*(1)-'Assumptions'!H67-(0))+(('Historical Inputs'!$N$9*(1+(D1019))^3)*('Assumptions'!G67+(0))))*'DCF'!H12/(1+(G1019))^'DCF'!H13,(('Historical Inputs'!$N$9*(1+(D1019))^5)*(('Assumptions'!I37+(E1019))*(1-'Assumptions'!I42-(0))+'Assumptions'!I47-'Assumptions'!I52*(F1019)+'Assumptions'!I57-'Assumptions'!I62*(1)-'Assumptions'!I67-(0))+(('Historical Inputs'!$N$9*(1+(D1019))^4)*('Assumptions'!H67+(0))))*'DCF'!I12/(1+(G1019))^'DCF'!I13)+('Historical Inputs'!$N$9*(1+(D1019))^5)*(1+(H1019))*('Terminal Value'!$E$10+(E1019))*(1-'Assumptions'!$E$15-(0))*(1-(H1019)/('Terminal Value'!$E$12))/((G1019)-(H1019))/(1+(G1019))^'DCF'!$E$19)+'Equity Bridge'!$E$17)/'Equity Bridge'!$E$20</x:f>
        <x:v>311.9846860166379</x:v>
      </x:c>
      <x:c r="X1019" s="255" t="n">
        <x:v>0.5285754454524332</x:v>
      </x:c>
      <x:c r="Y1019" s="255" t="n">
        <x:v>0.8292453542666158</x:v>
      </x:c>
      <x:c r="Z1019" s="255" t="n">
        <x:v>0.6545173763273965</x:v>
      </x:c>
      <x:c r="AA1019" s="255" t="n">
        <x:v>0.48307705186743344</x:v>
      </x:c>
      <x:c r="AB1019" s="255" t="n">
        <x:v>0.8177104766553832</x:v>
      </x:c>
    </x:row>
    <x:row r="1020" ht="24" customHeight="1">
      <x:c r="C1020" s="256" t="n">
        <x:f>989</x:f>
        <x:v>989</x:v>
      </x:c>
      <x:c r="D1020" s="258" t="n">
        <x:f>IF(X1020&lt;($E$12-$D$12)/($F$12-$D$12),$D$12+SQRT(X1020*($F$12-$D$12)*($E$12-$D$12)),$F$12-SQRT((1-X1020)*($F$12-$D$12)*($F$12-$E$12)))</x:f>
        <x:v>0.10485600703012776</x:v>
      </x:c>
      <x:c r="E1020" s="258" t="n">
        <x:f>IF(Y1020&lt;($E$13-$D$13)/($F$13-$D$13),$D$13+SQRT(Y1020*($F$13-$D$13)*($E$13-$D$13)),$F$13-SQRT((1-Y1020)*($F$13-$D$13)*($F$13-$E$13)))</x:f>
        <x:v>-0.039464311015110325</x:v>
      </x:c>
      <x:c r="F1020" s="260" t="n">
        <x:f>IF(Z1020&lt;($E$14-$D$14)/($F$14-$D$14),$D$14+SQRT(Z1020*($F$14-$D$14)*($E$14-$D$14)),$F$14-SQRT((1-Z1020)*($F$14-$D$14)*($F$14-$E$14)))</x:f>
        <x:v>0.9906939430822346</x:v>
      </x:c>
      <x:c r="G1020" s="258" t="n">
        <x:f>IF(AA1020&lt;($E$15-$D$15)/($F$15-$D$15),$D$15+SQRT(AA1020*($F$15-$D$15)*($E$15-$D$15)),$F$15-SQRT((1-AA1020)*($F$15-$D$15)*($F$15-$E$15)))</x:f>
        <x:v>0.09621644360475859</x:v>
      </x:c>
      <x:c r="H1020" s="258" t="n">
        <x:f>IF(AB1020&lt;($E$16-$D$16)/($F$16-$D$16),$D$16+SQRT(AB1020*($F$16-$D$16)*($E$16-$D$16)),$F$16-SQRT((1-AB1020)*($F$16-$D$16)*($F$16-$E$16)))</x:f>
        <x:v>0.026774399198640494</x:v>
      </x:c>
      <x:c r="I1020" s="262" t="n">
        <x:f>'Historical Inputs'!$N$9*(1+D1020)^5</x:f>
        <x:v>546330.9851722814</x:v>
      </x:c>
      <x:c r="J1020" s="262" t="n">
        <x:f>I1020*(1+H1020)*('Terminal Value'!$E$10+E1020)*(1-'Assumptions'!$E$15)*(1-H1020/'Terminal Value'!$E$12)</x:f>
        <x:v>140136.4763041417</x:v>
      </x:c>
      <x:c r="K1020" s="264" t="n">
        <x:f>((SUM((('Historical Inputs'!$N$9*(1+(D1020))^1)*(('Assumptions'!E37+(E1020))*(1-'Assumptions'!E42-(0))+'Assumptions'!E47-'Assumptions'!E52*(F1020)+'Assumptions'!E57-'Assumptions'!E62*(1)-'Assumptions'!E67-(0))+('Working Capital'!$E$6))*'DCF'!E12/(1+(G1020))^'DCF'!E13,(('Historical Inputs'!$N$9*(1+(D1020))^2)*(('Assumptions'!F37+(E1020))*(1-'Assumptions'!F42-(0))+'Assumptions'!F47-'Assumptions'!F52*(F1020)+'Assumptions'!F57-'Assumptions'!F62*(1)-'Assumptions'!F67-(0))+(('Historical Inputs'!$N$9*(1+(D1020))^1)*('Assumptions'!E67+(0))))*'DCF'!F12/(1+(G1020))^'DCF'!F13,(('Historical Inputs'!$N$9*(1+(D1020))^3)*(('Assumptions'!G37+(E1020))*(1-'Assumptions'!G42-(0))+'Assumptions'!G47-'Assumptions'!G52*(F1020)+'Assumptions'!G57-'Assumptions'!G62*(1)-'Assumptions'!G67-(0))+(('Historical Inputs'!$N$9*(1+(D1020))^2)*('Assumptions'!F67+(0))))*'DCF'!G12/(1+(G1020))^'DCF'!G13,(('Historical Inputs'!$N$9*(1+(D1020))^4)*(('Assumptions'!H37+(E1020))*(1-'Assumptions'!H42-(0))+'Assumptions'!H47-'Assumptions'!H52*(F1020)+'Assumptions'!H57-'Assumptions'!H62*(1)-'Assumptions'!H67-(0))+(('Historical Inputs'!$N$9*(1+(D1020))^3)*('Assumptions'!G67+(0))))*'DCF'!H12/(1+(G1020))^'DCF'!H13,(('Historical Inputs'!$N$9*(1+(D1020))^5)*(('Assumptions'!I37+(E1020))*(1-'Assumptions'!I42-(0))+'Assumptions'!I47-'Assumptions'!I52*(F1020)+'Assumptions'!I57-'Assumptions'!I62*(1)-'Assumptions'!I67-(0))+(('Historical Inputs'!$N$9*(1+(D1020))^4)*('Assumptions'!H67+(0))))*'DCF'!I12/(1+(G1020))^'DCF'!I13)+('Historical Inputs'!$N$9*(1+(D1020))^5)*(1+(H1020))*('Terminal Value'!$E$10+(E1020))*(1-'Assumptions'!$E$15-(0))*(1-(H1020)/('Terminal Value'!$E$12))/((G1020)-(H1020))/(1+(G1020))^'DCF'!$E$19)+'Equity Bridge'!$E$17)/'Equity Bridge'!$E$20</x:f>
        <x:v>218.1737460774446</x:v>
      </x:c>
      <x:c r="X1020" s="255" t="n">
        <x:v>0.026907291552848767</x:v>
      </x:c>
      <x:c r="Y1020" s="255" t="n">
        <x:v>0.022200148477265147</x:v>
      </x:c>
      <x:c r="Z1020" s="255" t="n">
        <x:v>0.37704353561956316</x:v>
      </x:c>
      <x:c r="AA1020" s="255" t="n">
        <x:v>0.3799638210183309</x:v>
      </x:c>
      <x:c r="AB1020" s="255" t="n">
        <x:v>0.22946242251270488</x:v>
      </x:c>
    </x:row>
    <x:row r="1021" ht="24" customHeight="1">
      <x:c r="C1021" s="256" t="n">
        <x:f>990</x:f>
        <x:v>990</x:v>
      </x:c>
      <x:c r="D1021" s="258" t="n">
        <x:f>IF(X1021&lt;($E$12-$D$12)/($F$12-$D$12),$D$12+SQRT(X1021*($F$12-$D$12)*($E$12-$D$12)),$F$12-SQRT((1-X1021)*($F$12-$D$12)*($F$12-$E$12)))</x:f>
        <x:v>0.16329087675156528</x:v>
      </x:c>
      <x:c r="E1021" s="258" t="n">
        <x:f>IF(Y1021&lt;($E$13-$D$13)/($F$13-$D$13),$D$13+SQRT(Y1021*($F$13-$D$13)*($E$13-$D$13)),$F$13-SQRT((1-Y1021)*($F$13-$D$13)*($F$13-$E$13)))</x:f>
        <x:v>0.008163782452373217</x:v>
      </x:c>
      <x:c r="F1021" s="260" t="n">
        <x:f>IF(Z1021&lt;($E$14-$D$14)/($F$14-$D$14),$D$14+SQRT(Z1021*($F$14-$D$14)*($E$14-$D$14)),$F$14-SQRT((1-Z1021)*($F$14-$D$14)*($F$14-$E$14)))</x:f>
        <x:v>1.1534260851463025</x:v>
      </x:c>
      <x:c r="G1021" s="258" t="n">
        <x:f>IF(AA1021&lt;($E$15-$D$15)/($F$15-$D$15),$D$15+SQRT(AA1021*($F$15-$D$15)*($E$15-$D$15)),$F$15-SQRT((1-AA1021)*($F$15-$D$15)*($F$15-$E$15)))</x:f>
        <x:v>0.10504282722610338</x:v>
      </x:c>
      <x:c r="H1021" s="258" t="n">
        <x:f>IF(AB1021&lt;($E$16-$D$16)/($F$16-$D$16),$D$16+SQRT(AB1021*($F$16-$D$16)*($E$16-$D$16)),$F$16-SQRT((1-AB1021)*($F$16-$D$16)*($F$16-$E$16)))</x:f>
        <x:v>0.031030493210992688</x:v>
      </x:c>
      <x:c r="I1021" s="262" t="n">
        <x:f>'Historical Inputs'!$N$9*(1+D1021)^5</x:f>
        <x:v>706917.9940965842</x:v>
      </x:c>
      <x:c r="J1021" s="262" t="n">
        <x:f>I1021*(1+H1021)*('Terminal Value'!$E$10+E1021)*(1-'Assumptions'!$E$15)*(1-H1021/'Terminal Value'!$E$12)</x:f>
        <x:v>201068.17683157173</x:v>
      </x:c>
      <x:c r="K1021" s="264" t="n">
        <x:f>((SUM((('Historical Inputs'!$N$9*(1+(D1021))^1)*(('Assumptions'!E37+(E1021))*(1-'Assumptions'!E42-(0))+'Assumptions'!E47-'Assumptions'!E52*(F1021)+'Assumptions'!E57-'Assumptions'!E62*(1)-'Assumptions'!E67-(0))+('Working Capital'!$E$6))*'DCF'!E12/(1+(G1021))^'DCF'!E13,(('Historical Inputs'!$N$9*(1+(D1021))^2)*(('Assumptions'!F37+(E1021))*(1-'Assumptions'!F42-(0))+'Assumptions'!F47-'Assumptions'!F52*(F1021)+'Assumptions'!F57-'Assumptions'!F62*(1)-'Assumptions'!F67-(0))+(('Historical Inputs'!$N$9*(1+(D1021))^1)*('Assumptions'!E67+(0))))*'DCF'!F12/(1+(G1021))^'DCF'!F13,(('Historical Inputs'!$N$9*(1+(D1021))^3)*(('Assumptions'!G37+(E1021))*(1-'Assumptions'!G42-(0))+'Assumptions'!G47-'Assumptions'!G52*(F1021)+'Assumptions'!G57-'Assumptions'!G62*(1)-'Assumptions'!G67-(0))+(('Historical Inputs'!$N$9*(1+(D1021))^2)*('Assumptions'!F67+(0))))*'DCF'!G12/(1+(G1021))^'DCF'!G13,(('Historical Inputs'!$N$9*(1+(D1021))^4)*(('Assumptions'!H37+(E1021))*(1-'Assumptions'!H42-(0))+'Assumptions'!H47-'Assumptions'!H52*(F1021)+'Assumptions'!H57-'Assumptions'!H62*(1)-'Assumptions'!H67-(0))+(('Historical Inputs'!$N$9*(1+(D1021))^3)*('Assumptions'!G67+(0))))*'DCF'!H12/(1+(G1021))^'DCF'!H13,(('Historical Inputs'!$N$9*(1+(D1021))^5)*(('Assumptions'!I37+(E1021))*(1-'Assumptions'!I42-(0))+'Assumptions'!I47-'Assumptions'!I52*(F1021)+'Assumptions'!I57-'Assumptions'!I62*(1)-'Assumptions'!I67-(0))+(('Historical Inputs'!$N$9*(1+(D1021))^4)*('Assumptions'!H67+(0))))*'DCF'!I12/(1+(G1021))^'DCF'!I13)+('Historical Inputs'!$N$9*(1+(D1021))^5)*(1+(H1021))*('Terminal Value'!$E$10+(E1021))*(1-'Assumptions'!$E$15-(0))*(1-(H1021)/('Terminal Value'!$E$12))/((G1021)-(H1021))/(1+(G1021))^'DCF'!$E$19)+'Equity Bridge'!$E$17)/'Equity Bridge'!$E$20</x:f>
        <x:v>277.356405129177</x:v>
      </x:c>
      <x:c r="X1021" s="255" t="n">
        <x:v>0.8204060298748986</x:v>
      </x:c>
      <x:c r="Y1021" s="255" t="n">
        <x:v>0.649946180261529</x:v>
      </x:c>
      <x:c r="Z1021" s="255" t="n">
        <x:v>0.9690124350742936</x:v>
      </x:c>
      <x:c r="AA1021" s="255" t="n">
        <x:v>0.854288472237341</x:v>
      </x:c>
      <x:c r="AB1021" s="255" t="n">
        <x:v>0.597739739809759</x:v>
      </x:c>
    </x:row>
    <x:row r="1022" ht="24" customHeight="1">
      <x:c r="C1022" s="256" t="n">
        <x:f>991</x:f>
        <x:v>991</x:v>
      </x:c>
      <x:c r="D1022" s="258" t="n">
        <x:f>IF(X1022&lt;($E$12-$D$12)/($F$12-$D$12),$D$12+SQRT(X1022*($F$12-$D$12)*($E$12-$D$12)),$F$12-SQRT((1-X1022)*($F$12-$D$12)*($F$12-$E$12)))</x:f>
        <x:v>0.15149277620956295</x:v>
      </x:c>
      <x:c r="E1022" s="258" t="n">
        <x:f>IF(Y1022&lt;($E$13-$D$13)/($F$13-$D$13),$D$13+SQRT(Y1022*($F$13-$D$13)*($E$13-$D$13)),$F$13-SQRT((1-Y1022)*($F$13-$D$13)*($F$13-$E$13)))</x:f>
        <x:v>-0.03132155151425966</x:v>
      </x:c>
      <x:c r="F1022" s="260" t="n">
        <x:f>IF(Z1022&lt;($E$14-$D$14)/($F$14-$D$14),$D$14+SQRT(Z1022*($F$14-$D$14)*($E$14-$D$14)),$F$14-SQRT((1-Z1022)*($F$14-$D$14)*($F$14-$E$14)))</x:f>
        <x:v>1.0308524607460685</x:v>
      </x:c>
      <x:c r="G1022" s="258" t="n">
        <x:f>IF(AA1022&lt;($E$15-$D$15)/($F$15-$D$15),$D$15+SQRT(AA1022*($F$15-$D$15)*($E$15-$D$15)),$F$15-SQRT((1-AA1022)*($F$15-$D$15)*($F$15-$E$15)))</x:f>
        <x:v>0.09925388819952045</x:v>
      </x:c>
      <x:c r="H1022" s="258" t="n">
        <x:f>IF(AB1022&lt;($E$16-$D$16)/($F$16-$D$16),$D$16+SQRT(AB1022*($F$16-$D$16)*($E$16-$D$16)),$F$16-SQRT((1-AB1022)*($F$16-$D$16)*($F$16-$E$16)))</x:f>
        <x:v>0.027561955209595215</x:v>
      </x:c>
      <x:c r="I1022" s="262" t="n">
        <x:f>'Historical Inputs'!$N$9*(1+D1022)^5</x:f>
        <x:v>671789.9692822132</x:v>
      </x:c>
      <x:c r="J1022" s="262" t="n">
        <x:f>I1022*(1+H1022)*('Terminal Value'!$E$10+E1022)*(1-'Assumptions'!$E$15)*(1-H1022/'Terminal Value'!$E$12)</x:f>
        <x:v>175542.53423775895</x:v>
      </x:c>
      <x:c r="K1022" s="264" t="n">
        <x:f>((SUM((('Historical Inputs'!$N$9*(1+(D1022))^1)*(('Assumptions'!E37+(E1022))*(1-'Assumptions'!E42-(0))+'Assumptions'!E47-'Assumptions'!E52*(F1022)+'Assumptions'!E57-'Assumptions'!E62*(1)-'Assumptions'!E67-(0))+('Working Capital'!$E$6))*'DCF'!E12/(1+(G1022))^'DCF'!E13,(('Historical Inputs'!$N$9*(1+(D1022))^2)*(('Assumptions'!F37+(E1022))*(1-'Assumptions'!F42-(0))+'Assumptions'!F47-'Assumptions'!F52*(F1022)+'Assumptions'!F57-'Assumptions'!F62*(1)-'Assumptions'!F67-(0))+(('Historical Inputs'!$N$9*(1+(D1022))^1)*('Assumptions'!E67+(0))))*'DCF'!F12/(1+(G1022))^'DCF'!F13,(('Historical Inputs'!$N$9*(1+(D1022))^3)*(('Assumptions'!G37+(E1022))*(1-'Assumptions'!G42-(0))+'Assumptions'!G47-'Assumptions'!G52*(F1022)+'Assumptions'!G57-'Assumptions'!G62*(1)-'Assumptions'!G67-(0))+(('Historical Inputs'!$N$9*(1+(D1022))^2)*('Assumptions'!F67+(0))))*'DCF'!G12/(1+(G1022))^'DCF'!G13,(('Historical Inputs'!$N$9*(1+(D1022))^4)*(('Assumptions'!H37+(E1022))*(1-'Assumptions'!H42-(0))+'Assumptions'!H47-'Assumptions'!H52*(F1022)+'Assumptions'!H57-'Assumptions'!H62*(1)-'Assumptions'!H67-(0))+(('Historical Inputs'!$N$9*(1+(D1022))^3)*('Assumptions'!G67+(0))))*'DCF'!H12/(1+(G1022))^'DCF'!H13,(('Historical Inputs'!$N$9*(1+(D1022))^5)*(('Assumptions'!I37+(E1022))*(1-'Assumptions'!I42-(0))+'Assumptions'!I47-'Assumptions'!I52*(F1022)+'Assumptions'!I57-'Assumptions'!I62*(1)-'Assumptions'!I67-(0))+(('Historical Inputs'!$N$9*(1+(D1022))^4)*('Assumptions'!H67+(0))))*'DCF'!I12/(1+(G1022))^'DCF'!I13)+('Historical Inputs'!$N$9*(1+(D1022))^5)*(1+(H1022))*('Terminal Value'!$E$10+(E1022))*(1-'Assumptions'!$E$15-(0))*(1-(H1022)/('Terminal Value'!$E$12))/((G1022)-(H1022))/(1+(G1022))^'DCF'!$E$19)+'Equity Bridge'!$E$17)/'Equity Bridge'!$E$20</x:f>
        <x:v>258.60991904265836</x:v>
      </x:c>
      <x:c r="X1022" s="255" t="n">
        <x:v>0.6511495576170253</x:v>
      </x:c>
      <x:c r="Y1022" s="255" t="n">
        <x:v>0.06977688756689115</x:v>
      </x:c>
      <x:c r="Z1022" s="255" t="n">
        <x:v>0.5912729994905674</x:v>
      </x:c>
      <x:c r="AA1022" s="255" t="n">
        <x:v>0.5714792064338888</x:v>
      </x:c>
      <x:c r="AB1022" s="255" t="n">
        <x:v>0.2859158329596213</x:v>
      </x:c>
    </x:row>
    <x:row r="1023" ht="24" customHeight="1">
      <x:c r="C1023" s="256" t="n">
        <x:f>992</x:f>
        <x:v>992</x:v>
      </x:c>
      <x:c r="D1023" s="258" t="n">
        <x:f>IF(X1023&lt;($E$12-$D$12)/($F$12-$D$12),$D$12+SQRT(X1023*($F$12-$D$12)*($E$12-$D$12)),$F$12-SQRT((1-X1023)*($F$12-$D$12)*($F$12-$E$12)))</x:f>
        <x:v>0.14256678068052964</x:v>
      </x:c>
      <x:c r="E1023" s="258" t="n">
        <x:f>IF(Y1023&lt;($E$13-$D$13)/($F$13-$D$13),$D$13+SQRT(Y1023*($F$13-$D$13)*($E$13-$D$13)),$F$13-SQRT((1-Y1023)*($F$13-$D$13)*($F$13-$E$13)))</x:f>
        <x:v>-0.022953318999102933</x:v>
      </x:c>
      <x:c r="F1023" s="260" t="n">
        <x:f>IF(Z1023&lt;($E$14-$D$14)/($F$14-$D$14),$D$14+SQRT(Z1023*($F$14-$D$14)*($E$14-$D$14)),$F$14-SQRT((1-Z1023)*($F$14-$D$14)*($F$14-$E$14)))</x:f>
        <x:v>1.0369662851333457</x:v>
      </x:c>
      <x:c r="G1023" s="258" t="n">
        <x:f>IF(AA1023&lt;($E$15-$D$15)/($F$15-$D$15),$D$15+SQRT(AA1023*($F$15-$D$15)*($E$15-$D$15)),$F$15-SQRT((1-AA1023)*($F$15-$D$15)*($F$15-$E$15)))</x:f>
        <x:v>0.09022622457194587</x:v>
      </x:c>
      <x:c r="H1023" s="258" t="n">
        <x:f>IF(AB1023&lt;($E$16-$D$16)/($F$16-$D$16),$D$16+SQRT(AB1023*($F$16-$D$16)*($E$16-$D$16)),$F$16-SQRT((1-AB1023)*($F$16-$D$16)*($F$16-$E$16)))</x:f>
        <x:v>0.030668150676163655</x:v>
      </x:c>
      <x:c r="I1023" s="262" t="n">
        <x:f>'Historical Inputs'!$N$9*(1+D1023)^5</x:f>
        <x:v>646153.0393433203</x:v>
      </x:c>
      <x:c r="J1023" s="262" t="n">
        <x:f>I1023*(1+H1023)*('Terminal Value'!$E$10+E1023)*(1-'Assumptions'!$E$15)*(1-H1023/'Terminal Value'!$E$12)</x:f>
        <x:v>170077.9499204717</x:v>
      </x:c>
      <x:c r="K1023" s="264" t="n">
        <x:f>((SUM((('Historical Inputs'!$N$9*(1+(D1023))^1)*(('Assumptions'!E37+(E1023))*(1-'Assumptions'!E42-(0))+'Assumptions'!E47-'Assumptions'!E52*(F1023)+'Assumptions'!E57-'Assumptions'!E62*(1)-'Assumptions'!E67-(0))+('Working Capital'!$E$6))*'DCF'!E12/(1+(G1023))^'DCF'!E13,(('Historical Inputs'!$N$9*(1+(D1023))^2)*(('Assumptions'!F37+(E1023))*(1-'Assumptions'!F42-(0))+'Assumptions'!F47-'Assumptions'!F52*(F1023)+'Assumptions'!F57-'Assumptions'!F62*(1)-'Assumptions'!F67-(0))+(('Historical Inputs'!$N$9*(1+(D1023))^1)*('Assumptions'!E67+(0))))*'DCF'!F12/(1+(G1023))^'DCF'!F13,(('Historical Inputs'!$N$9*(1+(D1023))^3)*(('Assumptions'!G37+(E1023))*(1-'Assumptions'!G42-(0))+'Assumptions'!G47-'Assumptions'!G52*(F1023)+'Assumptions'!G57-'Assumptions'!G62*(1)-'Assumptions'!G67-(0))+(('Historical Inputs'!$N$9*(1+(D1023))^2)*('Assumptions'!F67+(0))))*'DCF'!G12/(1+(G1023))^'DCF'!G13,(('Historical Inputs'!$N$9*(1+(D1023))^4)*(('Assumptions'!H37+(E1023))*(1-'Assumptions'!H42-(0))+'Assumptions'!H47-'Assumptions'!H52*(F1023)+'Assumptions'!H57-'Assumptions'!H62*(1)-'Assumptions'!H67-(0))+(('Historical Inputs'!$N$9*(1+(D1023))^3)*('Assumptions'!G67+(0))))*'DCF'!H12/(1+(G1023))^'DCF'!H13,(('Historical Inputs'!$N$9*(1+(D1023))^5)*(('Assumptions'!I37+(E1023))*(1-'Assumptions'!I42-(0))+'Assumptions'!I47-'Assumptions'!I52*(F1023)+'Assumptions'!I57-'Assumptions'!I62*(1)-'Assumptions'!I67-(0))+(('Historical Inputs'!$N$9*(1+(D1023))^4)*('Assumptions'!H67+(0))))*'DCF'!I12/(1+(G1023))^'DCF'!I13)+('Historical Inputs'!$N$9*(1+(D1023))^5)*(1+(H1023))*('Terminal Value'!$E$10+(E1023))*(1-'Assumptions'!$E$15-(0))*(1-(H1023)/('Terminal Value'!$E$12))/((G1023)-(H1023))/(1+(G1023))^'DCF'!$E$19)+'Equity Bridge'!$E$17)/'Equity Bridge'!$E$20</x:f>
        <x:v>304.4193483175804</x:v>
      </x:c>
      <x:c r="X1023" s="255" t="n">
        <x:v>0.48629046365724116</x:v>
      </x:c>
      <x:c r="Y1023" s="255" t="n">
        <x:v>0.14630459063285728</x:v>
      </x:c>
      <x:c r="Z1023" s="255" t="n">
        <x:v>0.620285825953978</x:v>
      </x:c>
      <x:c r="AA1023" s="255" t="n">
        <x:v>0.11157632236030124</x:v>
      </x:c>
      <x:c r="AB1023" s="255" t="n">
        <x:v>0.5645829409860759</x:v>
      </x:c>
    </x:row>
    <x:row r="1024" ht="24" customHeight="1">
      <x:c r="C1024" s="256" t="n">
        <x:f>993</x:f>
        <x:v>993</x:v>
      </x:c>
      <x:c r="D1024" s="258" t="n">
        <x:f>IF(X1024&lt;($E$12-$D$12)/($F$12-$D$12),$D$12+SQRT(X1024*($F$12-$D$12)*($E$12-$D$12)),$F$12-SQRT((1-X1024)*($F$12-$D$12)*($F$12-$E$12)))</x:f>
        <x:v>0.17246988417761683</x:v>
      </x:c>
      <x:c r="E1024" s="258" t="n">
        <x:f>IF(Y1024&lt;($E$13-$D$13)/($F$13-$D$13),$D$13+SQRT(Y1024*($F$13-$D$13)*($E$13-$D$13)),$F$13-SQRT((1-Y1024)*($F$13-$D$13)*($F$13-$E$13)))</x:f>
        <x:v>-0.0042838044814899195</x:v>
      </x:c>
      <x:c r="F1024" s="260" t="n">
        <x:f>IF(Z1024&lt;($E$14-$D$14)/($F$14-$D$14),$D$14+SQRT(Z1024*($F$14-$D$14)*($E$14-$D$14)),$F$14-SQRT((1-Z1024)*($F$14-$D$14)*($F$14-$E$14)))</x:f>
        <x:v>0.9211397320199365</x:v>
      </x:c>
      <x:c r="G1024" s="258" t="n">
        <x:f>IF(AA1024&lt;($E$15-$D$15)/($F$15-$D$15),$D$15+SQRT(AA1024*($F$15-$D$15)*($E$15-$D$15)),$F$15-SQRT((1-AA1024)*($F$15-$D$15)*($F$15-$E$15)))</x:f>
        <x:v>0.09697255253509138</x:v>
      </x:c>
      <x:c r="H1024" s="258" t="n">
        <x:f>IF(AB1024&lt;($E$16-$D$16)/($F$16-$D$16),$D$16+SQRT(AB1024*($F$16-$D$16)*($E$16-$D$16)),$F$16-SQRT((1-AB1024)*($F$16-$D$16)*($F$16-$E$16)))</x:f>
        <x:v>0.028717522017361302</x:v>
      </x:c>
      <x:c r="I1024" s="262" t="n">
        <x:f>'Historical Inputs'!$N$9*(1+D1024)^5</x:f>
        <x:v>735251.4803997009</x:v>
      </x:c>
      <x:c r="J1024" s="262" t="n">
        <x:f>I1024*(1+H1024)*('Terminal Value'!$E$10+E1024)*(1-'Assumptions'!$E$15)*(1-H1024/'Terminal Value'!$E$12)</x:f>
        <x:v>205063.7044288011</x:v>
      </x:c>
      <x:c r="K1024" s="264" t="n">
        <x:f>((SUM((('Historical Inputs'!$N$9*(1+(D1024))^1)*(('Assumptions'!E37+(E1024))*(1-'Assumptions'!E42-(0))+'Assumptions'!E47-'Assumptions'!E52*(F1024)+'Assumptions'!E57-'Assumptions'!E62*(1)-'Assumptions'!E67-(0))+('Working Capital'!$E$6))*'DCF'!E12/(1+(G1024))^'DCF'!E13,(('Historical Inputs'!$N$9*(1+(D1024))^2)*(('Assumptions'!F37+(E1024))*(1-'Assumptions'!F42-(0))+'Assumptions'!F47-'Assumptions'!F52*(F1024)+'Assumptions'!F57-'Assumptions'!F62*(1)-'Assumptions'!F67-(0))+(('Historical Inputs'!$N$9*(1+(D1024))^1)*('Assumptions'!E67+(0))))*'DCF'!F12/(1+(G1024))^'DCF'!F13,(('Historical Inputs'!$N$9*(1+(D1024))^3)*(('Assumptions'!G37+(E1024))*(1-'Assumptions'!G42-(0))+'Assumptions'!G47-'Assumptions'!G52*(F1024)+'Assumptions'!G57-'Assumptions'!G62*(1)-'Assumptions'!G67-(0))+(('Historical Inputs'!$N$9*(1+(D1024))^2)*('Assumptions'!F67+(0))))*'DCF'!G12/(1+(G1024))^'DCF'!G13,(('Historical Inputs'!$N$9*(1+(D1024))^4)*(('Assumptions'!H37+(E1024))*(1-'Assumptions'!H42-(0))+'Assumptions'!H47-'Assumptions'!H52*(F1024)+'Assumptions'!H57-'Assumptions'!H62*(1)-'Assumptions'!H67-(0))+(('Historical Inputs'!$N$9*(1+(D1024))^3)*('Assumptions'!G67+(0))))*'DCF'!H12/(1+(G1024))^'DCF'!H13,(('Historical Inputs'!$N$9*(1+(D1024))^5)*(('Assumptions'!I37+(E1024))*(1-'Assumptions'!I42-(0))+'Assumptions'!I47-'Assumptions'!I52*(F1024)+'Assumptions'!I57-'Assumptions'!I62*(1)-'Assumptions'!I67-(0))+(('Historical Inputs'!$N$9*(1+(D1024))^4)*('Assumptions'!H67+(0))))*'DCF'!I12/(1+(G1024))^'DCF'!I13)+('Historical Inputs'!$N$9*(1+(D1024))^5)*(1+(H1024))*('Terminal Value'!$E$10+(E1024))*(1-'Assumptions'!$E$15-(0))*(1-(H1024)/('Terminal Value'!$E$12))/((G1024)-(H1024))/(1+(G1024))^'DCF'!$E$19)+'Equity Bridge'!$E$17)/'Equity Bridge'!$E$20</x:f>
        <x:v>326.1629202390009</x:v>
      </x:c>
      <x:c r="X1024" s="255" t="n">
        <x:v>0.9135789816769573</x:v>
      </x:c>
      <x:c r="Y1024" s="255" t="n">
        <x:v>0.41799410653732827</x:v>
      </x:c>
      <x:c r="Z1024" s="255" t="n">
        <x:v>0.09639736136892141</x:v>
      </x:c>
      <x:c r="AA1024" s="255" t="n">
        <x:v>0.4251762073275427</x:v>
      </x:c>
      <x:c r="AB1024" s="255" t="n">
        <x:v>0.3799759506158956</x:v>
      </x:c>
    </x:row>
    <x:row r="1025" ht="24" customHeight="1">
      <x:c r="C1025" s="256" t="n">
        <x:f>994</x:f>
        <x:v>994</x:v>
      </x:c>
      <x:c r="D1025" s="258" t="n">
        <x:f>IF(X1025&lt;($E$12-$D$12)/($F$12-$D$12),$D$12+SQRT(X1025*($F$12-$D$12)*($E$12-$D$12)),$F$12-SQRT((1-X1025)*($F$12-$D$12)*($F$12-$E$12)))</x:f>
        <x:v>0.16661617259769948</x:v>
      </x:c>
      <x:c r="E1025" s="258" t="n">
        <x:f>IF(Y1025&lt;($E$13-$D$13)/($F$13-$D$13),$D$13+SQRT(Y1025*($F$13-$D$13)*($E$13-$D$13)),$F$13-SQRT((1-Y1025)*($F$13-$D$13)*($F$13-$E$13)))</x:f>
        <x:v>0.006999718084204985</x:v>
      </x:c>
      <x:c r="F1025" s="260" t="n">
        <x:f>IF(Z1025&lt;($E$14-$D$14)/($F$14-$D$14),$D$14+SQRT(Z1025*($F$14-$D$14)*($E$14-$D$14)),$F$14-SQRT((1-Z1025)*($F$14-$D$14)*($F$14-$E$14)))</x:f>
        <x:v>1.0827355997604224</x:v>
      </x:c>
      <x:c r="G1025" s="258" t="n">
        <x:f>IF(AA1025&lt;($E$15-$D$15)/($F$15-$D$15),$D$15+SQRT(AA1025*($F$15-$D$15)*($E$15-$D$15)),$F$15-SQRT((1-AA1025)*($F$15-$D$15)*($F$15-$E$15)))</x:f>
        <x:v>0.08685919200369734</x:v>
      </x:c>
      <x:c r="H1025" s="258" t="n">
        <x:f>IF(AB1025&lt;($E$16-$D$16)/($F$16-$D$16),$D$16+SQRT(AB1025*($F$16-$D$16)*($E$16-$D$16)),$F$16-SQRT((1-AB1025)*($F$16-$D$16)*($F$16-$E$16)))</x:f>
        <x:v>0.026284358561797765</x:v>
      </x:c>
      <x:c r="I1025" s="262" t="n">
        <x:f>'Historical Inputs'!$N$9*(1+D1025)^5</x:f>
        <x:v>717079.6360460736</x:v>
      </x:c>
      <x:c r="J1025" s="262" t="n">
        <x:f>I1025*(1+H1025)*('Terminal Value'!$E$10+E1025)*(1-'Assumptions'!$E$15)*(1-H1025/'Terminal Value'!$E$12)</x:f>
        <x:v>208126.85580631584</x:v>
      </x:c>
      <x:c r="K1025" s="264" t="n">
        <x:f>((SUM((('Historical Inputs'!$N$9*(1+(D1025))^1)*(('Assumptions'!E37+(E1025))*(1-'Assumptions'!E42-(0))+'Assumptions'!E47-'Assumptions'!E52*(F1025)+'Assumptions'!E57-'Assumptions'!E62*(1)-'Assumptions'!E67-(0))+('Working Capital'!$E$6))*'DCF'!E12/(1+(G1025))^'DCF'!E13,(('Historical Inputs'!$N$9*(1+(D1025))^2)*(('Assumptions'!F37+(E1025))*(1-'Assumptions'!F42-(0))+'Assumptions'!F47-'Assumptions'!F52*(F1025)+'Assumptions'!F57-'Assumptions'!F62*(1)-'Assumptions'!F67-(0))+(('Historical Inputs'!$N$9*(1+(D1025))^1)*('Assumptions'!E67+(0))))*'DCF'!F12/(1+(G1025))^'DCF'!F13,(('Historical Inputs'!$N$9*(1+(D1025))^3)*(('Assumptions'!G37+(E1025))*(1-'Assumptions'!G42-(0))+'Assumptions'!G47-'Assumptions'!G52*(F1025)+'Assumptions'!G57-'Assumptions'!G62*(1)-'Assumptions'!G67-(0))+(('Historical Inputs'!$N$9*(1+(D1025))^2)*('Assumptions'!F67+(0))))*'DCF'!G12/(1+(G1025))^'DCF'!G13,(('Historical Inputs'!$N$9*(1+(D1025))^4)*(('Assumptions'!H37+(E1025))*(1-'Assumptions'!H42-(0))+'Assumptions'!H47-'Assumptions'!H52*(F1025)+'Assumptions'!H57-'Assumptions'!H62*(1)-'Assumptions'!H67-(0))+(('Historical Inputs'!$N$9*(1+(D1025))^3)*('Assumptions'!G67+(0))))*'DCF'!H12/(1+(G1025))^'DCF'!H13,(('Historical Inputs'!$N$9*(1+(D1025))^5)*(('Assumptions'!I37+(E1025))*(1-'Assumptions'!I42-(0))+'Assumptions'!I47-'Assumptions'!I52*(F1025)+'Assumptions'!I57-'Assumptions'!I62*(1)-'Assumptions'!I67-(0))+(('Historical Inputs'!$N$9*(1+(D1025))^4)*('Assumptions'!H67+(0))))*'DCF'!I12/(1+(G1025))^'DCF'!I13)+('Historical Inputs'!$N$9*(1+(D1025))^5)*(1+(H1025))*('Terminal Value'!$E$10+(E1025))*(1-'Assumptions'!$E$15-(0))*(1-(H1025)/('Terminal Value'!$E$12))/((G1025)-(H1025))/(1+(G1025))^'DCF'!$E$19)+'Equity Bridge'!$E$17)/'Equity Bridge'!$E$20</x:f>
        <x:v>368.804908799802</x:v>
      </x:c>
      <x:c r="X1025" s="255" t="n">
        <x:v>0.8580530304783807</x:v>
      </x:c>
      <x:c r="Y1025" s="255" t="n">
        <x:v>0.6301951510324304</x:v>
      </x:c>
      <x:c r="Z1025" s="255" t="n">
        <x:v>0.8035580062350313</x:v>
      </x:c>
      <x:c r="AA1025" s="255" t="n">
        <x:v>0.030732538596172976</x:v>
      </x:c>
      <x:c r="AB1025" s="255" t="n">
        <x:v>0.19746581266620444</x:v>
      </x:c>
    </x:row>
    <x:row r="1026" ht="24" customHeight="1">
      <x:c r="C1026" s="256" t="n">
        <x:f>995</x:f>
        <x:v>995</x:v>
      </x:c>
      <x:c r="D1026" s="258" t="n">
        <x:f>IF(X1026&lt;($E$12-$D$12)/($F$12-$D$12),$D$12+SQRT(X1026*($F$12-$D$12)*($E$12-$D$12)),$F$12-SQRT((1-X1026)*($F$12-$D$12)*($F$12-$E$12)))</x:f>
        <x:v>0.15548410004628074</x:v>
      </x:c>
      <x:c r="E1026" s="258" t="n">
        <x:f>IF(Y1026&lt;($E$13-$D$13)/($F$13-$D$13),$D$13+SQRT(Y1026*($F$13-$D$13)*($E$13-$D$13)),$F$13-SQRT((1-Y1026)*($F$13-$D$13)*($F$13-$E$13)))</x:f>
        <x:v>-0.022347433125000617</x:v>
      </x:c>
      <x:c r="F1026" s="260" t="n">
        <x:f>IF(Z1026&lt;($E$14-$D$14)/($F$14-$D$14),$D$14+SQRT(Z1026*($F$14-$D$14)*($E$14-$D$14)),$F$14-SQRT((1-Z1026)*($F$14-$D$14)*($F$14-$E$14)))</x:f>
        <x:v>0.9459136393721833</x:v>
      </x:c>
      <x:c r="G1026" s="258" t="n">
        <x:f>IF(AA1026&lt;($E$15-$D$15)/($F$15-$D$15),$D$15+SQRT(AA1026*($F$15-$D$15)*($E$15-$D$15)),$F$15-SQRT((1-AA1026)*($F$15-$D$15)*($F$15-$E$15)))</x:f>
        <x:v>0.08698567733404271</x:v>
      </x:c>
      <x:c r="H1026" s="258" t="n">
        <x:f>IF(AB1026&lt;($E$16-$D$16)/($F$16-$D$16),$D$16+SQRT(AB1026*($F$16-$D$16)*($E$16-$D$16)),$F$16-SQRT((1-AB1026)*($F$16-$D$16)*($F$16-$E$16)))</x:f>
        <x:v>0.030455274698353678</x:v>
      </x:c>
      <x:c r="I1026" s="262" t="n">
        <x:f>'Historical Inputs'!$N$9*(1+D1026)^5</x:f>
        <x:v>683513.8118809396</x:v>
      </x:c>
      <x:c r="J1026" s="262" t="n">
        <x:f>I1026*(1+H1026)*('Terminal Value'!$E$10+E1026)*(1-'Assumptions'!$E$15)*(1-H1026/'Terminal Value'!$E$12)</x:f>
        <x:v>180390.290001144</x:v>
      </x:c>
      <x:c r="K1026" s="264" t="n">
        <x:f>((SUM((('Historical Inputs'!$N$9*(1+(D1026))^1)*(('Assumptions'!E37+(E1026))*(1-'Assumptions'!E42-(0))+'Assumptions'!E47-'Assumptions'!E52*(F1026)+'Assumptions'!E57-'Assumptions'!E62*(1)-'Assumptions'!E67-(0))+('Working Capital'!$E$6))*'DCF'!E12/(1+(G1026))^'DCF'!E13,(('Historical Inputs'!$N$9*(1+(D1026))^2)*(('Assumptions'!F37+(E1026))*(1-'Assumptions'!F42-(0))+'Assumptions'!F47-'Assumptions'!F52*(F1026)+'Assumptions'!F57-'Assumptions'!F62*(1)-'Assumptions'!F67-(0))+(('Historical Inputs'!$N$9*(1+(D1026))^1)*('Assumptions'!E67+(0))))*'DCF'!F12/(1+(G1026))^'DCF'!F13,(('Historical Inputs'!$N$9*(1+(D1026))^3)*(('Assumptions'!G37+(E1026))*(1-'Assumptions'!G42-(0))+'Assumptions'!G47-'Assumptions'!G52*(F1026)+'Assumptions'!G57-'Assumptions'!G62*(1)-'Assumptions'!G67-(0))+(('Historical Inputs'!$N$9*(1+(D1026))^2)*('Assumptions'!F67+(0))))*'DCF'!G12/(1+(G1026))^'DCF'!G13,(('Historical Inputs'!$N$9*(1+(D1026))^4)*(('Assumptions'!H37+(E1026))*(1-'Assumptions'!H42-(0))+'Assumptions'!H47-'Assumptions'!H52*(F1026)+'Assumptions'!H57-'Assumptions'!H62*(1)-'Assumptions'!H67-(0))+(('Historical Inputs'!$N$9*(1+(D1026))^3)*('Assumptions'!G67+(0))))*'DCF'!H12/(1+(G1026))^'DCF'!H13,(('Historical Inputs'!$N$9*(1+(D1026))^5)*(('Assumptions'!I37+(E1026))*(1-'Assumptions'!I42-(0))+'Assumptions'!I47-'Assumptions'!I52*(F1026)+'Assumptions'!I57-'Assumptions'!I62*(1)-'Assumptions'!I67-(0))+(('Historical Inputs'!$N$9*(1+(D1026))^4)*('Assumptions'!H67+(0))))*'DCF'!I12/(1+(G1026))^'DCF'!I13)+('Historical Inputs'!$N$9*(1+(D1026))^5)*(1+(H1026))*('Terminal Value'!$E$10+(E1026))*(1-'Assumptions'!$E$15-(0))*(1-(H1026)/('Terminal Value'!$E$12))/((G1026)-(H1026))/(1+(G1026))^'DCF'!$E$19)+'Equity Bridge'!$E$17)/'Equity Bridge'!$E$20</x:f>
        <x:v>347.2212124377615</x:v>
      </x:c>
      <x:c r="X1026" s="255" t="n">
        <x:v>0.7146412760437755</x:v>
      </x:c>
      <x:c r="Y1026" s="255" t="n">
        <x:v>0.15293289095526263</x:v>
      </x:c>
      <x:c r="Z1026" s="255" t="n">
        <x:v>0.1752271660498521</x:v>
      </x:c>
      <x:c r="AA1026" s="255" t="n">
        <x:v>0.03285865321263681</x:v>
      </x:c>
      <x:c r="AB1026" s="255" t="n">
        <x:v>0.5444910945805627</x:v>
      </x:c>
    </x:row>
    <x:row r="1027" ht="24" customHeight="1">
      <x:c r="C1027" s="256" t="n">
        <x:f>996</x:f>
        <x:v>996</x:v>
      </x:c>
      <x:c r="D1027" s="258" t="n">
        <x:f>IF(X1027&lt;($E$12-$D$12)/($F$12-$D$12),$D$12+SQRT(X1027*($F$12-$D$12)*($E$12-$D$12)),$F$12-SQRT((1-X1027)*($F$12-$D$12)*($F$12-$E$12)))</x:f>
        <x:v>0.16907717526577154</x:v>
      </x:c>
      <x:c r="E1027" s="258" t="n">
        <x:f>IF(Y1027&lt;($E$13-$D$13)/($F$13-$D$13),$D$13+SQRT(Y1027*($F$13-$D$13)*($E$13-$D$13)),$F$13-SQRT((1-Y1027)*($F$13-$D$13)*($F$13-$E$13)))</x:f>
        <x:v>0.02200705776221567</x:v>
      </x:c>
      <x:c r="F1027" s="260" t="n">
        <x:f>IF(Z1027&lt;($E$14-$D$14)/($F$14-$D$14),$D$14+SQRT(Z1027*($F$14-$D$14)*($E$14-$D$14)),$F$14-SQRT((1-Z1027)*($F$14-$D$14)*($F$14-$E$14)))</x:f>
        <x:v>1.0173519622731158</x:v>
      </x:c>
      <x:c r="G1027" s="258" t="n">
        <x:f>IF(AA1027&lt;($E$15-$D$15)/($F$15-$D$15),$D$15+SQRT(AA1027*($F$15-$D$15)*($E$15-$D$15)),$F$15-SQRT((1-AA1027)*($F$15-$D$15)*($F$15-$E$15)))</x:f>
        <x:v>0.09012049987040933</x:v>
      </x:c>
      <x:c r="H1027" s="258" t="n">
        <x:f>IF(AB1027&lt;($E$16-$D$16)/($F$16-$D$16),$D$16+SQRT(AB1027*($F$16-$D$16)*($E$16-$D$16)),$F$16-SQRT((1-AB1027)*($F$16-$D$16)*($F$16-$E$16)))</x:f>
        <x:v>0.02769257741883588</x:v>
      </x:c>
      <x:c r="I1027" s="262" t="n">
        <x:f>'Historical Inputs'!$N$9*(1+D1027)^5</x:f>
        <x:v>724675.0909905138</x:v>
      </x:c>
      <x:c r="J1027" s="262" t="n">
        <x:f>I1027*(1+H1027)*('Terminal Value'!$E$10+E1027)*(1-'Assumptions'!$E$15)*(1-H1027/'Terminal Value'!$E$12)</x:f>
        <x:v>216615.85704372072</x:v>
      </x:c>
      <x:c r="K1027" s="264" t="n">
        <x:f>((SUM((('Historical Inputs'!$N$9*(1+(D1027))^1)*(('Assumptions'!E37+(E1027))*(1-'Assumptions'!E42-(0))+'Assumptions'!E47-'Assumptions'!E52*(F1027)+'Assumptions'!E57-'Assumptions'!E62*(1)-'Assumptions'!E67-(0))+('Working Capital'!$E$6))*'DCF'!E12/(1+(G1027))^'DCF'!E13,(('Historical Inputs'!$N$9*(1+(D1027))^2)*(('Assumptions'!F37+(E1027))*(1-'Assumptions'!F42-(0))+'Assumptions'!F47-'Assumptions'!F52*(F1027)+'Assumptions'!F57-'Assumptions'!F62*(1)-'Assumptions'!F67-(0))+(('Historical Inputs'!$N$9*(1+(D1027))^1)*('Assumptions'!E67+(0))))*'DCF'!F12/(1+(G1027))^'DCF'!F13,(('Historical Inputs'!$N$9*(1+(D1027))^3)*(('Assumptions'!G37+(E1027))*(1-'Assumptions'!G42-(0))+'Assumptions'!G47-'Assumptions'!G52*(F1027)+'Assumptions'!G57-'Assumptions'!G62*(1)-'Assumptions'!G67-(0))+(('Historical Inputs'!$N$9*(1+(D1027))^2)*('Assumptions'!F67+(0))))*'DCF'!G12/(1+(G1027))^'DCF'!G13,(('Historical Inputs'!$N$9*(1+(D1027))^4)*(('Assumptions'!H37+(E1027))*(1-'Assumptions'!H42-(0))+'Assumptions'!H47-'Assumptions'!H52*(F1027)+'Assumptions'!H57-'Assumptions'!H62*(1)-'Assumptions'!H67-(0))+(('Historical Inputs'!$N$9*(1+(D1027))^3)*('Assumptions'!G67+(0))))*'DCF'!H12/(1+(G1027))^'DCF'!H13,(('Historical Inputs'!$N$9*(1+(D1027))^5)*(('Assumptions'!I37+(E1027))*(1-'Assumptions'!I42-(0))+'Assumptions'!I47-'Assumptions'!I52*(F1027)+'Assumptions'!I57-'Assumptions'!I62*(1)-'Assumptions'!I67-(0))+(('Historical Inputs'!$N$9*(1+(D1027))^4)*('Assumptions'!H67+(0))))*'DCF'!I12/(1+(G1027))^'DCF'!I13)+('Historical Inputs'!$N$9*(1+(D1027))^5)*(1+(H1027))*('Terminal Value'!$E$10+(E1027))*(1-'Assumptions'!$E$15-(0))*(1-(H1027)/('Terminal Value'!$E$12))/((G1027)-(H1027))/(1+(G1027))^'DCF'!$E$19)+'Equity Bridge'!$E$17)/'Equity Bridge'!$E$20</x:f>
        <x:v>375.29512248985594</x:v>
      </x:c>
      <x:c r="X1027" s="255" t="n">
        <x:v>0.8830670040642067</x:v>
      </x:c>
      <x:c r="Y1027" s="255" t="n">
        <x:v>0.843279036974414</x:v>
      </x:c>
      <x:c r="Z1027" s="255" t="n">
        <x:v>0.5234242044931241</x:v>
      </x:c>
      <x:c r="AA1027" s="255" t="n">
        <x:v>0.10827160645608402</x:v>
      </x:c>
      <x:c r="AB1027" s="255" t="n">
        <x:v>0.2958787367239184</x:v>
      </x:c>
    </x:row>
    <x:row r="1028" ht="24" customHeight="1">
      <x:c r="C1028" s="256" t="n">
        <x:f>997</x:f>
        <x:v>997</x:v>
      </x:c>
      <x:c r="D1028" s="258" t="n">
        <x:f>IF(X1028&lt;($E$12-$D$12)/($F$12-$D$12),$D$12+SQRT(X1028*($F$12-$D$12)*($E$12-$D$12)),$F$12-SQRT((1-X1028)*($F$12-$D$12)*($F$12-$E$12)))</x:f>
        <x:v>0.15671747913001954</x:v>
      </x:c>
      <x:c r="E1028" s="258" t="n">
        <x:f>IF(Y1028&lt;($E$13-$D$13)/($F$13-$D$13),$D$13+SQRT(Y1028*($F$13-$D$13)*($E$13-$D$13)),$F$13-SQRT((1-Y1028)*($F$13-$D$13)*($F$13-$E$13)))</x:f>
        <x:v>0.024185156785648046</x:v>
      </x:c>
      <x:c r="F1028" s="260" t="n">
        <x:f>IF(Z1028&lt;($E$14-$D$14)/($F$14-$D$14),$D$14+SQRT(Z1028*($F$14-$D$14)*($E$14-$D$14)),$F$14-SQRT((1-Z1028)*($F$14-$D$14)*($F$14-$E$14)))</x:f>
        <x:v>1.1056670538568873</x:v>
      </x:c>
      <x:c r="G1028" s="258" t="n">
        <x:f>IF(AA1028&lt;($E$15-$D$15)/($F$15-$D$15),$D$15+SQRT(AA1028*($F$15-$D$15)*($E$15-$D$15)),$F$15-SQRT((1-AA1028)*($F$15-$D$15)*($F$15-$E$15)))</x:f>
        <x:v>0.08857093715156045</x:v>
      </x:c>
      <x:c r="H1028" s="258" t="n">
        <x:f>IF(AB1028&lt;($E$16-$D$16)/($F$16-$D$16),$D$16+SQRT(AB1028*($F$16-$D$16)*($E$16-$D$16)),$F$16-SQRT((1-AB1028)*($F$16-$D$16)*($F$16-$E$16)))</x:f>
        <x:v>0.023141863155181932</x:v>
      </x:c>
      <x:c r="I1028" s="262" t="n">
        <x:f>'Historical Inputs'!$N$9*(1+D1028)^5</x:f>
        <x:v>687169.5665876176</x:v>
      </x:c>
      <x:c r="J1028" s="262" t="n">
        <x:f>I1028*(1+H1028)*('Terminal Value'!$E$10+E1028)*(1-'Assumptions'!$E$15)*(1-H1028/'Terminal Value'!$E$12)</x:f>
        <x:v>210979.5085021462</x:v>
      </x:c>
      <x:c r="K1028" s="264" t="n">
        <x:f>((SUM((('Historical Inputs'!$N$9*(1+(D1028))^1)*(('Assumptions'!E37+(E1028))*(1-'Assumptions'!E42-(0))+'Assumptions'!E47-'Assumptions'!E52*(F1028)+'Assumptions'!E57-'Assumptions'!E62*(1)-'Assumptions'!E67-(0))+('Working Capital'!$E$6))*'DCF'!E12/(1+(G1028))^'DCF'!E13,(('Historical Inputs'!$N$9*(1+(D1028))^2)*(('Assumptions'!F37+(E1028))*(1-'Assumptions'!F42-(0))+'Assumptions'!F47-'Assumptions'!F52*(F1028)+'Assumptions'!F57-'Assumptions'!F62*(1)-'Assumptions'!F67-(0))+(('Historical Inputs'!$N$9*(1+(D1028))^1)*('Assumptions'!E67+(0))))*'DCF'!F12/(1+(G1028))^'DCF'!F13,(('Historical Inputs'!$N$9*(1+(D1028))^3)*(('Assumptions'!G37+(E1028))*(1-'Assumptions'!G42-(0))+'Assumptions'!G47-'Assumptions'!G52*(F1028)+'Assumptions'!G57-'Assumptions'!G62*(1)-'Assumptions'!G67-(0))+(('Historical Inputs'!$N$9*(1+(D1028))^2)*('Assumptions'!F67+(0))))*'DCF'!G12/(1+(G1028))^'DCF'!G13,(('Historical Inputs'!$N$9*(1+(D1028))^4)*(('Assumptions'!H37+(E1028))*(1-'Assumptions'!H42-(0))+'Assumptions'!H47-'Assumptions'!H52*(F1028)+'Assumptions'!H57-'Assumptions'!H62*(1)-'Assumptions'!H67-(0))+(('Historical Inputs'!$N$9*(1+(D1028))^3)*('Assumptions'!G67+(0))))*'DCF'!H12/(1+(G1028))^'DCF'!H13,(('Historical Inputs'!$N$9*(1+(D1028))^5)*(('Assumptions'!I37+(E1028))*(1-'Assumptions'!I42-(0))+'Assumptions'!I47-'Assumptions'!I52*(F1028)+'Assumptions'!I57-'Assumptions'!I62*(1)-'Assumptions'!I67-(0))+(('Historical Inputs'!$N$9*(1+(D1028))^4)*('Assumptions'!H67+(0))))*'DCF'!I12/(1+(G1028))^'DCF'!I13)+('Historical Inputs'!$N$9*(1+(D1028))^5)*(1+(H1028))*('Terminal Value'!$E$10+(E1028))*(1-'Assumptions'!$E$15-(0))*(1-(H1028)/('Terminal Value'!$E$12))/((G1028)-(H1028))/(1+(G1028))^'DCF'!$E$19)+'Equity Bridge'!$E$17)/'Equity Bridge'!$E$20</x:f>
        <x:v>347.63777159265135</x:v>
      </x:c>
      <x:c r="X1028" s="255" t="n">
        <x:v>0.7329723639128859</x:v>
      </x:c>
      <x:c r="Y1028" s="255" t="n">
        <x:v>0.8667187739636854</x:v>
      </x:c>
      <x:c r="Z1028" s="255" t="n">
        <x:v>0.8728756467422945</x:v>
      </x:c>
      <x:c r="AA1028" s="255" t="n">
        <x:v>0.06553570508414719</x:v>
      </x:c>
      <x:c r="AB1028" s="255" t="n">
        <x:v>0.049356520429448936</x:v>
      </x:c>
    </x:row>
    <x:row r="1029" ht="24" customHeight="1">
      <x:c r="C1029" s="256" t="n">
        <x:f>998</x:f>
        <x:v>998</x:v>
      </x:c>
      <x:c r="D1029" s="258" t="n">
        <x:f>IF(X1029&lt;($E$12-$D$12)/($F$12-$D$12),$D$12+SQRT(X1029*($F$12-$D$12)*($E$12-$D$12)),$F$12-SQRT((1-X1029)*($F$12-$D$12)*($F$12-$E$12)))</x:f>
        <x:v>0.134860608554382</x:v>
      </x:c>
      <x:c r="E1029" s="258" t="n">
        <x:f>IF(Y1029&lt;($E$13-$D$13)/($F$13-$D$13),$D$13+SQRT(Y1029*($F$13-$D$13)*($E$13-$D$13)),$F$13-SQRT((1-Y1029)*($F$13-$D$13)*($F$13-$E$13)))</x:f>
        <x:v>-0.027286158720634678</x:v>
      </x:c>
      <x:c r="F1029" s="260" t="n">
        <x:f>IF(Z1029&lt;($E$14-$D$14)/($F$14-$D$14),$D$14+SQRT(Z1029*($F$14-$D$14)*($E$14-$D$14)),$F$14-SQRT((1-Z1029)*($F$14-$D$14)*($F$14-$E$14)))</x:f>
        <x:v>1.0963283148080982</x:v>
      </x:c>
      <x:c r="G1029" s="258" t="n">
        <x:f>IF(AA1029&lt;($E$15-$D$15)/($F$15-$D$15),$D$15+SQRT(AA1029*($F$15-$D$15)*($E$15-$D$15)),$F$15-SQRT((1-AA1029)*($F$15-$D$15)*($F$15-$E$15)))</x:f>
        <x:v>0.09069078556172934</x:v>
      </x:c>
      <x:c r="H1029" s="258" t="n">
        <x:f>IF(AB1029&lt;($E$16-$D$16)/($F$16-$D$16),$D$16+SQRT(AB1029*($F$16-$D$16)*($E$16-$D$16)),$F$16-SQRT((1-AB1029)*($F$16-$D$16)*($F$16-$E$16)))</x:f>
        <x:v>0.032420069033603414</x:v>
      </x:c>
      <x:c r="I1029" s="262" t="n">
        <x:f>'Historical Inputs'!$N$9*(1+D1029)^5</x:f>
        <x:v>624654.7326058015</x:v>
      </x:c>
      <x:c r="J1029" s="262" t="n">
        <x:f>I1029*(1+H1029)*('Terminal Value'!$E$10+E1029)*(1-'Assumptions'!$E$15)*(1-H1029/'Terminal Value'!$E$12)</x:f>
        <x:v>161121.68407001128</x:v>
      </x:c>
      <x:c r="K1029" s="264" t="n">
        <x:f>((SUM((('Historical Inputs'!$N$9*(1+(D1029))^1)*(('Assumptions'!E37+(E1029))*(1-'Assumptions'!E42-(0))+'Assumptions'!E47-'Assumptions'!E52*(F1029)+'Assumptions'!E57-'Assumptions'!E62*(1)-'Assumptions'!E67-(0))+('Working Capital'!$E$6))*'DCF'!E12/(1+(G1029))^'DCF'!E13,(('Historical Inputs'!$N$9*(1+(D1029))^2)*(('Assumptions'!F37+(E1029))*(1-'Assumptions'!F42-(0))+'Assumptions'!F47-'Assumptions'!F52*(F1029)+'Assumptions'!F57-'Assumptions'!F62*(1)-'Assumptions'!F67-(0))+(('Historical Inputs'!$N$9*(1+(D1029))^1)*('Assumptions'!E67+(0))))*'DCF'!F12/(1+(G1029))^'DCF'!F13,(('Historical Inputs'!$N$9*(1+(D1029))^3)*(('Assumptions'!G37+(E1029))*(1-'Assumptions'!G42-(0))+'Assumptions'!G47-'Assumptions'!G52*(F1029)+'Assumptions'!G57-'Assumptions'!G62*(1)-'Assumptions'!G67-(0))+(('Historical Inputs'!$N$9*(1+(D1029))^2)*('Assumptions'!F67+(0))))*'DCF'!G12/(1+(G1029))^'DCF'!G13,(('Historical Inputs'!$N$9*(1+(D1029))^4)*(('Assumptions'!H37+(E1029))*(1-'Assumptions'!H42-(0))+'Assumptions'!H47-'Assumptions'!H52*(F1029)+'Assumptions'!H57-'Assumptions'!H62*(1)-'Assumptions'!H67-(0))+(('Historical Inputs'!$N$9*(1+(D1029))^3)*('Assumptions'!G67+(0))))*'DCF'!H12/(1+(G1029))^'DCF'!H13,(('Historical Inputs'!$N$9*(1+(D1029))^5)*(('Assumptions'!I37+(E1029))*(1-'Assumptions'!I42-(0))+'Assumptions'!I47-'Assumptions'!I52*(F1029)+'Assumptions'!I57-'Assumptions'!I62*(1)-'Assumptions'!I67-(0))+(('Historical Inputs'!$N$9*(1+(D1029))^4)*('Assumptions'!H67+(0))))*'DCF'!I12/(1+(G1029))^'DCF'!I13)+('Historical Inputs'!$N$9*(1+(D1029))^5)*(1+(H1029))*('Terminal Value'!$E$10+(E1029))*(1-'Assumptions'!$E$15-(0))*(1-(H1029)/('Terminal Value'!$E$12))/((G1029)-(H1029))/(1+(G1029))^'DCF'!$E$19)+'Equity Bridge'!$E$17)/'Equity Bridge'!$E$20</x:f>
        <x:v>289.9078379993379</x:v>
      </x:c>
      <x:c r="X1029" s="255" t="n">
        <x:v>0.346171685732246</x:v>
      </x:c>
      <x:c r="Y1029" s="255" t="n">
        <x:v>0.10318371713284002</x:v>
      </x:c>
      <x:c r="Z1029" s="255" t="n">
        <x:v>0.8464597384210174</x:v>
      </x:c>
      <x:c r="AA1029" s="255" t="n">
        <x:v>0.12668619080199317</x:v>
      </x:c>
      <x:c r="AB1029" s="255" t="n">
        <x:v>0.7127232327233105</x:v>
      </x:c>
    </x:row>
    <x:row r="1030" ht="24" customHeight="1">
      <x:c r="C1030" s="256" t="n">
        <x:f>999</x:f>
        <x:v>999</x:v>
      </x:c>
      <x:c r="D1030" s="258" t="n">
        <x:f>IF(X1030&lt;($E$12-$D$12)/($F$12-$D$12),$D$12+SQRT(X1030*($F$12-$D$12)*($E$12-$D$12)),$F$12-SQRT((1-X1030)*($F$12-$D$12)*($F$12-$E$12)))</x:f>
        <x:v>0.1042126191290308</x:v>
      </x:c>
      <x:c r="E1030" s="258" t="n">
        <x:f>IF(Y1030&lt;($E$13-$D$13)/($F$13-$D$13),$D$13+SQRT(Y1030*($F$13-$D$13)*($E$13-$D$13)),$F$13-SQRT((1-Y1030)*($F$13-$D$13)*($F$13-$E$13)))</x:f>
        <x:v>-0.011254590679225983</x:v>
      </x:c>
      <x:c r="F1030" s="260" t="n">
        <x:f>IF(Z1030&lt;($E$14-$D$14)/($F$14-$D$14),$D$14+SQRT(Z1030*($F$14-$D$14)*($E$14-$D$14)),$F$14-SQRT((1-Z1030)*($F$14-$D$14)*($F$14-$E$14)))</x:f>
        <x:v>1.0429312292135358</x:v>
      </x:c>
      <x:c r="G1030" s="258" t="n">
        <x:f>IF(AA1030&lt;($E$15-$D$15)/($F$15-$D$15),$D$15+SQRT(AA1030*($F$15-$D$15)*($E$15-$D$15)),$F$15-SQRT((1-AA1030)*($F$15-$D$15)*($F$15-$E$15)))</x:f>
        <x:v>0.1026529358779596</x:v>
      </x:c>
      <x:c r="H1030" s="258" t="n">
        <x:f>IF(AB1030&lt;($E$16-$D$16)/($F$16-$D$16),$D$16+SQRT(AB1030*($F$16-$D$16)*($E$16-$D$16)),$F$16-SQRT((1-AB1030)*($F$16-$D$16)*($F$16-$E$16)))</x:f>
        <x:v>0.032886529712782234</x:v>
      </x:c>
      <x:c r="I1030" s="262" t="n">
        <x:f>'Historical Inputs'!$N$9*(1+D1030)^5</x:f>
        <x:v>544742.1192811639</x:v>
      </x:c>
      <x:c r="J1030" s="262" t="n">
        <x:f>I1030*(1+H1030)*('Terminal Value'!$E$10+E1030)*(1-'Assumptions'!$E$15)*(1-H1030/'Terminal Value'!$E$12)</x:f>
        <x:v>146211.08248101213</x:v>
      </x:c>
      <x:c r="K1030" s="264" t="n">
        <x:f>((SUM((('Historical Inputs'!$N$9*(1+(D1030))^1)*(('Assumptions'!E37+(E1030))*(1-'Assumptions'!E42-(0))+'Assumptions'!E47-'Assumptions'!E52*(F1030)+'Assumptions'!E57-'Assumptions'!E62*(1)-'Assumptions'!E67-(0))+('Working Capital'!$E$6))*'DCF'!E12/(1+(G1030))^'DCF'!E13,(('Historical Inputs'!$N$9*(1+(D1030))^2)*(('Assumptions'!F37+(E1030))*(1-'Assumptions'!F42-(0))+'Assumptions'!F47-'Assumptions'!F52*(F1030)+'Assumptions'!F57-'Assumptions'!F62*(1)-'Assumptions'!F67-(0))+(('Historical Inputs'!$N$9*(1+(D1030))^1)*('Assumptions'!E67+(0))))*'DCF'!F12/(1+(G1030))^'DCF'!F13,(('Historical Inputs'!$N$9*(1+(D1030))^3)*(('Assumptions'!G37+(E1030))*(1-'Assumptions'!G42-(0))+'Assumptions'!G47-'Assumptions'!G52*(F1030)+'Assumptions'!G57-'Assumptions'!G62*(1)-'Assumptions'!G67-(0))+(('Historical Inputs'!$N$9*(1+(D1030))^2)*('Assumptions'!F67+(0))))*'DCF'!G12/(1+(G1030))^'DCF'!G13,(('Historical Inputs'!$N$9*(1+(D1030))^4)*(('Assumptions'!H37+(E1030))*(1-'Assumptions'!H42-(0))+'Assumptions'!H47-'Assumptions'!H52*(F1030)+'Assumptions'!H57-'Assumptions'!H62*(1)-'Assumptions'!H67-(0))+(('Historical Inputs'!$N$9*(1+(D1030))^3)*('Assumptions'!G67+(0))))*'DCF'!H12/(1+(G1030))^'DCF'!H13,(('Historical Inputs'!$N$9*(1+(D1030))^5)*(('Assumptions'!I37+(E1030))*(1-'Assumptions'!I42-(0))+'Assumptions'!I47-'Assumptions'!I52*(F1030)+'Assumptions'!I57-'Assumptions'!I62*(1)-'Assumptions'!I67-(0))+(('Historical Inputs'!$N$9*(1+(D1030))^4)*('Assumptions'!H67+(0))))*'DCF'!I12/(1+(G1030))^'DCF'!I13)+('Historical Inputs'!$N$9*(1+(D1030))^5)*(1+(H1030))*('Terminal Value'!$E$10+(E1030))*(1-'Assumptions'!$E$15-(0))*(1-(H1030)/('Terminal Value'!$E$12))/((G1030)-(H1030))/(1+(G1030))^'DCF'!$E$19)+'Equity Bridge'!$E$17)/'Equity Bridge'!$E$20</x:f>
        <x:v>221.31145887138518</x:v>
      </x:c>
      <x:c r="X1030" s="255" t="n">
        <x:v>0.02400502245298375</x:v>
      </x:c>
      <x:c r="Y1030" s="255" t="n">
        <x:v>0.3002413486868645</x:v>
      </x:c>
      <x:c r="Z1030" s="255" t="n">
        <x:v>0.6475628749089878</x:v>
      </x:c>
      <x:c r="AA1030" s="255" t="n">
        <x:v>0.755586089792204</x:v>
      </x:c>
      <x:c r="AB1030" s="255" t="n">
        <x:v>0.7469927023643502</x:v>
      </x:c>
    </x:row>
    <x:row r="1031" ht="24" customHeight="1">
      <x:c r="C1031" s="256" t="n">
        <x:f>1000</x:f>
        <x:v>1000</x:v>
      </x:c>
      <x:c r="D1031" s="258" t="n">
        <x:f>IF(X1031&lt;($E$12-$D$12)/($F$12-$D$12),$D$12+SQRT(X1031*($F$12-$D$12)*($E$12-$D$12)),$F$12-SQRT((1-X1031)*($F$12-$D$12)*($F$12-$E$12)))</x:f>
        <x:v>0.17432633953997204</x:v>
      </x:c>
      <x:c r="E1031" s="258" t="n">
        <x:f>IF(Y1031&lt;($E$13-$D$13)/($F$13-$D$13),$D$13+SQRT(Y1031*($F$13-$D$13)*($E$13-$D$13)),$F$13-SQRT((1-Y1031)*($F$13-$D$13)*($F$13-$E$13)))</x:f>
        <x:v>0.031190748034329564</x:v>
      </x:c>
      <x:c r="F1031" s="260" t="n">
        <x:f>IF(Z1031&lt;($E$14-$D$14)/($F$14-$D$14),$D$14+SQRT(Z1031*($F$14-$D$14)*($E$14-$D$14)),$F$14-SQRT((1-Z1031)*($F$14-$D$14)*($F$14-$E$14)))</x:f>
        <x:v>1.022815415524422</x:v>
      </x:c>
      <x:c r="G1031" s="258" t="n">
        <x:f>IF(AA1031&lt;($E$15-$D$15)/($F$15-$D$15),$D$15+SQRT(AA1031*($F$15-$D$15)*($E$15-$D$15)),$F$15-SQRT((1-AA1031)*($F$15-$D$15)*($F$15-$E$15)))</x:f>
        <x:v>0.0993774257290001</x:v>
      </x:c>
      <x:c r="H1031" s="258" t="n">
        <x:f>IF(AB1031&lt;($E$16-$D$16)/($F$16-$D$16),$D$16+SQRT(AB1031*($F$16-$D$16)*($E$16-$D$16)),$F$16-SQRT((1-AB1031)*($F$16-$D$16)*($F$16-$E$16)))</x:f>
        <x:v>0.0343352635201024</x:v>
      </x:c>
      <x:c r="I1031" s="262" t="n">
        <x:f>'Historical Inputs'!$N$9*(1+D1031)^5</x:f>
        <x:v>741090.823924939</x:v>
      </x:c>
      <x:c r="J1031" s="262" t="n">
        <x:f>I1031*(1+H1031)*('Terminal Value'!$E$10+E1031)*(1-'Assumptions'!$E$15)*(1-H1031/'Terminal Value'!$E$12)</x:f>
        <x:v>219024.28249238784</x:v>
      </x:c>
      <x:c r="K1031" s="264" t="n">
        <x:f>((SUM((('Historical Inputs'!$N$9*(1+(D1031))^1)*(('Assumptions'!E37+(E1031))*(1-'Assumptions'!E42-(0))+'Assumptions'!E47-'Assumptions'!E52*(F1031)+'Assumptions'!E57-'Assumptions'!E62*(1)-'Assumptions'!E67-(0))+('Working Capital'!$E$6))*'DCF'!E12/(1+(G1031))^'DCF'!E13,(('Historical Inputs'!$N$9*(1+(D1031))^2)*(('Assumptions'!F37+(E1031))*(1-'Assumptions'!F42-(0))+'Assumptions'!F47-'Assumptions'!F52*(F1031)+'Assumptions'!F57-'Assumptions'!F62*(1)-'Assumptions'!F67-(0))+(('Historical Inputs'!$N$9*(1+(D1031))^1)*('Assumptions'!E67+(0))))*'DCF'!F12/(1+(G1031))^'DCF'!F13,(('Historical Inputs'!$N$9*(1+(D1031))^3)*(('Assumptions'!G37+(E1031))*(1-'Assumptions'!G42-(0))+'Assumptions'!G47-'Assumptions'!G52*(F1031)+'Assumptions'!G57-'Assumptions'!G62*(1)-'Assumptions'!G67-(0))+(('Historical Inputs'!$N$9*(1+(D1031))^2)*('Assumptions'!F67+(0))))*'DCF'!G12/(1+(G1031))^'DCF'!G13,(('Historical Inputs'!$N$9*(1+(D1031))^4)*(('Assumptions'!H37+(E1031))*(1-'Assumptions'!H42-(0))+'Assumptions'!H47-'Assumptions'!H52*(F1031)+'Assumptions'!H57-'Assumptions'!H62*(1)-'Assumptions'!H67-(0))+(('Historical Inputs'!$N$9*(1+(D1031))^3)*('Assumptions'!G67+(0))))*'DCF'!H12/(1+(G1031))^'DCF'!H13,(('Historical Inputs'!$N$9*(1+(D1031))^5)*(('Assumptions'!I37+(E1031))*(1-'Assumptions'!I42-(0))+'Assumptions'!I47-'Assumptions'!I52*(F1031)+'Assumptions'!I57-'Assumptions'!I62*(1)-'Assumptions'!I67-(0))+(('Historical Inputs'!$N$9*(1+(D1031))^4)*('Assumptions'!H67+(0))))*'DCF'!I12/(1+(G1031))^'DCF'!I13)+('Historical Inputs'!$N$9*(1+(D1031))^5)*(1+(H1031))*('Terminal Value'!$E$10+(E1031))*(1-'Assumptions'!$E$15-(0))*(1-(H1031)/('Terminal Value'!$E$12))/((G1031)-(H1031))/(1+(G1031))^'DCF'!$E$19)+'Equity Bridge'!$E$17)/'Equity Bridge'!$E$20</x:f>
        <x:v>355.5173906594167</x:v>
      </x:c>
      <x:c r="X1031" s="255" t="n">
        <x:v>0.928325853636659</x:v>
      </x:c>
      <x:c r="Y1031" s="255" t="n">
        <x:v>0.9292424080983845</x:v>
      </x:c>
      <x:c r="Z1031" s="255" t="n">
        <x:v>0.5515089003459545</x:v>
      </x:c>
      <x:c r="AA1031" s="255" t="n">
        <x:v>0.5790697433521804</x:v>
      </x:c>
      <x:c r="AB1031" s="255" t="n">
        <x:v>0.839553803066587</x:v>
      </x:c>
    </x:row>
    <x:row r="1035" ht="24" customHeight="1">
      <x:c r="C1035" s="267" t="str">
        <x:v>Selected case observations</x:v>
      </x:c>
      <x:c r="D1035" s="270"/>
      <x:c r="E1035" s="270"/>
      <x:c r="F1035" s="270"/>
      <x:c r="G1035" s="270"/>
      <x:c r="H1035" s="270"/>
      <x:c r="I1035" s="270"/>
      <x:c r="J1035" s="270"/>
      <x:c r="K1035" s="270"/>
      <x:c r="L1035" s="273"/>
    </x:row>
    <x:row r="1036" ht="24" customHeight="1">
      <x:c r="C1036" s="174" t="str">
        <x:f>"The conditional median is USD "&amp;ROUND(E21,2)&amp;"; 5th to 95th percentiles USD "&amp;ROUND(E19,2)&amp;" to "&amp;ROUND(E23,2)&amp;". "&amp;"These independent triangular priors are subjective analyst ranges, not estimated market distributions. The seed is frozen so the exact 1,000 draws are reproducible across engines."</x:f>
        <x:v>The conditional median is USD 283.92; 5th to 95th percentiles USD 224.15 to 362.83. These independent triangular priors are subjective analyst ranges, not estimated market distributions. The seed is frozen so the exact 1,000 draws are reproducible across engines.</x:v>
      </x:c>
      <x:c r="D1036" s="174"/>
      <x:c r="E1036" s="174"/>
      <x:c r="F1036" s="174"/>
      <x:c r="G1036" s="174"/>
      <x:c r="H1036" s="174"/>
      <x:c r="I1036" s="174"/>
      <x:c r="J1036" s="174"/>
      <x:c r="K1036" s="174"/>
      <x:c r="L1036" s="174"/>
    </x:row>
    <x:row r="1037" ht="24" customHeight="1">
      <x:c r="C1037" s="174"/>
      <x:c r="D1037" s="174"/>
      <x:c r="E1037" s="174"/>
      <x:c r="F1037" s="174"/>
      <x:c r="G1037" s="174"/>
      <x:c r="H1037" s="174"/>
      <x:c r="I1037" s="174"/>
      <x:c r="J1037" s="174"/>
      <x:c r="K1037" s="174"/>
      <x:c r="L1037" s="174"/>
    </x:row>
    <x:row r="1038" ht="24" customHeight="1">
      <x:c r="C1038" s="174"/>
      <x:c r="D1038" s="174"/>
      <x:c r="E1038" s="174"/>
      <x:c r="F1038" s="174"/>
      <x:c r="G1038" s="174"/>
      <x:c r="H1038" s="174"/>
      <x:c r="I1038" s="174"/>
      <x:c r="J1038" s="174"/>
      <x:c r="K1038" s="174"/>
      <x:c r="L1038" s="174"/>
    </x:row>
    <x:row r="1039" ht="24" customHeight="1">
      <x:c r="C1039" s="174" t="str">
        <x:v>A single uniform CAGR replaces the segment path in each draw. The mode reproduces FY2031 revenue, but the intermediate revenue sequence differs from the primary segment forecast. D&amp;A and other calibrated ratios remain fixed.</x:v>
      </x:c>
      <x:c r="D1039" s="174"/>
      <x:c r="E1039" s="174"/>
      <x:c r="F1039" s="174"/>
      <x:c r="G1039" s="174"/>
      <x:c r="H1039" s="174"/>
      <x:c r="I1039" s="174"/>
      <x:c r="J1039" s="174"/>
      <x:c r="K1039" s="174"/>
      <x:c r="L1039" s="174"/>
    </x:row>
    <x:row r="1040" ht="24" customHeight="1">
      <x:c r="C1040" s="174"/>
      <x:c r="D1040" s="174"/>
      <x:c r="E1040" s="174"/>
      <x:c r="F1040" s="174"/>
      <x:c r="G1040" s="174"/>
      <x:c r="H1040" s="174"/>
      <x:c r="I1040" s="174"/>
      <x:c r="J1040" s="174"/>
      <x:c r="K1040" s="174"/>
      <x:c r="L1040" s="174"/>
    </x:row>
    <x:row r="1041" ht="24" customHeight="1">
      <x:c r="C1041" s="174"/>
      <x:c r="D1041" s="174"/>
      <x:c r="E1041" s="174"/>
      <x:c r="F1041" s="174"/>
      <x:c r="G1041" s="174"/>
      <x:c r="H1041" s="174"/>
      <x:c r="I1041" s="174"/>
      <x:c r="J1041" s="174"/>
      <x:c r="K1041" s="174"/>
      <x:c r="L1041" s="174"/>
    </x:row>
    <x:row r="1042" ht="24" customHeight="1">
      <x:c r="C1042" s="174" t="str">
        <x:v>The selected stable ROIC and bridge stay fixed. The chart uses fixed bins; percentile outputs use all draws. Frequencies describe these assumptions only, and correlation, model error and tail shocks are not represented.</x:v>
      </x:c>
      <x:c r="D1042" s="174"/>
      <x:c r="E1042" s="174"/>
      <x:c r="F1042" s="174"/>
      <x:c r="G1042" s="174"/>
      <x:c r="H1042" s="174"/>
      <x:c r="I1042" s="174"/>
      <x:c r="J1042" s="174"/>
      <x:c r="K1042" s="174"/>
      <x:c r="L1042" s="174"/>
    </x:row>
    <x:row r="1043" ht="24" customHeight="1">
      <x:c r="C1043" s="174"/>
      <x:c r="D1043" s="174"/>
      <x:c r="E1043" s="174"/>
      <x:c r="F1043" s="174"/>
      <x:c r="G1043" s="174"/>
      <x:c r="H1043" s="174"/>
      <x:c r="I1043" s="174"/>
      <x:c r="J1043" s="174"/>
      <x:c r="K1043" s="174"/>
      <x:c r="L1043" s="174"/>
    </x:row>
    <x:row r="1044" ht="24" customHeight="1">
      <x:c r="C1044" s="174"/>
      <x:c r="D1044" s="174"/>
      <x:c r="E1044" s="174"/>
      <x:c r="F1044" s="174"/>
      <x:c r="G1044" s="174"/>
      <x:c r="H1044" s="174"/>
      <x:c r="I1044" s="174"/>
      <x:c r="J1044" s="174"/>
      <x:c r="K1044" s="174"/>
      <x:c r="L1044" s="174"/>
    </x:row>
  </x:sheetData>
  <x:mergeCells>
    <x:mergeCell ref="E4:F4"/>
    <x:mergeCell ref="C1036:L1038"/>
    <x:mergeCell ref="C1039:L1041"/>
    <x:mergeCell ref="C1042:L1044"/>
  </x:mergeCells>
  <x:pageMargins left="0.7" right="0.7" top="0.75" bottom="0.75" header="0.3" footer="0.3"/>
  <x:drawing xmlns:r="http://schemas.openxmlformats.org/officeDocument/2006/relationships" r:id="Rbf0aa08e038a4cd8"/>
  <x:legacyDrawing xmlns:r="http://schemas.openxmlformats.org/officeDocument/2006/relationships" r:id="R476cd4f14d9345ce"/>
</x:worksheet>
</file>

<file path=xl/worksheets/sheet27.xml><?xml version="1.0" encoding="utf-8"?>
<x:worksheet xmlns:x="http://schemas.openxmlformats.org/spreadsheetml/2006/main">
  <x:sheetPr>
    <x:tabColor rgb="FFBFBFBF"/>
  </x:sheetPr>
  <x:sheetViews>
    <x:sheetView showGridLines="0" workbookViewId="0"/>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Data &gt;&gt;</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x:c r="D4" s="136"/>
      <x:c r="E4" s="136"/>
      <x:c r="F4" s="136"/>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67" t="str">
        <x:v>Source and reproduction worksheets</x:v>
      </x:c>
      <x:c r="D8" s="170"/>
      <x:c r="E8" s="170"/>
      <x:c r="F8" s="170"/>
      <x:c r="G8" s="170"/>
      <x:c r="H8" s="170"/>
      <x:c r="I8" s="170"/>
      <x:c r="J8" s="170"/>
      <x:c r="K8" s="173"/>
      <x:c r="L8" s="136"/>
      <x:c r="M8" s="136"/>
      <x:c r="N8" s="136"/>
      <x:c r="O8" s="136"/>
      <x:c r="P8" s="136"/>
      <x:c r="Q8" s="136"/>
      <x:c r="R8" s="136"/>
      <x:c r="S8" s="136"/>
      <x:c r="T8" s="136"/>
      <x:c r="U8" s="136"/>
      <x:c r="V8" s="136"/>
      <x:c r="W8" s="136"/>
      <x:c r="X8" s="136"/>
      <x:c r="Y8" s="136"/>
      <x:c r="Z8" s="136"/>
    </x:row>
    <x:row r="9" ht="24" customHeight="1">
      <x:c r="A9" s="136"/>
      <x:c r="B9" s="136"/>
      <x:c r="C9" s="136"/>
      <x:c r="D9" s="136"/>
      <x:c r="E9" s="136"/>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x:c r="D10" s="136"/>
      <x:c r="E10" s="136"/>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67" t="str">
        <x:v>Selected case observations</x:v>
      </x:c>
      <x:c r="D11" s="170"/>
      <x:c r="E11" s="170"/>
      <x:c r="F11" s="170"/>
      <x:c r="G11" s="170"/>
      <x:c r="H11" s="170"/>
      <x:c r="I11" s="170"/>
      <x:c r="J11" s="170"/>
      <x:c r="K11" s="170"/>
      <x:c r="L11" s="173"/>
      <x:c r="M11" s="136"/>
      <x:c r="N11" s="136"/>
      <x:c r="O11" s="136"/>
      <x:c r="P11" s="136"/>
      <x:c r="Q11" s="136"/>
      <x:c r="R11" s="136"/>
      <x:c r="S11" s="136"/>
      <x:c r="T11" s="136"/>
      <x:c r="U11" s="136"/>
      <x:c r="V11" s="136"/>
      <x:c r="W11" s="136"/>
      <x:c r="X11" s="136"/>
      <x:c r="Y11" s="136"/>
      <x:c r="Z11" s="136"/>
    </x:row>
    <x:row r="12" ht="24" customHeight="1">
      <x:c r="A12" s="136"/>
      <x:c r="B12" s="136"/>
      <x:c r="C12" s="174" t="str">
        <x:v>Historical Inputs: selected ten-year annual financial disclosures and source-linked diagnostics. Market Inputs: cutoff quote, Treasury yield and dated ERP.</x:v>
      </x:c>
      <x:c r="D12" s="174"/>
      <x:c r="E12" s="174"/>
      <x:c r="F12" s="174"/>
      <x:c r="G12" s="174"/>
      <x:c r="H12" s="174"/>
      <x:c r="I12" s="174"/>
      <x:c r="J12" s="174"/>
      <x:c r="K12" s="174"/>
      <x:c r="L12" s="174"/>
      <x:c r="M12" s="136"/>
      <x:c r="N12" s="136"/>
      <x:c r="O12" s="136"/>
      <x:c r="P12" s="136"/>
      <x:c r="Q12" s="136"/>
      <x:c r="R12" s="136"/>
      <x:c r="S12" s="136"/>
      <x:c r="T12" s="136"/>
      <x:c r="U12" s="136"/>
      <x:c r="V12" s="136"/>
      <x:c r="W12" s="136"/>
      <x:c r="X12" s="136"/>
      <x:c r="Y12" s="136"/>
      <x:c r="Z12" s="136"/>
    </x:row>
    <x:row r="13" ht="24" customHeight="1">
      <x:c r="A13" s="136"/>
      <x:c r="B13" s="136"/>
      <x:c r="C13" s="174"/>
      <x:c r="D13" s="174"/>
      <x:c r="E13" s="174"/>
      <x:c r="F13" s="174"/>
      <x:c r="G13" s="174"/>
      <x:c r="H13" s="174"/>
      <x:c r="I13" s="174"/>
      <x:c r="J13" s="174"/>
      <x:c r="K13" s="174"/>
      <x:c r="L13" s="174"/>
      <x:c r="M13" s="136"/>
      <x:c r="N13" s="136"/>
      <x:c r="O13" s="136"/>
      <x:c r="P13" s="136"/>
      <x:c r="Q13" s="136"/>
      <x:c r="R13" s="136"/>
      <x:c r="S13" s="136"/>
      <x:c r="T13" s="136"/>
      <x:c r="U13" s="136"/>
      <x:c r="V13" s="136"/>
      <x:c r="W13" s="136"/>
      <x:c r="X13" s="136"/>
      <x:c r="Y13" s="136"/>
      <x:c r="Z13" s="136"/>
    </x:row>
    <x:row r="14" ht="24" customHeight="1">
      <x:c r="A14" s="136"/>
      <x:c r="B14" s="136"/>
      <x:c r="C14" s="174"/>
      <x:c r="D14" s="174"/>
      <x:c r="E14" s="174"/>
      <x:c r="F14" s="174"/>
      <x:c r="G14" s="174"/>
      <x:c r="H14" s="174"/>
      <x:c r="I14" s="174"/>
      <x:c r="J14" s="174"/>
      <x:c r="K14" s="174"/>
      <x:c r="L14" s="174"/>
      <x:c r="M14" s="136"/>
      <x:c r="N14" s="136"/>
      <x:c r="O14" s="136"/>
      <x:c r="P14" s="136"/>
      <x:c r="Q14" s="136"/>
      <x:c r="R14" s="136"/>
      <x:c r="S14" s="136"/>
      <x:c r="T14" s="136"/>
      <x:c r="U14" s="136"/>
      <x:c r="V14" s="136"/>
      <x:c r="W14" s="136"/>
      <x:c r="X14" s="136"/>
      <x:c r="Y14" s="136"/>
      <x:c r="Z14" s="136"/>
    </x:row>
    <x:row r="15" ht="24" customHeight="1">
      <x:c r="A15" s="136"/>
      <x:c r="B15" s="136"/>
      <x:c r="C15" s="174" t="str">
        <x:v>Market Data: all matched daily prices, return calculations, leverage, residuals and sandwich covariance terms. Source Catalog: complete per-cell traceability.</x:v>
      </x:c>
      <x:c r="D15" s="174"/>
      <x:c r="E15" s="174"/>
      <x:c r="F15" s="174"/>
      <x:c r="G15" s="174"/>
      <x:c r="H15" s="174"/>
      <x:c r="I15" s="174"/>
      <x:c r="J15" s="174"/>
      <x:c r="K15" s="174"/>
      <x:c r="L15" s="174"/>
      <x:c r="M15" s="136"/>
      <x:c r="N15" s="136"/>
      <x:c r="O15" s="136"/>
      <x:c r="P15" s="136"/>
      <x:c r="Q15" s="136"/>
      <x:c r="R15" s="136"/>
      <x:c r="S15" s="136"/>
      <x:c r="T15" s="136"/>
      <x:c r="U15" s="136"/>
      <x:c r="V15" s="136"/>
      <x:c r="W15" s="136"/>
      <x:c r="X15" s="136"/>
      <x:c r="Y15" s="136"/>
      <x:c r="Z15" s="136"/>
    </x:row>
    <x:row r="16" ht="24" customHeight="1">
      <x:c r="A16" s="136"/>
      <x:c r="B16" s="136"/>
      <x:c r="C16" s="174"/>
      <x:c r="D16" s="174"/>
      <x:c r="E16" s="174"/>
      <x:c r="F16" s="174"/>
      <x:c r="G16" s="174"/>
      <x:c r="H16" s="174"/>
      <x:c r="I16" s="174"/>
      <x:c r="J16" s="174"/>
      <x:c r="K16" s="174"/>
      <x:c r="L16" s="174"/>
      <x:c r="M16" s="136"/>
      <x:c r="N16" s="136"/>
      <x:c r="O16" s="136"/>
      <x:c r="P16" s="136"/>
      <x:c r="Q16" s="136"/>
      <x:c r="R16" s="136"/>
      <x:c r="S16" s="136"/>
      <x:c r="T16" s="136"/>
      <x:c r="U16" s="136"/>
      <x:c r="V16" s="136"/>
      <x:c r="W16" s="136"/>
      <x:c r="X16" s="136"/>
      <x:c r="Y16" s="136"/>
      <x:c r="Z16" s="136"/>
    </x:row>
    <x:row r="17" ht="24" customHeight="1">
      <x:c r="A17" s="136"/>
      <x:c r="B17" s="136"/>
      <x:c r="C17" s="174"/>
      <x:c r="D17" s="174"/>
      <x:c r="E17" s="174"/>
      <x:c r="F17" s="174"/>
      <x:c r="G17" s="174"/>
      <x:c r="H17" s="174"/>
      <x:c r="I17" s="174"/>
      <x:c r="J17" s="174"/>
      <x:c r="K17" s="174"/>
      <x:c r="L17" s="174"/>
      <x:c r="M17" s="136"/>
      <x:c r="N17" s="136"/>
      <x:c r="O17" s="136"/>
      <x:c r="P17" s="136"/>
      <x:c r="Q17" s="136"/>
      <x:c r="R17" s="136"/>
      <x:c r="S17" s="136"/>
      <x:c r="T17" s="136"/>
      <x:c r="U17" s="136"/>
      <x:c r="V17" s="136"/>
      <x:c r="W17" s="136"/>
      <x:c r="X17" s="136"/>
      <x:c r="Y17" s="136"/>
      <x:c r="Z17" s="136"/>
    </x:row>
    <x:row r="18" ht="24" customHeight="1">
      <x:c r="A18" s="136"/>
      <x:c r="B18" s="136"/>
      <x:c r="C18" s="174" t="str">
        <x:v>Audit: numerical reconciliations and conditional model checks. Python Code: plain text program with OLS, HC3, HAC, DCF, reverse analysis and the identical fixed random draws.</x:v>
      </x:c>
      <x:c r="D18" s="174"/>
      <x:c r="E18" s="174"/>
      <x:c r="F18" s="174"/>
      <x:c r="G18" s="174"/>
      <x:c r="H18" s="174"/>
      <x:c r="I18" s="174"/>
      <x:c r="J18" s="174"/>
      <x:c r="K18" s="174"/>
      <x:c r="L18" s="174"/>
      <x:c r="M18" s="136"/>
      <x:c r="N18" s="136"/>
      <x:c r="O18" s="136"/>
      <x:c r="P18" s="136"/>
      <x:c r="Q18" s="136"/>
      <x:c r="R18" s="136"/>
      <x:c r="S18" s="136"/>
      <x:c r="T18" s="136"/>
      <x:c r="U18" s="136"/>
      <x:c r="V18" s="136"/>
      <x:c r="W18" s="136"/>
      <x:c r="X18" s="136"/>
      <x:c r="Y18" s="136"/>
      <x:c r="Z18" s="136"/>
    </x:row>
    <x:row r="19" ht="24" customHeight="1">
      <x:c r="A19" s="136"/>
      <x:c r="B19" s="136"/>
      <x:c r="C19" s="174"/>
      <x:c r="D19" s="174"/>
      <x:c r="E19" s="174"/>
      <x:c r="F19" s="174"/>
      <x:c r="G19" s="174"/>
      <x:c r="H19" s="174"/>
      <x:c r="I19" s="174"/>
      <x:c r="J19" s="174"/>
      <x:c r="K19" s="174"/>
      <x:c r="L19" s="174"/>
      <x:c r="M19" s="136"/>
      <x:c r="N19" s="136"/>
      <x:c r="O19" s="136"/>
      <x:c r="P19" s="136"/>
      <x:c r="Q19" s="136"/>
      <x:c r="R19" s="136"/>
      <x:c r="S19" s="136"/>
      <x:c r="T19" s="136"/>
      <x:c r="U19" s="136"/>
      <x:c r="V19" s="136"/>
      <x:c r="W19" s="136"/>
      <x:c r="X19" s="136"/>
      <x:c r="Y19" s="136"/>
      <x:c r="Z19" s="136"/>
    </x:row>
    <x:row r="20" ht="24" customHeight="1">
      <x:c r="A20" s="136"/>
      <x:c r="B20" s="136"/>
      <x:c r="C20" s="174"/>
      <x:c r="D20" s="174"/>
      <x:c r="E20" s="174"/>
      <x:c r="F20" s="174"/>
      <x:c r="G20" s="174"/>
      <x:c r="H20" s="174"/>
      <x:c r="I20" s="174"/>
      <x:c r="J20" s="174"/>
      <x:c r="K20" s="174"/>
      <x:c r="L20" s="174"/>
      <x:c r="M20" s="136"/>
      <x:c r="N20" s="136"/>
      <x:c r="O20" s="136"/>
      <x:c r="P20" s="136"/>
      <x:c r="Q20" s="136"/>
      <x:c r="R20" s="136"/>
      <x:c r="S20" s="136"/>
      <x:c r="T20" s="136"/>
      <x:c r="U20" s="136"/>
      <x:c r="V20" s="136"/>
      <x:c r="W20" s="136"/>
      <x:c r="X20" s="136"/>
      <x:c r="Y20" s="136"/>
      <x:c r="Z20" s="136"/>
    </x:row>
    <x:row r="21" ht="24" customHeight="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24" customHeight="1">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C12:L14"/>
    <x:mergeCell ref="C15:L17"/>
    <x:mergeCell ref="C18:L20"/>
  </x:mergeCells>
  <x:pageMargins left="0.7" right="0.7" top="0.75" bottom="0.75" header="0.3" footer="0.3"/>
</x:worksheet>
</file>

<file path=xl/worksheets/sheet28.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Historical Inputs</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x:c r="D8" s="136"/>
      <x:c r="E8" s="156" t="str">
        <x:v>FY:17</x:v>
      </x:c>
      <x:c r="F8" s="158" t="str">
        <x:v>FY:18</x:v>
      </x:c>
      <x:c r="G8" s="158" t="str">
        <x:v>FY:19</x:v>
      </x:c>
      <x:c r="H8" s="158" t="str">
        <x:v>FY:20</x:v>
      </x:c>
      <x:c r="I8" s="158" t="str">
        <x:v>FY:21</x:v>
      </x:c>
      <x:c r="J8" s="158" t="str">
        <x:v>FY:22</x:v>
      </x:c>
      <x:c r="K8" s="158" t="str">
        <x:v>FY:23</x:v>
      </x:c>
      <x:c r="L8" s="158" t="str">
        <x:v>FY:24</x:v>
      </x:c>
      <x:c r="M8" s="158" t="str">
        <x:v>FY:25</x:v>
      </x:c>
      <x:c r="N8" s="160" t="str">
        <x:v>FY:26</x:v>
      </x:c>
      <x:c r="O8" s="136"/>
      <x:c r="P8" s="136"/>
      <x:c r="Q8" s="136"/>
      <x:c r="R8" s="136"/>
      <x:c r="S8" s="136"/>
      <x:c r="T8" s="136"/>
      <x:c r="U8" s="136"/>
      <x:c r="V8" s="136"/>
      <x:c r="W8" s="136"/>
      <x:c r="X8" s="136"/>
      <x:c r="Y8" s="136"/>
      <x:c r="Z8" s="136"/>
    </x:row>
    <x:row r="9" ht="24" customHeight="1">
      <x:c r="A9" s="136"/>
      <x:c r="B9" s="136"/>
      <x:c r="C9" s="136" t="str">
        <x:v>Revenue</x:v>
      </x:c>
      <x:c r="D9" s="136"/>
      <x:c r="E9" s="187" t="n">
        <x:v>96571</x:v>
      </x:c>
      <x:c r="F9" s="187" t="n">
        <x:v>110360</x:v>
      </x:c>
      <x:c r="G9" s="187" t="n">
        <x:v>125843</x:v>
      </x:c>
      <x:c r="H9" s="187" t="n">
        <x:v>143015</x:v>
      </x:c>
      <x:c r="I9" s="187" t="n">
        <x:v>168088</x:v>
      </x:c>
      <x:c r="J9" s="187" t="n">
        <x:v>198270</x:v>
      </x:c>
      <x:c r="K9" s="187" t="n">
        <x:v>211915</x:v>
      </x:c>
      <x:c r="L9" s="187" t="n">
        <x:v>245122</x:v>
      </x:c>
      <x:c r="M9" s="187" t="n">
        <x:v>281724</x:v>
      </x:c>
      <x:c r="N9" s="187" t="n">
        <x:v>331839</x:v>
      </x:c>
      <x:c r="O9" s="136"/>
      <x:c r="P9" s="136"/>
      <x:c r="Q9" s="136"/>
      <x:c r="R9" s="136"/>
      <x:c r="S9" s="136"/>
      <x:c r="T9" s="136"/>
      <x:c r="U9" s="136"/>
      <x:c r="V9" s="136"/>
      <x:c r="W9" s="136"/>
      <x:c r="X9" s="136"/>
      <x:c r="Y9" s="136"/>
      <x:c r="Z9" s="136"/>
    </x:row>
    <x:row r="10" ht="24" customHeight="1">
      <x:c r="A10" s="136"/>
      <x:c r="B10" s="136"/>
      <x:c r="C10" s="136" t="str">
        <x:v>Operating income</x:v>
      </x:c>
      <x:c r="D10" s="136"/>
      <x:c r="E10" s="187" t="n">
        <x:v>29025</x:v>
      </x:c>
      <x:c r="F10" s="187" t="n">
        <x:v>35058</x:v>
      </x:c>
      <x:c r="G10" s="187" t="n">
        <x:v>42959</x:v>
      </x:c>
      <x:c r="H10" s="187" t="n">
        <x:v>52959</x:v>
      </x:c>
      <x:c r="I10" s="187" t="n">
        <x:v>69916</x:v>
      </x:c>
      <x:c r="J10" s="187" t="n">
        <x:v>83383</x:v>
      </x:c>
      <x:c r="K10" s="187" t="n">
        <x:v>88523</x:v>
      </x:c>
      <x:c r="L10" s="187" t="n">
        <x:v>109433</x:v>
      </x:c>
      <x:c r="M10" s="187" t="n">
        <x:v>128528</x:v>
      </x:c>
      <x:c r="N10" s="187" t="n">
        <x:v>155237</x:v>
      </x:c>
      <x:c r="O10" s="136"/>
      <x:c r="P10" s="136"/>
      <x:c r="Q10" s="136"/>
      <x:c r="R10" s="136"/>
      <x:c r="S10" s="136"/>
      <x:c r="T10" s="136"/>
      <x:c r="U10" s="136"/>
      <x:c r="V10" s="136"/>
      <x:c r="W10" s="136"/>
      <x:c r="X10" s="136"/>
      <x:c r="Y10" s="136"/>
      <x:c r="Z10" s="136"/>
    </x:row>
    <x:row r="11" ht="24" customHeight="1">
      <x:c r="A11" s="136"/>
      <x:c r="B11" s="136"/>
      <x:c r="C11" s="136" t="str">
        <x:v>Income tax expense</x:v>
      </x:c>
      <x:c r="D11" s="136"/>
      <x:c r="E11" s="187" t="n">
        <x:v>4412</x:v>
      </x:c>
      <x:c r="F11" s="187" t="n">
        <x:v>19903</x:v>
      </x:c>
      <x:c r="G11" s="187" t="n">
        <x:v>4448</x:v>
      </x:c>
      <x:c r="H11" s="187" t="n">
        <x:v>8755</x:v>
      </x:c>
      <x:c r="I11" s="187" t="n">
        <x:v>9831</x:v>
      </x:c>
      <x:c r="J11" s="187" t="n">
        <x:v>10978</x:v>
      </x:c>
      <x:c r="K11" s="187" t="n">
        <x:v>16950</x:v>
      </x:c>
      <x:c r="L11" s="187" t="n">
        <x:v>19651</x:v>
      </x:c>
      <x:c r="M11" s="187" t="n">
        <x:v>21795</x:v>
      </x:c>
      <x:c r="N11" s="187" t="n">
        <x:v>32185</x:v>
      </x:c>
      <x:c r="O11" s="136"/>
      <x:c r="P11" s="136"/>
      <x:c r="Q11" s="136"/>
      <x:c r="R11" s="136"/>
      <x:c r="S11" s="136"/>
      <x:c r="T11" s="136"/>
      <x:c r="U11" s="136"/>
      <x:c r="V11" s="136"/>
      <x:c r="W11" s="136"/>
      <x:c r="X11" s="136"/>
      <x:c r="Y11" s="136"/>
      <x:c r="Z11" s="136"/>
    </x:row>
    <x:row r="12" ht="24" customHeight="1">
      <x:c r="A12" s="136"/>
      <x:c r="B12" s="136"/>
      <x:c r="C12" s="136" t="str">
        <x:v>Pretax income</x:v>
      </x:c>
      <x:c r="D12" s="136"/>
      <x:c r="E12" s="187" t="n">
        <x:v>29901</x:v>
      </x:c>
      <x:c r="F12" s="187" t="n">
        <x:v>36474</x:v>
      </x:c>
      <x:c r="G12" s="187" t="n">
        <x:v>43688</x:v>
      </x:c>
      <x:c r="H12" s="187" t="n">
        <x:v>53036</x:v>
      </x:c>
      <x:c r="I12" s="187" t="n">
        <x:v>71102</x:v>
      </x:c>
      <x:c r="J12" s="187" t="n">
        <x:v>83716</x:v>
      </x:c>
      <x:c r="K12" s="187" t="n">
        <x:v>89311</x:v>
      </x:c>
      <x:c r="L12" s="187" t="n">
        <x:v>107787</x:v>
      </x:c>
      <x:c r="M12" s="187" t="n">
        <x:v>123627</x:v>
      </x:c>
      <x:c r="N12" s="187" t="n">
        <x:v>165934</x:v>
      </x:c>
      <x:c r="O12" s="136"/>
      <x:c r="P12" s="136"/>
      <x:c r="Q12" s="136"/>
      <x:c r="R12" s="136"/>
      <x:c r="S12" s="136"/>
      <x:c r="T12" s="136"/>
      <x:c r="U12" s="136"/>
      <x:c r="V12" s="136"/>
      <x:c r="W12" s="136"/>
      <x:c r="X12" s="136"/>
      <x:c r="Y12" s="136"/>
      <x:c r="Z12" s="136"/>
    </x:row>
    <x:row r="13" ht="24" customHeight="1">
      <x:c r="A13" s="136"/>
      <x:c r="B13" s="136"/>
      <x:c r="C13" s="136" t="str">
        <x:v>Weighted average basic shares</x:v>
      </x:c>
      <x:c r="D13" s="136"/>
      <x:c r="E13" s="185" t="n">
        <x:v>7746</x:v>
      </x:c>
      <x:c r="F13" s="185" t="n">
        <x:v>7700</x:v>
      </x:c>
      <x:c r="G13" s="185" t="n">
        <x:v>7673</x:v>
      </x:c>
      <x:c r="H13" s="185" t="n">
        <x:v>7610</x:v>
      </x:c>
      <x:c r="I13" s="185" t="n">
        <x:v>7547</x:v>
      </x:c>
      <x:c r="J13" s="185" t="n">
        <x:v>7496</x:v>
      </x:c>
      <x:c r="K13" s="185" t="n">
        <x:v>7446</x:v>
      </x:c>
      <x:c r="L13" s="185" t="n">
        <x:v>7431</x:v>
      </x:c>
      <x:c r="M13" s="185" t="n">
        <x:v>7433</x:v>
      </x:c>
      <x:c r="N13" s="185" t="n">
        <x:v>7429</x:v>
      </x:c>
      <x:c r="O13" s="136"/>
      <x:c r="P13" s="136"/>
      <x:c r="Q13" s="136"/>
      <x:c r="R13" s="136"/>
      <x:c r="S13" s="136"/>
      <x:c r="T13" s="136"/>
      <x:c r="U13" s="136"/>
      <x:c r="V13" s="136"/>
      <x:c r="W13" s="136"/>
      <x:c r="X13" s="136"/>
      <x:c r="Y13" s="136"/>
      <x:c r="Z13" s="136"/>
    </x:row>
    <x:row r="14" ht="24" customHeight="1">
      <x:c r="A14" s="136"/>
      <x:c r="B14" s="136"/>
      <x:c r="C14" s="136" t="str">
        <x:v>Weighted average diluted shares</x:v>
      </x:c>
      <x:c r="D14" s="136"/>
      <x:c r="E14" s="185" t="n">
        <x:v>7832</x:v>
      </x:c>
      <x:c r="F14" s="185" t="n">
        <x:v>7794</x:v>
      </x:c>
      <x:c r="G14" s="185" t="n">
        <x:v>7753</x:v>
      </x:c>
      <x:c r="H14" s="185" t="n">
        <x:v>7683</x:v>
      </x:c>
      <x:c r="I14" s="185" t="n">
        <x:v>7608</x:v>
      </x:c>
      <x:c r="J14" s="185" t="n">
        <x:v>7540</x:v>
      </x:c>
      <x:c r="K14" s="185" t="n">
        <x:v>7472</x:v>
      </x:c>
      <x:c r="L14" s="185" t="n">
        <x:v>7469</x:v>
      </x:c>
      <x:c r="M14" s="185" t="n">
        <x:v>7465</x:v>
      </x:c>
      <x:c r="N14" s="185" t="n">
        <x:v>7453</x:v>
      </x:c>
      <x:c r="O14" s="136"/>
      <x:c r="P14" s="136"/>
      <x:c r="Q14" s="136"/>
      <x:c r="R14" s="136"/>
      <x:c r="S14" s="136"/>
      <x:c r="T14" s="136"/>
      <x:c r="U14" s="136"/>
      <x:c r="V14" s="136"/>
      <x:c r="W14" s="136"/>
      <x:c r="X14" s="136"/>
      <x:c r="Y14" s="136"/>
      <x:c r="Z14" s="136"/>
    </x:row>
    <x:row r="15" ht="24" customHeight="1">
      <x:c r="A15" s="136"/>
      <x:c r="B15" s="136"/>
      <x:c r="C15" s="136" t="str">
        <x:v>Cash flow depreciation and other adjustments</x:v>
      </x:c>
      <x:c r="D15" s="136"/>
      <x:c r="E15" s="187" t="n">
        <x:v>8778</x:v>
      </x:c>
      <x:c r="F15" s="187" t="n">
        <x:v>10261</x:v>
      </x:c>
      <x:c r="G15" s="187" t="n">
        <x:v>11682</x:v>
      </x:c>
      <x:c r="H15" s="187" t="n">
        <x:v>12796</x:v>
      </x:c>
      <x:c r="I15" s="187" t="n">
        <x:v>11686</x:v>
      </x:c>
      <x:c r="J15" s="187" t="n">
        <x:v>14460</x:v>
      </x:c>
      <x:c r="K15" s="187" t="n">
        <x:v>13861</x:v>
      </x:c>
      <x:c r="L15" s="187" t="n">
        <x:v>20958</x:v>
      </x:c>
      <x:c r="M15" s="187" t="n">
        <x:v>29433</x:v>
      </x:c>
      <x:c r="N15" s="187" t="n">
        <x:v>38534</x:v>
      </x:c>
      <x:c r="O15" s="136"/>
      <x:c r="P15" s="136"/>
      <x:c r="Q15" s="136"/>
      <x:c r="R15" s="136"/>
      <x:c r="S15" s="136"/>
      <x:c r="T15" s="136"/>
      <x:c r="U15" s="136"/>
      <x:c r="V15" s="136"/>
      <x:c r="W15" s="136"/>
      <x:c r="X15" s="136"/>
      <x:c r="Y15" s="136"/>
      <x:c r="Z15" s="136"/>
    </x:row>
    <x:row r="16" ht="24" customHeight="1">
      <x:c r="A16" s="136"/>
      <x:c r="B16" s="136"/>
      <x:c r="C16" s="136" t="str">
        <x:v>Operating cash flow</x:v>
      </x:c>
      <x:c r="D16" s="136"/>
      <x:c r="E16" s="187" t="n">
        <x:v>39507</x:v>
      </x:c>
      <x:c r="F16" s="187" t="n">
        <x:v>43884</x:v>
      </x:c>
      <x:c r="G16" s="187" t="n">
        <x:v>52185</x:v>
      </x:c>
      <x:c r="H16" s="187" t="n">
        <x:v>60675</x:v>
      </x:c>
      <x:c r="I16" s="187" t="n">
        <x:v>76740</x:v>
      </x:c>
      <x:c r="J16" s="187" t="n">
        <x:v>89035</x:v>
      </x:c>
      <x:c r="K16" s="187" t="n">
        <x:v>87582</x:v>
      </x:c>
      <x:c r="L16" s="187" t="n">
        <x:v>118548</x:v>
      </x:c>
      <x:c r="M16" s="187" t="n">
        <x:v>136162</x:v>
      </x:c>
      <x:c r="N16" s="187" t="n">
        <x:v>182935</x:v>
      </x:c>
      <x:c r="O16" s="136"/>
      <x:c r="P16" s="136"/>
      <x:c r="Q16" s="136"/>
      <x:c r="R16" s="136"/>
      <x:c r="S16" s="136"/>
      <x:c r="T16" s="136"/>
      <x:c r="U16" s="136"/>
      <x:c r="V16" s="136"/>
      <x:c r="W16" s="136"/>
      <x:c r="X16" s="136"/>
      <x:c r="Y16" s="136"/>
      <x:c r="Z16" s="136"/>
    </x:row>
    <x:row r="17" ht="24" customHeight="1">
      <x:c r="A17" s="136"/>
      <x:c r="B17" s="136"/>
      <x:c r="C17" s="136" t="str">
        <x:v>Cash purchases of property and equipment</x:v>
      </x:c>
      <x:c r="D17" s="136"/>
      <x:c r="E17" s="187" t="n">
        <x:v>-8129</x:v>
      </x:c>
      <x:c r="F17" s="187" t="n">
        <x:v>-11632</x:v>
      </x:c>
      <x:c r="G17" s="187" t="n">
        <x:v>-13925</x:v>
      </x:c>
      <x:c r="H17" s="187" t="n">
        <x:v>-15441</x:v>
      </x:c>
      <x:c r="I17" s="187" t="n">
        <x:v>-20622</x:v>
      </x:c>
      <x:c r="J17" s="187" t="n">
        <x:v>-23886</x:v>
      </x:c>
      <x:c r="K17" s="187" t="n">
        <x:v>-28107</x:v>
      </x:c>
      <x:c r="L17" s="187" t="n">
        <x:v>-44477</x:v>
      </x:c>
      <x:c r="M17" s="187" t="n">
        <x:v>-64551</x:v>
      </x:c>
      <x:c r="N17" s="187" t="n">
        <x:v>-115948</x:v>
      </x:c>
      <x:c r="O17" s="136"/>
      <x:c r="P17" s="136"/>
      <x:c r="Q17" s="136"/>
      <x:c r="R17" s="136"/>
      <x:c r="S17" s="136"/>
      <x:c r="T17" s="136"/>
      <x:c r="U17" s="136"/>
      <x:c r="V17" s="136"/>
      <x:c r="W17" s="136"/>
      <x:c r="X17" s="136"/>
      <x:c r="Y17" s="136"/>
      <x:c r="Z17" s="136"/>
    </x:row>
    <x:row r="18" ht="24" customHeight="1">
      <x:c r="A18" s="136"/>
      <x:c r="B18" s="136"/>
      <x:c r="C18" s="136" t="str">
        <x:v>Stock based compensation</x:v>
      </x:c>
      <x:c r="D18" s="136"/>
      <x:c r="E18" s="187" t="n">
        <x:v>3266</x:v>
      </x:c>
      <x:c r="F18" s="187" t="n">
        <x:v>3940</x:v>
      </x:c>
      <x:c r="G18" s="187" t="n">
        <x:v>4652</x:v>
      </x:c>
      <x:c r="H18" s="187" t="n">
        <x:v>5289</x:v>
      </x:c>
      <x:c r="I18" s="187" t="n">
        <x:v>6118</x:v>
      </x:c>
      <x:c r="J18" s="187" t="n">
        <x:v>7502</x:v>
      </x:c>
      <x:c r="K18" s="187" t="n">
        <x:v>9611</x:v>
      </x:c>
      <x:c r="L18" s="187" t="n">
        <x:v>10734</x:v>
      </x:c>
      <x:c r="M18" s="187" t="n">
        <x:v>11974</x:v>
      </x:c>
      <x:c r="N18" s="187" t="n">
        <x:v>12405</x:v>
      </x:c>
      <x:c r="O18" s="136"/>
      <x:c r="P18" s="136"/>
      <x:c r="Q18" s="136"/>
      <x:c r="R18" s="136"/>
      <x:c r="S18" s="136"/>
      <x:c r="T18" s="136"/>
      <x:c r="U18" s="136"/>
      <x:c r="V18" s="136"/>
      <x:c r="W18" s="136"/>
      <x:c r="X18" s="136"/>
      <x:c r="Y18" s="136"/>
      <x:c r="Z18" s="136"/>
    </x:row>
    <x:row r="19" ht="24" customHeight="1">
      <x:c r="A19" s="136"/>
      <x:c r="B19" s="136"/>
      <x:c r="C19" s="136" t="str">
        <x:v>Cash and cash equivalents</x:v>
      </x:c>
      <x:c r="D19" s="136"/>
      <x:c r="E19" s="187" t="n">
        <x:v>7663</x:v>
      </x:c>
      <x:c r="F19" s="187" t="n">
        <x:v>11946</x:v>
      </x:c>
      <x:c r="G19" s="187" t="n">
        <x:v>11356</x:v>
      </x:c>
      <x:c r="H19" s="187" t="n">
        <x:v>13576</x:v>
      </x:c>
      <x:c r="I19" s="187" t="n">
        <x:v>14224</x:v>
      </x:c>
      <x:c r="J19" s="187" t="n">
        <x:v>13931</x:v>
      </x:c>
      <x:c r="K19" s="187" t="n">
        <x:v>34704</x:v>
      </x:c>
      <x:c r="L19" s="187" t="n">
        <x:v>18315</x:v>
      </x:c>
      <x:c r="M19" s="187" t="n">
        <x:v>30242</x:v>
      </x:c>
      <x:c r="N19" s="187" t="n">
        <x:v>20935</x:v>
      </x:c>
      <x:c r="O19" s="136"/>
      <x:c r="P19" s="136"/>
      <x:c r="Q19" s="136"/>
      <x:c r="R19" s="136"/>
      <x:c r="S19" s="136"/>
      <x:c r="T19" s="136"/>
      <x:c r="U19" s="136"/>
      <x:c r="V19" s="136"/>
      <x:c r="W19" s="136"/>
      <x:c r="X19" s="136"/>
      <x:c r="Y19" s="136"/>
      <x:c r="Z19" s="136"/>
    </x:row>
    <x:row r="20" ht="24" customHeight="1">
      <x:c r="A20" s="136"/>
      <x:c r="B20" s="136"/>
      <x:c r="C20" s="136" t="str">
        <x:v>Short term investments</x:v>
      </x:c>
      <x:c r="D20" s="136"/>
      <x:c r="E20" s="187" t="n">
        <x:v>125318</x:v>
      </x:c>
      <x:c r="F20" s="187" t="n">
        <x:v>121822</x:v>
      </x:c>
      <x:c r="G20" s="187" t="n">
        <x:v>122463</x:v>
      </x:c>
      <x:c r="H20" s="187" t="n">
        <x:v>122951</x:v>
      </x:c>
      <x:c r="I20" s="187" t="n">
        <x:v>116110</x:v>
      </x:c>
      <x:c r="J20" s="187" t="n">
        <x:v>90826</x:v>
      </x:c>
      <x:c r="K20" s="187" t="n">
        <x:v>76558</x:v>
      </x:c>
      <x:c r="L20" s="187" t="n">
        <x:v>57228</x:v>
      </x:c>
      <x:c r="M20" s="187" t="n">
        <x:v>64323</x:v>
      </x:c>
      <x:c r="N20" s="187" t="n">
        <x:v>55908</x:v>
      </x:c>
      <x:c r="O20" s="136"/>
      <x:c r="P20" s="136"/>
      <x:c r="Q20" s="136"/>
      <x:c r="R20" s="136"/>
      <x:c r="S20" s="136"/>
      <x:c r="T20" s="136"/>
      <x:c r="U20" s="136"/>
      <x:c r="V20" s="136"/>
      <x:c r="W20" s="136"/>
      <x:c r="X20" s="136"/>
      <x:c r="Y20" s="136"/>
      <x:c r="Z20" s="136"/>
    </x:row>
    <x:row r="21" ht="24" customHeight="1">
      <x:c r="A21" s="136"/>
      <x:c r="B21" s="136"/>
      <x:c r="C21" s="136" t="str">
        <x:v>Equity and other investments</x:v>
      </x:c>
      <x:c r="D21" s="136"/>
      <x:c r="E21" s="187" t="n">
        <x:v>6023</x:v>
      </x:c>
      <x:c r="F21" s="187" t="n">
        <x:v>1862</x:v>
      </x:c>
      <x:c r="G21" s="187" t="n">
        <x:v>2649</x:v>
      </x:c>
      <x:c r="H21" s="187" t="n">
        <x:v>2965</x:v>
      </x:c>
      <x:c r="I21" s="187" t="n">
        <x:v>5984</x:v>
      </x:c>
      <x:c r="J21" s="187" t="n">
        <x:v>6891</x:v>
      </x:c>
      <x:c r="K21" s="187" t="n">
        <x:v>9879</x:v>
      </x:c>
      <x:c r="L21" s="187" t="n">
        <x:v>14600</x:v>
      </x:c>
      <x:c r="M21" s="187" t="n">
        <x:v>15405</x:v>
      </x:c>
      <x:c r="N21" s="187" t="n">
        <x:v>36348</x:v>
      </x:c>
      <x:c r="O21" s="136"/>
      <x:c r="P21" s="136"/>
      <x:c r="Q21" s="136"/>
      <x:c r="R21" s="136"/>
      <x:c r="S21" s="136"/>
      <x:c r="T21" s="136"/>
      <x:c r="U21" s="136"/>
      <x:c r="V21" s="136"/>
      <x:c r="W21" s="136"/>
      <x:c r="X21" s="136"/>
      <x:c r="Y21" s="136"/>
      <x:c r="Z21" s="136"/>
    </x:row>
    <x:row r="22" ht="24" customHeight="1">
      <x:c r="A22" s="136"/>
      <x:c r="B22" s="136"/>
      <x:c r="C22" s="136" t="str">
        <x:v>Accounts receivable</x:v>
      </x:c>
      <x:c r="D22" s="136"/>
      <x:c r="E22" s="187" t="n">
        <x:v>22431</x:v>
      </x:c>
      <x:c r="F22" s="187" t="n">
        <x:v>26481</x:v>
      </x:c>
      <x:c r="G22" s="187" t="n">
        <x:v>29524</x:v>
      </x:c>
      <x:c r="H22" s="187" t="n">
        <x:v>32011</x:v>
      </x:c>
      <x:c r="I22" s="187" t="n">
        <x:v>38043</x:v>
      </x:c>
      <x:c r="J22" s="187" t="n">
        <x:v>44261</x:v>
      </x:c>
      <x:c r="K22" s="187" t="n">
        <x:v>48688</x:v>
      </x:c>
      <x:c r="L22" s="187" t="n">
        <x:v>56924</x:v>
      </x:c>
      <x:c r="M22" s="187" t="n">
        <x:v>69905</x:v>
      </x:c>
      <x:c r="N22" s="187" t="n">
        <x:v>80876</x:v>
      </x:c>
      <x:c r="O22" s="136"/>
      <x:c r="P22" s="136"/>
      <x:c r="Q22" s="136"/>
      <x:c r="R22" s="136"/>
      <x:c r="S22" s="136"/>
      <x:c r="T22" s="136"/>
      <x:c r="U22" s="136"/>
      <x:c r="V22" s="136"/>
      <x:c r="W22" s="136"/>
      <x:c r="X22" s="136"/>
      <x:c r="Y22" s="136"/>
      <x:c r="Z22" s="136"/>
    </x:row>
    <x:row r="23" ht="24" customHeight="1">
      <x:c r="A23" s="136"/>
      <x:c r="B23" s="136"/>
      <x:c r="C23" s="136" t="str">
        <x:v>Inventory</x:v>
      </x:c>
      <x:c r="D23" s="136"/>
      <x:c r="E23" s="187" t="n">
        <x:v>2181</x:v>
      </x:c>
      <x:c r="F23" s="187" t="n">
        <x:v>2662</x:v>
      </x:c>
      <x:c r="G23" s="187" t="n">
        <x:v>2063</x:v>
      </x:c>
      <x:c r="H23" s="187" t="n">
        <x:v>1895</x:v>
      </x:c>
      <x:c r="I23" s="187" t="n">
        <x:v>2636</x:v>
      </x:c>
      <x:c r="J23" s="187" t="n">
        <x:v>3742</x:v>
      </x:c>
      <x:c r="K23" s="187" t="n">
        <x:v>2500</x:v>
      </x:c>
      <x:c r="L23" s="187" t="n">
        <x:v>1246</x:v>
      </x:c>
      <x:c r="M23" s="187" t="n">
        <x:v>938</x:v>
      </x:c>
      <x:c r="N23" s="187" t="n">
        <x:v>1397</x:v>
      </x:c>
      <x:c r="O23" s="136"/>
      <x:c r="P23" s="136"/>
      <x:c r="Q23" s="136"/>
      <x:c r="R23" s="136"/>
      <x:c r="S23" s="136"/>
      <x:c r="T23" s="136"/>
      <x:c r="U23" s="136"/>
      <x:c r="V23" s="136"/>
      <x:c r="W23" s="136"/>
      <x:c r="X23" s="136"/>
      <x:c r="Y23" s="136"/>
      <x:c r="Z23" s="136"/>
    </x:row>
    <x:row r="24" ht="24" customHeight="1">
      <x:c r="A24" s="136"/>
      <x:c r="B24" s="136"/>
      <x:c r="C24" s="136" t="str">
        <x:v>Other current assets</x:v>
      </x:c>
      <x:c r="D24" s="136"/>
      <x:c r="E24" s="187" t="n">
        <x:v>5103</x:v>
      </x:c>
      <x:c r="F24" s="187" t="n">
        <x:v>6751</x:v>
      </x:c>
      <x:c r="G24" s="187" t="n">
        <x:v>10146</x:v>
      </x:c>
      <x:c r="H24" s="187" t="n">
        <x:v>11482</x:v>
      </x:c>
      <x:c r="I24" s="187" t="n">
        <x:v>13393</x:v>
      </x:c>
      <x:c r="J24" s="187" t="n">
        <x:v>16924</x:v>
      </x:c>
      <x:c r="K24" s="187" t="n">
        <x:v>21807</x:v>
      </x:c>
      <x:c r="L24" s="187" t="n">
        <x:v>26021</x:v>
      </x:c>
      <x:c r="M24" s="187" t="n">
        <x:v>25723</x:v>
      </x:c>
      <x:c r="N24" s="187" t="n">
        <x:v>48594</x:v>
      </x:c>
      <x:c r="O24" s="136"/>
      <x:c r="P24" s="136"/>
      <x:c r="Q24" s="136"/>
      <x:c r="R24" s="136"/>
      <x:c r="S24" s="136"/>
      <x:c r="T24" s="136"/>
      <x:c r="U24" s="136"/>
      <x:c r="V24" s="136"/>
      <x:c r="W24" s="136"/>
      <x:c r="X24" s="136"/>
      <x:c r="Y24" s="136"/>
      <x:c r="Z24" s="136"/>
    </x:row>
    <x:row r="25" ht="24" customHeight="1">
      <x:c r="A25" s="136"/>
      <x:c r="B25" s="136"/>
      <x:c r="C25" s="136" t="str">
        <x:v>Accounts payable including capex payables</x:v>
      </x:c>
      <x:c r="D25" s="136"/>
      <x:c r="E25" s="187" t="n">
        <x:v>7390</x:v>
      </x:c>
      <x:c r="F25" s="187" t="n">
        <x:v>8617</x:v>
      </x:c>
      <x:c r="G25" s="187" t="n">
        <x:v>9382</x:v>
      </x:c>
      <x:c r="H25" s="187" t="n">
        <x:v>12530</x:v>
      </x:c>
      <x:c r="I25" s="187" t="n">
        <x:v>15163</x:v>
      </x:c>
      <x:c r="J25" s="187" t="n">
        <x:v>19000</x:v>
      </x:c>
      <x:c r="K25" s="187" t="n">
        <x:v>18095</x:v>
      </x:c>
      <x:c r="L25" s="187" t="n">
        <x:v>21996</x:v>
      </x:c>
      <x:c r="M25" s="187" t="n">
        <x:v>27724</x:v>
      </x:c>
      <x:c r="N25" s="187" t="n">
        <x:v>42416</x:v>
      </x:c>
      <x:c r="O25" s="136"/>
      <x:c r="P25" s="136"/>
      <x:c r="Q25" s="136"/>
      <x:c r="R25" s="136"/>
      <x:c r="S25" s="136"/>
      <x:c r="T25" s="136"/>
      <x:c r="U25" s="136"/>
      <x:c r="V25" s="136"/>
      <x:c r="W25" s="136"/>
      <x:c r="X25" s="136"/>
      <x:c r="Y25" s="136"/>
      <x:c r="Z25" s="136"/>
    </x:row>
    <x:row r="26" ht="24" customHeight="1">
      <x:c r="A26" s="136"/>
      <x:c r="B26" s="136"/>
      <x:c r="C26" s="136" t="str">
        <x:v>Accrued compensation</x:v>
      </x:c>
      <x:c r="D26" s="136"/>
      <x:c r="E26" s="187" t="n">
        <x:v>5819</x:v>
      </x:c>
      <x:c r="F26" s="187" t="n">
        <x:v>6103</x:v>
      </x:c>
      <x:c r="G26" s="187" t="n">
        <x:v>6830</x:v>
      </x:c>
      <x:c r="H26" s="187" t="n">
        <x:v>7874</x:v>
      </x:c>
      <x:c r="I26" s="187" t="n">
        <x:v>10057</x:v>
      </x:c>
      <x:c r="J26" s="187" t="n">
        <x:v>10661</x:v>
      </x:c>
      <x:c r="K26" s="187" t="n">
        <x:v>11009</x:v>
      </x:c>
      <x:c r="L26" s="187" t="n">
        <x:v>12564</x:v>
      </x:c>
      <x:c r="M26" s="187" t="n">
        <x:v>13709</x:v>
      </x:c>
      <x:c r="N26" s="187" t="n">
        <x:v>14945</x:v>
      </x:c>
      <x:c r="O26" s="136"/>
      <x:c r="P26" s="136"/>
      <x:c r="Q26" s="136"/>
      <x:c r="R26" s="136"/>
      <x:c r="S26" s="136"/>
      <x:c r="T26" s="136"/>
      <x:c r="U26" s="136"/>
      <x:c r="V26" s="136"/>
      <x:c r="W26" s="136"/>
      <x:c r="X26" s="136"/>
      <x:c r="Y26" s="136"/>
      <x:c r="Z26" s="136"/>
    </x:row>
    <x:row r="27" ht="24" customHeight="1">
      <x:c r="A27" s="136"/>
      <x:c r="B27" s="136"/>
      <x:c r="C27" s="136" t="str">
        <x:v>Current unearned revenue</x:v>
      </x:c>
      <x:c r="D27" s="136"/>
      <x:c r="E27" s="187" t="n">
        <x:v>24013</x:v>
      </x:c>
      <x:c r="F27" s="187" t="n">
        <x:v>28905</x:v>
      </x:c>
      <x:c r="G27" s="187" t="n">
        <x:v>32676</x:v>
      </x:c>
      <x:c r="H27" s="187" t="n">
        <x:v>36000</x:v>
      </x:c>
      <x:c r="I27" s="187" t="n">
        <x:v>41525</x:v>
      </x:c>
      <x:c r="J27" s="187" t="n">
        <x:v>45538</x:v>
      </x:c>
      <x:c r="K27" s="187" t="n">
        <x:v>50901</x:v>
      </x:c>
      <x:c r="L27" s="187" t="n">
        <x:v>57582</x:v>
      </x:c>
      <x:c r="M27" s="187" t="n">
        <x:v>64555</x:v>
      </x:c>
      <x:c r="N27" s="187" t="n">
        <x:v>72965</x:v>
      </x:c>
      <x:c r="O27" s="136"/>
      <x:c r="P27" s="136"/>
      <x:c r="Q27" s="136"/>
      <x:c r="R27" s="136"/>
      <x:c r="S27" s="136"/>
      <x:c r="T27" s="136"/>
      <x:c r="U27" s="136"/>
      <x:c r="V27" s="136"/>
      <x:c r="W27" s="136"/>
      <x:c r="X27" s="136"/>
      <x:c r="Y27" s="136"/>
      <x:c r="Z27" s="136"/>
    </x:row>
    <x:row r="28" ht="24" customHeight="1">
      <x:c r="A28" s="136"/>
      <x:c r="B28" s="136"/>
      <x:c r="C28" s="136" t="str">
        <x:v>Other current liabilities including lease portions</x:v>
      </x:c>
      <x:c r="D28" s="136"/>
      <x:c r="E28" s="187" t="n">
        <x:v>7684</x:v>
      </x:c>
      <x:c r="F28" s="187" t="n">
        <x:v>8744</x:v>
      </x:c>
      <x:c r="G28" s="187" t="n">
        <x:v>9351</x:v>
      </x:c>
      <x:c r="H28" s="187" t="n">
        <x:v>10027</x:v>
      </x:c>
      <x:c r="I28" s="187" t="n">
        <x:v>11666</x:v>
      </x:c>
      <x:c r="J28" s="187" t="n">
        <x:v>13067</x:v>
      </x:c>
      <x:c r="K28" s="187" t="n">
        <x:v>14745</x:v>
      </x:c>
      <x:c r="L28" s="187" t="n">
        <x:v>19185</x:v>
      </x:c>
      <x:c r="M28" s="187" t="n">
        <x:v>25020</x:v>
      </x:c>
      <x:c r="N28" s="187" t="n">
        <x:v>26738</x:v>
      </x:c>
      <x:c r="O28" s="136"/>
      <x:c r="P28" s="136"/>
      <x:c r="Q28" s="136"/>
      <x:c r="R28" s="136"/>
      <x:c r="S28" s="136"/>
      <x:c r="T28" s="136"/>
      <x:c r="U28" s="136"/>
      <x:c r="V28" s="136"/>
      <x:c r="W28" s="136"/>
      <x:c r="X28" s="136"/>
      <x:c r="Y28" s="136"/>
      <x:c r="Z28" s="136"/>
    </x:row>
    <x:row r="29" ht="24" customHeight="1">
      <x:c r="A29" s="136"/>
      <x:c r="B29" s="136"/>
      <x:c r="C29" s="136" t="str">
        <x:v>Current portion of long term debt</x:v>
      </x:c>
      <x:c r="D29" s="136"/>
      <x:c r="E29" s="187" t="n">
        <x:v>1049</x:v>
      </x:c>
      <x:c r="F29" s="187" t="n">
        <x:v>3998</x:v>
      </x:c>
      <x:c r="G29" s="187" t="n">
        <x:v>5516</x:v>
      </x:c>
      <x:c r="H29" s="187" t="n">
        <x:v>3749</x:v>
      </x:c>
      <x:c r="I29" s="187" t="n">
        <x:v>8072</x:v>
      </x:c>
      <x:c r="J29" s="187" t="n">
        <x:v>2749</x:v>
      </x:c>
      <x:c r="K29" s="187" t="n">
        <x:v>5247</x:v>
      </x:c>
      <x:c r="L29" s="187" t="n">
        <x:v>2249</x:v>
      </x:c>
      <x:c r="M29" s="187" t="n">
        <x:v>2999</x:v>
      </x:c>
      <x:c r="N29" s="187" t="n">
        <x:v>9227</x:v>
      </x:c>
      <x:c r="O29" s="136"/>
      <x:c r="P29" s="136"/>
      <x:c r="Q29" s="136"/>
      <x:c r="R29" s="136"/>
      <x:c r="S29" s="136"/>
      <x:c r="T29" s="136"/>
      <x:c r="U29" s="136"/>
      <x:c r="V29" s="136"/>
      <x:c r="W29" s="136"/>
      <x:c r="X29" s="136"/>
      <x:c r="Y29" s="136"/>
      <x:c r="Z29" s="136"/>
    </x:row>
    <x:row r="30" ht="24" customHeight="1">
      <x:c r="A30" s="136"/>
      <x:c r="B30" s="136"/>
      <x:c r="C30" s="136" t="str">
        <x:v>Short term debt</x:v>
      </x:c>
      <x:c r="D30" s="136"/>
      <x:c r="E30" s="187" t="n">
        <x:v>9072</x:v>
      </x:c>
      <x:c r="F30" s="187" t="n">
        <x:v>0</x:v>
      </x:c>
      <x:c r="G30" s="187" t="n">
        <x:v>0</x:v>
      </x:c>
      <x:c r="H30" s="187" t="n">
        <x:v>0</x:v>
      </x:c>
      <x:c r="I30" s="187" t="n">
        <x:v>0</x:v>
      </x:c>
      <x:c r="J30" s="187" t="n">
        <x:v>0</x:v>
      </x:c>
      <x:c r="K30" s="187" t="n">
        <x:v>0</x:v>
      </x:c>
      <x:c r="L30" s="187" t="n">
        <x:v>6693</x:v>
      </x:c>
      <x:c r="M30" s="187" t="n">
        <x:v>0</x:v>
      </x:c>
      <x:c r="N30" s="187" t="n">
        <x:v>0</x:v>
      </x:c>
      <x:c r="O30" s="136"/>
      <x:c r="P30" s="136"/>
      <x:c r="Q30" s="136"/>
      <x:c r="R30" s="136"/>
      <x:c r="S30" s="136"/>
      <x:c r="T30" s="136"/>
      <x:c r="U30" s="136"/>
      <x:c r="V30" s="136"/>
      <x:c r="W30" s="136"/>
      <x:c r="X30" s="136"/>
      <x:c r="Y30" s="136"/>
      <x:c r="Z30" s="136"/>
    </x:row>
    <x:row r="31" ht="24" customHeight="1">
      <x:c r="A31" s="136"/>
      <x:c r="B31" s="136"/>
      <x:c r="C31" s="136" t="str">
        <x:v>Long term debt carrying amount</x:v>
      </x:c>
      <x:c r="D31" s="136"/>
      <x:c r="E31" s="187" t="n">
        <x:v>76073</x:v>
      </x:c>
      <x:c r="F31" s="187" t="n">
        <x:v>72242</x:v>
      </x:c>
      <x:c r="G31" s="187" t="n">
        <x:v>66662</x:v>
      </x:c>
      <x:c r="H31" s="187" t="n">
        <x:v>59578</x:v>
      </x:c>
      <x:c r="I31" s="187" t="n">
        <x:v>50074</x:v>
      </x:c>
      <x:c r="J31" s="187" t="n">
        <x:v>47032</x:v>
      </x:c>
      <x:c r="K31" s="187" t="n">
        <x:v>41990</x:v>
      </x:c>
      <x:c r="L31" s="187" t="n">
        <x:v>42688</x:v>
      </x:c>
      <x:c r="M31" s="187" t="n">
        <x:v>40152</x:v>
      </x:c>
      <x:c r="N31" s="187" t="n">
        <x:v>31067</x:v>
      </x:c>
      <x:c r="O31" s="136"/>
      <x:c r="P31" s="136"/>
      <x:c r="Q31" s="136"/>
      <x:c r="R31" s="136"/>
      <x:c r="S31" s="136"/>
      <x:c r="T31" s="136"/>
      <x:c r="U31" s="136"/>
      <x:c r="V31" s="136"/>
      <x:c r="W31" s="136"/>
      <x:c r="X31" s="136"/>
      <x:c r="Y31" s="136"/>
      <x:c r="Z31" s="136"/>
    </x:row>
    <x:row r="32" ht="24" customHeight="1">
      <x:c r="A32" s="136"/>
      <x:c r="B32" s="136"/>
      <x:c r="C32" s="136" t="str">
        <x:v>Property and equipment net</x:v>
      </x:c>
      <x:c r="D32" s="136"/>
      <x:c r="E32" s="187" t="n">
        <x:v>23734</x:v>
      </x:c>
      <x:c r="F32" s="187" t="n">
        <x:v>29460</x:v>
      </x:c>
      <x:c r="G32" s="187" t="n">
        <x:v>36477</x:v>
      </x:c>
      <x:c r="H32" s="187" t="n">
        <x:v>44151</x:v>
      </x:c>
      <x:c r="I32" s="187" t="n">
        <x:v>59715</x:v>
      </x:c>
      <x:c r="J32" s="187" t="n">
        <x:v>74398</x:v>
      </x:c>
      <x:c r="K32" s="187" t="n">
        <x:v>95641</x:v>
      </x:c>
      <x:c r="L32" s="187" t="n">
        <x:v>135591</x:v>
      </x:c>
      <x:c r="M32" s="187" t="n">
        <x:v>204966</x:v>
      </x:c>
      <x:c r="N32" s="187" t="n">
        <x:v>313076</x:v>
      </x:c>
      <x:c r="O32" s="136"/>
      <x:c r="P32" s="136"/>
      <x:c r="Q32" s="136"/>
      <x:c r="R32" s="136"/>
      <x:c r="S32" s="136"/>
      <x:c r="T32" s="136"/>
      <x:c r="U32" s="136"/>
      <x:c r="V32" s="136"/>
      <x:c r="W32" s="136"/>
      <x:c r="X32" s="136"/>
      <x:c r="Y32" s="136"/>
      <x:c r="Z32" s="136"/>
    </x:row>
    <x:row r="33" ht="24" customHeight="1">
      <x:c r="A33" s="136"/>
      <x:c r="B33" s="136"/>
      <x:c r="C33" s="136" t="str">
        <x:v>Property and equipment depreciation</x:v>
      </x:c>
      <x:c r="D33" s="136"/>
      <x:c r="E33" s="187" t="n">
        <x:v>6100</x:v>
      </x:c>
      <x:c r="F33" s="187" t="n">
        <x:v>7700</x:v>
      </x:c>
      <x:c r="G33" s="187" t="n">
        <x:v>9700</x:v>
      </x:c>
      <x:c r="H33" s="187" t="n">
        <x:v>10700</x:v>
      </x:c>
      <x:c r="I33" s="187" t="n">
        <x:v>9300</x:v>
      </x:c>
      <x:c r="J33" s="187" t="n">
        <x:v>12600</x:v>
      </x:c>
      <x:c r="K33" s="187" t="n">
        <x:v>11000</x:v>
      </x:c>
      <x:c r="L33" s="187" t="n">
        <x:v>15200</x:v>
      </x:c>
      <x:c r="M33" s="187" t="n">
        <x:v>22000</x:v>
      </x:c>
      <x:c r="N33" s="187" t="n">
        <x:v>34300</x:v>
      </x:c>
      <x:c r="O33" s="136"/>
      <x:c r="P33" s="136"/>
      <x:c r="Q33" s="136"/>
      <x:c r="R33" s="136"/>
      <x:c r="S33" s="136"/>
      <x:c r="T33" s="136"/>
      <x:c r="U33" s="136"/>
      <x:c r="V33" s="136"/>
      <x:c r="W33" s="136"/>
      <x:c r="X33" s="136"/>
      <x:c r="Y33" s="136"/>
      <x:c r="Z33" s="136"/>
    </x:row>
    <x:row r="34" ht="24" customHeight="1">
      <x:c r="A34" s="136"/>
      <x:c r="B34" s="136"/>
      <x:c r="C34" s="136" t="str">
        <x:v>Intangible amortization</x:v>
      </x:c>
      <x:c r="D34" s="136"/>
      <x:c r="E34" s="187" t="n">
        <x:v>1700</x:v>
      </x:c>
      <x:c r="F34" s="187" t="n">
        <x:v>2200</x:v>
      </x:c>
      <x:c r="G34" s="187" t="n">
        <x:v>1900</x:v>
      </x:c>
      <x:c r="H34" s="187" t="n">
        <x:v>1600</x:v>
      </x:c>
      <x:c r="I34" s="187" t="n">
        <x:v>1600</x:v>
      </x:c>
      <x:c r="J34" s="187" t="n">
        <x:v>2000</x:v>
      </x:c>
      <x:c r="K34" s="187" t="n">
        <x:v>2500</x:v>
      </x:c>
      <x:c r="L34" s="187" t="n">
        <x:v>4800</x:v>
      </x:c>
      <x:c r="M34" s="187" t="n">
        <x:v>6000</x:v>
      </x:c>
      <x:c r="N34" s="187" t="n">
        <x:v>4700</x:v>
      </x:c>
      <x:c r="O34" s="136"/>
      <x:c r="P34" s="136"/>
      <x:c r="Q34" s="136"/>
      <x:c r="R34" s="136"/>
      <x:c r="S34" s="136"/>
      <x:c r="T34" s="136"/>
      <x:c r="U34" s="136"/>
      <x:c r="V34" s="136"/>
      <x:c r="W34" s="136"/>
      <x:c r="X34" s="136"/>
      <x:c r="Y34" s="136"/>
      <x:c r="Z34" s="136"/>
    </x:row>
    <x:row r="35" ht="24" customHeight="1">
      <x:c r="A35" s="136"/>
      <x:c r="B35" s="136"/>
      <x:c r="C35" s="136" t="str">
        <x:v>Finance lease liabilities</x:v>
      </x:c>
      <x:c r="D35" s="136"/>
      <x:c r="E35" s="187" t="n">
        <x:v>2538</x:v>
      </x:c>
      <x:c r="F35" s="187" t="n">
        <x:v>4301</x:v>
      </x:c>
      <x:c r="G35" s="187" t="n">
        <x:v>6574</x:v>
      </x:c>
      <x:c r="H35" s="187" t="n">
        <x:v>9496</x:v>
      </x:c>
      <x:c r="I35" s="187" t="n">
        <x:v>12541</x:v>
      </x:c>
      <x:c r="J35" s="187" t="n">
        <x:v>14902</x:v>
      </x:c>
      <x:c r="K35" s="187" t="n">
        <x:v>17067</x:v>
      </x:c>
      <x:c r="L35" s="187" t="n">
        <x:v>27145</x:v>
      </x:c>
      <x:c r="M35" s="187" t="n">
        <x:v>46172</x:v>
      </x:c>
      <x:c r="N35" s="187" t="n">
        <x:v>66594</x:v>
      </x:c>
      <x:c r="O35" s="136"/>
      <x:c r="P35" s="136"/>
      <x:c r="Q35" s="136"/>
      <x:c r="R35" s="136"/>
      <x:c r="S35" s="136"/>
      <x:c r="T35" s="136"/>
      <x:c r="U35" s="136"/>
      <x:c r="V35" s="136"/>
      <x:c r="W35" s="136"/>
      <x:c r="X35" s="136"/>
      <x:c r="Y35" s="136"/>
      <x:c r="Z35" s="136"/>
    </x:row>
    <x:row r="36" ht="24" customHeight="1">
      <x:c r="A36" s="136"/>
      <x:c r="B36" s="136"/>
      <x:c r="C36" s="136" t="str">
        <x:v>Finance lease asset additions</x:v>
      </x:c>
      <x:c r="D36" s="136"/>
      <x:c r="E36" s="187" t="n">
        <x:v>1773</x:v>
      </x:c>
      <x:c r="F36" s="187" t="n">
        <x:v>1933</x:v>
      </x:c>
      <x:c r="G36" s="187" t="n">
        <x:v>2532</x:v>
      </x:c>
      <x:c r="H36" s="187" t="n">
        <x:v>3467</x:v>
      </x:c>
      <x:c r="I36" s="187" t="n">
        <x:v>3290</x:v>
      </x:c>
      <x:c r="J36" s="187" t="n">
        <x:v>4234</x:v>
      </x:c>
      <x:c r="K36" s="187" t="n">
        <x:v>3128</x:v>
      </x:c>
      <x:c r="L36" s="187" t="n">
        <x:v>11633</x:v>
      </x:c>
      <x:c r="M36" s="187" t="n">
        <x:v>20511</x:v>
      </x:c>
      <x:c r="N36" s="187" t="n">
        <x:v>24608</x:v>
      </x:c>
      <x:c r="O36" s="136"/>
      <x:c r="P36" s="136"/>
      <x:c r="Q36" s="136"/>
      <x:c r="R36" s="136"/>
      <x:c r="S36" s="136"/>
      <x:c r="T36" s="136"/>
      <x:c r="U36" s="136"/>
      <x:c r="V36" s="136"/>
      <x:c r="W36" s="136"/>
      <x:c r="X36" s="136"/>
      <x:c r="Y36" s="136"/>
      <x:c r="Z36" s="136"/>
    </x:row>
    <x:row r="37" ht="24" customHeight="1">
      <x:c r="A37" s="136"/>
      <x:c r="B37" s="136"/>
      <x:c r="C37" s="136" t="str">
        <x:v>Finance lease principal paid</x:v>
      </x:c>
      <x:c r="D37" s="136"/>
      <x:c r="E37" s="187" t="n">
        <x:v>46</x:v>
      </x:c>
      <x:c r="F37" s="187" t="n">
        <x:v>144</x:v>
      </x:c>
      <x:c r="G37" s="187" t="n">
        <x:v>221</x:v>
      </x:c>
      <x:c r="H37" s="187" t="n">
        <x:v>409</x:v>
      </x:c>
      <x:c r="I37" s="187" t="n">
        <x:v>648</x:v>
      </x:c>
      <x:c r="J37" s="187" t="n">
        <x:v>896</x:v>
      </x:c>
      <x:c r="K37" s="187" t="n">
        <x:v>1056</x:v>
      </x:c>
      <x:c r="L37" s="187" t="n">
        <x:v>1286</x:v>
      </x:c>
      <x:c r="M37" s="187" t="n">
        <x:v>2283</x:v>
      </x:c>
      <x:c r="N37" s="187" t="n">
        <x:v>3101</x:v>
      </x:c>
      <x:c r="O37" s="136"/>
      <x:c r="P37" s="136"/>
      <x:c r="Q37" s="136"/>
      <x:c r="R37" s="136"/>
      <x:c r="S37" s="136"/>
      <x:c r="T37" s="136"/>
      <x:c r="U37" s="136"/>
      <x:c r="V37" s="136"/>
      <x:c r="W37" s="136"/>
      <x:c r="X37" s="136"/>
      <x:c r="Y37" s="136"/>
      <x:c r="Z37" s="136"/>
    </x:row>
    <x:row r="38" ht="24" customHeight="1">
      <x:c r="A38" s="136"/>
      <x:c r="B38" s="136"/>
      <x:c r="C38" s="136" t="str">
        <x:v>Capital expenditure payables</x:v>
      </x:c>
      <x:c r="D38" s="136"/>
      <x:c r="E38" s="164" t="str">
        <x:v>n.a.</x:v>
      </x:c>
      <x:c r="F38" s="164" t="str">
        <x:v>n.a.</x:v>
      </x:c>
      <x:c r="G38" s="164" t="str">
        <x:v>n.a.</x:v>
      </x:c>
      <x:c r="H38" s="164" t="str">
        <x:v>n.a.</x:v>
      </x:c>
      <x:c r="I38" s="164" t="str">
        <x:v>n.a.</x:v>
      </x:c>
      <x:c r="J38" s="164" t="str">
        <x:v>n.a.</x:v>
      </x:c>
      <x:c r="K38" s="164" t="str">
        <x:v>n.a.</x:v>
      </x:c>
      <x:c r="L38" s="164" t="str">
        <x:v>n.a.</x:v>
      </x:c>
      <x:c r="M38" s="164" t="str">
        <x:v>n.a.</x:v>
      </x:c>
      <x:c r="N38" s="187" t="n">
        <x:v>26700</x:v>
      </x:c>
      <x:c r="O38" s="136"/>
      <x:c r="P38" s="136"/>
      <x:c r="Q38" s="136"/>
      <x:c r="R38" s="136"/>
      <x:c r="S38" s="136"/>
      <x:c r="T38" s="136"/>
      <x:c r="U38" s="136"/>
      <x:c r="V38" s="136"/>
      <x:c r="W38" s="136"/>
      <x:c r="X38" s="136"/>
      <x:c r="Y38" s="136"/>
      <x:c r="Z38" s="136"/>
    </x:row>
    <x:row r="39" ht="24" customHeight="1">
      <x:c r="A39" s="136"/>
      <x:c r="B39" s="136"/>
      <x:c r="C39" s="136" t="str">
        <x:v>Current operating lease liability</x:v>
      </x:c>
      <x:c r="D39" s="136"/>
      <x:c r="E39" s="164" t="str">
        <x:v>n.a.</x:v>
      </x:c>
      <x:c r="F39" s="164" t="str">
        <x:v>n.a.</x:v>
      </x:c>
      <x:c r="G39" s="164" t="str">
        <x:v>n.a.</x:v>
      </x:c>
      <x:c r="H39" s="164" t="str">
        <x:v>n.a.</x:v>
      </x:c>
      <x:c r="I39" s="164" t="str">
        <x:v>n.a.</x:v>
      </x:c>
      <x:c r="J39" s="164" t="str">
        <x:v>n.a.</x:v>
      </x:c>
      <x:c r="K39" s="164" t="str">
        <x:v>n.a.</x:v>
      </x:c>
      <x:c r="L39" s="164" t="str">
        <x:v>n.a.</x:v>
      </x:c>
      <x:c r="M39" s="164" t="str">
        <x:v>n.a.</x:v>
      </x:c>
      <x:c r="N39" s="187" t="n">
        <x:v>5393</x:v>
      </x:c>
      <x:c r="O39" s="136"/>
      <x:c r="P39" s="136"/>
      <x:c r="Q39" s="136"/>
      <x:c r="R39" s="136"/>
      <x:c r="S39" s="136"/>
      <x:c r="T39" s="136"/>
      <x:c r="U39" s="136"/>
      <x:c r="V39" s="136"/>
      <x:c r="W39" s="136"/>
      <x:c r="X39" s="136"/>
      <x:c r="Y39" s="136"/>
      <x:c r="Z39" s="136"/>
    </x:row>
    <x:row r="40" ht="24" customHeight="1">
      <x:c r="A40" s="136"/>
      <x:c r="B40" s="136"/>
      <x:c r="C40" s="136" t="str">
        <x:v>Current finance lease liability</x:v>
      </x:c>
      <x:c r="D40" s="136"/>
      <x:c r="E40" s="164" t="str">
        <x:v>n.a.</x:v>
      </x:c>
      <x:c r="F40" s="164" t="str">
        <x:v>n.a.</x:v>
      </x:c>
      <x:c r="G40" s="164" t="str">
        <x:v>n.a.</x:v>
      </x:c>
      <x:c r="H40" s="164" t="str">
        <x:v>n.a.</x:v>
      </x:c>
      <x:c r="I40" s="164" t="str">
        <x:v>n.a.</x:v>
      </x:c>
      <x:c r="J40" s="164" t="str">
        <x:v>n.a.</x:v>
      </x:c>
      <x:c r="K40" s="164" t="str">
        <x:v>n.a.</x:v>
      </x:c>
      <x:c r="L40" s="164" t="str">
        <x:v>n.a.</x:v>
      </x:c>
      <x:c r="M40" s="164" t="str">
        <x:v>n.a.</x:v>
      </x:c>
      <x:c r="N40" s="187" t="n">
        <x:v>4290</x:v>
      </x:c>
      <x:c r="O40" s="136"/>
      <x:c r="P40" s="136"/>
      <x:c r="Q40" s="136"/>
      <x:c r="R40" s="136"/>
      <x:c r="S40" s="136"/>
      <x:c r="T40" s="136"/>
      <x:c r="U40" s="136"/>
      <x:c r="V40" s="136"/>
      <x:c r="W40" s="136"/>
      <x:c r="X40" s="136"/>
      <x:c r="Y40" s="136"/>
      <x:c r="Z40" s="136"/>
    </x:row>
    <x:row r="41" ht="24" customHeight="1">
      <x:c r="A41" s="136"/>
      <x:c r="B41" s="136"/>
      <x:c r="C41" s="136" t="str">
        <x:v>Operating lease liabilities</x:v>
      </x:c>
      <x:c r="D41" s="136"/>
      <x:c r="E41" s="187" t="n">
        <x:v>6795</x:v>
      </x:c>
      <x:c r="F41" s="187" t="n">
        <x:v>6967</x:v>
      </x:c>
      <x:c r="G41" s="187" t="n">
        <x:v>7703</x:v>
      </x:c>
      <x:c r="H41" s="187" t="n">
        <x:v>9287</x:v>
      </x:c>
      <x:c r="I41" s="187" t="n">
        <x:v>11591</x:v>
      </x:c>
      <x:c r="J41" s="187" t="n">
        <x:v>13717</x:v>
      </x:c>
      <x:c r="K41" s="187" t="n">
        <x:v>15137</x:v>
      </x:c>
      <x:c r="L41" s="187" t="n">
        <x:v>19077</x:v>
      </x:c>
      <x:c r="M41" s="187" t="n">
        <x:v>22861</x:v>
      </x:c>
      <x:c r="N41" s="187" t="n">
        <x:v>21925</x:v>
      </x:c>
      <x:c r="O41" s="136"/>
      <x:c r="P41" s="136"/>
      <x:c r="Q41" s="136"/>
      <x:c r="R41" s="136"/>
      <x:c r="S41" s="136"/>
      <x:c r="T41" s="136"/>
      <x:c r="U41" s="136"/>
      <x:c r="V41" s="136"/>
      <x:c r="W41" s="136"/>
      <x:c r="X41" s="136"/>
      <x:c r="Y41" s="136"/>
      <x:c r="Z41" s="136"/>
    </x:row>
    <x:row r="42" ht="24" customHeight="1">
      <x:c r="A42" s="136"/>
      <x:c r="B42" s="136"/>
      <x:c r="C42" s="136" t="str">
        <x:v>Operating lease expense</x:v>
      </x:c>
      <x:c r="D42" s="136"/>
      <x:c r="E42" s="187" t="n">
        <x:v>1412</x:v>
      </x:c>
      <x:c r="F42" s="187" t="n">
        <x:v>1585</x:v>
      </x:c>
      <x:c r="G42" s="187" t="n">
        <x:v>1707</x:v>
      </x:c>
      <x:c r="H42" s="187" t="n">
        <x:v>2043</x:v>
      </x:c>
      <x:c r="I42" s="187" t="n">
        <x:v>2127</x:v>
      </x:c>
      <x:c r="J42" s="187" t="n">
        <x:v>2461</x:v>
      </x:c>
      <x:c r="K42" s="187" t="n">
        <x:v>2875</x:v>
      </x:c>
      <x:c r="L42" s="187" t="n">
        <x:v>3555</x:v>
      </x:c>
      <x:c r="M42" s="187" t="n">
        <x:v>5524</x:v>
      </x:c>
      <x:c r="N42" s="187" t="n">
        <x:v>6968</x:v>
      </x:c>
      <x:c r="O42" s="136"/>
      <x:c r="P42" s="136"/>
      <x:c r="Q42" s="136"/>
      <x:c r="R42" s="136"/>
      <x:c r="S42" s="136"/>
      <x:c r="T42" s="136"/>
      <x:c r="U42" s="136"/>
      <x:c r="V42" s="136"/>
      <x:c r="W42" s="136"/>
      <x:c r="X42" s="136"/>
      <x:c r="Y42" s="136"/>
      <x:c r="Z42" s="136"/>
    </x:row>
    <x:row r="43" ht="24" customHeight="1">
      <x:c r="A43" s="136"/>
      <x:c r="B43" s="136"/>
      <x:c r="C43" s="136" t="str">
        <x:v>Debt principal outstanding</x:v>
      </x:c>
      <x:c r="D43" s="136"/>
      <x:c r="E43" s="164" t="str">
        <x:v>n.a.</x:v>
      </x:c>
      <x:c r="F43" s="164" t="str">
        <x:v>n.a.</x:v>
      </x:c>
      <x:c r="G43" s="164" t="str">
        <x:v>n.a.</x:v>
      </x:c>
      <x:c r="H43" s="164" t="str">
        <x:v>n.a.</x:v>
      </x:c>
      <x:c r="I43" s="164" t="str">
        <x:v>n.a.</x:v>
      </x:c>
      <x:c r="J43" s="164" t="str">
        <x:v>n.a.</x:v>
      </x:c>
      <x:c r="K43" s="164" t="str">
        <x:v>n.a.</x:v>
      </x:c>
      <x:c r="L43" s="164" t="str">
        <x:v>n.a.</x:v>
      </x:c>
      <x:c r="M43" s="164" t="str">
        <x:v>n.a.</x:v>
      </x:c>
      <x:c r="N43" s="187" t="n">
        <x:v>46136</x:v>
      </x:c>
      <x:c r="O43" s="136"/>
      <x:c r="P43" s="136"/>
      <x:c r="Q43" s="136"/>
      <x:c r="R43" s="136"/>
      <x:c r="S43" s="136"/>
      <x:c r="T43" s="136"/>
      <x:c r="U43" s="136"/>
      <x:c r="V43" s="136"/>
      <x:c r="W43" s="136"/>
      <x:c r="X43" s="136"/>
      <x:c r="Y43" s="136"/>
      <x:c r="Z43" s="136"/>
    </x:row>
    <x:row r="44" ht="24" customHeight="1">
      <x:c r="A44" s="136"/>
      <x:c r="B44" s="136"/>
      <x:c r="C44" s="136" t="str">
        <x:v>Interest expense</x:v>
      </x:c>
      <x:c r="D44" s="136"/>
      <x:c r="E44" s="164" t="str">
        <x:v>n.a.</x:v>
      </x:c>
      <x:c r="F44" s="164" t="str">
        <x:v>n.a.</x:v>
      </x:c>
      <x:c r="G44" s="164" t="str">
        <x:v>n.a.</x:v>
      </x:c>
      <x:c r="H44" s="164" t="str">
        <x:v>n.a.</x:v>
      </x:c>
      <x:c r="I44" s="164" t="str">
        <x:v>n.a.</x:v>
      </x:c>
      <x:c r="J44" s="164" t="str">
        <x:v>n.a.</x:v>
      </x:c>
      <x:c r="K44" s="187" t="n">
        <x:v>1968</x:v>
      </x:c>
      <x:c r="L44" s="187" t="n">
        <x:v>2935</x:v>
      </x:c>
      <x:c r="M44" s="187" t="n">
        <x:v>2385</x:v>
      </x:c>
      <x:c r="N44" s="187" t="n">
        <x:v>3051</x:v>
      </x:c>
      <x:c r="O44" s="136"/>
      <x:c r="P44" s="136"/>
      <x:c r="Q44" s="136"/>
      <x:c r="R44" s="136"/>
      <x:c r="S44" s="136"/>
      <x:c r="T44" s="136"/>
      <x:c r="U44" s="136"/>
      <x:c r="V44" s="136"/>
      <x:c r="W44" s="136"/>
      <x:c r="X44" s="136"/>
      <x:c r="Y44" s="136"/>
      <x:c r="Z44" s="136"/>
    </x:row>
    <x:row r="45" ht="24" customHeight="1">
      <x:c r="A45" s="136"/>
      <x:c r="B45" s="136"/>
      <x:c r="C45" s="136" t="str">
        <x:v>Land cost</x:v>
      </x:c>
      <x:c r="D45" s="136"/>
      <x:c r="E45" s="164" t="str">
        <x:v>n.a.</x:v>
      </x:c>
      <x:c r="F45" s="164" t="str">
        <x:v>n.a.</x:v>
      </x:c>
      <x:c r="G45" s="164" t="str">
        <x:v>n.a.</x:v>
      </x:c>
      <x:c r="H45" s="164" t="str">
        <x:v>n.a.</x:v>
      </x:c>
      <x:c r="I45" s="164" t="str">
        <x:v>n.a.</x:v>
      </x:c>
      <x:c r="J45" s="164" t="str">
        <x:v>n.a.</x:v>
      </x:c>
      <x:c r="K45" s="164" t="str">
        <x:v>n.a.</x:v>
      </x:c>
      <x:c r="L45" s="164" t="str">
        <x:v>n.a.</x:v>
      </x:c>
      <x:c r="M45" s="164" t="str">
        <x:v>n.a.</x:v>
      </x:c>
      <x:c r="N45" s="187" t="n">
        <x:v>10546</x:v>
      </x:c>
      <x:c r="O45" s="136"/>
      <x:c r="P45" s="136"/>
      <x:c r="Q45" s="136"/>
      <x:c r="R45" s="136"/>
      <x:c r="S45" s="136"/>
      <x:c r="T45" s="136"/>
      <x:c r="U45" s="136"/>
      <x:c r="V45" s="136"/>
      <x:c r="W45" s="136"/>
      <x:c r="X45" s="136"/>
      <x:c r="Y45" s="136"/>
      <x:c r="Z45" s="136"/>
    </x:row>
    <x:row r="46" ht="24" customHeight="1">
      <x:c r="A46" s="136"/>
      <x:c r="B46" s="136"/>
      <x:c r="C46" s="136" t="str">
        <x:v>Productivity and Business Processes revenue</x:v>
      </x:c>
      <x:c r="D46" s="136"/>
      <x:c r="E46" s="187" t="n">
        <x:v>29870</x:v>
      </x:c>
      <x:c r="F46" s="187" t="n">
        <x:v>35865</x:v>
      </x:c>
      <x:c r="G46" s="187" t="n">
        <x:v>41160</x:v>
      </x:c>
      <x:c r="H46" s="187" t="n">
        <x:v>46398</x:v>
      </x:c>
      <x:c r="I46" s="187" t="n">
        <x:v>53915</x:v>
      </x:c>
      <x:c r="J46" s="187" t="n">
        <x:v>63364</x:v>
      </x:c>
      <x:c r="K46" s="187" t="n">
        <x:v>94151</x:v>
      </x:c>
      <x:c r="L46" s="187" t="n">
        <x:v>106820</x:v>
      </x:c>
      <x:c r="M46" s="187" t="n">
        <x:v>120810</x:v>
      </x:c>
      <x:c r="N46" s="187" t="n">
        <x:v>139996</x:v>
      </x:c>
      <x:c r="O46" s="136"/>
      <x:c r="P46" s="136"/>
      <x:c r="Q46" s="136"/>
      <x:c r="R46" s="136"/>
      <x:c r="S46" s="136"/>
      <x:c r="T46" s="136"/>
      <x:c r="U46" s="136"/>
      <x:c r="V46" s="136"/>
      <x:c r="W46" s="136"/>
      <x:c r="X46" s="136"/>
      <x:c r="Y46" s="136"/>
      <x:c r="Z46" s="136"/>
    </x:row>
    <x:row r="47" ht="24" customHeight="1">
      <x:c r="A47" s="136"/>
      <x:c r="B47" s="136"/>
      <x:c r="C47" s="136" t="str">
        <x:v>Intelligent Cloud revenue</x:v>
      </x:c>
      <x:c r="D47" s="136"/>
      <x:c r="E47" s="187" t="n">
        <x:v>27407</x:v>
      </x:c>
      <x:c r="F47" s="187" t="n">
        <x:v>32219</x:v>
      </x:c>
      <x:c r="G47" s="187" t="n">
        <x:v>38985</x:v>
      </x:c>
      <x:c r="H47" s="187" t="n">
        <x:v>48366</x:v>
      </x:c>
      <x:c r="I47" s="187" t="n">
        <x:v>59728</x:v>
      </x:c>
      <x:c r="J47" s="187" t="n">
        <x:v>74965</x:v>
      </x:c>
      <x:c r="K47" s="187" t="n">
        <x:v>72944</x:v>
      </x:c>
      <x:c r="L47" s="187" t="n">
        <x:v>87464</x:v>
      </x:c>
      <x:c r="M47" s="187" t="n">
        <x:v>106265</x:v>
      </x:c>
      <x:c r="N47" s="187" t="n">
        <x:v>137791</x:v>
      </x:c>
      <x:c r="O47" s="136"/>
      <x:c r="P47" s="136"/>
      <x:c r="Q47" s="136"/>
      <x:c r="R47" s="136"/>
      <x:c r="S47" s="136"/>
      <x:c r="T47" s="136"/>
      <x:c r="U47" s="136"/>
      <x:c r="V47" s="136"/>
      <x:c r="W47" s="136"/>
      <x:c r="X47" s="136"/>
      <x:c r="Y47" s="136"/>
      <x:c r="Z47" s="136"/>
    </x:row>
    <x:row r="48" ht="24" customHeight="1">
      <x:c r="A48" s="136"/>
      <x:c r="B48" s="136"/>
      <x:c r="C48" s="136" t="str">
        <x:v>More Personal Computing revenue</x:v>
      </x:c>
      <x:c r="D48" s="136"/>
      <x:c r="E48" s="187" t="n">
        <x:v>39294</x:v>
      </x:c>
      <x:c r="F48" s="187" t="n">
        <x:v>42276</x:v>
      </x:c>
      <x:c r="G48" s="187" t="n">
        <x:v>45698</x:v>
      </x:c>
      <x:c r="H48" s="187" t="n">
        <x:v>48251</x:v>
      </x:c>
      <x:c r="I48" s="187" t="n">
        <x:v>54445</x:v>
      </x:c>
      <x:c r="J48" s="187" t="n">
        <x:v>59941</x:v>
      </x:c>
      <x:c r="K48" s="187" t="n">
        <x:v>44820</x:v>
      </x:c>
      <x:c r="L48" s="187" t="n">
        <x:v>50838</x:v>
      </x:c>
      <x:c r="M48" s="187" t="n">
        <x:v>54649</x:v>
      </x:c>
      <x:c r="N48" s="187" t="n">
        <x:v>54052</x:v>
      </x:c>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67" t="str">
        <x:v>Historical cash conversion and operating ratios</x:v>
      </x:c>
      <x:c r="D51" s="170"/>
      <x:c r="E51" s="170"/>
      <x:c r="F51" s="170"/>
      <x:c r="G51" s="170"/>
      <x:c r="H51" s="170"/>
      <x:c r="I51" s="170"/>
      <x:c r="J51" s="170"/>
      <x:c r="K51" s="170"/>
      <x:c r="L51" s="170"/>
      <x:c r="M51" s="170"/>
      <x:c r="N51" s="173"/>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t="str">
        <x:v>Revenue growth</x:v>
      </x:c>
      <x:c r="D53" s="136"/>
      <x:c r="E53" s="162" t="str">
        <x:f>"n.a."</x:f>
        <x:v>n.a.</x:v>
      </x:c>
      <x:c r="F53" s="162" t="n">
        <x:f>F9/E9-1</x:f>
        <x:v>0.1427861366248666</x:v>
      </x:c>
      <x:c r="G53" s="162" t="n">
        <x:f>G9/F9-1</x:f>
        <x:v>0.14029539688292858</x:v>
      </x:c>
      <x:c r="H53" s="162" t="n">
        <x:f>H9/G9-1</x:f>
        <x:v>0.1364557424727637</x:v>
      </x:c>
      <x:c r="I53" s="162" t="n">
        <x:f>I9/H9-1</x:f>
        <x:v>0.17531727441177503</x:v>
      </x:c>
      <x:c r="J53" s="162" t="n">
        <x:f>J9/I9-1</x:f>
        <x:v>0.17956070629670173</x:v>
      </x:c>
      <x:c r="K53" s="162" t="n">
        <x:f>K9/J9-1</x:f>
        <x:v>0.06882029555656421</x:v>
      </x:c>
      <x:c r="L53" s="162" t="n">
        <x:f>L9/K9-1</x:f>
        <x:v>0.1566996201307127</x:v>
      </x:c>
      <x:c r="M53" s="162" t="n">
        <x:f>M9/L9-1</x:f>
        <x:v>0.14932156232406713</x:v>
      </x:c>
      <x:c r="N53" s="162" t="n">
        <x:f>N9/M9-1</x:f>
        <x:v>0.17788686799846665</x:v>
      </x:c>
      <x:c r="O53" s="136"/>
      <x:c r="P53" s="136"/>
      <x:c r="Q53" s="136"/>
      <x:c r="R53" s="136"/>
      <x:c r="S53" s="136"/>
      <x:c r="T53" s="136"/>
      <x:c r="U53" s="136"/>
      <x:c r="V53" s="136"/>
      <x:c r="W53" s="136"/>
      <x:c r="X53" s="136"/>
      <x:c r="Y53" s="136"/>
      <x:c r="Z53" s="136"/>
    </x:row>
    <x:row r="54" ht="24" customHeight="1">
      <x:c r="A54" s="136"/>
      <x:c r="B54" s="136"/>
      <x:c r="C54" s="136" t="str">
        <x:v>Operating margin</x:v>
      </x:c>
      <x:c r="D54" s="136"/>
      <x:c r="E54" s="162" t="n">
        <x:f>E10/E9</x:f>
        <x:v>0.3005560675565128</x:v>
      </x:c>
      <x:c r="F54" s="162" t="n">
        <x:f>F10/F9</x:f>
        <x:v>0.3176694454512505</x:v>
      </x:c>
      <x:c r="G54" s="162" t="n">
        <x:f>G10/G9</x:f>
        <x:v>0.3413698020549415</x:v>
      </x:c>
      <x:c r="H54" s="162" t="n">
        <x:f>H10/H9</x:f>
        <x:v>0.37030381428521486</x:v>
      </x:c>
      <x:c r="I54" s="162" t="n">
        <x:f>I10/I9</x:f>
        <x:v>0.415948788729713</x:v>
      </x:c>
      <x:c r="J54" s="162" t="n">
        <x:f>J10/J9</x:f>
        <x:v>0.4205527815604983</x:v>
      </x:c>
      <x:c r="K54" s="162" t="n">
        <x:f>K10/K9</x:f>
        <x:v>0.417728806361041</x:v>
      </x:c>
      <x:c r="L54" s="162" t="n">
        <x:f>L10/L9</x:f>
        <x:v>0.44644299573273716</x:v>
      </x:c>
      <x:c r="M54" s="162" t="n">
        <x:f>M10/M9</x:f>
        <x:v>0.4562195624085985</x:v>
      </x:c>
      <x:c r="N54" s="162" t="n">
        <x:f>N10/N9</x:f>
        <x:v>0.4678081840892722</x:v>
      </x:c>
      <x:c r="O54" s="136"/>
      <x:c r="P54" s="136"/>
      <x:c r="Q54" s="136"/>
      <x:c r="R54" s="136"/>
      <x:c r="S54" s="136"/>
      <x:c r="T54" s="136"/>
      <x:c r="U54" s="136"/>
      <x:c r="V54" s="136"/>
      <x:c r="W54" s="136"/>
      <x:c r="X54" s="136"/>
      <x:c r="Y54" s="136"/>
      <x:c r="Z54" s="136"/>
    </x:row>
    <x:row r="55" ht="24" customHeight="1">
      <x:c r="A55" s="136"/>
      <x:c r="B55" s="136"/>
      <x:c r="C55" s="136" t="str">
        <x:v>Effective income tax rate</x:v>
      </x:c>
      <x:c r="D55" s="136"/>
      <x:c r="E55" s="162" t="n">
        <x:f>E11/E12</x:f>
        <x:v>0.14755359352530015</x:v>
      </x:c>
      <x:c r="F55" s="162" t="n">
        <x:f>F11/F12</x:f>
        <x:v>0.5456763722103416</x:v>
      </x:c>
      <x:c r="G55" s="162" t="n">
        <x:f>G11/G12</x:f>
        <x:v>0.10181285478850027</x:v>
      </x:c>
      <x:c r="H55" s="162" t="n">
        <x:f>H11/H12</x:f>
        <x:v>0.16507655177615205</x:v>
      </x:c>
      <x:c r="I55" s="162" t="n">
        <x:f>I11/I12</x:f>
        <x:v>0.13826615285083402</x:v>
      </x:c>
      <x:c r="J55" s="162" t="n">
        <x:f>J11/J12</x:f>
        <x:v>0.13113383343685794</x:v>
      </x:c>
      <x:c r="K55" s="162" t="n">
        <x:f>K11/K12</x:f>
        <x:v>0.18978625253328257</x:v>
      </x:c>
      <x:c r="L55" s="162" t="n">
        <x:f>L11/L12</x:f>
        <x:v>0.18231326597827197</x:v>
      </x:c>
      <x:c r="M55" s="162" t="n">
        <x:f>M11/M12</x:f>
        <x:v>0.17629644009803683</x:v>
      </x:c>
      <x:c r="N55" s="162" t="n">
        <x:f>N11/N12</x:f>
        <x:v>0.19396265985271252</x:v>
      </x:c>
      <x:c r="O55" s="136"/>
      <x:c r="P55" s="136"/>
      <x:c r="Q55" s="136"/>
      <x:c r="R55" s="136"/>
      <x:c r="S55" s="136"/>
      <x:c r="T55" s="136"/>
      <x:c r="U55" s="136"/>
      <x:c r="V55" s="136"/>
      <x:c r="W55" s="136"/>
      <x:c r="X55" s="136"/>
      <x:c r="Y55" s="136"/>
      <x:c r="Z55" s="136"/>
    </x:row>
    <x:row r="56" ht="24" customHeight="1">
      <x:c r="A56" s="136"/>
      <x:c r="B56" s="136"/>
      <x:c r="C56" s="136" t="str">
        <x:v>Operating cash flow margin</x:v>
      </x:c>
      <x:c r="D56" s="136"/>
      <x:c r="E56" s="162" t="n">
        <x:f>E16/E9</x:f>
        <x:v>0.40909796936968656</x:v>
      </x:c>
      <x:c r="F56" s="162" t="n">
        <x:f>F16/F9</x:f>
        <x:v>0.39764407393983325</x:v>
      </x:c>
      <x:c r="G56" s="162" t="n">
        <x:f>G16/G9</x:f>
        <x:v>0.41468337531686306</x:v>
      </x:c>
      <x:c r="H56" s="162" t="n">
        <x:f>H16/H9</x:f>
        <x:v>0.42425619690242283</x:v>
      </x:c>
      <x:c r="I56" s="162" t="n">
        <x:f>I16/I9</x:f>
        <x:v>0.4565465708438437</x:v>
      </x:c>
      <x:c r="J56" s="162" t="n">
        <x:f>J16/J9</x:f>
        <x:v>0.44905936349422504</x:v>
      </x:c>
      <x:c r="K56" s="162" t="n">
        <x:f>K16/K9</x:f>
        <x:v>0.4132883467427978</x:v>
      </x:c>
      <x:c r="L56" s="162" t="n">
        <x:f>L16/L9</x:f>
        <x:v>0.48362856047192826</x:v>
      </x:c>
      <x:c r="M56" s="162" t="n">
        <x:f>M16/M9</x:f>
        <x:v>0.48331700529596344</x:v>
      </x:c>
      <x:c r="N56" s="162" t="n">
        <x:f>N16/N9</x:f>
        <x:v>0.5512763719755664</x:v>
      </x:c>
      <x:c r="O56" s="136"/>
      <x:c r="P56" s="136"/>
      <x:c r="Q56" s="136"/>
      <x:c r="R56" s="136"/>
      <x:c r="S56" s="136"/>
      <x:c r="T56" s="136"/>
      <x:c r="U56" s="136"/>
      <x:c r="V56" s="136"/>
      <x:c r="W56" s="136"/>
      <x:c r="X56" s="136"/>
      <x:c r="Y56" s="136"/>
      <x:c r="Z56" s="136"/>
    </x:row>
    <x:row r="57" ht="24" customHeight="1">
      <x:c r="A57" s="136"/>
      <x:c r="B57" s="136"/>
      <x:c r="C57" s="136" t="str">
        <x:v>Cash flow less cash capex</x:v>
      </x:c>
      <x:c r="D57" s="136"/>
      <x:c r="E57" s="164" t="n">
        <x:f>SUM(E16,E17)</x:f>
        <x:v>31378</x:v>
      </x:c>
      <x:c r="F57" s="164" t="n">
        <x:f>SUM(F16,F17)</x:f>
        <x:v>32252</x:v>
      </x:c>
      <x:c r="G57" s="164" t="n">
        <x:f>SUM(G16,G17)</x:f>
        <x:v>38260</x:v>
      </x:c>
      <x:c r="H57" s="164" t="n">
        <x:f>SUM(H16,H17)</x:f>
        <x:v>45234</x:v>
      </x:c>
      <x:c r="I57" s="164" t="n">
        <x:f>SUM(I16,I17)</x:f>
        <x:v>56118</x:v>
      </x:c>
      <x:c r="J57" s="164" t="n">
        <x:f>SUM(J16,J17)</x:f>
        <x:v>65149</x:v>
      </x:c>
      <x:c r="K57" s="164" t="n">
        <x:f>SUM(K16,K17)</x:f>
        <x:v>59475</x:v>
      </x:c>
      <x:c r="L57" s="164" t="n">
        <x:f>SUM(L16,L17)</x:f>
        <x:v>74071</x:v>
      </x:c>
      <x:c r="M57" s="164" t="n">
        <x:f>SUM(M16,M17)</x:f>
        <x:v>71611</x:v>
      </x:c>
      <x:c r="N57" s="164" t="n">
        <x:f>SUM(N16,N17)</x:f>
        <x:v>66987</x:v>
      </x:c>
      <x:c r="O57" s="136"/>
      <x:c r="P57" s="136"/>
      <x:c r="Q57" s="136"/>
      <x:c r="R57" s="136"/>
      <x:c r="S57" s="136"/>
      <x:c r="T57" s="136"/>
      <x:c r="U57" s="136"/>
      <x:c r="V57" s="136"/>
      <x:c r="W57" s="136"/>
      <x:c r="X57" s="136"/>
      <x:c r="Y57" s="136"/>
      <x:c r="Z57" s="136"/>
    </x:row>
    <x:row r="58" ht="24" customHeight="1">
      <x:c r="A58" s="136"/>
      <x:c r="B58" s="136"/>
      <x:c r="C58" s="136" t="str">
        <x:v>Cash flow less capex and SBC</x:v>
      </x:c>
      <x:c r="D58" s="136"/>
      <x:c r="E58" s="164" t="n">
        <x:f>E57-E18</x:f>
        <x:v>28112</x:v>
      </x:c>
      <x:c r="F58" s="164" t="n">
        <x:f>F57-F18</x:f>
        <x:v>28312</x:v>
      </x:c>
      <x:c r="G58" s="164" t="n">
        <x:f>G57-G18</x:f>
        <x:v>33608</x:v>
      </x:c>
      <x:c r="H58" s="164" t="n">
        <x:f>H57-H18</x:f>
        <x:v>39945</x:v>
      </x:c>
      <x:c r="I58" s="164" t="n">
        <x:f>I57-I18</x:f>
        <x:v>50000</x:v>
      </x:c>
      <x:c r="J58" s="164" t="n">
        <x:f>J57-J18</x:f>
        <x:v>57647</x:v>
      </x:c>
      <x:c r="K58" s="164" t="n">
        <x:f>K57-K18</x:f>
        <x:v>49864</x:v>
      </x:c>
      <x:c r="L58" s="164" t="n">
        <x:f>L57-L18</x:f>
        <x:v>63337</x:v>
      </x:c>
      <x:c r="M58" s="164" t="n">
        <x:f>M57-M18</x:f>
        <x:v>59637</x:v>
      </x:c>
      <x:c r="N58" s="164" t="n">
        <x:f>N57-N18</x:f>
        <x:v>54582</x:v>
      </x:c>
      <x:c r="O58" s="136"/>
      <x:c r="P58" s="136"/>
      <x:c r="Q58" s="136"/>
      <x:c r="R58" s="136"/>
      <x:c r="S58" s="136"/>
      <x:c r="T58" s="136"/>
      <x:c r="U58" s="136"/>
      <x:c r="V58" s="136"/>
      <x:c r="W58" s="136"/>
      <x:c r="X58" s="136"/>
      <x:c r="Y58" s="136"/>
      <x:c r="Z58" s="136"/>
    </x:row>
    <x:row r="59" ht="24" customHeight="1">
      <x:c r="A59" s="136"/>
      <x:c r="B59" s="136"/>
      <x:c r="C59" s="136" t="str">
        <x:v>Cash capex as share of revenue</x:v>
      </x:c>
      <x:c r="D59" s="136"/>
      <x:c r="E59" s="162" t="n">
        <x:f>-E17/E9</x:f>
        <x:v>0.08417640906690414</x:v>
      </x:c>
      <x:c r="F59" s="162" t="n">
        <x:f>-F17/F9</x:f>
        <x:v>0.10540050743022834</x:v>
      </x:c>
      <x:c r="G59" s="162" t="n">
        <x:f>-G17/G9</x:f>
        <x:v>0.11065375110256431</x:v>
      </x:c>
      <x:c r="H59" s="162" t="n">
        <x:f>-H17/H9</x:f>
        <x:v>0.10796769569625564</x:v>
      </x:c>
      <x:c r="I59" s="162" t="n">
        <x:f>-I17/I9</x:f>
        <x:v>0.12268573604302509</x:v>
      </x:c>
      <x:c r="J59" s="162" t="n">
        <x:f>-J17/J9</x:f>
        <x:v>0.12047208352246935</x:v>
      </x:c>
      <x:c r="K59" s="162" t="n">
        <x:f>-K17/K9</x:f>
        <x:v>0.13263336715192411</x:v>
      </x:c>
      <x:c r="L59" s="162" t="n">
        <x:f>-L17/L9</x:f>
        <x:v>0.18144842160230415</x:v>
      </x:c>
      <x:c r="M59" s="162" t="n">
        <x:f>-M17/M9</x:f>
        <x:v>0.22912850875324786</x:v>
      </x:c>
      <x:c r="N59" s="162" t="n">
        <x:f>-N17/N9</x:f>
        <x:v>0.34941040685392616</x:v>
      </x:c>
      <x:c r="O59" s="136"/>
      <x:c r="P59" s="136"/>
      <x:c r="Q59" s="136"/>
      <x:c r="R59" s="136"/>
      <x:c r="S59" s="136"/>
      <x:c r="T59" s="136"/>
      <x:c r="U59" s="136"/>
      <x:c r="V59" s="136"/>
      <x:c r="W59" s="136"/>
      <x:c r="X59" s="136"/>
      <x:c r="Y59" s="136"/>
      <x:c r="Z59" s="136"/>
    </x:row>
    <x:row r="60" ht="24" customHeight="1">
      <x:c r="A60" s="136"/>
      <x:c r="B60" s="136"/>
      <x:c r="C60" s="136" t="str">
        <x:v>Finance asset additions as share of revenue</x:v>
      </x:c>
      <x:c r="D60" s="136"/>
      <x:c r="E60" s="162" t="n">
        <x:f>E36/E9</x:f>
        <x:v>0.018359548932909465</x:v>
      </x:c>
      <x:c r="F60" s="162" t="n">
        <x:f>F36/F9</x:f>
        <x:v>0.01751540413193186</x:v>
      </x:c>
      <x:c r="G60" s="162" t="n">
        <x:f>G36/G9</x:f>
        <x:v>0.020120308638541674</x:v>
      </x:c>
      <x:c r="H60" s="162" t="n">
        <x:f>H36/H9</x:f>
        <x:v>0.02424221235534734</x:v>
      </x:c>
      <x:c r="I60" s="162" t="n">
        <x:f>I36/I9</x:f>
        <x:v>0.01957308076721717</x:v>
      </x:c>
      <x:c r="J60" s="162" t="n">
        <x:f>J36/J9</x:f>
        <x:v>0.021354718313411004</x:v>
      </x:c>
      <x:c r="K60" s="162" t="n">
        <x:f>K36/K9</x:f>
        <x:v>0.014760635160323715</x:v>
      </x:c>
      <x:c r="L60" s="162" t="n">
        <x:f>L36/L9</x:f>
        <x:v>0.04745800050587055</x:v>
      </x:c>
      <x:c r="M60" s="162" t="n">
        <x:f>M36/M9</x:f>
        <x:v>0.07280529880308387</x:v>
      </x:c>
      <x:c r="N60" s="162" t="n">
        <x:f>N36/N9</x:f>
        <x:v>0.07415644333547293</x:v>
      </x:c>
      <x:c r="O60" s="136"/>
      <x:c r="P60" s="136"/>
      <x:c r="Q60" s="136"/>
      <x:c r="R60" s="136"/>
      <x:c r="S60" s="136"/>
      <x:c r="T60" s="136"/>
      <x:c r="U60" s="136"/>
      <x:c r="V60" s="136"/>
      <x:c r="W60" s="136"/>
      <x:c r="X60" s="136"/>
      <x:c r="Y60" s="136"/>
      <x:c r="Z60" s="136"/>
    </x:row>
    <x:row r="61" ht="24" customHeight="1">
      <x:c r="A61" s="136"/>
      <x:c r="B61" s="136"/>
      <x:c r="C61" s="136" t="str">
        <x:v>Net PPE as share of revenue</x:v>
      </x:c>
      <x:c r="D61" s="136"/>
      <x:c r="E61" s="162" t="n">
        <x:f>E32/E9</x:f>
        <x:v>0.24576736287291215</x:v>
      </x:c>
      <x:c r="F61" s="162" t="n">
        <x:f>F32/F9</x:f>
        <x:v>0.2669445451250453</x:v>
      </x:c>
      <x:c r="G61" s="162" t="n">
        <x:f>G32/G9</x:f>
        <x:v>0.2898611762275216</x:v>
      </x:c>
      <x:c r="H61" s="162" t="n">
        <x:f>H32/H9</x:f>
        <x:v>0.3087158689647939</x:v>
      </x:c>
      <x:c r="I61" s="162" t="n">
        <x:f>I32/I9</x:f>
        <x:v>0.355260339821998</x:v>
      </x:c>
      <x:c r="J61" s="162" t="n">
        <x:f>J32/J9</x:f>
        <x:v>0.37523578957986586</x:v>
      </x:c>
      <x:c r="K61" s="162" t="n">
        <x:f>K32/K9</x:f>
        <x:v>0.45131774532241703</x:v>
      </x:c>
      <x:c r="L61" s="162" t="n">
        <x:f>L32/L9</x:f>
        <x:v>0.5531572033518003</x:v>
      </x:c>
      <x:c r="M61" s="162" t="n">
        <x:f>M32/M9</x:f>
        <x:v>0.7275418494696937</x:v>
      </x:c>
      <x:c r="N61" s="162" t="n">
        <x:f>N32/N9</x:f>
        <x:v>0.9434575200624399</x:v>
      </x:c>
      <x:c r="O61" s="136"/>
      <x:c r="P61" s="136"/>
      <x:c r="Q61" s="136"/>
      <x:c r="R61" s="136"/>
      <x:c r="S61" s="136"/>
      <x:c r="T61" s="136"/>
      <x:c r="U61" s="136"/>
      <x:c r="V61" s="136"/>
      <x:c r="W61" s="136"/>
      <x:c r="X61" s="136"/>
      <x:c r="Y61" s="136"/>
      <x:c r="Z61" s="136"/>
    </x:row>
    <x:row r="62" ht="24" customHeight="1">
      <x:c r="A62" s="136"/>
      <x:c r="B62" s="136"/>
      <x:c r="C62" s="136" t="str">
        <x:v>Operating NWC excluding capex and leases</x:v>
      </x:c>
      <x:c r="D62" s="136"/>
      <x:c r="E62" s="164" t="str">
        <x:f>"n.a."</x:f>
        <x:v>n.a.</x:v>
      </x:c>
      <x:c r="F62" s="164" t="str">
        <x:f>"n.a."</x:f>
        <x:v>n.a.</x:v>
      </x:c>
      <x:c r="G62" s="164" t="str">
        <x:f>"n.a."</x:f>
        <x:v>n.a.</x:v>
      </x:c>
      <x:c r="H62" s="164" t="str">
        <x:f>"n.a."</x:f>
        <x:v>n.a.</x:v>
      </x:c>
      <x:c r="I62" s="164" t="str">
        <x:f>"n.a."</x:f>
        <x:v>n.a.</x:v>
      </x:c>
      <x:c r="J62" s="164" t="str">
        <x:f>"n.a."</x:f>
        <x:v>n.a.</x:v>
      </x:c>
      <x:c r="K62" s="164" t="str">
        <x:f>"n.a."</x:f>
        <x:v>n.a.</x:v>
      </x:c>
      <x:c r="L62" s="164" t="str">
        <x:f>"n.a."</x:f>
        <x:v>n.a.</x:v>
      </x:c>
      <x:c r="M62" s="164" t="str">
        <x:f>"n.a."</x:f>
        <x:v>n.a.</x:v>
      </x:c>
      <x:c r="N62" s="164" t="n">
        <x:f>N22+N23+N24-N25+N38-N26-N27-N28+N39+N40</x:f>
        <x:v>10186</x:v>
      </x:c>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56" t="str">
        <x:v>Fiscal year</x:v>
      </x:c>
      <x:c r="D68" s="158" t="str">
        <x:v>Revenue</x:v>
      </x:c>
      <x:c r="E68" s="158" t="str">
        <x:v>Operating income</x:v>
      </x:c>
      <x:c r="F68" s="158" t="str">
        <x:v>Cash FCF</x:v>
      </x:c>
      <x:c r="G68" s="160" t="str">
        <x:v>FCF less SBC</x:v>
      </x:c>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t="str">
        <x:v>FY2017</x:v>
      </x:c>
      <x:c r="D69" s="164" t="n">
        <x:f>E9</x:f>
        <x:v>96571</x:v>
      </x:c>
      <x:c r="E69" s="164" t="n">
        <x:f>E10</x:f>
        <x:v>29025</x:v>
      </x:c>
      <x:c r="F69" s="164" t="n">
        <x:f>E57</x:f>
        <x:v>31378</x:v>
      </x:c>
      <x:c r="G69" s="164" t="n">
        <x:f>E58</x:f>
        <x:v>28112</x:v>
      </x:c>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t="str">
        <x:v>FY2018</x:v>
      </x:c>
      <x:c r="D70" s="164" t="n">
        <x:f>F9</x:f>
        <x:v>110360</x:v>
      </x:c>
      <x:c r="E70" s="164" t="n">
        <x:f>F10</x:f>
        <x:v>35058</x:v>
      </x:c>
      <x:c r="F70" s="164" t="n">
        <x:f>F57</x:f>
        <x:v>32252</x:v>
      </x:c>
      <x:c r="G70" s="164" t="n">
        <x:f>F58</x:f>
        <x:v>28312</x:v>
      </x:c>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t="str">
        <x:v>FY2019</x:v>
      </x:c>
      <x:c r="D71" s="164" t="n">
        <x:f>G9</x:f>
        <x:v>125843</x:v>
      </x:c>
      <x:c r="E71" s="164" t="n">
        <x:f>G10</x:f>
        <x:v>42959</x:v>
      </x:c>
      <x:c r="F71" s="164" t="n">
        <x:f>G57</x:f>
        <x:v>38260</x:v>
      </x:c>
      <x:c r="G71" s="164" t="n">
        <x:f>G58</x:f>
        <x:v>33608</x:v>
      </x:c>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t="str">
        <x:v>FY2020</x:v>
      </x:c>
      <x:c r="D72" s="164" t="n">
        <x:f>H9</x:f>
        <x:v>143015</x:v>
      </x:c>
      <x:c r="E72" s="164" t="n">
        <x:f>H10</x:f>
        <x:v>52959</x:v>
      </x:c>
      <x:c r="F72" s="164" t="n">
        <x:f>H57</x:f>
        <x:v>45234</x:v>
      </x:c>
      <x:c r="G72" s="164" t="n">
        <x:f>H58</x:f>
        <x:v>39945</x:v>
      </x:c>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t="str">
        <x:v>FY2021</x:v>
      </x:c>
      <x:c r="D73" s="164" t="n">
        <x:f>I9</x:f>
        <x:v>168088</x:v>
      </x:c>
      <x:c r="E73" s="164" t="n">
        <x:f>I10</x:f>
        <x:v>69916</x:v>
      </x:c>
      <x:c r="F73" s="164" t="n">
        <x:f>I57</x:f>
        <x:v>56118</x:v>
      </x:c>
      <x:c r="G73" s="164" t="n">
        <x:f>I58</x:f>
        <x:v>50000</x:v>
      </x:c>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t="str">
        <x:v>FY2022</x:v>
      </x:c>
      <x:c r="D74" s="164" t="n">
        <x:f>J9</x:f>
        <x:v>198270</x:v>
      </x:c>
      <x:c r="E74" s="164" t="n">
        <x:f>J10</x:f>
        <x:v>83383</x:v>
      </x:c>
      <x:c r="F74" s="164" t="n">
        <x:f>J57</x:f>
        <x:v>65149</x:v>
      </x:c>
      <x:c r="G74" s="164" t="n">
        <x:f>J58</x:f>
        <x:v>57647</x:v>
      </x:c>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t="str">
        <x:v>FY2023</x:v>
      </x:c>
      <x:c r="D75" s="164" t="n">
        <x:f>K9</x:f>
        <x:v>211915</x:v>
      </x:c>
      <x:c r="E75" s="164" t="n">
        <x:f>K10</x:f>
        <x:v>88523</x:v>
      </x:c>
      <x:c r="F75" s="164" t="n">
        <x:f>K57</x:f>
        <x:v>59475</x:v>
      </x:c>
      <x:c r="G75" s="164" t="n">
        <x:f>K58</x:f>
        <x:v>49864</x:v>
      </x:c>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t="str">
        <x:v>FY2024</x:v>
      </x:c>
      <x:c r="D76" s="164" t="n">
        <x:f>L9</x:f>
        <x:v>245122</x:v>
      </x:c>
      <x:c r="E76" s="164" t="n">
        <x:f>L10</x:f>
        <x:v>109433</x:v>
      </x:c>
      <x:c r="F76" s="164" t="n">
        <x:f>L57</x:f>
        <x:v>74071</x:v>
      </x:c>
      <x:c r="G76" s="164" t="n">
        <x:f>L58</x:f>
        <x:v>63337</x:v>
      </x:c>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t="str">
        <x:v>FY2025</x:v>
      </x:c>
      <x:c r="D77" s="164" t="n">
        <x:f>M9</x:f>
        <x:v>281724</x:v>
      </x:c>
      <x:c r="E77" s="164" t="n">
        <x:f>M10</x:f>
        <x:v>128528</x:v>
      </x:c>
      <x:c r="F77" s="164" t="n">
        <x:f>M57</x:f>
        <x:v>71611</x:v>
      </x:c>
      <x:c r="G77" s="164" t="n">
        <x:f>M58</x:f>
        <x:v>59637</x:v>
      </x:c>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t="str">
        <x:v>FY2026</x:v>
      </x:c>
      <x:c r="D78" s="164" t="n">
        <x:f>N9</x:f>
        <x:v>331839</x:v>
      </x:c>
      <x:c r="E78" s="164" t="n">
        <x:f>N10</x:f>
        <x:v>155237</x:v>
      </x:c>
      <x:c r="F78" s="164" t="n">
        <x:f>N57</x:f>
        <x:v>66987</x:v>
      </x:c>
      <x:c r="G78" s="164" t="n">
        <x:f>N58</x:f>
        <x:v>54582</x:v>
      </x:c>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67" t="str">
        <x:v>Selected case observations</x:v>
      </x:c>
      <x:c r="D81" s="170"/>
      <x:c r="E81" s="170"/>
      <x:c r="F81" s="170"/>
      <x:c r="G81" s="170"/>
      <x:c r="H81" s="170"/>
      <x:c r="I81" s="170"/>
      <x:c r="J81" s="170"/>
      <x:c r="K81" s="170"/>
      <x:c r="L81" s="170"/>
      <x:c r="M81" s="170"/>
      <x:c r="N81" s="173"/>
      <x:c r="O81" s="136"/>
      <x:c r="P81" s="136"/>
      <x:c r="Q81" s="136"/>
      <x:c r="R81" s="136"/>
      <x:c r="S81" s="136"/>
      <x:c r="T81" s="136"/>
      <x:c r="U81" s="136"/>
      <x:c r="V81" s="136"/>
      <x:c r="W81" s="136"/>
      <x:c r="X81" s="136"/>
      <x:c r="Y81" s="136"/>
      <x:c r="Z81" s="136"/>
    </x:row>
    <x:row r="82" ht="24" customHeight="1">
      <x:c r="A82" s="136"/>
      <x:c r="B82" s="136"/>
      <x:c r="C82" s="174" t="str">
        <x:f>"FY2026 revenue is USD "&amp;ROUND(N9/1000,1)&amp;"bn and operating margin "&amp;ROUND(N54*100,1)&amp;"%. "&amp;"The ten fiscal years are preserved from project 03 with exact comparative filing choices. Revenue, cash flow and segment recasts can come from different later reports; the source crosswalk identifies the selected presentation."</x:f>
        <x:v>FY2026 revenue is USD 331.8bn and operating margin 46.8%. The ten fiscal years are preserved from project 03 with exact comparative filing choices. Revenue, cash flow and segment recasts can come from different later reports; the source crosswalk identifies the selected presentation.</x:v>
      </x:c>
      <x:c r="D82" s="174"/>
      <x:c r="E82" s="174"/>
      <x:c r="F82" s="174"/>
      <x:c r="G82" s="174"/>
      <x:c r="H82" s="174"/>
      <x:c r="I82" s="174"/>
      <x:c r="J82" s="174"/>
      <x:c r="K82" s="174"/>
      <x:c r="L82" s="174"/>
      <x:c r="M82" s="174"/>
      <x:c r="N82" s="174"/>
      <x:c r="O82" s="136"/>
      <x:c r="P82" s="136"/>
      <x:c r="Q82" s="136"/>
      <x:c r="R82" s="136"/>
      <x:c r="S82" s="136"/>
      <x:c r="T82" s="136"/>
      <x:c r="U82" s="136"/>
      <x:c r="V82" s="136"/>
      <x:c r="W82" s="136"/>
      <x:c r="X82" s="136"/>
      <x:c r="Y82" s="136"/>
      <x:c r="Z82" s="136"/>
    </x:row>
    <x:row r="83" ht="24" customHeight="1">
      <x:c r="A83" s="136"/>
      <x:c r="B83" s="136"/>
      <x:c r="C83" s="174"/>
      <x:c r="D83" s="174"/>
      <x:c r="E83" s="174"/>
      <x:c r="F83" s="174"/>
      <x:c r="G83" s="174"/>
      <x:c r="H83" s="174"/>
      <x:c r="I83" s="174"/>
      <x:c r="J83" s="174"/>
      <x:c r="K83" s="174"/>
      <x:c r="L83" s="174"/>
      <x:c r="M83" s="174"/>
      <x:c r="N83" s="174"/>
      <x:c r="O83" s="136"/>
      <x:c r="P83" s="136"/>
      <x:c r="Q83" s="136"/>
      <x:c r="R83" s="136"/>
      <x:c r="S83" s="136"/>
      <x:c r="T83" s="136"/>
      <x:c r="U83" s="136"/>
      <x:c r="V83" s="136"/>
      <x:c r="W83" s="136"/>
      <x:c r="X83" s="136"/>
      <x:c r="Y83" s="136"/>
      <x:c r="Z83" s="136"/>
    </x:row>
    <x:row r="84" ht="24" customHeight="1">
      <x:c r="A84" s="136"/>
      <x:c r="B84" s="136"/>
      <x:c r="C84" s="174"/>
      <x:c r="D84" s="174"/>
      <x:c r="E84" s="174"/>
      <x:c r="F84" s="174"/>
      <x:c r="G84" s="174"/>
      <x:c r="H84" s="174"/>
      <x:c r="I84" s="174"/>
      <x:c r="J84" s="174"/>
      <x:c r="K84" s="174"/>
      <x:c r="L84" s="174"/>
      <x:c r="M84" s="174"/>
      <x:c r="N84" s="174"/>
      <x:c r="O84" s="136"/>
      <x:c r="P84" s="136"/>
      <x:c r="Q84" s="136"/>
      <x:c r="R84" s="136"/>
      <x:c r="S84" s="136"/>
      <x:c r="T84" s="136"/>
      <x:c r="U84" s="136"/>
      <x:c r="V84" s="136"/>
      <x:c r="W84" s="136"/>
      <x:c r="X84" s="136"/>
      <x:c r="Y84" s="136"/>
      <x:c r="Z84" s="136"/>
    </x:row>
    <x:row r="85" ht="24" customHeight="1">
      <x:c r="A85" s="136"/>
      <x:c r="B85" s="136"/>
      <x:c r="C85" s="174" t="str">
        <x:v>CFO less cash capex is a reported cash-flow diagnostic. Deducting SBC makes the cost of employee awards visible; neither series is substituted directly for unlevered DCF cash flow.</x:v>
      </x:c>
      <x:c r="D85" s="174"/>
      <x:c r="E85" s="174"/>
      <x:c r="F85" s="174"/>
      <x:c r="G85" s="174"/>
      <x:c r="H85" s="174"/>
      <x:c r="I85" s="174"/>
      <x:c r="J85" s="174"/>
      <x:c r="K85" s="174"/>
      <x:c r="L85" s="174"/>
      <x:c r="M85" s="174"/>
      <x:c r="N85" s="174"/>
      <x:c r="O85" s="136"/>
      <x:c r="P85" s="136"/>
      <x:c r="Q85" s="136"/>
      <x:c r="R85" s="136"/>
      <x:c r="S85" s="136"/>
      <x:c r="T85" s="136"/>
      <x:c r="U85" s="136"/>
      <x:c r="V85" s="136"/>
      <x:c r="W85" s="136"/>
      <x:c r="X85" s="136"/>
      <x:c r="Y85" s="136"/>
      <x:c r="Z85" s="136"/>
    </x:row>
    <x:row r="86" ht="24" customHeight="1">
      <x:c r="A86" s="136"/>
      <x:c r="B86" s="136"/>
      <x:c r="C86" s="174"/>
      <x:c r="D86" s="174"/>
      <x:c r="E86" s="174"/>
      <x:c r="F86" s="174"/>
      <x:c r="G86" s="174"/>
      <x:c r="H86" s="174"/>
      <x:c r="I86" s="174"/>
      <x:c r="J86" s="174"/>
      <x:c r="K86" s="174"/>
      <x:c r="L86" s="174"/>
      <x:c r="M86" s="174"/>
      <x:c r="N86" s="174"/>
      <x:c r="O86" s="136"/>
      <x:c r="P86" s="136"/>
      <x:c r="Q86" s="136"/>
      <x:c r="R86" s="136"/>
      <x:c r="S86" s="136"/>
      <x:c r="T86" s="136"/>
      <x:c r="U86" s="136"/>
      <x:c r="V86" s="136"/>
      <x:c r="W86" s="136"/>
      <x:c r="X86" s="136"/>
      <x:c r="Y86" s="136"/>
      <x:c r="Z86" s="136"/>
    </x:row>
    <x:row r="87" ht="24" customHeight="1">
      <x:c r="A87" s="136"/>
      <x:c r="B87" s="136"/>
      <x:c r="C87" s="174"/>
      <x:c r="D87" s="174"/>
      <x:c r="E87" s="174"/>
      <x:c r="F87" s="174"/>
      <x:c r="G87" s="174"/>
      <x:c r="H87" s="174"/>
      <x:c r="I87" s="174"/>
      <x:c r="J87" s="174"/>
      <x:c r="K87" s="174"/>
      <x:c r="L87" s="174"/>
      <x:c r="M87" s="174"/>
      <x:c r="N87" s="174"/>
      <x:c r="O87" s="136"/>
      <x:c r="P87" s="136"/>
      <x:c r="Q87" s="136"/>
      <x:c r="R87" s="136"/>
      <x:c r="S87" s="136"/>
      <x:c r="T87" s="136"/>
      <x:c r="U87" s="136"/>
      <x:c r="V87" s="136"/>
      <x:c r="W87" s="136"/>
      <x:c r="X87" s="136"/>
      <x:c r="Y87" s="136"/>
      <x:c r="Z87" s="136"/>
    </x:row>
    <x:row r="88" ht="24" customHeight="1">
      <x:c r="A88" s="136"/>
      <x:c r="B88" s="136"/>
      <x:c r="C88" s="174" t="str">
        <x:v>NWC excludes capex payables and current lease financing. Comparable pre-2026 detailed components were not supplied by project 03, so that refined historical NWC series is unavailable rather than inferred as zero.</x:v>
      </x:c>
      <x:c r="D88" s="174"/>
      <x:c r="E88" s="174"/>
      <x:c r="F88" s="174"/>
      <x:c r="G88" s="174"/>
      <x:c r="H88" s="174"/>
      <x:c r="I88" s="174"/>
      <x:c r="J88" s="174"/>
      <x:c r="K88" s="174"/>
      <x:c r="L88" s="174"/>
      <x:c r="M88" s="174"/>
      <x:c r="N88" s="174"/>
      <x:c r="O88" s="136"/>
      <x:c r="P88" s="136"/>
      <x:c r="Q88" s="136"/>
      <x:c r="R88" s="136"/>
      <x:c r="S88" s="136"/>
      <x:c r="T88" s="136"/>
      <x:c r="U88" s="136"/>
      <x:c r="V88" s="136"/>
      <x:c r="W88" s="136"/>
      <x:c r="X88" s="136"/>
      <x:c r="Y88" s="136"/>
      <x:c r="Z88" s="136"/>
    </x:row>
    <x:row r="89" ht="24" customHeight="1">
      <x:c r="A89" s="136"/>
      <x:c r="B89" s="136"/>
      <x:c r="C89" s="174"/>
      <x:c r="D89" s="174"/>
      <x:c r="E89" s="174"/>
      <x:c r="F89" s="174"/>
      <x:c r="G89" s="174"/>
      <x:c r="H89" s="174"/>
      <x:c r="I89" s="174"/>
      <x:c r="J89" s="174"/>
      <x:c r="K89" s="174"/>
      <x:c r="L89" s="174"/>
      <x:c r="M89" s="174"/>
      <x:c r="N89" s="174"/>
      <x:c r="O89" s="136"/>
      <x:c r="P89" s="136"/>
      <x:c r="Q89" s="136"/>
      <x:c r="R89" s="136"/>
      <x:c r="S89" s="136"/>
      <x:c r="T89" s="136"/>
      <x:c r="U89" s="136"/>
      <x:c r="V89" s="136"/>
      <x:c r="W89" s="136"/>
      <x:c r="X89" s="136"/>
      <x:c r="Y89" s="136"/>
      <x:c r="Z89" s="136"/>
    </x:row>
    <x:row r="90" ht="24" customHeight="1">
      <x:c r="A90" s="136"/>
      <x:c r="B90" s="136"/>
      <x:c r="C90" s="174"/>
      <x:c r="D90" s="174"/>
      <x:c r="E90" s="174"/>
      <x:c r="F90" s="174"/>
      <x:c r="G90" s="174"/>
      <x:c r="H90" s="174"/>
      <x:c r="I90" s="174"/>
      <x:c r="J90" s="174"/>
      <x:c r="K90" s="174"/>
      <x:c r="L90" s="174"/>
      <x:c r="M90" s="174"/>
      <x:c r="N90" s="174"/>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82:N84"/>
    <x:mergeCell ref="C85:N87"/>
    <x:mergeCell ref="C88:N90"/>
  </x:mergeCells>
  <x:pageMargins left="0.7" right="0.7" top="0.75" bottom="0.75" header="0.3" footer="0.3"/>
  <x:drawing xmlns:r="http://schemas.openxmlformats.org/officeDocument/2006/relationships" r:id="R5ba1564d9e364491"/>
  <x:legacyDrawing xmlns:r="http://schemas.openxmlformats.org/officeDocument/2006/relationships" r:id="R14e557c550d5445f"/>
</x:worksheet>
</file>

<file path=xl/worksheets/sheet29.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Market Inputs</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t="str">
        <x:v>Valuation date</x:v>
      </x:c>
      <x:c r="D8" s="136"/>
      <x:c r="E8" s="274" t="d">
        <x:v>2026-10-08T00:00:00.000Z</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MSFT closing price</x:v>
      </x:c>
      <x:c r="D9" s="136"/>
      <x:c r="E9" s="249" t="n">
        <x:v>522.61</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9" t="str">
        <x:v>US Treasury 10 year yield</x:v>
      </x:c>
      <x:c r="D10" s="139"/>
      <x:c r="E10" s="247" t="n">
        <x:v>0.052199999999999996</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Point shares at 23 Jul 2026</x:v>
      </x:c>
      <x:c r="D11" s="136"/>
      <x:c r="E11" s="276" t="n">
        <x:v>7425.545491</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9" t="str">
        <x:v>Equity risk premium at 1 Oct</x:v>
      </x:c>
      <x:c r="D12" s="139"/>
      <x:c r="E12" s="247" t="n">
        <x:v>0.042</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9" t="str">
        <x:v>AAA synthetic debt spread</x:v>
      </x:c>
      <x:c r="D13" s="139"/>
      <x:c r="E13" s="247" t="n">
        <x:v>0.004</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Disclosed debt fair value</x:v>
      </x:c>
      <x:c r="D14" s="136"/>
      <x:c r="E14" s="187" t="n">
        <x:v>36500</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ERP publication date</x:v>
      </x:c>
      <x:c r="D15" s="136"/>
      <x:c r="E15" s="274" t="d">
        <x:v>2026-10-01T00:00:00.000Z</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Balance and debt observation date</x:v>
      </x:c>
      <x:c r="D16" s="136"/>
      <x:c r="E16" s="274" t="d">
        <x:v>2026-06-30T00:00:00.000Z</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Point shares observation date</x:v>
      </x:c>
      <x:c r="D17" s="136"/>
      <x:c r="E17" s="274" t="d">
        <x:v>2026-07-23T00:00:00.000Z</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Provider full precision close</x:v>
      </x:c>
      <x:c r="D18" s="136"/>
      <x:c r="E18" s="278" t="n">
        <x:v>522.6099853515625</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9" t="str">
        <x:v>US Treasury 3 month yield</x:v>
      </x:c>
      <x:c r="D19" s="139"/>
      <x:c r="E19" s="247" t="n">
        <x:v>0.042300000000000004</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67" t="str">
        <x:v>Original source files</x:v>
      </x:c>
      <x:c r="D22" s="170"/>
      <x:c r="E22" s="170"/>
      <x:c r="F22" s="170"/>
      <x:c r="G22" s="170"/>
      <x:c r="H22" s="170"/>
      <x:c r="I22" s="170"/>
      <x:c r="J22" s="170"/>
      <x:c r="K22" s="173"/>
      <x:c r="L22" s="136"/>
      <x:c r="M22" s="136"/>
      <x:c r="N22" s="136"/>
      <x:c r="O22" s="136"/>
      <x:c r="P22" s="136"/>
      <x:c r="Q22" s="136"/>
      <x:c r="R22" s="136"/>
      <x:c r="S22" s="136"/>
      <x:c r="T22" s="136"/>
      <x:c r="U22" s="136"/>
      <x:c r="V22" s="136"/>
      <x:c r="W22" s="136"/>
      <x:c r="X22" s="136"/>
      <x:c r="Y22" s="136"/>
      <x:c r="Z22" s="136"/>
    </x:row>
    <x:row r="23" ht="24" customHeight="1">
      <x:c r="A23" s="136"/>
      <x:c r="B23" s="136"/>
      <x:c r="C23" s="136" t="str">
        <x:v>Issuer closing-price lookup</x:v>
      </x:c>
      <x:c r="D23" s="136"/>
      <x:c r="E23" s="136" t="str">
        <x:f>IFERROR(HYPERLINK("https://microsoft.gcs-web.com/","Open primary source"),"Open primary source")</x:f>
        <x:v>Open primary source</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Treasury yield curve</x:v>
      </x:c>
      <x:c r="D24" s="136"/>
      <x:c r="E24" s="136" t="str">
        <x:f>IFERROR(HYPERLINK("https://home.treasury.gov/resource-center/data-chart-center/interest-rates/TextView?type=daily_treasury_yield_curve&amp;field_tdr_date_value=202610","Open primary source"),"Open primary source")</x:f>
        <x:v>Open primary source</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Damodaran dated ERP</x:v>
      </x:c>
      <x:c r="D25" s="136"/>
      <x:c r="E25" s="136" t="str">
        <x:f>IFERROR(HYPERLINK("https://pages.stern.nyu.edu/~adamodar/New_Home_Page/home.htm","Open primary source"),"Open primary source")</x:f>
        <x:v>Open primary source</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t="str">
        <x:v>Synthetic rating spreads</x:v>
      </x:c>
      <x:c r="D26" s="136"/>
      <x:c r="E26" s="136" t="str">
        <x:f>IFERROR(HYPERLINK("https://pages.stern.nyu.edu/~adamodar/New_Home_Page/datafile/ratings.html","Open primary source"),"Open primary source")</x:f>
        <x:v>Open primary source</x:v>
      </x:c>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67" t="str">
        <x:v>Selected case observations</x:v>
      </x:c>
      <x:c r="D29" s="170"/>
      <x:c r="E29" s="170"/>
      <x:c r="F29" s="170"/>
      <x:c r="G29" s="170"/>
      <x:c r="H29" s="170"/>
      <x:c r="I29" s="170"/>
      <x:c r="J29" s="170"/>
      <x:c r="K29" s="170"/>
      <x:c r="L29" s="173"/>
      <x:c r="M29" s="136"/>
      <x:c r="N29" s="136"/>
      <x:c r="O29" s="136"/>
      <x:c r="P29" s="136"/>
      <x:c r="Q29" s="136"/>
      <x:c r="R29" s="136"/>
      <x:c r="S29" s="136"/>
      <x:c r="T29" s="136"/>
      <x:c r="U29" s="136"/>
      <x:c r="V29" s="136"/>
      <x:c r="W29" s="136"/>
      <x:c r="X29" s="136"/>
      <x:c r="Y29" s="136"/>
      <x:c r="Z29" s="136"/>
    </x:row>
    <x:row r="30" ht="24" customHeight="1">
      <x:c r="A30" s="136"/>
      <x:c r="B30" s="136"/>
      <x:c r="C30" s="174" t="str">
        <x:f>"Cutoff closing price is USD "&amp;ROUND(E9,2)&amp;"; nominal Treasury anchor "&amp;ROUND(E10*100,2)&amp;"%. "&amp;"The closing price is the regular-session quote on the valuation date. Beta uses dividend-adjusted returns; adjusted prices are not substituted for the observed valuation quote."</x:f>
        <x:v>Cutoff closing price is USD 522.61; nominal Treasury anchor 5.22%. The closing price is the regular-session quote on the valuation date. Beta uses dividend-adjusted returns; adjusted prices are not substituted for the observed valuation quote.</x:v>
      </x:c>
      <x:c r="D30" s="174"/>
      <x:c r="E30" s="174"/>
      <x:c r="F30" s="174"/>
      <x:c r="G30" s="174"/>
      <x:c r="H30" s="174"/>
      <x:c r="I30" s="174"/>
      <x:c r="J30" s="174"/>
      <x:c r="K30" s="174"/>
      <x:c r="L30" s="174"/>
      <x:c r="M30" s="136"/>
      <x:c r="N30" s="136"/>
      <x:c r="O30" s="136"/>
      <x:c r="P30" s="136"/>
      <x:c r="Q30" s="136"/>
      <x:c r="R30" s="136"/>
      <x:c r="S30" s="136"/>
      <x:c r="T30" s="136"/>
      <x:c r="U30" s="136"/>
      <x:c r="V30" s="136"/>
      <x:c r="W30" s="136"/>
      <x:c r="X30" s="136"/>
      <x:c r="Y30" s="136"/>
      <x:c r="Z30" s="136"/>
    </x:row>
    <x:row r="31" ht="24" customHeight="1">
      <x:c r="A31" s="136"/>
      <x:c r="B31" s="136"/>
      <x:c r="C31" s="174"/>
      <x:c r="D31" s="174"/>
      <x:c r="E31" s="174"/>
      <x:c r="F31" s="174"/>
      <x:c r="G31" s="174"/>
      <x:c r="H31" s="174"/>
      <x:c r="I31" s="174"/>
      <x:c r="J31" s="174"/>
      <x:c r="K31" s="174"/>
      <x:c r="L31" s="174"/>
      <x:c r="M31" s="136"/>
      <x:c r="N31" s="136"/>
      <x:c r="O31" s="136"/>
      <x:c r="P31" s="136"/>
      <x:c r="Q31" s="136"/>
      <x:c r="R31" s="136"/>
      <x:c r="S31" s="136"/>
      <x:c r="T31" s="136"/>
      <x:c r="U31" s="136"/>
      <x:c r="V31" s="136"/>
      <x:c r="W31" s="136"/>
      <x:c r="X31" s="136"/>
      <x:c r="Y31" s="136"/>
      <x:c r="Z31" s="136"/>
    </x:row>
    <x:row r="32" ht="24" customHeight="1">
      <x:c r="A32" s="136"/>
      <x:c r="B32" s="136"/>
      <x:c r="C32" s="174"/>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74" t="str">
        <x:v>Cash, investments, debt and lease balances are the latest reported 30 June figures. Their use as October valuation proxies is explicit. Point shares are dated 23 July; incremental dilution is a separate assumption.</x:v>
      </x:c>
      <x:c r="D33" s="174"/>
      <x:c r="E33" s="174"/>
      <x:c r="F33" s="174"/>
      <x:c r="G33" s="174"/>
      <x:c r="H33" s="174"/>
      <x:c r="I33" s="174"/>
      <x:c r="J33" s="174"/>
      <x:c r="K33" s="174"/>
      <x:c r="L33" s="174"/>
      <x:c r="M33" s="136"/>
      <x:c r="N33" s="136"/>
      <x:c r="O33" s="136"/>
      <x:c r="P33" s="136"/>
      <x:c r="Q33" s="136"/>
      <x:c r="R33" s="136"/>
      <x:c r="S33" s="136"/>
      <x:c r="T33" s="136"/>
      <x:c r="U33" s="136"/>
      <x:c r="V33" s="136"/>
      <x:c r="W33" s="136"/>
      <x:c r="X33" s="136"/>
      <x:c r="Y33" s="136"/>
      <x:c r="Z33" s="136"/>
    </x:row>
    <x:row r="34" ht="24" customHeight="1">
      <x:c r="A34" s="136"/>
      <x:c r="B34" s="136"/>
      <x:c r="C34" s="174"/>
      <x:c r="D34" s="174"/>
      <x:c r="E34" s="174"/>
      <x:c r="F34" s="174"/>
      <x:c r="G34" s="174"/>
      <x:c r="H34" s="174"/>
      <x:c r="I34" s="174"/>
      <x:c r="J34" s="174"/>
      <x:c r="K34" s="174"/>
      <x:c r="L34" s="174"/>
      <x:c r="M34" s="136"/>
      <x:c r="N34" s="136"/>
      <x:c r="O34" s="136"/>
      <x:c r="P34" s="136"/>
      <x:c r="Q34" s="136"/>
      <x:c r="R34" s="136"/>
      <x:c r="S34" s="136"/>
      <x:c r="T34" s="136"/>
      <x:c r="U34" s="136"/>
      <x:c r="V34" s="136"/>
      <x:c r="W34" s="136"/>
      <x:c r="X34" s="136"/>
      <x:c r="Y34" s="136"/>
      <x:c r="Z34" s="136"/>
    </x:row>
    <x:row r="35" ht="24" customHeight="1">
      <x:c r="A35" s="136"/>
      <x:c r="B35" s="136"/>
      <x:c r="C35" s="174"/>
      <x:c r="D35" s="174"/>
      <x:c r="E35" s="174"/>
      <x:c r="F35" s="174"/>
      <x:c r="G35" s="174"/>
      <x:c r="H35" s="174"/>
      <x:c r="I35" s="174"/>
      <x:c r="J35" s="174"/>
      <x:c r="K35" s="174"/>
      <x:c r="L35" s="174"/>
      <x:c r="M35" s="136"/>
      <x:c r="N35" s="136"/>
      <x:c r="O35" s="136"/>
      <x:c r="P35" s="136"/>
      <x:c r="Q35" s="136"/>
      <x:c r="R35" s="136"/>
      <x:c r="S35" s="136"/>
      <x:c r="T35" s="136"/>
      <x:c r="U35" s="136"/>
      <x:c r="V35" s="136"/>
      <x:c r="W35" s="136"/>
      <x:c r="X35" s="136"/>
      <x:c r="Y35" s="136"/>
      <x:c r="Z35" s="136"/>
    </x:row>
    <x:row r="36" ht="24" customHeight="1">
      <x:c r="A36" s="136"/>
      <x:c r="B36" s="136"/>
      <x:c r="C36" s="174" t="str">
        <x:v>The monthly ERP archive has an inconsistent last date serial. Period selection uses the explicitly dated author homepage and the October calculator. The original archive remains available for review.</x:v>
      </x:c>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24" customHeight="1">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24" customHeight="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24" customHeight="1">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24" customHeight="1">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24" customHeight="1">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24" customHeight="1">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24" customHeight="1">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24" customHeight="1">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0:L32"/>
    <x:mergeCell ref="C33:L35"/>
    <x:mergeCell ref="C36:L38"/>
  </x:mergeCells>
  <x:pageMargins left="0.7" right="0.7" top="0.75" bottom="0.75" header="0.3" footer="0.3"/>
  <x:legacyDrawing xmlns:r="http://schemas.openxmlformats.org/officeDocument/2006/relationships" r:id="R0422b91f8a894015"/>
</x:worksheet>
</file>

<file path=xl/worksheets/sheet30.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1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24" customHeight="1">
      <x:c r="A2" s="136"/>
      <x:c r="B2" s="136"/>
      <x:c r="C2" s="179" t="str">
        <x:v>Market Data</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56" t="str">
        <x:v>Date</x:v>
      </x:c>
      <x:c r="D8" s="158" t="str">
        <x:v>MSFT close</x:v>
      </x:c>
      <x:c r="E8" s="158" t="str">
        <x:v>MSFT total-return price</x:v>
      </x:c>
      <x:c r="F8" s="158" t="str">
        <x:v>SPY close</x:v>
      </x:c>
      <x:c r="G8" s="158" t="str">
        <x:v>SPY total-return price</x:v>
      </x:c>
      <x:c r="H8" s="158" t="str">
        <x:v>MSFT return</x:v>
      </x:c>
      <x:c r="I8" s="158" t="str">
        <x:v>Market return</x:v>
      </x:c>
      <x:c r="J8" s="158" t="str">
        <x:v>Fitted MSFT</x:v>
      </x:c>
      <x:c r="K8" s="158" t="str">
        <x:v>Residual</x:v>
      </x:c>
      <x:c r="L8" s="158" t="str">
        <x:v>Centered market</x:v>
      </x:c>
      <x:c r="M8" s="158" t="str">
        <x:v>Leverage</x:v>
      </x:c>
      <x:c r="N8" s="158" t="str">
        <x:v>HC3 residual weight</x:v>
      </x:c>
      <x:c r="O8" s="158" t="str">
        <x:v>HC3 beta term</x:v>
      </x:c>
      <x:c r="P8" s="158" t="str">
        <x:v>HC3 alpha term</x:v>
      </x:c>
      <x:c r="Q8" s="158" t="str">
        <x:v>HC3 covariance</x:v>
      </x:c>
      <x:c r="R8" s="158" t="str">
        <x:v>HAC beta score</x:v>
      </x:c>
      <x:c r="S8" s="158" t="str">
        <x:v>DW term</x:v>
      </x:c>
      <x:c r="T8" s="160" t="str">
        <x:v>MSFT index</x:v>
      </x:c>
      <x:c r="U8" s="136"/>
      <x:c r="V8" s="136"/>
      <x:c r="W8" s="136"/>
      <x:c r="X8" s="136"/>
      <x:c r="Y8" s="136"/>
      <x:c r="Z8" s="136"/>
    </x:row>
    <x:row r="9" ht="24" customHeight="1">
      <x:c r="A9" s="136"/>
      <x:c r="B9" s="136"/>
      <x:c r="C9" s="274" t="d">
        <x:v>2021-10-07T00:00:00.000Z</x:v>
      </x:c>
      <x:c r="D9" s="191" t="n">
        <x:v>294.8500061035156</x:v>
      </x:c>
      <x:c r="E9" s="191" t="n">
        <x:v>282.9755859375</x:v>
      </x:c>
      <x:c r="F9" s="191" t="n">
        <x:v>438.6600036621094</x:v>
      </x:c>
      <x:c r="G9" s="191" t="n">
        <x:v>410.27972412109375</x:v>
      </x:c>
      <x:c r="H9" s="208" t="str">
        <x:f>"n.a."</x:f>
        <x:v>n.a.</x:v>
      </x:c>
      <x:c r="I9" s="208" t="str">
        <x:f>"n.a."</x:f>
        <x:v>n.a.</x:v>
      </x:c>
      <x:c r="J9" s="208" t="str">
        <x:f>"n.a."</x:f>
        <x:v>n.a.</x:v>
      </x:c>
      <x:c r="K9" s="240" t="str">
        <x:f>"n.a."</x:f>
        <x:v>n.a.</x:v>
      </x:c>
      <x:c r="L9" s="240" t="str">
        <x:f>"n.a."</x:f>
        <x:v>n.a.</x:v>
      </x:c>
      <x:c r="M9" s="240" t="str">
        <x:f>"n.a."</x:f>
        <x:v>n.a.</x:v>
      </x:c>
      <x:c r="N9" s="240" t="str">
        <x:f>"n.a."</x:f>
        <x:v>n.a.</x:v>
      </x:c>
      <x:c r="O9" s="240" t="str">
        <x:f>"n.a."</x:f>
        <x:v>n.a.</x:v>
      </x:c>
      <x:c r="P9" s="240" t="str">
        <x:f>"n.a."</x:f>
        <x:v>n.a.</x:v>
      </x:c>
      <x:c r="Q9" s="240" t="str">
        <x:f>"n.a."</x:f>
        <x:v>n.a.</x:v>
      </x:c>
      <x:c r="R9" s="240" t="str">
        <x:f>"n.a."</x:f>
        <x:v>n.a.</x:v>
      </x:c>
      <x:c r="S9" s="240" t="str">
        <x:f>"n.a."</x:f>
        <x:v>n.a.</x:v>
      </x:c>
      <x:c r="T9" s="280" t="n">
        <x:f>E9/$E$9*100</x:f>
        <x:v>100</x:v>
      </x:c>
      <x:c r="U9" s="136"/>
      <x:c r="V9" s="136"/>
      <x:c r="W9" s="136"/>
      <x:c r="X9" s="136"/>
      <x:c r="Y9" s="136"/>
      <x:c r="Z9" s="136"/>
    </x:row>
    <x:row r="10" ht="24" customHeight="1">
      <x:c r="A10" s="136"/>
      <x:c r="B10" s="136"/>
      <x:c r="C10" s="274" t="d">
        <x:v>2021-10-08T00:00:00.000Z</x:v>
      </x:c>
      <x:c r="D10" s="191" t="n">
        <x:v>294.8500061035156</x:v>
      </x:c>
      <x:c r="E10" s="191" t="n">
        <x:v>282.9755859375</x:v>
      </x:c>
      <x:c r="F10" s="191" t="n">
        <x:v>437.8599853515625</x:v>
      </x:c>
      <x:c r="G10" s="191" t="n">
        <x:v>409.531494140625</x:v>
      </x:c>
      <x:c r="H10" s="208" t="n">
        <x:f>E10/E9-1</x:f>
        <x:v>0</x:v>
      </x:c>
      <x:c r="I10" s="208" t="n">
        <x:f>G10/G9-1</x:f>
        <x:v>-0.0018237069406040751</x:v>
      </x:c>
      <x:c r="J10" s="208" t="n">
        <x:f>'Beta HC3'!$E$13+'Beta HC3'!$E$12*I10</x:f>
        <x:v>-0.00204766668635018</x:v>
      </x:c>
      <x:c r="K10" s="240" t="n">
        <x:f>H10-J10</x:f>
        <x:v>0.00204766668635018</x:v>
      </x:c>
      <x:c r="L10" s="240" t="n">
        <x:f>I10-'Beta HC3'!$E$9</x:f>
        <x:v>-0.0023876545582645144</x:v>
      </x:c>
      <x:c r="M10" s="240" t="n">
        <x:f>1/'Beta HC3'!$E$8+L10^2/'Beta HC3'!$E$11</x:f>
        <x:v>0.0008357980013294639</x:v>
      </x:c>
      <x:c r="N10" s="240" t="n">
        <x:f>K10^2/(1-M10)^2</x:f>
        <x:v>0.000004199956555062603</x:v>
      </x:c>
      <x:c r="O10" s="240" t="n">
        <x:f>N10*L10^2/'Beta HC3'!$E$11^2</x:f>
        <x:v>1.1197021416729823e-9</x:v>
      </x:c>
      <x:c r="P10" s="240" t="n">
        <x:f>N10*(1/'Beta HC3'!$E$8-'Beta HC3'!$E$9*L10/'Beta HC3'!$E$11)^2</x:f>
        <x:v>2.7285837877859426e-12</x:v>
      </x:c>
      <x:c r="Q10" s="240" t="n">
        <x:f>N10*(1/'Beta HC3'!$E$8-'Beta HC3'!$E$9*L10/'Beta HC3'!$E$11)*L10/'Beta HC3'!$E$11</x:f>
        <x:v>-5.5273873673898584e-11</x:v>
      </x:c>
      <x:c r="R10" s="240" t="n">
        <x:f>K10*L10/'Beta HC3'!$E$11</x:f>
        <x:v>-0.0000334339832240494</x:v>
      </x:c>
      <x:c r="S10" s="240" t="str">
        <x:f>"n.a."</x:f>
        <x:v>n.a.</x:v>
      </x:c>
      <x:c r="T10" s="280" t="n">
        <x:f>E10/$E$9*100</x:f>
        <x:v>100</x:v>
      </x:c>
      <x:c r="U10" s="136"/>
      <x:c r="V10" s="136"/>
      <x:c r="W10" s="136"/>
      <x:c r="X10" s="136"/>
      <x:c r="Y10" s="136"/>
      <x:c r="Z10" s="136"/>
    </x:row>
    <x:row r="11" ht="24" customHeight="1">
      <x:c r="A11" s="136"/>
      <x:c r="B11" s="136"/>
      <x:c r="C11" s="274" t="d">
        <x:v>2021-10-11T00:00:00.000Z</x:v>
      </x:c>
      <x:c r="D11" s="191" t="n">
        <x:v>294.2300109863281</x:v>
      </x:c>
      <x:c r="E11" s="191" t="n">
        <x:v>282.3804931640625</x:v>
      </x:c>
      <x:c r="F11" s="191" t="n">
        <x:v>434.69000244140625</x:v>
      </x:c>
      <x:c r="G11" s="191" t="n">
        <x:v>406.5666809082031</x:v>
      </x:c>
      <x:c r="H11" s="208" t="n">
        <x:f>E11/E10-1</x:f>
        <x:v>-0.0021029827413059365</x:v>
      </x:c>
      <x:c r="I11" s="208" t="n">
        <x:f>G11/G10-1</x:f>
        <x:v>-0.0072395243707528145</x:v>
      </x:c>
      <x:c r="J11" s="208" t="n">
        <x:f>'Beta HC3'!$E$13+'Beta HC3'!$E$12*I11</x:f>
        <x:v>-0.00815568913387203</x:v>
      </x:c>
      <x:c r="K11" s="240" t="n">
        <x:f>H11-J11</x:f>
        <x:v>0.006052706392566094</x:v>
      </x:c>
      <x:c r="L11" s="240" t="n">
        <x:f>I11-'Beta HC3'!$E$9</x:f>
        <x:v>-0.007803471988413254</x:v>
      </x:c>
      <x:c r="M11" s="240" t="n">
        <x:f>1/'Beta HC3'!$E$8+L11^2/'Beta HC3'!$E$11</x:f>
        <x:v>0.0012132342190074065</x:v>
      </x:c>
      <x:c r="N11" s="240" t="n">
        <x:f>K11^2/(1-M11)^2</x:f>
        <x:v>0.000036724311000278396</x:v>
      </x:c>
      <x:c r="O11" s="240" t="n">
        <x:f>N11*L11^2/'Beta HC3'!$E$11^2</x:f>
        <x:v>1.0457891479714552e-7</x:v>
      </x:c>
      <x:c r="P11" s="240" t="n">
        <x:f>N11*(1/'Beta HC3'!$E$8-'Beta HC3'!$E$9*L11/'Beta HC3'!$E$11)^2</x:f>
        <x:v>2.5111174564596674e-11</x:v>
      </x:c>
      <x:c r="Q11" s="240" t="n">
        <x:f>N11*(1/'Beta HC3'!$E$8-'Beta HC3'!$E$9*L11/'Beta HC3'!$E$11)*L11/'Beta HC3'!$E$11</x:f>
        <x:v>-1.6205244167389777e-9</x:v>
      </x:c>
      <x:c r="R11" s="240" t="n">
        <x:f>K11*L11/'Beta HC3'!$E$11</x:f>
        <x:v>-0.00032299428987941995</x:v>
      </x:c>
      <x:c r="S11" s="240" t="n">
        <x:f>(K11-K10)^2</x:f>
        <x:v>0.000016040343048366056</x:v>
      </x:c>
      <x:c r="T11" s="280" t="n">
        <x:f>E11/$E$9*100</x:f>
        <x:v>99.7897017258694</x:v>
      </x:c>
      <x:c r="U11" s="136"/>
      <x:c r="V11" s="136"/>
      <x:c r="W11" s="136"/>
      <x:c r="X11" s="136"/>
      <x:c r="Y11" s="136"/>
      <x:c r="Z11" s="136"/>
    </x:row>
    <x:row r="12" ht="24" customHeight="1">
      <x:c r="A12" s="136"/>
      <x:c r="B12" s="136"/>
      <x:c r="C12" s="274" t="d">
        <x:v>2021-10-12T00:00:00.000Z</x:v>
      </x:c>
      <x:c r="D12" s="191" t="n">
        <x:v>292.8800048828125</x:v>
      </x:c>
      <x:c r="E12" s="191" t="n">
        <x:v>281.08489990234375</x:v>
      </x:c>
      <x:c r="F12" s="191" t="n">
        <x:v>433.6199951171875</x:v>
      </x:c>
      <x:c r="G12" s="191" t="n">
        <x:v>405.56585693359375</x:v>
      </x:c>
      <x:c r="H12" s="208" t="n">
        <x:f>E12/E11-1</x:f>
        <x:v>-0.004588111760843283</x:v>
      </x:c>
      <x:c r="I12" s="208" t="n">
        <x:f>G12/G11-1</x:f>
        <x:v>-0.002461647797536437</x:v>
      </x:c>
      <x:c r="J12" s="208" t="n">
        <x:f>'Beta HC3'!$E$13+'Beta HC3'!$E$12*I12</x:f>
        <x:v>-0.002767143870466997</x:v>
      </x:c>
      <x:c r="K12" s="240" t="n">
        <x:f>H12-J12</x:f>
        <x:v>-0.0018209678903762859</x:v>
      </x:c>
      <x:c r="L12" s="240" t="n">
        <x:f>I12-'Beta HC3'!$E$9</x:f>
        <x:v>-0.0030255954151968763</x:v>
      </x:c>
      <x:c r="M12" s="240" t="n">
        <x:f>1/'Beta HC3'!$E$8+L12^2/'Beta HC3'!$E$11</x:f>
        <x:v>0.0008594134315185761</x:v>
      </x:c>
      <x:c r="N12" s="240" t="n">
        <x:f>K12^2/(1-M12)^2</x:f>
        <x:v>0.0000033216309128954608</x:v>
      </x:c>
      <x:c r="O12" s="240" t="n">
        <x:f>N12*L12^2/'Beta HC3'!$E$11^2</x:f>
        <x:v>1.4219613865038447e-9</x:v>
      </x:c>
      <x:c r="P12" s="240" t="n">
        <x:f>N12*(1/'Beta HC3'!$E$8-'Beta HC3'!$E$9*L12/'Beta HC3'!$E$11)^2</x:f>
        <x:v>2.1711560790672188e-12</x:v>
      </x:c>
      <x:c r="Q12" s="240" t="n">
        <x:f>N12*(1/'Beta HC3'!$E$8-'Beta HC3'!$E$9*L12/'Beta HC3'!$E$11)*L12/'Beta HC3'!$E$11</x:f>
        <x:v>-5.55634781894247e-11</x:v>
      </x:c>
      <x:c r="R12" s="240" t="n">
        <x:f>K12*L12/'Beta HC3'!$E$11</x:f>
        <x:v>0.00003767649574101919</x:v>
      </x:c>
      <x:c r="S12" s="240" t="n">
        <x:f>(K12-K11)^2</x:f>
        <x:v>0.0000619947467138682</x:v>
      </x:c>
      <x:c r="T12" s="280" t="n">
        <x:f>E12/$E$9*100</x:f>
        <x:v>99.33185542176992</x:v>
      </x:c>
      <x:c r="U12" s="136"/>
      <x:c r="V12" s="136"/>
      <x:c r="W12" s="136"/>
      <x:c r="X12" s="136"/>
      <x:c r="Y12" s="136"/>
      <x:c r="Z12" s="136"/>
    </x:row>
    <x:row r="13" ht="24" customHeight="1">
      <x:c r="A13" s="136"/>
      <x:c r="B13" s="136"/>
      <x:c r="C13" s="274" t="d">
        <x:v>2021-10-13T00:00:00.000Z</x:v>
      </x:c>
      <x:c r="D13" s="191" t="n">
        <x:v>296.30999755859375</x:v>
      </x:c>
      <x:c r="E13" s="191" t="n">
        <x:v>284.3768310546875</x:v>
      </x:c>
      <x:c r="F13" s="191" t="n">
        <x:v>435.17999267578125</x:v>
      </x:c>
      <x:c r="G13" s="191" t="n">
        <x:v>407.02490234375</x:v>
      </x:c>
      <x:c r="H13" s="208" t="n">
        <x:f>E13/E12-1</x:f>
        <x:v>0.011711519023211325</x:v>
      </x:c>
      <x:c r="I13" s="208" t="n">
        <x:f>G13/G12-1</x:f>
        <x:v>0.0035975548365629884</x:v>
      </x:c>
      <x:c r="J13" s="208" t="n">
        <x:f>'Beta HC3'!$E$13+'Beta HC3'!$E$12*I13</x:f>
        <x:v>0.004066495959623506</x:v>
      </x:c>
      <x:c r="K13" s="240" t="n">
        <x:f>H13-J13</x:f>
        <x:v>0.007645023063587819</x:v>
      </x:c>
      <x:c r="L13" s="240" t="n">
        <x:f>I13-'Beta HC3'!$E$9</x:f>
        <x:v>0.003033607218902549</x:v>
      </x:c>
      <x:c r="M13" s="240" t="n">
        <x:f>1/'Beta HC3'!$E$8+L13^2/'Beta HC3'!$E$11</x:f>
        <x:v>0.0008597454048053061</x:v>
      </x:c>
      <x:c r="N13" s="240" t="n">
        <x:f>K13^2/(1-M13)^2</x:f>
        <x:v>0.00005854700540478239</x:v>
      </x:c>
      <x:c r="O13" s="240" t="n">
        <x:f>N13*L13^2/'Beta HC3'!$E$11^2</x:f>
        <x:v>2.5196377560619308e-8</x:v>
      </x:c>
      <x:c r="P13" s="240" t="n">
        <x:f>N13*(1/'Beta HC3'!$E$8-'Beta HC3'!$E$9*L13/'Beta HC3'!$E$11)^2</x:f>
        <x:v>3.6088568153476424e-11</x:v>
      </x:c>
      <x:c r="Q13" s="240" t="n">
        <x:f>N13*(1/'Beta HC3'!$E$8-'Beta HC3'!$E$9*L13/'Beta HC3'!$E$11)*L13/'Beta HC3'!$E$11</x:f>
        <x:v>9.535728544883888e-10</x:v>
      </x:c>
      <x:c r="R13" s="240" t="n">
        <x:f>K13*L13/'Beta HC3'!$E$11</x:f>
        <x:v>0.0001585971981000208</x:v>
      </x:c>
      <x:c r="S13" s="240" t="n">
        <x:f>(K13-K12)^2</x:f>
        <x:v>0.00008960498474053025</x:v>
      </x:c>
      <x:c r="T13" s="280" t="n">
        <x:f>E13/$E$9*100</x:f>
        <x:v>100.49518233615285</x:v>
      </x:c>
      <x:c r="U13" s="136"/>
      <x:c r="V13" s="136"/>
      <x:c r="W13" s="136"/>
      <x:c r="X13" s="136"/>
      <x:c r="Y13" s="136"/>
      <x:c r="Z13" s="136"/>
    </x:row>
    <x:row r="14" ht="24" customHeight="1">
      <x:c r="A14" s="136"/>
      <x:c r="B14" s="136"/>
      <x:c r="C14" s="274" t="d">
        <x:v>2021-10-14T00:00:00.000Z</x:v>
      </x:c>
      <x:c r="D14" s="191" t="n">
        <x:v>302.75</x:v>
      </x:c>
      <x:c r="E14" s="191" t="n">
        <x:v>290.5574035644531</x:v>
      </x:c>
      <x:c r="F14" s="191" t="n">
        <x:v>442.5</x:v>
      </x:c>
      <x:c r="G14" s="191" t="n">
        <x:v>413.87127685546875</x:v>
      </x:c>
      <x:c r="H14" s="208" t="n">
        <x:f>E14/E13-1</x:f>
        <x:v>0.02173374141220763</x:v>
      </x:c>
      <x:c r="I14" s="208" t="n">
        <x:f>G14/G13-1</x:f>
        <x:v>0.016820529830719577</x:v>
      </x:c>
      <x:c r="J14" s="208" t="n">
        <x:f>'Beta HC3'!$E$13+'Beta HC3'!$E$12*I14</x:f>
        <x:v>0.018979522317882858</x:v>
      </x:c>
      <x:c r="K14" s="240" t="n">
        <x:f>H14-J14</x:f>
        <x:v>0.0027542190943247724</x:v>
      </x:c>
      <x:c r="L14" s="240" t="n">
        <x:f>I14-'Beta HC3'!$E$9</x:f>
        <x:v>0.01625658221305914</x:v>
      </x:c>
      <x:c r="M14" s="240" t="n">
        <x:f>1/'Beta HC3'!$E$8+L14^2/'Beta HC3'!$E$11</x:f>
        <x:v>0.002604052834168893</x:v>
      </x:c>
      <x:c r="N14" s="240" t="n">
        <x:f>K14^2/(1-M14)^2</x:f>
        <x:v>0.000007625384921546024</x:v>
      </x:c>
      <x:c r="O14" s="240" t="n">
        <x:f>N14*L14^2/'Beta HC3'!$E$11^2</x:f>
        <x:v>9.423993622180459e-8</x:v>
      </x:c>
      <x:c r="P14" s="240" t="n">
        <x:f>N14*(1/'Beta HC3'!$E$8-'Beta HC3'!$E$9*L14/'Beta HC3'!$E$11)^2</x:f>
        <x:v>4.1095522515830776e-12</x:v>
      </x:c>
      <x:c r="Q14" s="240" t="n">
        <x:f>N14*(1/'Beta HC3'!$E$8-'Beta HC3'!$E$9*L14/'Beta HC3'!$E$11)*L14/'Beta HC3'!$E$11</x:f>
        <x:v>6.223214138123183e-10</x:v>
      </x:c>
      <x:c r="R14" s="240" t="n">
        <x:f>K14*L14/'Beta HC3'!$E$11</x:f>
        <x:v>0.00030618583201281986</x:v>
      </x:c>
      <x:c r="S14" s="240" t="n">
        <x:f>(K14-K13)^2</x:f>
        <x:v>0.000023919963465759172</x:v>
      </x:c>
      <x:c r="T14" s="280" t="n">
        <x:f>E14/$E$9*100</x:f>
        <x:v>102.67931864221944</x:v>
      </x:c>
      <x:c r="U14" s="136"/>
      <x:c r="V14" s="136"/>
      <x:c r="W14" s="136"/>
      <x:c r="X14" s="136"/>
      <x:c r="Y14" s="136"/>
      <x:c r="Z14" s="136"/>
    </x:row>
    <x:row r="15" ht="24" customHeight="1">
      <x:c r="A15" s="136"/>
      <x:c r="B15" s="136"/>
      <x:c r="C15" s="274" t="d">
        <x:v>2021-10-15T00:00:00.000Z</x:v>
      </x:c>
      <x:c r="D15" s="191" t="n">
        <x:v>304.2099914550781</x:v>
      </x:c>
      <x:c r="E15" s="191" t="n">
        <x:v>291.9585876464844</x:v>
      </x:c>
      <x:c r="F15" s="191" t="n">
        <x:v>445.8699951171875</x:v>
      </x:c>
      <x:c r="G15" s="191" t="n">
        <x:v>417.02325439453125</x:v>
      </x:c>
      <x:c r="H15" s="208" t="n">
        <x:f>E15/E14-1</x:f>
        <x:v>0.004822400203340349</x:v>
      </x:c>
      <x:c r="I15" s="208" t="n">
        <x:f>G15/G14-1</x:f>
        <x:v>0.007615840275292163</x:v>
      </x:c>
      <x:c r="J15" s="208" t="n">
        <x:f>'Beta HC3'!$E$13+'Beta HC3'!$E$12*I15</x:f>
        <x:v>0.008598365428427575</x:v>
      </x:c>
      <x:c r="K15" s="240" t="n">
        <x:f>H15-J15</x:f>
        <x:v>-0.003775965225087226</x:v>
      </x:c>
      <x:c r="L15" s="240" t="n">
        <x:f>I15-'Beta HC3'!$E$9</x:f>
        <x:v>0.007051892657631723</x:v>
      </x:c>
      <x:c r="M15" s="240" t="n">
        <x:f>1/'Beta HC3'!$E$8+L15^2/'Beta HC3'!$E$11</x:f>
        <x:v>0.0011368830824888291</x:v>
      </x:c>
      <x:c r="N15" s="240" t="n">
        <x:f>K15^2/(1-M15)^2</x:f>
        <x:v>0.000014290387911213653</x:v>
      </x:c>
      <x:c r="O15" s="240" t="n">
        <x:f>N15*L15^2/'Beta HC3'!$E$11^2</x:f>
        <x:v>3.3233044304554393e-8</x:v>
      </x:c>
      <x:c r="P15" s="240" t="n">
        <x:f>N15*(1/'Beta HC3'!$E$8-'Beta HC3'!$E$9*L15/'Beta HC3'!$E$11)^2</x:f>
        <x:v>8.464343235225878e-12</x:v>
      </x:c>
      <x:c r="Q15" s="240" t="n">
        <x:f>N15*(1/'Beta HC3'!$E$8-'Beta HC3'!$E$9*L15/'Beta HC3'!$E$11)*L15/'Beta HC3'!$E$11</x:f>
        <x:v>5.30373353162861e-10</x:v>
      </x:c>
      <x:c r="R15" s="240" t="n">
        <x:f>K15*L15/'Beta HC3'!$E$11</x:f>
        <x:v>-0.00018209207310223508</x:v>
      </x:c>
      <x:c r="S15" s="240" t="n">
        <x:f>(K15-K14)^2</x:f>
        <x:v>0.000042643307245494344</x:v>
      </x:c>
      <x:c r="T15" s="280" t="n">
        <x:f>E15/$E$9*100</x:f>
        <x:v>103.17447940931852</x:v>
      </x:c>
      <x:c r="U15" s="136"/>
      <x:c r="V15" s="136"/>
      <x:c r="W15" s="136"/>
      <x:c r="X15" s="136"/>
      <x:c r="Y15" s="136"/>
      <x:c r="Z15" s="136"/>
    </x:row>
    <x:row r="16" ht="24" customHeight="1">
      <x:c r="A16" s="136"/>
      <x:c r="B16" s="136"/>
      <x:c r="C16" s="274" t="d">
        <x:v>2021-10-18T00:00:00.000Z</x:v>
      </x:c>
      <x:c r="D16" s="191" t="n">
        <x:v>307.2900085449219</x:v>
      </x:c>
      <x:c r="E16" s="191" t="n">
        <x:v>294.91461181640625</x:v>
      </x:c>
      <x:c r="F16" s="191" t="n">
        <x:v>447.19000244140625</x:v>
      </x:c>
      <x:c r="G16" s="191" t="n">
        <x:v>418.25787353515625</x:v>
      </x:c>
      <x:c r="H16" s="208" t="n">
        <x:f>E16/E15-1</x:f>
        <x:v>0.010124806376653472</x:v>
      </x:c>
      <x:c r="I16" s="208" t="n">
        <x:f>G16/G15-1</x:f>
        <x:v>0.002960552265646399</x:v>
      </x:c>
      <x:c r="J16" s="208" t="n">
        <x:f>'Beta HC3'!$E$13+'Beta HC3'!$E$12*I16</x:f>
        <x:v>0.003348076985485229</x:v>
      </x:c>
      <x:c r="K16" s="240" t="n">
        <x:f>H16-J16</x:f>
        <x:v>0.006776729391168243</x:v>
      </x:c>
      <x:c r="L16" s="240" t="n">
        <x:f>I16-'Beta HC3'!$E$9</x:f>
        <x:v>0.0023966046479859597</x:v>
      </x:c>
      <x:c r="M16" s="240" t="n">
        <x:f>1/'Beta HC3'!$E$8+L16^2/'Beta HC3'!$E$11</x:f>
        <x:v>0.0008360908204632949</x:v>
      </x:c>
      <x:c r="N16" s="240" t="n">
        <x:f>K16^2/(1-M16)^2</x:f>
        <x:v>0.00004600095103003472</x:v>
      </x:c>
      <x:c r="O16" s="240" t="n">
        <x:f>N16*L16^2/'Beta HC3'!$E$11^2</x:f>
        <x:v>1.235589837828903e-8</x:v>
      </x:c>
      <x:c r="P16" s="240" t="n">
        <x:f>N16*(1/'Beta HC3'!$E$8-'Beta HC3'!$E$9*L16/'Beta HC3'!$E$11)^2</x:f>
        <x:v>2.8532862432265416e-11</x:v>
      </x:c>
      <x:c r="Q16" s="240" t="n">
        <x:f>N16*(1/'Beta HC3'!$E$8-'Beta HC3'!$E$9*L16/'Beta HC3'!$E$11)*L16/'Beta HC3'!$E$11</x:f>
        <x:v>5.937584935432691e-10</x:v>
      </x:c>
      <x:c r="R16" s="240" t="n">
        <x:f>K16*L16/'Beta HC3'!$E$11</x:f>
        <x:v>0.00011106415132358426</x:v>
      </x:c>
      <x:c r="S16" s="240" t="n">
        <x:f>(K16-K15)^2</x:f>
        <x:v>0.00011135936366394714</x:v>
      </x:c>
      <x:c r="T16" s="280" t="n">
        <x:f>E16/$E$9*100</x:f>
        <x:v>104.2191010363499</x:v>
      </x:c>
      <x:c r="U16" s="136"/>
      <x:c r="V16" s="136"/>
      <x:c r="W16" s="136"/>
      <x:c r="X16" s="136"/>
      <x:c r="Y16" s="136"/>
      <x:c r="Z16" s="136"/>
    </x:row>
    <x:row r="17" ht="24" customHeight="1">
      <x:c r="A17" s="136"/>
      <x:c r="B17" s="136"/>
      <x:c r="C17" s="274" t="d">
        <x:v>2021-10-19T00:00:00.000Z</x:v>
      </x:c>
      <x:c r="D17" s="191" t="n">
        <x:v>308.2300109863281</x:v>
      </x:c>
      <x:c r="E17" s="191" t="n">
        <x:v>295.81671142578125</x:v>
      </x:c>
      <x:c r="F17" s="191" t="n">
        <x:v>450.6400146484375</x:v>
      </x:c>
      <x:c r="G17" s="191" t="n">
        <x:v>421.48468017578125</x:v>
      </x:c>
      <x:c r="H17" s="208" t="n">
        <x:f>E17/E16-1</x:f>
        <x:v>0.003058850166218985</x:v>
      </x:c>
      <x:c r="I17" s="208" t="n">
        <x:f>G17/G16-1</x:f>
        <x:v>0.0077148736337029344</x:v>
      </x:c>
      <x:c r="J17" s="208" t="n">
        <x:f>'Beta HC3'!$E$13+'Beta HC3'!$E$12*I17</x:f>
        <x:v>0.008710056412111613</x:v>
      </x:c>
      <x:c r="K17" s="240" t="n">
        <x:f>H17-J17</x:f>
        <x:v>-0.005651206245892628</x:v>
      </x:c>
      <x:c r="L17" s="240" t="n">
        <x:f>I17-'Beta HC3'!$E$9</x:f>
        <x:v>0.007150926016042495</x:v>
      </x:c>
      <x:c r="M17" s="240" t="n">
        <x:f>1/'Beta HC3'!$E$8+L17^2/'Beta HC3'!$E$11</x:f>
        <x:v>0.0011465017167390083</x:v>
      </x:c>
      <x:c r="N17" s="240" t="n">
        <x:f>K17^2/(1-M17)^2</x:f>
        <x:v>0.0000320094878237101</x:v>
      </x:c>
      <x:c r="O17" s="240" t="n">
        <x:f>N17*L17^2/'Beta HC3'!$E$11^2</x:f>
        <x:v>7.654520978103036e-8</x:v>
      </x:c>
      <x:c r="P17" s="240" t="n">
        <x:f>N17*(1/'Beta HC3'!$E$8-'Beta HC3'!$E$9*L17/'Beta HC3'!$E$11)^2</x:f>
        <x:v>1.8940734942908084e-11</x:v>
      </x:c>
      <x:c r="Q17" s="240" t="n">
        <x:f>N17*(1/'Beta HC3'!$E$8-'Beta HC3'!$E$9*L17/'Beta HC3'!$E$11)*L17/'Beta HC3'!$E$11</x:f>
        <x:v>1.2040857650565392e-9</x:v>
      </x:c>
      <x:c r="R17" s="240" t="n">
        <x:f>K17*L17/'Beta HC3'!$E$11</x:f>
        <x:v>-0.0002763508494075532</x:v>
      </x:c>
      <x:c r="S17" s="240" t="n">
        <x:f>(K17-K16)^2</x:f>
        <x:v>0.00015445358419892758</x:v>
      </x:c>
      <x:c r="T17" s="280" t="n">
        <x:f>E17/$E$9*100</x:f>
        <x:v>104.53789165087812</x:v>
      </x:c>
      <x:c r="U17" s="136"/>
      <x:c r="V17" s="136"/>
      <x:c r="W17" s="136"/>
      <x:c r="X17" s="136"/>
      <x:c r="Y17" s="136"/>
      <x:c r="Z17" s="136"/>
    </x:row>
    <x:row r="18" ht="24" customHeight="1">
      <x:c r="A18" s="136"/>
      <x:c r="B18" s="136"/>
      <x:c r="C18" s="274" t="d">
        <x:v>2021-10-20T00:00:00.000Z</x:v>
      </x:c>
      <x:c r="D18" s="191" t="n">
        <x:v>307.4100036621094</x:v>
      </x:c>
      <x:c r="E18" s="191" t="n">
        <x:v>295.02978515625</x:v>
      </x:c>
      <x:c r="F18" s="191" t="n">
        <x:v>452.4100036621094</x:v>
      </x:c>
      <x:c r="G18" s="191" t="n">
        <x:v>423.1402282714844</x:v>
      </x:c>
      <x:c r="H18" s="208" t="n">
        <x:f>E18/E17-1</x:f>
        <x:v>-0.0026601819273103233</x:v>
      </x:c>
      <x:c r="I18" s="208" t="n">
        <x:f>G18/G17-1</x:f>
        <x:v>0.0039278962523920935</x:v>
      </x:c>
      <x:c r="J18" s="208" t="n">
        <x:f>'Beta HC3'!$E$13+'Beta HC3'!$E$12*I18</x:f>
        <x:v>0.0044390588846582426</x:v>
      </x:c>
      <x:c r="K18" s="240" t="n">
        <x:f>H18-J18</x:f>
        <x:v>-0.007099240811968566</x:v>
      </x:c>
      <x:c r="L18" s="240" t="n">
        <x:f>I18-'Beta HC3'!$E$9</x:f>
        <x:v>0.0033639486347316542</x:v>
      </x:c>
      <x:c r="M18" s="240" t="n">
        <x:f>1/'Beta HC3'!$E$8+L18^2/'Beta HC3'!$E$11</x:f>
        <x:v>0.000874197621789458</x:v>
      </x:c>
      <x:c r="N18" s="240" t="n">
        <x:f>K18^2/(1-M18)^2</x:f>
        <x:v>0.000050487453546364405</x:v>
      </x:c>
      <x:c r="O18" s="240" t="n">
        <x:f>N18*L18^2/'Beta HC3'!$E$11^2</x:f>
        <x:v>2.6717566620224615e-8</x:v>
      </x:c>
      <x:c r="P18" s="240" t="n">
        <x:f>N18*(1/'Beta HC3'!$E$8-'Beta HC3'!$E$9*L18/'Beta HC3'!$E$11)^2</x:f>
        <x:v>3.1019719405046906e-11</x:v>
      </x:c>
      <x:c r="Q18" s="240" t="n">
        <x:f>N18*(1/'Beta HC3'!$E$8-'Beta HC3'!$E$9*L18/'Beta HC3'!$E$11)*L18/'Beta HC3'!$E$11</x:f>
        <x:v>9.10368837200074e-10</x:v>
      </x:c>
      <x:c r="R18" s="240" t="n">
        <x:f>K18*L18/'Beta HC3'!$E$11</x:f>
        <x:v>-0.00016331219847875468</x:v>
      </x:c>
      <x:c r="S18" s="240" t="n">
        <x:f>(K18-K17)^2</x:f>
        <x:v>0.0000020968041045507294</x:v>
      </x:c>
      <x:c r="T18" s="280" t="n">
        <x:f>E18/$E$9*100</x:f>
        <x:v>104.25980184078934</x:v>
      </x:c>
      <x:c r="U18" s="136"/>
      <x:c r="V18" s="136"/>
      <x:c r="W18" s="136"/>
      <x:c r="X18" s="136"/>
      <x:c r="Y18" s="136"/>
      <x:c r="Z18" s="136"/>
    </x:row>
    <x:row r="19" ht="24" customHeight="1">
      <x:c r="A19" s="136"/>
      <x:c r="B19" s="136"/>
      <x:c r="C19" s="274" t="d">
        <x:v>2021-10-21T00:00:00.000Z</x:v>
      </x:c>
      <x:c r="D19" s="191" t="n">
        <x:v>310.760009765625</x:v>
      </x:c>
      <x:c r="E19" s="191" t="n">
        <x:v>298.24493408203125</x:v>
      </x:c>
      <x:c r="F19" s="191" t="n">
        <x:v>453.5899963378906</x:v>
      </x:c>
      <x:c r="G19" s="191" t="n">
        <x:v>424.2438659667969</x:v>
      </x:c>
      <x:c r="H19" s="208" t="n">
        <x:f>E19/E18-1</x:f>
        <x:v>0.010897709612873507</x:v>
      </x:c>
      <x:c r="I19" s="208" t="n">
        <x:f>G19/G18-1</x:f>
        <x:v>0.002608207921569683</x:v>
      </x:c>
      <x:c r="J19" s="208" t="n">
        <x:f>'Beta HC3'!$E$13+'Beta HC3'!$E$12*I19</x:f>
        <x:v>0.002950698899788046</x:v>
      </x:c>
      <x:c r="K19" s="240" t="n">
        <x:f>H19-J19</x:f>
        <x:v>0.007947010713085461</x:v>
      </x:c>
      <x:c r="L19" s="240" t="n">
        <x:f>I19-'Beta HC3'!$E$9</x:f>
        <x:v>0.0020442603039092437</x:v>
      </x:c>
      <x:c r="M19" s="240" t="n">
        <x:f>1/'Beta HC3'!$E$8+L19^2/'Beta HC3'!$E$11</x:f>
        <x:v>0.0008253906121609933</x:v>
      </x:c>
      <x:c r="N19" s="240" t="n">
        <x:f>K19^2/(1-M19)^2</x:f>
        <x:v>0.00006325936354681547</x:v>
      </x:c>
      <x:c r="O19" s="240" t="n">
        <x:f>N19*L19^2/'Beta HC3'!$E$11^2</x:f>
        <x:v>1.2362660185474679e-8</x:v>
      </x:c>
      <x:c r="P19" s="240" t="n">
        <x:f>N19*(1/'Beta HC3'!$E$8-'Beta HC3'!$E$9*L19/'Beta HC3'!$E$11)^2</x:f>
        <x:v>3.9373195965037356e-11</x:v>
      </x:c>
      <x:c r="Q19" s="240" t="n">
        <x:f>N19*(1/'Beta HC3'!$E$8-'Beta HC3'!$E$9*L19/'Beta HC3'!$E$11)*L19/'Beta HC3'!$E$11</x:f>
        <x:v>6.976800428074889e-10</x:v>
      </x:c>
      <x:c r="R19" s="240" t="n">
        <x:f>K19*L19/'Beta HC3'!$E$11</x:f>
        <x:v>0.00011109572701262258</x:v>
      </x:c>
      <x:c r="S19" s="240" t="n">
        <x:f>(K19-K18)^2</x:f>
        <x:v>0.00022638968495519067</x:v>
      </x:c>
      <x:c r="T19" s="280" t="n">
        <x:f>E19/$E$9*100</x:f>
        <x:v>105.39599488554596</x:v>
      </x:c>
      <x:c r="U19" s="136"/>
      <x:c r="V19" s="136"/>
      <x:c r="W19" s="136"/>
      <x:c r="X19" s="136"/>
      <x:c r="Y19" s="136"/>
      <x:c r="Z19" s="136"/>
    </x:row>
    <x:row r="20" ht="24" customHeight="1">
      <x:c r="A20" s="136"/>
      <x:c r="B20" s="136"/>
      <x:c r="C20" s="274" t="d">
        <x:v>2021-10-22T00:00:00.000Z</x:v>
      </x:c>
      <x:c r="D20" s="191" t="n">
        <x:v>309.1600036621094</x:v>
      </x:c>
      <x:c r="E20" s="191" t="n">
        <x:v>296.7092590332031</x:v>
      </x:c>
      <x:c r="F20" s="191" t="n">
        <x:v>453.1199951171875</x:v>
      </x:c>
      <x:c r="G20" s="191" t="n">
        <x:v>423.8042297363281</x:v>
      </x:c>
      <x:c r="H20" s="208" t="n">
        <x:f>E20/E19-1</x:f>
        <x:v>-0.005149039843894698</x:v>
      </x:c>
      <x:c r="I20" s="208" t="n">
        <x:f>G20/G19-1</x:f>
        <x:v>-0.0010362818787418293</x:v>
      </x:c>
      <x:c r="J20" s="208" t="n">
        <x:f>'Beta HC3'!$E$13+'Beta HC3'!$E$12*I20</x:f>
        <x:v>-0.0011595994618492631</x:v>
      </x:c>
      <x:c r="K20" s="240" t="n">
        <x:f>H20-J20</x:f>
        <x:v>-0.0039894403820454356</x:v>
      </x:c>
      <x:c r="L20" s="240" t="n">
        <x:f>I20-'Beta HC3'!$E$9</x:f>
        <x:v>-0.0016002294964022686</x:v>
      </x:c>
      <x:c r="M20" s="240" t="n">
        <x:f>1/'Beta HC3'!$E$8+L20^2/'Beta HC3'!$E$11</x:f>
        <x:v>0.000814324190763061</x:v>
      </x:c>
      <x:c r="N20" s="240" t="n">
        <x:f>K20^2/(1-M20)^2</x:f>
        <x:v>0.000015941587230890076</x:v>
      </x:c>
      <x:c r="O20" s="240" t="n">
        <x:f>N20*L20^2/'Beta HC3'!$E$11^2</x:f>
        <x:v>1.909021525575329e-9</x:v>
      </x:c>
      <x:c r="P20" s="240" t="n">
        <x:f>N20*(1/'Beta HC3'!$E$8-'Beta HC3'!$E$9*L20/'Beta HC3'!$E$11)^2</x:f>
        <x:v>1.027887117748457e-11</x:v>
      </x:c>
      <x:c r="Q20" s="240" t="n">
        <x:f>N20*(1/'Beta HC3'!$E$8-'Beta HC3'!$E$9*L20/'Beta HC3'!$E$11)*L20/'Beta HC3'!$E$11</x:f>
        <x:v>-1.4008064226164112e-10</x:v>
      </x:c>
      <x:c r="R20" s="240" t="n">
        <x:f>K20*L20/'Beta HC3'!$E$11</x:f>
        <x:v>0.000043656771143491345</x:v>
      </x:c>
      <x:c r="S20" s="240" t="n">
        <x:f>(K20-K19)^2</x:f>
        <x:v>0.00014247886474645158</x:v>
      </x:c>
      <x:c r="T20" s="280" t="n">
        <x:f>E20/$E$9*100</x:f>
        <x:v>104.85330670849338</x:v>
      </x:c>
      <x:c r="U20" s="136"/>
      <x:c r="V20" s="136"/>
      <x:c r="W20" s="136"/>
      <x:c r="X20" s="136"/>
      <x:c r="Y20" s="136"/>
      <x:c r="Z20" s="136"/>
    </x:row>
    <x:row r="21" ht="24" customHeight="1">
      <x:c r="A21" s="136"/>
      <x:c r="B21" s="136"/>
      <x:c r="C21" s="274" t="d">
        <x:v>2021-10-25T00:00:00.000Z</x:v>
      </x:c>
      <x:c r="D21" s="191" t="n">
        <x:v>308.1300048828125</x:v>
      </x:c>
      <x:c r="E21" s="191" t="n">
        <x:v>295.72076416015625</x:v>
      </x:c>
      <x:c r="F21" s="191" t="n">
        <x:v>455.54998779296875</x:v>
      </x:c>
      <x:c r="G21" s="191" t="n">
        <x:v>426.0769958496094</x:v>
      </x:c>
      <x:c r="H21" s="208" t="n">
        <x:f>E21/E20-1</x:f>
        <x:v>-0.0033315268834811507</x:v>
      </x:c>
      <x:c r="I21" s="208" t="n">
        <x:f>G21/G20-1</x:f>
        <x:v>0.005362773549228761</x:v>
      </x:c>
      <x:c r="J21" s="208" t="n">
        <x:f>'Beta HC3'!$E$13+'Beta HC3'!$E$12*I21</x:f>
        <x:v>0.006057330337039373</x:v>
      </x:c>
      <x:c r="K21" s="240" t="n">
        <x:f>H21-J21</x:f>
        <x:v>-0.009388857220520522</x:v>
      </x:c>
      <x:c r="L21" s="240" t="n">
        <x:f>I21-'Beta HC3'!$E$9</x:f>
        <x:v>0.004798825931568321</x:v>
      </x:c>
      <x:c r="M21" s="240" t="n">
        <x:f>1/'Beta HC3'!$E$8+L21^2/'Beta HC3'!$E$11</x:f>
        <x:v>0.0009542934558391218</x:v>
      </x:c>
      <x:c r="N21" s="240" t="n">
        <x:f>K21^2/(1-M21)^2</x:f>
        <x:v>0.00008831912420171588</x:v>
      </x:c>
      <x:c r="O21" s="240" t="n">
        <x:f>N21*L21^2/'Beta HC3'!$E$11^2</x:f>
        <x:v>9.511291031103073e-8</x:v>
      </x:c>
      <x:c r="P21" s="240" t="n">
        <x:f>N21*(1/'Beta HC3'!$E$8-'Beta HC3'!$E$9*L21/'Beta HC3'!$E$11)^2</x:f>
        <x:v>5.350020715873873e-11</x:v>
      </x:c>
      <x:c r="Q21" s="240" t="n">
        <x:f>N21*(1/'Beta HC3'!$E$8-'Beta HC3'!$E$9*L21/'Beta HC3'!$E$11)*L21/'Beta HC3'!$E$11</x:f>
        <x:v>2.25578376736572e-9</x:v>
      </x:c>
      <x:c r="R21" s="240" t="n">
        <x:f>K21*L21/'Beta HC3'!$E$11</x:f>
        <x:v>-0.00030810950272966946</x:v>
      </x:c>
      <x:c r="S21" s="240" t="n">
        <x:f>(K21-K20)^2</x:f>
        <x:v>0.000029153702195608304</x:v>
      </x:c>
      <x:c r="T21" s="280" t="n">
        <x:f>E21/$E$9*100</x:f>
        <x:v>104.50398509837213</x:v>
      </x:c>
      <x:c r="U21" s="136"/>
      <x:c r="V21" s="136"/>
      <x:c r="W21" s="136"/>
      <x:c r="X21" s="136"/>
      <x:c r="Y21" s="136"/>
      <x:c r="Z21" s="136"/>
    </x:row>
    <x:row r="22" ht="24" customHeight="1">
      <x:c r="A22" s="136"/>
      <x:c r="B22" s="136"/>
      <x:c r="C22" s="274" t="d">
        <x:v>2021-10-26T00:00:00.000Z</x:v>
      </x:c>
      <x:c r="D22" s="191" t="n">
        <x:v>310.1099853515625</x:v>
      </x:c>
      <x:c r="E22" s="191" t="n">
        <x:v>297.6210021972656</x:v>
      </x:c>
      <x:c r="F22" s="191" t="n">
        <x:v>455.9599914550781</x:v>
      </x:c>
      <x:c r="G22" s="191" t="n">
        <x:v>426.4604187011719</x:v>
      </x:c>
      <x:c r="H22" s="208" t="n">
        <x:f>E22/E21-1</x:f>
        <x:v>0.006425784954620983</x:v>
      </x:c>
      <x:c r="I22" s="208" t="n">
        <x:f>G22/G21-1</x:f>
        <x:v>0.0008998909945794331</x:v>
      </x:c>
      <x:c r="J22" s="208" t="n">
        <x:f>'Beta HC3'!$E$13+'Beta HC3'!$E$12*I22</x:f>
        <x:v>0.0010240390239488742</x:v>
      </x:c>
      <x:c r="K22" s="240" t="n">
        <x:f>H22-J22</x:f>
        <x:v>0.005401745930672109</x:v>
      </x:c>
      <x:c r="L22" s="240" t="n">
        <x:f>I22-'Beta HC3'!$E$9</x:f>
        <x:v>0.00033594337691899374</x:v>
      </x:c>
      <x:c r="M22" s="240" t="n">
        <x:f>1/'Beta HC3'!$E$8+L22^2/'Beta HC3'!$E$11</x:f>
        <x:v>0.0007975845219103874</x:v>
      </x:c>
      <x:c r="N22" s="240" t="n">
        <x:f>K22^2/(1-M22)^2</x:f>
        <x:v>0.000029225460057191923</x:v>
      </x:c>
      <x:c r="O22" s="240" t="n">
        <x:f>N22*L22^2/'Beta HC3'!$E$11^2</x:f>
        <x:v>1.5424398823883913e-10</x:v>
      </x:c>
      <x:c r="P22" s="240" t="n">
        <x:f>N22*(1/'Beta HC3'!$E$8-'Beta HC3'!$E$9*L22/'Beta HC3'!$E$11)^2</x:f>
        <x:v>1.8495261548433624e-11</x:v>
      </x:c>
      <x:c r="Q22" s="240" t="n">
        <x:f>N22*(1/'Beta HC3'!$E$8-'Beta HC3'!$E$9*L22/'Beta HC3'!$E$11)*L22/'Beta HC3'!$E$11</x:f>
        <x:v>5.341144919163727e-11</x:v>
      </x:c>
      <x:c r="R22" s="240" t="n">
        <x:f>K22*L22/'Beta HC3'!$E$11</x:f>
        <x:v>0.000012409594720398438</x:v>
      </x:c>
      <x:c r="S22" s="240" t="n">
        <x:f>(K22-K21)^2</x:f>
        <x:v>0.00021876194157606938</x:v>
      </x:c>
      <x:c r="T22" s="280" t="n">
        <x:f>E22/$E$9*100</x:f>
        <x:v>105.1755052335152</x:v>
      </x:c>
      <x:c r="U22" s="136"/>
      <x:c r="V22" s="136"/>
      <x:c r="W22" s="136"/>
      <x:c r="X22" s="136"/>
      <x:c r="Y22" s="136"/>
      <x:c r="Z22" s="136"/>
    </x:row>
    <x:row r="23" ht="24" customHeight="1">
      <x:c r="A23" s="136"/>
      <x:c r="B23" s="136"/>
      <x:c r="C23" s="274" t="d">
        <x:v>2021-10-27T00:00:00.000Z</x:v>
      </x:c>
      <x:c r="D23" s="191" t="n">
        <x:v>323.1700134277344</x:v>
      </x:c>
      <x:c r="E23" s="191" t="n">
        <x:v>310.1550598144531</x:v>
      </x:c>
      <x:c r="F23" s="191" t="n">
        <x:v>453.94000244140625</x:v>
      </x:c>
      <x:c r="G23" s="191" t="n">
        <x:v>424.5712585449219</x:v>
      </x:c>
      <x:c r="H23" s="208" t="n">
        <x:f>E23/E22-1</x:f>
        <x:v>0.04211415701395915</x:v>
      </x:c>
      <x:c r="I23" s="208" t="n">
        <x:f>G23/G22-1</x:f>
        <x:v>-0.0044298604827234245</x:v>
      </x:c>
      <x:c r="J23" s="208" t="n">
        <x:f>'Beta HC3'!$E$13+'Beta HC3'!$E$12*I23</x:f>
        <x:v>-0.004986917232045991</x:v>
      </x:c>
      <x:c r="K23" s="240" t="n">
        <x:f>H23-J23</x:f>
        <x:v>0.047101074246005147</x:v>
      </x:c>
      <x:c r="L23" s="240" t="n">
        <x:f>I23-'Beta HC3'!$E$9</x:f>
        <x:v>-0.004993808100383864</x:v>
      </x:c>
      <x:c r="M23" s="240" t="n">
        <x:f>1/'Beta HC3'!$E$8+L23^2/'Beta HC3'!$E$11</x:f>
        <x:v>0.0009673507077416277</x:v>
      </x:c>
      <x:c r="N23" s="240" t="n">
        <x:f>K23^2/(1-M23)^2</x:f>
        <x:v>0.002222809587951118</x:v>
      </x:c>
      <x:c r="O23" s="240" t="n">
        <x:f>N23*L23^2/'Beta HC3'!$E$11^2</x:f>
        <x:v>0.0000025922726821234986</x:v>
      </x:c>
      <x:c r="P23" s="240" t="n">
        <x:f>N23*(1/'Beta HC3'!$E$8-'Beta HC3'!$E$9*L23/'Beta HC3'!$E$11)^2</x:f>
        <x:v>1.480330464914239e-9</x:v>
      </x:c>
      <x:c r="Q23" s="240" t="n">
        <x:f>N23*(1/'Beta HC3'!$E$8-'Beta HC3'!$E$9*L23/'Beta HC3'!$E$11)*L23/'Beta HC3'!$E$11</x:f>
        <x:v>-6.194691456975369e-8</x:v>
      </x:c>
      <x:c r="R23" s="240" t="n">
        <x:f>K23*L23/'Beta HC3'!$E$11</x:f>
        <x:v>-0.0016084961405798653</x:v>
      </x:c>
      <x:c r="S23" s="240" t="n">
        <x:f>(K23-K22)^2</x:f>
        <x:v>0.0017388339819499356</x:v>
      </x:c>
      <x:c r="T23" s="280" t="n">
        <x:f>E23/$E$9*100</x:f>
        <x:v>109.60488297494193</x:v>
      </x:c>
      <x:c r="U23" s="136"/>
      <x:c r="V23" s="136"/>
      <x:c r="W23" s="136"/>
      <x:c r="X23" s="136"/>
      <x:c r="Y23" s="136"/>
      <x:c r="Z23" s="136"/>
    </x:row>
    <x:row r="24" ht="24" customHeight="1">
      <x:c r="A24" s="136"/>
      <x:c r="B24" s="136"/>
      <x:c r="C24" s="274" t="d">
        <x:v>2021-10-28T00:00:00.000Z</x:v>
      </x:c>
      <x:c r="D24" s="191" t="n">
        <x:v>324.3500061035156</x:v>
      </x:c>
      <x:c r="E24" s="191" t="n">
        <x:v>311.28753662109375</x:v>
      </x:c>
      <x:c r="F24" s="191" t="n">
        <x:v>458.32000732421875</x:v>
      </x:c>
      <x:c r="G24" s="191" t="n">
        <x:v>428.66778564453125</x:v>
      </x:c>
      <x:c r="H24" s="208" t="n">
        <x:f>E24/E23-1</x:f>
        <x:v>0.0036513246223295326</x:v>
      </x:c>
      <x:c r="I24" s="208" t="n">
        <x:f>G24/G23-1</x:f>
        <x:v>0.009648620854951107</x:v>
      </x:c>
      <x:c r="J24" s="208" t="n">
        <x:f>'Beta HC3'!$E$13+'Beta HC3'!$E$12*I24</x:f>
        <x:v>0.01089095921903885</x:v>
      </x:c>
      <x:c r="K24" s="240" t="n">
        <x:f>H24-J24</x:f>
        <x:v>-0.007239634596709317</x:v>
      </x:c>
      <x:c r="L24" s="240" t="n">
        <x:f>I24-'Beta HC3'!$E$9</x:f>
        <x:v>0.009084673237290668</x:v>
      </x:c>
      <x:c r="M24" s="240" t="n">
        <x:f>1/'Beta HC3'!$E$8+L24^2/'Beta HC3'!$E$11</x:f>
        <x:v>0.0013611984255817292</x:v>
      </x:c>
      <x:c r="N24" s="240" t="n">
        <x:f>K24^2/(1-M24)^2</x:f>
        <x:v>0.00005255528806696428</x:v>
      </x:c>
      <x:c r="O24" s="240" t="n">
        <x:f>N24*L24^2/'Beta HC3'!$E$11^2</x:f>
        <x:v>2.0283820827815997e-7</x:v>
      </x:c>
      <x:c r="P24" s="240" t="n">
        <x:f>N24*(1/'Beta HC3'!$E$8-'Beta HC3'!$E$9*L24/'Beta HC3'!$E$11)^2</x:f>
        <x:v>3.049809282612051e-11</x:v>
      </x:c>
      <x:c r="Q24" s="240" t="n">
        <x:f>N24*(1/'Beta HC3'!$E$8-'Beta HC3'!$E$9*L24/'Beta HC3'!$E$11)*L24/'Beta HC3'!$E$11</x:f>
        <x:v>2.4872029480424973e-9</x:v>
      </x:c>
      <x:c r="R24" s="240" t="n">
        <x:f>K24*L24/'Beta HC3'!$E$11</x:f>
        <x:v>-0.0004497625796013765</x:v>
      </x:c>
      <x:c r="S24" s="240" t="n">
        <x:f>(K24-K23)^2</x:f>
        <x:v>0.002952912637528666</x:v>
      </x:c>
      <x:c r="T24" s="280" t="n">
        <x:f>E24/$E$9*100</x:f>
        <x:v>110.00508598287591</x:v>
      </x:c>
      <x:c r="U24" s="136"/>
      <x:c r="V24" s="136"/>
      <x:c r="W24" s="136"/>
      <x:c r="X24" s="136"/>
      <x:c r="Y24" s="136"/>
      <x:c r="Z24" s="136"/>
    </x:row>
    <x:row r="25" ht="24" customHeight="1">
      <x:c r="A25" s="136"/>
      <x:c r="B25" s="136"/>
      <x:c r="C25" s="274" t="d">
        <x:v>2021-10-29T00:00:00.000Z</x:v>
      </x:c>
      <x:c r="D25" s="191" t="n">
        <x:v>331.6199951171875</x:v>
      </x:c>
      <x:c r="E25" s="191" t="n">
        <x:v>318.2648010253906</x:v>
      </x:c>
      <x:c r="F25" s="191" t="n">
        <x:v>459.25</x:v>
      </x:c>
      <x:c r="G25" s="191" t="n">
        <x:v>429.53765869140625</x:v>
      </x:c>
      <x:c r="H25" s="208" t="n">
        <x:f>E25/E24-1</x:f>
        <x:v>0.0224142106042291</x:v>
      </x:c>
      <x:c r="I25" s="208" t="n">
        <x:f>G25/G24-1</x:f>
        <x:v>0.0020292475338847815</x:v>
      </x:c>
      <x:c r="J25" s="208" t="n">
        <x:f>'Beta HC3'!$E$13+'Beta HC3'!$E$12*I25</x:f>
        <x:v>0.0022977405809718574</x:v>
      </x:c>
      <x:c r="K25" s="240" t="n">
        <x:f>H25-J25</x:f>
        <x:v>0.020116470023257244</x:v>
      </x:c>
      <x:c r="L25" s="240" t="n">
        <x:f>I25-'Beta HC3'!$E$9</x:f>
        <x:v>0.0014652999162243423</x:v>
      </x:c>
      <x:c r="M25" s="240" t="n">
        <x:f>1/'Beta HC3'!$E$8+L25^2/'Beta HC3'!$E$11</x:f>
        <x:v>0.0008114956006574551</x:v>
      </x:c>
      <x:c r="N25" s="240" t="n">
        <x:f>K25^2/(1-M25)^2</x:f>
        <x:v>0.000405329946212993</x:v>
      </x:c>
      <x:c r="O25" s="240" t="n">
        <x:f>N25*L25^2/'Beta HC3'!$E$11^2</x:f>
        <x:v>4.0698318242474147e-8</x:v>
      </x:c>
      <x:c r="P25" s="240" t="n">
        <x:f>N25*(1/'Beta HC3'!$E$8-'Beta HC3'!$E$9*L25/'Beta HC3'!$E$11)^2</x:f>
        <x:v>2.537109974690319e-10</x:v>
      </x:c>
      <x:c r="Q25" s="240" t="n">
        <x:f>N25*(1/'Beta HC3'!$E$8-'Beta HC3'!$E$9*L25/'Beta HC3'!$E$11)*L25/'Beta HC3'!$E$11</x:f>
        <x:v>3.213348863197118e-9</x:v>
      </x:c>
      <x:c r="R25" s="240" t="n">
        <x:f>K25*L25/'Beta HC3'!$E$11</x:f>
        <x:v>0.00020157453219819908</x:v>
      </x:c>
      <x:c r="S25" s="240" t="n">
        <x:f>(K25-K24)^2</x:f>
        <x:v>0.0007483564599785559</x:v>
      </x:c>
      <x:c r="T25" s="280" t="n">
        <x:f>E25/$E$9*100</x:f>
        <x:v>112.4707631476324</x:v>
      </x:c>
      <x:c r="U25" s="136"/>
      <x:c r="V25" s="136"/>
      <x:c r="W25" s="136"/>
      <x:c r="X25" s="136"/>
      <x:c r="Y25" s="136"/>
      <x:c r="Z25" s="136"/>
    </x:row>
    <x:row r="26" ht="24" customHeight="1">
      <x:c r="A26" s="136"/>
      <x:c r="B26" s="136"/>
      <x:c r="C26" s="274" t="d">
        <x:v>2021-11-01T00:00:00.000Z</x:v>
      </x:c>
      <x:c r="D26" s="191" t="n">
        <x:v>329.3699951171875</x:v>
      </x:c>
      <x:c r="E26" s="191" t="n">
        <x:v>316.1053161621094</x:v>
      </x:c>
      <x:c r="F26" s="191" t="n">
        <x:v>460.0400085449219</x:v>
      </x:c>
      <x:c r="G26" s="191" t="n">
        <x:v>430.27655029296875</x:v>
      </x:c>
      <x:c r="H26" s="208" t="n">
        <x:f>E26/E25-1</x:f>
        <x:v>-0.006785182829907033</x:v>
      </x:c>
      <x:c r="I26" s="208" t="n">
        <x:f>G26/G25-1</x:f>
        <x:v>0.0017202021443556426</x:v>
      </x:c>
      <x:c r="J26" s="208" t="n">
        <x:f>'Beta HC3'!$E$13+'Beta HC3'!$E$12*I26</x:f>
        <x:v>0.0019491955642881482</x:v>
      </x:c>
      <x:c r="K26" s="240" t="n">
        <x:f>H26-J26</x:f>
        <x:v>-0.008734378394195181</x:v>
      </x:c>
      <x:c r="L26" s="240" t="n">
        <x:f>I26-'Beta HC3'!$E$9</x:f>
        <x:v>0.0011562545266952033</x:v>
      </x:c>
      <x:c r="M26" s="240" t="n">
        <x:f>1/'Beta HC3'!$E$8+L26^2/'Beta HC3'!$E$11</x:f>
        <x:v>0.0008059552339395246</x:v>
      </x:c>
      <x:c r="N26" s="240" t="n">
        <x:f>K26^2/(1-M26)^2</x:f>
        <x:v>0.00007641248638487602</x:v>
      </x:c>
      <x:c r="O26" s="240" t="n">
        <x:f>N26*L26^2/'Beta HC3'!$E$11^2</x:f>
        <x:v>4.7773377494388395e-9</x:v>
      </x:c>
      <x:c r="P26" s="240" t="n">
        <x:f>N26*(1/'Beta HC3'!$E$8-'Beta HC3'!$E$9*L26/'Beta HC3'!$E$11)^2</x:f>
        <x:v>4.797361322833911e-11</x:v>
      </x:c>
      <x:c r="Q26" s="240" t="n">
        <x:f>N26*(1/'Beta HC3'!$E$8-'Beta HC3'!$E$9*L26/'Beta HC3'!$E$11)*L26/'Beta HC3'!$E$11</x:f>
        <x:v>4.787339067297437e-10</x:v>
      </x:c>
      <x:c r="R26" s="240" t="n">
        <x:f>K26*L26/'Beta HC3'!$E$11</x:f>
        <x:v>-0.00006906258185079512</x:v>
      </x:c>
      <x:c r="S26" s="240" t="n">
        <x:f>(K26-K25)^2</x:f>
        <x:v>0.0008323714544068171</x:v>
      </x:c>
      <x:c r="T26" s="280" t="n">
        <x:f>E26/$E$9*100</x:f>
        <x:v>111.70762845665656</x:v>
      </x:c>
      <x:c r="U26" s="136"/>
      <x:c r="V26" s="136"/>
      <x:c r="W26" s="136"/>
      <x:c r="X26" s="136"/>
      <x:c r="Y26" s="136"/>
      <x:c r="Z26" s="136"/>
    </x:row>
    <x:row r="27" ht="24" customHeight="1">
      <x:c r="A27" s="136"/>
      <x:c r="B27" s="136"/>
      <x:c r="C27" s="274" t="d">
        <x:v>2021-11-02T00:00:00.000Z</x:v>
      </x:c>
      <x:c r="D27" s="191" t="n">
        <x:v>333.1300048828125</x:v>
      </x:c>
      <x:c r="E27" s="191" t="n">
        <x:v>319.7140197753906</x:v>
      </x:c>
      <x:c r="F27" s="191" t="n">
        <x:v>461.8999938964844</x:v>
      </x:c>
      <x:c r="G27" s="191" t="n">
        <x:v>432.01617431640625</x:v>
      </x:c>
      <x:c r="H27" s="208" t="n">
        <x:f>E27/E26-1</x:f>
        <x:v>0.011416143382513066</x:v>
      </x:c>
      <x:c r="I27" s="208" t="n">
        <x:f>G27/G26-1</x:f>
        <x:v>0.004043037024102247</x:v>
      </x:c>
      <x:c r="J27" s="208" t="n">
        <x:f>'Beta HC3'!$E$13+'Beta HC3'!$E$12*I27</x:f>
        <x:v>0.004568915998067491</x:v>
      </x:c>
      <x:c r="K27" s="240" t="n">
        <x:f>H27-J27</x:f>
        <x:v>0.006847227384445575</x:v>
      </x:c>
      <x:c r="L27" s="240" t="n">
        <x:f>I27-'Beta HC3'!$E$9</x:f>
        <x:v>0.003479089406441808</x:v>
      </x:c>
      <x:c r="M27" s="240" t="n">
        <x:f>1/'Beta HC3'!$E$8+L27^2/'Beta HC3'!$E$11</x:f>
        <x:v>0.0008795857193606521</x:v>
      </x:c>
      <x:c r="N27" s="240" t="n">
        <x:f>K27^2/(1-M27)^2</x:f>
        <x:v>0.000046967109715179114</x:v>
      </x:c>
      <x:c r="O27" s="240" t="n">
        <x:f>N27*L27^2/'Beta HC3'!$E$11^2</x:f>
        <x:v>2.6585188071039657e-8</x:v>
      </x:c>
      <x:c r="P27" s="240" t="n">
        <x:f>N27*(1/'Beta HC3'!$E$8-'Beta HC3'!$E$9*L27/'Beta HC3'!$E$11)^2</x:f>
        <x:v>2.8824118901876847e-11</x:v>
      </x:c>
      <x:c r="Q27" s="240" t="n">
        <x:f>N27*(1/'Beta HC3'!$E$8-'Beta HC3'!$E$9*L27/'Beta HC3'!$E$11)*L27/'Beta HC3'!$E$11</x:f>
        <x:v>8.753825575075192e-10</x:v>
      </x:c>
      <x:c r="R27" s="240" t="n">
        <x:f>K27*L27/'Beta HC3'!$E$11</x:f>
        <x:v>0.00016290623295528656</x:v>
      </x:c>
      <x:c r="S27" s="240" t="n">
        <x:f>(K27-K26)^2</x:f>
        <x:v>0.000242786438640971</x:v>
      </x:c>
      <x:c r="T27" s="280" t="n">
        <x:f>E27/$E$9*100</x:f>
        <x:v>112.98289876003824</x:v>
      </x:c>
      <x:c r="U27" s="136"/>
      <x:c r="V27" s="136"/>
      <x:c r="W27" s="136"/>
      <x:c r="X27" s="136"/>
      <x:c r="Y27" s="136"/>
      <x:c r="Z27" s="136"/>
    </x:row>
    <x:row r="28" ht="24" customHeight="1">
      <x:c r="A28" s="136"/>
      <x:c r="B28" s="136"/>
      <x:c r="C28" s="274" t="d">
        <x:v>2021-11-03T00:00:00.000Z</x:v>
      </x:c>
      <x:c r="D28" s="191" t="n">
        <x:v>334</x:v>
      </x:c>
      <x:c r="E28" s="191" t="n">
        <x:v>320.54888916015625</x:v>
      </x:c>
      <x:c r="F28" s="191" t="n">
        <x:v>464.7200012207031</x:v>
      </x:c>
      <x:c r="G28" s="191" t="n">
        <x:v>434.6537780761719</x:v>
      </x:c>
      <x:c r="H28" s="208" t="n">
        <x:f>E28/E27-1</x:f>
        <x:v>0.0026113005158552305</x:v>
      </x:c>
      <x:c r="I28" s="208" t="n">
        <x:f>G28/G27-1</x:f>
        <x:v>0.006105335671608092</x:v>
      </x:c>
      <x:c r="J28" s="208" t="n">
        <x:f>'Beta HC3'!$E$13+'Beta HC3'!$E$12*I28</x:f>
        <x:v>0.006894800611964769</x:v>
      </x:c>
      <x:c r="K28" s="240" t="n">
        <x:f>H28-J28</x:f>
        <x:v>-0.004283500096109539</x:v>
      </x:c>
      <x:c r="L28" s="240" t="n">
        <x:f>I28-'Beta HC3'!$E$9</x:f>
        <x:v>0.005541388053947652</x:v>
      </x:c>
      <x:c r="M28" s="240" t="n">
        <x:f>1/'Beta HC3'!$E$8+L28^2/'Beta HC3'!$E$11</x:f>
        <x:v>0.0010068007550308464</x:v>
      </x:c>
      <x:c r="N28" s="240" t="n">
        <x:f>K28^2/(1-M28)^2</x:f>
        <x:v>0.000018385375256455427</x:v>
      </x:c>
      <x:c r="O28" s="240" t="n">
        <x:f>N28*L28^2/'Beta HC3'!$E$11^2</x:f>
        <x:v>2.6401241489681076e-8</x:v>
      </x:c>
      <x:c r="P28" s="240" t="n">
        <x:f>N28*(1/'Beta HC3'!$E$8-'Beta HC3'!$E$9*L28/'Beta HC3'!$E$11)^2</x:f>
        <x:v>1.105532251384923e-11</x:v>
      </x:c>
      <x:c r="Q28" s="240" t="n">
        <x:f>N28*(1/'Beta HC3'!$E$8-'Beta HC3'!$E$9*L28/'Beta HC3'!$E$11)*L28/'Beta HC3'!$E$11</x:f>
        <x:v>5.402538657283644e-10</x:v>
      </x:c>
      <x:c r="R28" s="240" t="n">
        <x:f>K28*L28/'Beta HC3'!$E$11</x:f>
        <x:v>-0.0001623209988618517</x:v>
      </x:c>
      <x:c r="S28" s="240" t="n">
        <x:f>(K28-K27)^2</x:f>
        <x:v>0.00012389309424638479</x:v>
      </x:c>
      <x:c r="T28" s="280" t="n">
        <x:f>E28/$E$9*100</x:f>
        <x:v>113.27793106185315</x:v>
      </x:c>
      <x:c r="U28" s="136"/>
      <x:c r="V28" s="136"/>
      <x:c r="W28" s="136"/>
      <x:c r="X28" s="136"/>
      <x:c r="Y28" s="136"/>
      <x:c r="Z28" s="136"/>
    </x:row>
    <x:row r="29" ht="24" customHeight="1">
      <x:c r="A29" s="136"/>
      <x:c r="B29" s="136"/>
      <x:c r="C29" s="274" t="d">
        <x:v>2021-11-04T00:00:00.000Z</x:v>
      </x:c>
      <x:c r="D29" s="191" t="n">
        <x:v>336.44000244140625</x:v>
      </x:c>
      <x:c r="E29" s="191" t="n">
        <x:v>322.8906555175781</x:v>
      </x:c>
      <x:c r="F29" s="191" t="n">
        <x:v>466.9100036621094</x:v>
      </x:c>
      <x:c r="G29" s="191" t="n">
        <x:v>436.7020568847656</x:v>
      </x:c>
      <x:c r="H29" s="208" t="n">
        <x:f>E29/E28-1</x:f>
        <x:v>0.007305488917953573</x:v>
      </x:c>
      <x:c r="I29" s="208" t="n">
        <x:f>G29/G28-1</x:f>
        <x:v>0.004712437604154074</x:v>
      </x:c>
      <x:c r="J29" s="208" t="n">
        <x:f>'Beta HC3'!$E$13+'Beta HC3'!$E$12*I29</x:f>
        <x:v>0.005323873827070307</x:v>
      </x:c>
      <x:c r="K29" s="240" t="n">
        <x:f>H29-J29</x:f>
        <x:v>0.001981615090883266</x:v>
      </x:c>
      <x:c r="L29" s="240" t="n">
        <x:f>I29-'Beta HC3'!$E$9</x:f>
        <x:v>0.004148489986493634</x:v>
      </x:c>
      <x:c r="M29" s="240" t="n">
        <x:f>1/'Beta HC3'!$E$8+L29^2/'Beta HC3'!$E$11</x:f>
        <x:v>0.0009145021774421684</x:v>
      </x:c>
      <x:c r="N29" s="240" t="n">
        <x:f>K29^2/(1-M29)^2</x:f>
        <x:v>0.000003933990363871758</x:v>
      </x:c>
      <x:c r="O29" s="240" t="n">
        <x:f>N29*L29^2/'Beta HC3'!$E$11^2</x:f>
        <x:v>3.1661253637896483e-9</x:v>
      </x:c>
      <x:c r="P29" s="240" t="n">
        <x:f>N29*(1/'Beta HC3'!$E$8-'Beta HC3'!$E$9*L29/'Beta HC3'!$E$11)^2</x:f>
        <x:v>2.398437848656341e-12</x:v>
      </x:c>
      <x:c r="Q29" s="240" t="n">
        <x:f>N29*(1/'Beta HC3'!$E$8-'Beta HC3'!$E$9*L29/'Beta HC3'!$E$11)*L29/'Beta HC3'!$E$11</x:f>
        <x:v>8.714215343967533e-11</x:v>
      </x:c>
      <x:c r="R29" s="240" t="n">
        <x:f>K29*L29/'Beta HC3'!$E$11</x:f>
        <x:v>0.00005621687606570532</x:v>
      </x:c>
      <x:c r="S29" s="240" t="n">
        <x:f>(K29-K28)^2</x:f>
        <x:v>0.00003925166830628789</x:v>
      </x:c>
      <x:c r="T29" s="280" t="n">
        <x:f>E29/$E$9*100</x:f>
        <x:v>114.10548173187422</x:v>
      </x:c>
      <x:c r="U29" s="136"/>
      <x:c r="V29" s="136"/>
      <x:c r="W29" s="136"/>
      <x:c r="X29" s="136"/>
      <x:c r="Y29" s="136"/>
      <x:c r="Z29" s="136"/>
    </x:row>
    <x:row r="30" ht="24" customHeight="1">
      <x:c r="A30" s="136"/>
      <x:c r="B30" s="136"/>
      <x:c r="C30" s="274" t="d">
        <x:v>2021-11-05T00:00:00.000Z</x:v>
      </x:c>
      <x:c r="D30" s="191" t="n">
        <x:v>336.05999755859375</x:v>
      </x:c>
      <x:c r="E30" s="191" t="n">
        <x:v>322.52593994140625</x:v>
      </x:c>
      <x:c r="F30" s="191" t="n">
        <x:v>468.5299987792969</x:v>
      </x:c>
      <x:c r="G30" s="191" t="n">
        <x:v>438.2171936035156</x:v>
      </x:c>
      <x:c r="H30" s="208" t="n">
        <x:f>E30/E29-1</x:f>
        <x:v>-0.0011295327688788381</x:v>
      </x:c>
      <x:c r="I30" s="208" t="n">
        <x:f>G30/G29-1</x:f>
        <x:v>0.0034694975552858054</x:v>
      </x:c>
      <x:c r="J30" s="208" t="n">
        <x:f>'Beta HC3'!$E$13+'Beta HC3'!$E$12*I30</x:f>
        <x:v>0.003922071455160812</x:v>
      </x:c>
      <x:c r="K30" s="240" t="n">
        <x:f>H30-J30</x:f>
        <x:v>-0.00505160422403965</x:v>
      </x:c>
      <x:c r="L30" s="240" t="n">
        <x:f>I30-'Beta HC3'!$E$9</x:f>
        <x:v>0.002905549937625366</x:v>
      </x:c>
      <x:c r="M30" s="240" t="n">
        <x:f>1/'Beta HC3'!$E$8+L30^2/'Beta HC3'!$E$11</x:f>
        <x:v>0.0008545444095686102</x:v>
      </x:c>
      <x:c r="N30" s="240" t="n">
        <x:f>K30^2/(1-M30)^2</x:f>
        <x:v>0.00002556237493870774</x:v>
      </x:c>
      <x:c r="O30" s="240" t="n">
        <x:f>N30*L30^2/'Beta HC3'!$E$11^2</x:f>
        <x:v>1.009189240280761e-8</x:v>
      </x:c>
      <x:c r="P30" s="240" t="n">
        <x:f>N30*(1/'Beta HC3'!$E$8-'Beta HC3'!$E$9*L30/'Beta HC3'!$E$11)^2</x:f>
        <x:v>1.5776561617426904e-11</x:v>
      </x:c>
      <x:c r="Q30" s="240" t="n">
        <x:f>N30*(1/'Beta HC3'!$E$8-'Beta HC3'!$E$9*L30/'Beta HC3'!$E$11)*L30/'Beta HC3'!$E$11</x:f>
        <x:v>3.990179975005347e-10</x:v>
      </x:c>
      <x:c r="R30" s="240" t="n">
        <x:f>K30*L30/'Beta HC3'!$E$11</x:f>
        <x:v>-0.00010037256513561656</x:v>
      </x:c>
      <x:c r="S30" s="240" t="n">
        <x:f>(K30-K29)^2</x:f>
        <x:v>0.000049466173931804774</x:v>
      </x:c>
      <x:c r="T30" s="280" t="n">
        <x:f>E30/$E$9*100</x:f>
        <x:v>113.97659585114937</x:v>
      </x:c>
      <x:c r="U30" s="136"/>
      <x:c r="V30" s="136"/>
      <x:c r="W30" s="136"/>
      <x:c r="X30" s="136"/>
      <x:c r="Y30" s="136"/>
      <x:c r="Z30" s="136"/>
    </x:row>
    <x:row r="31" ht="24" customHeight="1">
      <x:c r="A31" s="136"/>
      <x:c r="B31" s="136"/>
      <x:c r="C31" s="274" t="d">
        <x:v>2021-11-08T00:00:00.000Z</x:v>
      </x:c>
      <x:c r="D31" s="191" t="n">
        <x:v>336.989990234375</x:v>
      </x:c>
      <x:c r="E31" s="191" t="n">
        <x:v>323.4184875488281</x:v>
      </x:c>
      <x:c r="F31" s="191" t="n">
        <x:v>468.92999267578125</x:v>
      </x:c>
      <x:c r="G31" s="191" t="n">
        <x:v>438.5914001464844</x:v>
      </x:c>
      <x:c r="H31" s="208" t="n">
        <x:f>E31/E30-1</x:f>
        <x:v>0.002767366890191969</x:v>
      </x:c>
      <x:c r="I31" s="208" t="n">
        <x:f>G31/G30-1</x:f>
        <x:v>0.0008539293949003657</x:v>
      </x:c>
      <x:c r="J31" s="208" t="n">
        <x:f>'Beta HC3'!$E$13+'Beta HC3'!$E$12*I31</x:f>
        <x:v>0.0009722029925123331</x:v>
      </x:c>
      <x:c r="K31" s="240" t="n">
        <x:f>H31-J31</x:f>
        <x:v>0.001795163897679636</x:v>
      </x:c>
      <x:c r="L31" s="240" t="n">
        <x:f>I31-'Beta HC3'!$E$9</x:f>
        <x:v>0.0002899817772399263</x:v>
      </x:c>
      <x:c r="M31" s="240" t="n">
        <x:f>1/'Beta HC3'!$E$8+L31^2/'Beta HC3'!$E$11</x:f>
        <x:v>0.0007973877899579159</x:v>
      </x:c>
      <x:c r="N31" s="240" t="n">
        <x:f>K31^2/(1-M31)^2</x:f>
        <x:v>0.0000032277589183359626</x:v>
      </x:c>
      <x:c r="O31" s="240" t="n">
        <x:f>N31*L31^2/'Beta HC3'!$E$11^2</x:f>
        <x:v>1.2692793865550348e-11</x:v>
      </x:c>
      <x:c r="P31" s="240" t="n">
        <x:f>N31*(1/'Beta HC3'!$E$8-'Beta HC3'!$E$9*L31/'Beta HC3'!$E$11)^2</x:f>
        <x:v>2.043589781622532e-12</x:v>
      </x:c>
      <x:c r="Q31" s="240" t="n">
        <x:f>N31*(1/'Beta HC3'!$E$8-'Beta HC3'!$E$9*L31/'Beta HC3'!$E$11)*L31/'Beta HC3'!$E$11</x:f>
        <x:v>5.093021092031709e-12</x:v>
      </x:c>
      <x:c r="R31" s="240" t="n">
        <x:f>K31*L31/'Beta HC3'!$E$11</x:f>
        <x:v>0.000003559853898445463</x:v>
      </x:c>
      <x:c r="S31" s="240" t="n">
        <x:f>(K31-K30)^2</x:f>
        <x:v>0.00004687823371259144</x:v>
      </x:c>
      <x:c r="T31" s="280" t="n">
        <x:f>E31/$E$9*100</x:f>
        <x:v>114.29201090876462</x:v>
      </x:c>
      <x:c r="U31" s="136"/>
      <x:c r="V31" s="136"/>
      <x:c r="W31" s="136"/>
      <x:c r="X31" s="136"/>
      <x:c r="Y31" s="136"/>
      <x:c r="Z31" s="136"/>
    </x:row>
    <x:row r="32" ht="24" customHeight="1">
      <x:c r="A32" s="136"/>
      <x:c r="B32" s="136"/>
      <x:c r="C32" s="274" t="d">
        <x:v>2021-11-09T00:00:00.000Z</x:v>
      </x:c>
      <x:c r="D32" s="191" t="n">
        <x:v>335.95001220703125</x:v>
      </x:c>
      <x:c r="E32" s="191" t="n">
        <x:v>322.42034912109375</x:v>
      </x:c>
      <x:c r="F32" s="191" t="n">
        <x:v>467.3800048828125</x:v>
      </x:c>
      <x:c r="G32" s="191" t="n">
        <x:v>437.1416931152344</x:v>
      </x:c>
      <x:c r="H32" s="208" t="n">
        <x:f>E32/E31-1</x:f>
        <x:v>-0.003086213269065774</x:v>
      </x:c>
      <x:c r="I32" s="208" t="n">
        <x:f>G32/G31-1</x:f>
        <x:v>-0.0033053703988856764</x:v>
      </x:c>
      <x:c r="J32" s="208" t="n">
        <x:f>'Beta HC3'!$E$13+'Beta HC3'!$E$12*I32</x:f>
        <x:v>-0.003718704120602894</x:v>
      </x:c>
      <x:c r="K32" s="240" t="n">
        <x:f>H32-J32</x:f>
        <x:v>0.0006324908515371202</x:v>
      </x:c>
      <x:c r="L32" s="240" t="n">
        <x:f>I32-'Beta HC3'!$E$9</x:f>
        <x:v>-0.0038693180165461157</x:v>
      </x:c>
      <x:c r="M32" s="240" t="n">
        <x:f>1/'Beta HC3'!$E$8+L32^2/'Beta HC3'!$E$11</x:f>
        <x:v>0.000899195362740779</x:v>
      </x:c>
      <x:c r="N32" s="240" t="n">
        <x:f>K32^2/(1-M32)^2</x:f>
        <x:v>4.007650854513923e-7</x:v>
      </x:c>
      <x:c r="O32" s="240" t="n">
        <x:f>N32*L32^2/'Beta HC3'!$E$11^2</x:f>
        <x:v>2.8059081647963237e-10</x:v>
      </x:c>
      <x:c r="P32" s="240" t="n">
        <x:f>N32*(1/'Beta HC3'!$E$8-'Beta HC3'!$E$9*L32/'Beta HC3'!$E$11)^2</x:f>
        <x:v>2.640695247160478e-13</x:v>
      </x:c>
      <x:c r="Q32" s="240" t="n">
        <x:f>N32*(1/'Beta HC3'!$E$8-'Beta HC3'!$E$9*L32/'Beta HC3'!$E$11)*L32/'Beta HC3'!$E$11</x:f>
        <x:v>-8.607873346388428e-12</x:v>
      </x:c>
      <x:c r="R32" s="240" t="n">
        <x:f>K32*L32/'Beta HC3'!$E$11</x:f>
        <x:v>-0.000016735782964354262</x:v>
      </x:c>
      <x:c r="S32" s="240" t="n">
        <x:f>(K32-K31)^2</x:f>
        <x:v>0.0000013518086122263164</x:v>
      </x:c>
      <x:c r="T32" s="280" t="n">
        <x:f>E32/$E$9*100</x:f>
        <x:v>113.9392813881498</x:v>
      </x:c>
      <x:c r="U32" s="136"/>
      <x:c r="V32" s="136"/>
      <x:c r="W32" s="136"/>
      <x:c r="X32" s="136"/>
      <x:c r="Y32" s="136"/>
      <x:c r="Z32" s="136"/>
    </x:row>
    <x:row r="33" ht="24" customHeight="1">
      <x:c r="A33" s="136"/>
      <x:c r="B33" s="136"/>
      <x:c r="C33" s="274" t="d">
        <x:v>2021-11-10T00:00:00.000Z</x:v>
      </x:c>
      <x:c r="D33" s="191" t="n">
        <x:v>330.79998779296875</x:v>
      </x:c>
      <x:c r="E33" s="191" t="n">
        <x:v>317.477783203125</x:v>
      </x:c>
      <x:c r="F33" s="191" t="n">
        <x:v>463.6199951171875</x:v>
      </x:c>
      <x:c r="G33" s="191" t="n">
        <x:v>433.62493896484375</x:v>
      </x:c>
      <x:c r="H33" s="208" t="n">
        <x:f>E33/E32-1</x:f>
        <x:v>-0.015329571881681825</x:v>
      </x:c>
      <x:c r="I33" s="208" t="n">
        <x:f>G33/G32-1</x:f>
        <x:v>-0.00804488385751756</x:v>
      </x:c>
      <x:c r="J33" s="208" t="n">
        <x:f>'Beta HC3'!$E$13+'Beta HC3'!$E$12*I33</x:f>
        <x:v>-0.00906398301322251</x:v>
      </x:c>
      <x:c r="K33" s="240" t="n">
        <x:f>H33-J33</x:f>
        <x:v>-0.006265588868459316</x:v>
      </x:c>
      <x:c r="L33" s="240" t="n">
        <x:f>I33-'Beta HC3'!$E$9</x:f>
        <x:v>-0.008608831475177998</x:v>
      </x:c>
      <x:c r="M33" s="240" t="n">
        <x:f>1/'Beta HC3'!$E$8+L33^2/'Beta HC3'!$E$11</x:f>
        <x:v>0.001303623447331262</x:v>
      </x:c>
      <x:c r="N33" s="240" t="n">
        <x:f>K33^2/(1-M33)^2</x:f>
        <x:v>0.00003936015862992713</x:v>
      </x:c>
      <x:c r="O33" s="240" t="n">
        <x:f>N33*L33^2/'Beta HC3'!$E$11^2</x:f>
        <x:v>1.3641432404411046e-7</x:v>
      </x:c>
      <x:c r="P33" s="240" t="n">
        <x:f>N33*(1/'Beta HC3'!$E$8-'Beta HC3'!$E$9*L33/'Beta HC3'!$E$11)^2</x:f>
        <x:v>2.711605751927796e-11</x:v>
      </x:c>
      <x:c r="Q33" s="240" t="n">
        <x:f>N33*(1/'Beta HC3'!$E$8-'Beta HC3'!$E$9*L33/'Beta HC3'!$E$11)*L33/'Beta HC3'!$E$11</x:f>
        <x:v>-1.92328330134526e-9</x:v>
      </x:c>
      <x:c r="R33" s="240" t="n">
        <x:f>K33*L33/'Beta HC3'!$E$11</x:f>
        <x:v>0.00036886161368257335</x:v>
      </x:c>
      <x:c r="S33" s="240" t="n">
        <x:f>(K33-K32)^2</x:f>
        <x:v>0.0000475835038234261</x:v>
      </x:c>
      <x:c r="T33" s="280" t="n">
        <x:f>E33/$E$9*100</x:f>
        <x:v>112.19264098396297</x:v>
      </x:c>
      <x:c r="U33" s="136"/>
      <x:c r="V33" s="136"/>
      <x:c r="W33" s="136"/>
      <x:c r="X33" s="136"/>
      <x:c r="Y33" s="136"/>
      <x:c r="Z33" s="136"/>
    </x:row>
    <x:row r="34" ht="24" customHeight="1">
      <x:c r="A34" s="136"/>
      <x:c r="B34" s="136"/>
      <x:c r="C34" s="274" t="d">
        <x:v>2021-11-11T00:00:00.000Z</x:v>
      </x:c>
      <x:c r="D34" s="191" t="n">
        <x:v>332.42999267578125</x:v>
      </x:c>
      <x:c r="E34" s="191" t="n">
        <x:v>319.04217529296875</x:v>
      </x:c>
      <x:c r="F34" s="191" t="n">
        <x:v>463.7699890136719</x:v>
      </x:c>
      <x:c r="G34" s="191" t="n">
        <x:v>433.7652282714844</x:v>
      </x:c>
      <x:c r="H34" s="208" t="n">
        <x:f>E34/E33-1</x:f>
        <x:v>0.004927563982777494</x:v>
      </x:c>
      <x:c r="I34" s="208" t="n">
        <x:f>G34/G33-1</x:f>
        <x:v>0.00032352684090430905</x:v>
      </x:c>
      <x:c r="J34" s="208" t="n">
        <x:f>'Beta HC3'!$E$13+'Beta HC3'!$E$12*I34</x:f>
        <x:v>0.00037400876831340926</x:v>
      </x:c>
      <x:c r="K34" s="240" t="n">
        <x:f>H34-J34</x:f>
        <x:v>0.004553555214464085</x:v>
      </x:c>
      <x:c r="L34" s="240" t="n">
        <x:f>I34-'Beta HC3'!$E$9</x:f>
        <x:v>-0.00024042077675613031</x:v>
      </x:c>
      <x:c r="M34" s="240" t="n">
        <x:f>1/'Beta HC3'!$E$8+L34^2/'Beta HC3'!$E$11</x:f>
        <x:v>0.0007972080258297204</x:v>
      </x:c>
      <x:c r="N34" s="240" t="n">
        <x:f>K34^2/(1-M34)^2</x:f>
        <x:v>0.000020767964668515356</x:v>
      </x:c>
      <x:c r="O34" s="240" t="n">
        <x:f>N34*L34^2/'Beta HC3'!$E$11^2</x:f>
        <x:v>5.613744608738498e-11</x:v>
      </x:c>
      <x:c r="P34" s="240" t="n">
        <x:f>N34*(1/'Beta HC3'!$E$8-'Beta HC3'!$E$9*L34/'Beta HC3'!$E$11)^2</x:f>
        <x:v>1.321650443744464e-11</x:v>
      </x:c>
      <x:c r="Q34" s="240" t="n">
        <x:f>N34*(1/'Beta HC3'!$E$8-'Beta HC3'!$E$9*L34/'Beta HC3'!$E$11)*L34/'Beta HC3'!$E$11</x:f>
        <x:v>-2.7238590369560847e-11</x:v>
      </x:c>
      <x:c r="R34" s="240" t="n">
        <x:f>K34*L34/'Beta HC3'!$E$11</x:f>
        <x:v>-0.0000074865195731977026</x:v>
      </x:c>
      <x:c r="S34" s="240" t="n">
        <x:f>(K34-K33)^2</x:f>
        <x:v>0.00011705387868705642</x:v>
      </x:c>
      <x:c r="T34" s="280" t="n">
        <x:f>E34/$E$9*100</x:f>
        <x:v>112.74547740080823</x:v>
      </x:c>
      <x:c r="U34" s="136"/>
      <x:c r="V34" s="136"/>
      <x:c r="W34" s="136"/>
      <x:c r="X34" s="136"/>
      <x:c r="Y34" s="136"/>
      <x:c r="Z34" s="136"/>
    </x:row>
    <x:row r="35" ht="24" customHeight="1">
      <x:c r="A35" s="136"/>
      <x:c r="B35" s="136"/>
      <x:c r="C35" s="274" t="d">
        <x:v>2021-11-12T00:00:00.000Z</x:v>
      </x:c>
      <x:c r="D35" s="191" t="n">
        <x:v>336.7200012207031</x:v>
      </x:c>
      <x:c r="E35" s="191" t="n">
        <x:v>323.159423828125</x:v>
      </x:c>
      <x:c r="F35" s="191" t="n">
        <x:v>467.2699890136719</x:v>
      </x:c>
      <x:c r="G35" s="191" t="n">
        <x:v>437.0387878417969</x:v>
      </x:c>
      <x:c r="H35" s="208" t="n">
        <x:f>E35/E34-1</x:f>
        <x:v>0.012905029033780435</x:v>
      </x:c>
      <x:c r="I35" s="208" t="n">
        <x:f>G35/G34-1</x:f>
        <x:v>0.007546846443541311</x:v>
      </x:c>
      <x:c r="J35" s="208" t="n">
        <x:f>'Beta HC3'!$E$13+'Beta HC3'!$E$12*I35</x:f>
        <x:v>0.00852055337539772</x:v>
      </x:c>
      <x:c r="K35" s="240" t="n">
        <x:f>H35-J35</x:f>
        <x:v>0.004384475658382715</x:v>
      </x:c>
      <x:c r="L35" s="240" t="n">
        <x:f>I35-'Beta HC3'!$E$9</x:f>
        <x:v>0.006982898825880871</x:v>
      </x:c>
      <x:c r="M35" s="240" t="n">
        <x:f>1/'Beta HC3'!$E$8+L35^2/'Beta HC3'!$E$11</x:f>
        <x:v>0.0011302613201212778</x:v>
      </x:c>
      <x:c r="N35" s="240" t="n">
        <x:f>K35^2/(1-M35)^2</x:f>
        <x:v>0.000019267156027752655</x:v>
      </x:c>
      <x:c r="O35" s="240" t="n">
        <x:f>N35*L35^2/'Beta HC3'!$E$11^2</x:f>
        <x:v>4.393431267351022e-8</x:v>
      </x:c>
      <x:c r="P35" s="240" t="n">
        <x:f>N35*(1/'Beta HC3'!$E$8-'Beta HC3'!$E$9*L35/'Beta HC3'!$E$11)^2</x:f>
        <x:v>1.1420026304134302e-11</x:v>
      </x:c>
      <x:c r="Q35" s="240" t="n">
        <x:f>N35*(1/'Beta HC3'!$E$8-'Beta HC3'!$E$9*L35/'Beta HC3'!$E$11)*L35/'Beta HC3'!$E$11</x:f>
        <x:v>7.083297299884764e-10</x:v>
      </x:c>
      <x:c r="R35" s="240" t="n">
        <x:f>K35*L35/'Beta HC3'!$E$11</x:f>
        <x:v>0.00020936822655479983</x:v>
      </x:c>
      <x:c r="S35" s="240" t="n">
        <x:f>(K35-K34)^2</x:f>
        <x:v>2.8587896284673183e-8</x:v>
      </x:c>
      <x:c r="T35" s="280" t="n">
        <x:f>E35/$E$9*100</x:f>
        <x:v>114.20046106009312</x:v>
      </x:c>
      <x:c r="U35" s="136"/>
      <x:c r="V35" s="136"/>
      <x:c r="W35" s="136"/>
      <x:c r="X35" s="136"/>
      <x:c r="Y35" s="136"/>
      <x:c r="Z35" s="136"/>
    </x:row>
    <x:row r="36" ht="24" customHeight="1">
      <x:c r="A36" s="136"/>
      <x:c r="B36" s="136"/>
      <x:c r="C36" s="274" t="d">
        <x:v>2021-11-15T00:00:00.000Z</x:v>
      </x:c>
      <x:c r="D36" s="191" t="n">
        <x:v>336.07000732421875</x:v>
      </x:c>
      <x:c r="E36" s="191" t="n">
        <x:v>322.5356140136719</x:v>
      </x:c>
      <x:c r="F36" s="191" t="n">
        <x:v>467.42999267578125</x:v>
      </x:c>
      <x:c r="G36" s="191" t="n">
        <x:v>437.1885070800781</x:v>
      </x:c>
      <x:c r="H36" s="208" t="n">
        <x:f>E36/E35-1</x:f>
        <x:v>-0.0019303469695035602</x:v>
      </x:c>
      <x:c r="I36" s="208" t="n">
        <x:f>G36/G35-1</x:f>
        <x:v>0.00034257654571256957</x:v>
      </x:c>
      <x:c r="J36" s="208" t="n">
        <x:f>'Beta HC3'!$E$13+'Beta HC3'!$E$12*I36</x:f>
        <x:v>0.0003954932489275064</x:v>
      </x:c>
      <x:c r="K36" s="240" t="n">
        <x:f>H36-J36</x:f>
        <x:v>-0.0023258402184310667</x:v>
      </x:c>
      <x:c r="L36" s="240" t="n">
        <x:f>I36-'Beta HC3'!$E$9</x:f>
        <x:v>-0.0002213710719478698</x:v>
      </x:c>
      <x:c r="M36" s="240" t="n">
        <x:f>1/'Beta HC3'!$E$8+L36^2/'Beta HC3'!$E$11</x:f>
        <x:v>0.0007971478680395675</x:v>
      </x:c>
      <x:c r="N36" s="240" t="n">
        <x:f>K36^2/(1-M36)^2</x:f>
        <x:v>0.000005418167439972471</x:v>
      </x:c>
      <x:c r="O36" s="240" t="n">
        <x:f>N36*L36^2/'Beta HC3'!$E$11^2</x:f>
        <x:v>1.241677698813685e-11</x:v>
      </x:c>
      <x:c r="P36" s="240" t="n">
        <x:f>N36*(1/'Beta HC3'!$E$8-'Beta HC3'!$E$9*L36/'Beta HC3'!$E$11)^2</x:f>
        <x:v>3.4474271530008905e-12</x:v>
      </x:c>
      <x:c r="Q36" s="240" t="n">
        <x:f>N36*(1/'Beta HC3'!$E$8-'Beta HC3'!$E$9*L36/'Beta HC3'!$E$11)*L36/'Beta HC3'!$E$11</x:f>
        <x:v>-6.542624407809116e-12</x:v>
      </x:c>
      <x:c r="R36" s="240" t="n">
        <x:f>K36*L36/'Beta HC3'!$E$11</x:f>
        <x:v>0.0000035209357937491902</x:v>
      </x:c>
      <x:c r="S36" s="240" t="n">
        <x:f>(K36-K35)^2</x:f>
        <x:v>0.000045028339166619116</x:v>
      </x:c>
      <x:c r="T36" s="280" t="n">
        <x:f>E36/$E$9*100</x:f>
        <x:v>113.98001454616985</x:v>
      </x:c>
      <x:c r="U36" s="136"/>
      <x:c r="V36" s="136"/>
      <x:c r="W36" s="136"/>
      <x:c r="X36" s="136"/>
      <x:c r="Y36" s="136"/>
      <x:c r="Z36" s="136"/>
    </x:row>
    <x:row r="37" ht="24" customHeight="1">
      <x:c r="A37" s="136"/>
      <x:c r="B37" s="136"/>
      <x:c r="C37" s="274" t="d">
        <x:v>2021-11-16T00:00:00.000Z</x:v>
      </x:c>
      <x:c r="D37" s="191" t="n">
        <x:v>339.510009765625</x:v>
      </x:c>
      <x:c r="E37" s="191" t="n">
        <x:v>325.8370056152344</x:v>
      </x:c>
      <x:c r="F37" s="191" t="n">
        <x:v>469.2799987792969</x:v>
      </x:c>
      <x:c r="G37" s="191" t="n">
        <x:v>438.918701171875</x:v>
      </x:c>
      <x:c r="H37" s="208" t="n">
        <x:f>E37/E36-1</x:f>
        <x:v>0.010235742839308726</x:v>
      </x:c>
      <x:c r="I37" s="208" t="n">
        <x:f>G37/G36-1</x:f>
        <x:v>0.003957547062141797</x:v>
      </x:c>
      <x:c r="J37" s="208" t="n">
        <x:f>'Beta HC3'!$E$13+'Beta HC3'!$E$12*I37</x:f>
        <x:v>0.0044724994158198365</x:v>
      </x:c>
      <x:c r="K37" s="240" t="n">
        <x:f>H37-J37</x:f>
        <x:v>0.005763243423488889</x:v>
      </x:c>
      <x:c r="L37" s="240" t="n">
        <x:f>I37-'Beta HC3'!$E$9</x:f>
        <x:v>0.003393599444481358</x:v>
      </x:c>
      <x:c r="M37" s="240" t="n">
        <x:f>1/'Beta HC3'!$E$8+L37^2/'Beta HC3'!$E$11</x:f>
        <x:v>0.0008755678189525032</x:v>
      </x:c>
      <x:c r="N37" s="240" t="n">
        <x:f>K37^2/(1-M37)^2</x:f>
        <x:v>0.00003327321516336907</x:v>
      </x:c>
      <x:c r="O37" s="240" t="n">
        <x:f>N37*L37^2/'Beta HC3'!$E$11^2</x:f>
        <x:v>1.7919696562242603e-8</x:v>
      </x:c>
      <x:c r="P37" s="240" t="n">
        <x:f>N37*(1/'Beta HC3'!$E$8-'Beta HC3'!$E$9*L37/'Beta HC3'!$E$11)^2</x:f>
        <x:v>2.0437249411251748e-11</x:v>
      </x:c>
      <x:c r="Q37" s="240" t="n">
        <x:f>N37*(1/'Beta HC3'!$E$8-'Beta HC3'!$E$9*L37/'Beta HC3'!$E$11)*L37/'Beta HC3'!$E$11</x:f>
        <x:v>6.051688260448506e-10</x:v>
      </x:c>
      <x:c r="R37" s="240" t="n">
        <x:f>K37*L37/'Beta HC3'!$E$11</x:f>
        <x:v>0.00013374726345070383</x:v>
      </x:c>
      <x:c r="S37" s="240" t="n">
        <x:f>(K37-K36)^2</x:f>
        <x:v>0.000065433274165977</x:v>
      </x:c>
      <x:c r="T37" s="280" t="n">
        <x:f>E37/$E$9*100</x:f>
        <x:v>115.14668466388511</x:v>
      </x:c>
      <x:c r="U37" s="136"/>
      <x:c r="V37" s="136"/>
      <x:c r="W37" s="136"/>
      <x:c r="X37" s="136"/>
      <x:c r="Y37" s="136"/>
      <x:c r="Z37" s="136"/>
    </x:row>
    <x:row r="38" ht="24" customHeight="1">
      <x:c r="A38" s="136"/>
      <x:c r="B38" s="136"/>
      <x:c r="C38" s="274" t="d">
        <x:v>2021-11-17T00:00:00.000Z</x:v>
      </x:c>
      <x:c r="D38" s="191" t="n">
        <x:v>339.1199951171875</x:v>
      </x:c>
      <x:c r="E38" s="191" t="n">
        <x:v>326.0582580566406</x:v>
      </x:c>
      <x:c r="F38" s="191" t="n">
        <x:v>468.1400146484375</x:v>
      </x:c>
      <x:c r="G38" s="191" t="n">
        <x:v>437.85247802734375</x:v>
      </x:c>
      <x:c r="H38" s="208" t="n">
        <x:f>E38/E37-1</x:f>
        <x:v>0.0006790279728616788</x:v>
      </x:c>
      <x:c r="I38" s="208" t="n">
        <x:f>G38/G37-1</x:f>
        <x:v>-0.0024292041821971644</x:v>
      </x:c>
      <x:c r="J38" s="208" t="n">
        <x:f>'Beta HC3'!$E$13+'Beta HC3'!$E$12*I38</x:f>
        <x:v>-0.0027305535803903986</x:v>
      </x:c>
      <x:c r="K38" s="240" t="n">
        <x:f>H38-J38</x:f>
        <x:v>0.0034095815532520775</x:v>
      </x:c>
      <x:c r="L38" s="240" t="n">
        <x:f>I38-'Beta HC3'!$E$9</x:f>
        <x:v>-0.0029931517998576036</x:v>
      </x:c>
      <x:c r="M38" s="240" t="n">
        <x:f>1/'Beta HC3'!$E$8+L38^2/'Beta HC3'!$E$11</x:f>
        <x:v>0.000858078088904702</x:v>
      </x:c>
      <x:c r="N38" s="240" t="n">
        <x:f>K38^2/(1-M38)^2</x:f>
        <x:v>0.00001164522281499843</x:v>
      </x:c>
      <x:c r="O38" s="240" t="n">
        <x:f>N38*L38^2/'Beta HC3'!$E$11^2</x:f>
        <x:v>4.878878594399889e-9</x:v>
      </x:c>
      <x:c r="P38" s="240" t="n">
        <x:f>N38*(1/'Beta HC3'!$E$8-'Beta HC3'!$E$9*L38/'Beta HC3'!$E$11)^2</x:f>
        <x:v>7.609446038380407e-12</x:v>
      </x:c>
      <x:c r="Q38" s="240" t="n">
        <x:f>N38*(1/'Beta HC3'!$E$8-'Beta HC3'!$E$9*L38/'Beta HC3'!$E$11)*L38/'Beta HC3'!$E$11</x:f>
        <x:v>-1.9267995067441556e-10</x:v>
      </x:c>
      <x:c r="R38" s="240" t="n">
        <x:f>K38*L38/'Beta HC3'!$E$11</x:f>
        <x:v>-0.00006978903401730039</x:v>
      </x:c>
      <x:c r="S38" s="240" t="n">
        <x:f>(K38-K37)^2</x:f>
        <x:v>0.000005539724199406647</x:v>
      </x:c>
      <x:c r="T38" s="280" t="n">
        <x:f>E38/$E$9*100</x:f>
        <x:v>115.2248724837542</x:v>
      </x:c>
      <x:c r="U38" s="136"/>
      <x:c r="V38" s="136"/>
      <x:c r="W38" s="136"/>
      <x:c r="X38" s="136"/>
      <x:c r="Y38" s="136"/>
      <x:c r="Z38" s="136"/>
    </x:row>
    <x:row r="39" ht="24" customHeight="1">
      <x:c r="A39" s="136"/>
      <x:c r="B39" s="136"/>
      <x:c r="C39" s="274" t="d">
        <x:v>2021-11-18T00:00:00.000Z</x:v>
      </x:c>
      <x:c r="D39" s="191" t="n">
        <x:v>341.2699890136719</x:v>
      </x:c>
      <x:c r="E39" s="191" t="n">
        <x:v>328.1253356933594</x:v>
      </x:c>
      <x:c r="F39" s="191" t="n">
        <x:v>469.7300109863281</x:v>
      </x:c>
      <x:c r="G39" s="191" t="n">
        <x:v>439.3396301269531</x:v>
      </x:c>
      <x:c r="H39" s="208" t="n">
        <x:f>E39/E38-1</x:f>
        <x:v>0.006339596025074945</x:v>
      </x:c>
      <x:c r="I39" s="208" t="n">
        <x:f>G39/G38-1</x:f>
        <x:v>0.0033964683865885803</x:v>
      </x:c>
      <x:c r="J39" s="208" t="n">
        <x:f>'Beta HC3'!$E$13+'Beta HC3'!$E$12*I39</x:f>
        <x:v>0.003839708301771747</x:v>
      </x:c>
      <x:c r="K39" s="240" t="n">
        <x:f>H39-J39</x:f>
        <x:v>0.002499887723303198</x:v>
      </x:c>
      <x:c r="L39" s="240" t="n">
        <x:f>I39-'Beta HC3'!$E$9</x:f>
        <x:v>0.002832520768928141</x:v>
      </x:c>
      <x:c r="M39" s="240" t="n">
        <x:f>1/'Beta HC3'!$E$8+L39^2/'Beta HC3'!$E$11</x:f>
        <x:v>0.0008516787828757409</x:v>
      </x:c>
      <x:c r="N39" s="240" t="n">
        <x:f>K39^2/(1-M39)^2</x:f>
        <x:v>0.000006260097272369469</x:v>
      </x:c>
      <x:c r="O39" s="240" t="n">
        <x:f>N39*L39^2/'Beta HC3'!$E$11^2</x:f>
        <x:v>2.3487782153157736e-9</x:v>
      </x:c>
      <x:c r="P39" s="240" t="n">
        <x:f>N39*(1/'Beta HC3'!$E$8-'Beta HC3'!$E$9*L39/'Beta HC3'!$E$11)^2</x:f>
        <x:v>3.866371409002753e-12</x:v>
      </x:c>
      <x:c r="Q39" s="240" t="n">
        <x:f>N39*(1/'Beta HC3'!$E$8-'Beta HC3'!$E$9*L39/'Beta HC3'!$E$11)*L39/'Beta HC3'!$E$11</x:f>
        <x:v>9.529558718946758e-11</x:v>
      </x:c>
      <x:c r="R39" s="240" t="n">
        <x:f>K39*L39/'Beta HC3'!$E$11</x:f>
        <x:v>0.00004842291926221068</x:v>
      </x:c>
      <x:c r="S39" s="240" t="n">
        <x:f>(K39-K38)^2</x:f>
        <x:v>8.275428642470612e-7</x:v>
      </x:c>
      <x:c r="T39" s="280" t="n">
        <x:f>E39/$E$9*100</x:f>
        <x:v>115.95535162734197</x:v>
      </x:c>
      <x:c r="U39" s="136"/>
      <x:c r="V39" s="136"/>
      <x:c r="W39" s="136"/>
      <x:c r="X39" s="136"/>
      <x:c r="Y39" s="136"/>
      <x:c r="Z39" s="136"/>
    </x:row>
    <x:row r="40" ht="24" customHeight="1">
      <x:c r="A40" s="136"/>
      <x:c r="B40" s="136"/>
      <x:c r="C40" s="274" t="d">
        <x:v>2021-11-19T00:00:00.000Z</x:v>
      </x:c>
      <x:c r="D40" s="191" t="n">
        <x:v>343.1099853515625</x:v>
      </x:c>
      <x:c r="E40" s="191" t="n">
        <x:v>329.8944396972656</x:v>
      </x:c>
      <x:c r="F40" s="191" t="n">
        <x:v>468.8900146484375</x:v>
      </x:c>
      <x:c r="G40" s="191" t="n">
        <x:v>438.55401611328125</x:v>
      </x:c>
      <x:c r="H40" s="208" t="n">
        <x:f>E40/E39-1</x:f>
        <x:v>0.005391549543615648</x:v>
      </x:c>
      <x:c r="I40" s="208" t="n">
        <x:f>G40/G39-1</x:f>
        <x:v>-0.0017881701531110572</x:v>
      </x:c>
      <x:c r="J40" s="208" t="n">
        <x:f>'Beta HC3'!$E$13+'Beta HC3'!$E$12*I40</x:f>
        <x:v>-0.0020075878804229636</x:v>
      </x:c>
      <x:c r="K40" s="240" t="n">
        <x:f>H40-J40</x:f>
        <x:v>0.007399137424038612</x:v>
      </x:c>
      <x:c r="L40" s="240" t="n">
        <x:f>I40-'Beta HC3'!$E$9</x:f>
        <x:v>-0.0023521177707714965</x:v>
      </x:c>
      <x:c r="M40" s="240" t="n">
        <x:f>1/'Beta HC3'!$E$8+L40^2/'Beta HC3'!$E$11</x:f>
        <x:v>0.0008346461590707186</x:v>
      </x:c>
      <x:c r="N40" s="240" t="n">
        <x:f>K40^2/(1-M40)^2</x:f>
        <x:v>0.0000548387383018514</x:v>
      </x:c>
      <x:c r="O40" s="240" t="n">
        <x:f>N40*L40^2/'Beta HC3'!$E$11^2</x:f>
        <x:v>1.4187971365166635e-8</x:v>
      </x:c>
      <x:c r="P40" s="240" t="n">
        <x:f>N40*(1/'Beta HC3'!$E$8-'Beta HC3'!$E$9*L40/'Beta HC3'!$E$11)^2</x:f>
        <x:v>3.561494278736431e-11</x:v>
      </x:c>
      <x:c r="Q40" s="240" t="n">
        <x:f>N40*(1/'Beta HC3'!$E$8-'Beta HC3'!$E$9*L40/'Beta HC3'!$E$11)*L40/'Beta HC3'!$E$11</x:f>
        <x:v>-7.108472328420311e-10</x:v>
      </x:c>
      <x:c r="R40" s="240" t="n">
        <x:f>K40*L40/'Beta HC3'!$E$11</x:f>
        <x:v>-0.00011901385372040934</x:v>
      </x:c>
      <x:c r="S40" s="240" t="n">
        <x:f>(K40-K39)^2</x:f>
        <x:v>0.00002400264763015604</x:v>
      </x:c>
      <x:c r="T40" s="280" t="n">
        <x:f>E40/$E$9*100</x:f>
        <x:v>116.58053065048814</x:v>
      </x:c>
      <x:c r="U40" s="136"/>
      <x:c r="V40" s="136"/>
      <x:c r="W40" s="136"/>
      <x:c r="X40" s="136"/>
      <x:c r="Y40" s="136"/>
      <x:c r="Z40" s="136"/>
    </x:row>
    <x:row r="41" ht="24" customHeight="1">
      <x:c r="A41" s="136"/>
      <x:c r="B41" s="136"/>
      <x:c r="C41" s="274" t="d">
        <x:v>2021-11-22T00:00:00.000Z</x:v>
      </x:c>
      <x:c r="D41" s="191" t="n">
        <x:v>339.8299865722656</x:v>
      </x:c>
      <x:c r="E41" s="191" t="n">
        <x:v>326.74072265625</x:v>
      </x:c>
      <x:c r="F41" s="191" t="n">
        <x:v>467.57000732421875</x:v>
      </x:c>
      <x:c r="G41" s="191" t="n">
        <x:v>437.31939697265625</x:v>
      </x:c>
      <x:c r="H41" s="208" t="n">
        <x:f>E41/E40-1</x:f>
        <x:v>-0.009559776284528199</x:v>
      </x:c>
      <x:c r="I41" s="208" t="n">
        <x:f>G41/G40-1</x:f>
        <x:v>-0.0028152042741893535</x:v>
      </x:c>
      <x:c r="J41" s="208" t="n">
        <x:f>'Beta HC3'!$E$13+'Beta HC3'!$E$12*I41</x:f>
        <x:v>-0.003165889013506917</x:v>
      </x:c>
      <x:c r="K41" s="240" t="n">
        <x:f>H41-J41</x:f>
        <x:v>-0.006393887271021282</x:v>
      </x:c>
      <x:c r="L41" s="240" t="n">
        <x:f>I41-'Beta HC3'!$E$9</x:f>
        <x:v>-0.0033791518918497927</x:v>
      </x:c>
      <x:c r="M41" s="240" t="n">
        <x:f>1/'Beta HC3'!$E$8+L41^2/'Beta HC3'!$E$11</x:f>
        <x:v>0.0008748986792833115</x:v>
      </x:c>
      <x:c r="N41" s="240" t="n">
        <x:f>K41^2/(1-M41)^2</x:f>
        <x:v>0.00004095342327870169</x:v>
      </x:c>
      <x:c r="O41" s="240" t="n">
        <x:f>N41*L41^2/'Beta HC3'!$E$11^2</x:f>
        <x:v>2.186856874052533e-8</x:v>
      </x:c>
      <x:c r="P41" s="240" t="n">
        <x:f>N41*(1/'Beta HC3'!$E$8-'Beta HC3'!$E$9*L41/'Beta HC3'!$E$11)^2</x:f>
        <x:v>2.6859227552883387e-11</x:v>
      </x:c>
      <x:c r="Q41" s="240" t="n">
        <x:f>N41*(1/'Beta HC3'!$E$8-'Beta HC3'!$E$9*L41/'Beta HC3'!$E$11)*L41/'Beta HC3'!$E$11</x:f>
        <x:v>-7.664025470062339e-10</x:v>
      </x:c>
      <x:c r="R41" s="240" t="n">
        <x:f>K41*L41/'Beta HC3'!$E$11</x:f>
        <x:v>0.00014775087111740883</x:v>
      </x:c>
      <x:c r="S41" s="240" t="n">
        <x:f>(K41-K40)^2</x:f>
        <x:v>0.00019024753023853203</x:v>
      </x:c>
      <x:c r="T41" s="280" t="n">
        <x:f>E41/$E$9*100</x:f>
        <x:v>115.4660468583379</x:v>
      </x:c>
      <x:c r="U41" s="136"/>
      <x:c r="V41" s="136"/>
      <x:c r="W41" s="136"/>
      <x:c r="X41" s="136"/>
      <x:c r="Y41" s="136"/>
      <x:c r="Z41" s="136"/>
    </x:row>
    <x:row r="42" ht="24" customHeight="1">
      <x:c r="A42" s="136"/>
      <x:c r="B42" s="136"/>
      <x:c r="C42" s="274" t="d">
        <x:v>2021-11-23T00:00:00.000Z</x:v>
      </x:c>
      <x:c r="D42" s="191" t="n">
        <x:v>337.67999267578125</x:v>
      </x:c>
      <x:c r="E42" s="191" t="n">
        <x:v>324.6735534667969</x:v>
      </x:c>
      <x:c r="F42" s="191" t="n">
        <x:v>468.19000244140625</x:v>
      </x:c>
      <x:c r="G42" s="191" t="n">
        <x:v>437.89923095703125</x:v>
      </x:c>
      <x:c r="H42" s="208" t="n">
        <x:f>E42/E41-1</x:f>
        <x:v>-0.006326634686512289</x:v>
      </x:c>
      <x:c r="I42" s="208" t="n">
        <x:f>G42/G41-1</x:f>
        <x:v>0.0013258821547565969</x:v>
      </x:c>
      <x:c r="J42" s="208" t="n">
        <x:f>'Beta HC3'!$E$13+'Beta HC3'!$E$12*I42</x:f>
        <x:v>0.0015044768530240193</x:v>
      </x:c>
      <x:c r="K42" s="240" t="n">
        <x:f>H42-J42</x:f>
        <x:v>-0.007831111539536308</x:v>
      </x:c>
      <x:c r="L42" s="240" t="n">
        <x:f>I42-'Beta HC3'!$E$9</x:f>
        <x:v>0.0007619345370961575</x:v>
      </x:c>
      <x:c r="M42" s="240" t="n">
        <x:f>1/'Beta HC3'!$E$8+L42^2/'Beta HC3'!$E$11</x:f>
        <x:v>0.0008007827688792486</x:v>
      </x:c>
      <x:c r="N42" s="240" t="n">
        <x:f>K42^2/(1-M42)^2</x:f>
        <x:v>0.00006142464414915712</x:v>
      </x:c>
      <x:c r="O42" s="240" t="n">
        <x:f>N42*L42^2/'Beta HC3'!$E$11^2</x:f>
        <x:v>1.6676030914734393e-9</x:v>
      </x:c>
      <x:c r="P42" s="240" t="n">
        <x:f>N42*(1/'Beta HC3'!$E$8-'Beta HC3'!$E$9*L42/'Beta HC3'!$E$11)^2</x:f>
        <x:v>3.8712049741794624e-11</x:v>
      </x:c>
      <x:c r="Q42" s="240" t="n">
        <x:f>N42*(1/'Beta HC3'!$E$8-'Beta HC3'!$E$9*L42/'Beta HC3'!$E$11)*L42/'Beta HC3'!$E$11</x:f>
        <x:v>2.5407938489119945e-10</x:v>
      </x:c>
      <x:c r="R42" s="240" t="n">
        <x:f>K42*L42/'Beta HC3'!$E$11</x:f>
        <x:v>-0.000040803595248299296</x:v>
      </x:c>
      <x:c r="S42" s="240" t="n">
        <x:f>(K42-K41)^2</x:f>
        <x:v>0.000002065613598008552</x:v>
      </x:c>
      <x:c r="T42" s="280" t="n">
        <x:f>E42/$E$9*100</x:f>
        <x:v>114.7355353611695</x:v>
      </x:c>
      <x:c r="U42" s="136"/>
      <x:c r="V42" s="136"/>
      <x:c r="W42" s="136"/>
      <x:c r="X42" s="136"/>
      <x:c r="Y42" s="136"/>
      <x:c r="Z42" s="136"/>
    </x:row>
    <x:row r="43" ht="24" customHeight="1">
      <x:c r="A43" s="136"/>
      <x:c r="B43" s="136"/>
      <x:c r="C43" s="274" t="d">
        <x:v>2021-11-24T00:00:00.000Z</x:v>
      </x:c>
      <x:c r="D43" s="191" t="n">
        <x:v>337.9100036621094</x:v>
      </x:c>
      <x:c r="E43" s="191" t="n">
        <x:v>324.894775390625</x:v>
      </x:c>
      <x:c r="F43" s="191" t="n">
        <x:v>469.44000244140625</x:v>
      </x:c>
      <x:c r="G43" s="191" t="n">
        <x:v>439.0683898925781</x:v>
      </x:c>
      <x:c r="H43" s="208" t="n">
        <x:f>E43/E42-1</x:f>
        <x:v>0.000681367242468589</x:v>
      </x:c>
      <x:c r="I43" s="208" t="n">
        <x:f>G43/G42-1</x:f>
        <x:v>0.0026699268984593516</x:v>
      </x:c>
      <x:c r="J43" s="208" t="n">
        <x:f>'Beta HC3'!$E$13+'Beta HC3'!$E$12*I43</x:f>
        <x:v>0.003020306286141508</x:v>
      </x:c>
      <x:c r="K43" s="240" t="n">
        <x:f>H43-J43</x:f>
        <x:v>-0.002338939043672919</x:v>
      </x:c>
      <x:c r="L43" s="240" t="n">
        <x:f>I43-'Beta HC3'!$E$9</x:f>
        <x:v>0.0021059792807989123</x:v>
      </x:c>
      <x:c r="M43" s="240" t="n">
        <x:f>1/'Beta HC3'!$E$8+L43^2/'Beta HC3'!$E$11</x:f>
        <x:v>0.0008271422698829222</x:v>
      </x:c>
      <x:c r="N43" s="240" t="n">
        <x:f>K43^2/(1-M43)^2</x:f>
        <x:v>0.000005479697079164945</x:v>
      </x:c>
      <x:c r="O43" s="240" t="n">
        <x:f>N43*L43^2/'Beta HC3'!$E$11^2</x:f>
        <x:v>1.1365262272247569e-9</x:v>
      </x:c>
      <x:c r="P43" s="240" t="n">
        <x:f>N43*(1/'Beta HC3'!$E$8-'Beta HC3'!$E$9*L43/'Beta HC3'!$E$11)^2</x:f>
        <x:v>3.4085550109943945e-12</x:v>
      </x:c>
      <x:c r="Q43" s="240" t="n">
        <x:f>N43*(1/'Beta HC3'!$E$8-'Beta HC3'!$E$9*L43/'Beta HC3'!$E$11)*L43/'Beta HC3'!$E$11</x:f>
        <x:v>6.22407596911662e-11</x:v>
      </x:c>
      <x:c r="R43" s="240" t="n">
        <x:f>K43*L43/'Beta HC3'!$E$11</x:f>
        <x:v>-0.00003368451969419678</x:v>
      </x:c>
      <x:c r="S43" s="240" t="n">
        <x:f>(K43-K42)^2</x:f>
        <x:v>0.000030163958724318283</x:v>
      </x:c>
      <x:c r="T43" s="280" t="n">
        <x:f>E43/$E$9*100</x:f>
        <x:v>114.81371239651168</x:v>
      </x:c>
      <x:c r="U43" s="136"/>
      <x:c r="V43" s="136"/>
      <x:c r="W43" s="136"/>
      <x:c r="X43" s="136"/>
      <x:c r="Y43" s="136"/>
      <x:c r="Z43" s="136"/>
    </x:row>
    <x:row r="44" ht="24" customHeight="1">
      <x:c r="A44" s="136"/>
      <x:c r="B44" s="136"/>
      <x:c r="C44" s="274" t="d">
        <x:v>2021-11-26T00:00:00.000Z</x:v>
      </x:c>
      <x:c r="D44" s="191" t="n">
        <x:v>329.67999267578125</x:v>
      </x:c>
      <x:c r="E44" s="191" t="n">
        <x:v>316.9817810058594</x:v>
      </x:c>
      <x:c r="F44" s="191" t="n">
        <x:v>458.9700012207031</x:v>
      </x:c>
      <x:c r="G44" s="191" t="n">
        <x:v>429.2757263183594</x:v>
      </x:c>
      <x:c r="H44" s="208" t="n">
        <x:f>E44/E43-1</x:f>
        <x:v>-0.024355560581889146</x:v>
      </x:c>
      <x:c r="I44" s="208" t="n">
        <x:f>G44/G43-1</x:f>
        <x:v>-0.02230327620855288</x:v>
      </x:c>
      <x:c r="J44" s="208" t="n">
        <x:f>'Beta HC3'!$E$13+'Beta HC3'!$E$12*I44</x:f>
        <x:v>-0.025144765216271358</x:v>
      </x:c>
      <x:c r="K44" s="240" t="n">
        <x:f>H44-J44</x:f>
        <x:v>0.0007892046343822116</x:v>
      </x:c>
      <x:c r="L44" s="240" t="n">
        <x:f>I44-'Beta HC3'!$E$9</x:f>
        <x:v>-0.02286722382621332</x:v>
      </x:c>
      <x:c r="M44" s="240" t="n">
        <x:f>1/'Beta HC3'!$E$8+L44^2/'Beta HC3'!$E$11</x:f>
        <x:v>0.004372703539858855</x:v>
      </x:c>
      <x:c r="N44" s="240" t="n">
        <x:f>K44^2/(1-M44)^2</x:f>
        <x:v>6.283269156392028e-7</x:v>
      </x:c>
      <x:c r="O44" s="240" t="n">
        <x:f>N44*L44^2/'Beta HC3'!$E$11^2</x:f>
        <x:v>1.536481276021991e-8</x:v>
      </x:c>
      <x:c r="P44" s="240" t="n">
        <x:f>N44*(1/'Beta HC3'!$E$8-'Beta HC3'!$E$9*L44/'Beta HC3'!$E$11)^2</x:f>
        <x:v>4.921221988962357e-13</x:v>
      </x:c>
      <x:c r="Q44" s="240" t="n">
        <x:f>N44*(1/'Beta HC3'!$E$8-'Beta HC3'!$E$9*L44/'Beta HC3'!$E$11)*L44/'Beta HC3'!$E$11</x:f>
        <x:v>-8.69561121554337e-11</x:v>
      </x:c>
      <x:c r="R44" s="240" t="n">
        <x:f>K44*L44/'Beta HC3'!$E$11</x:f>
        <x:v>-0.00012341286400285615</x:v>
      </x:c>
      <x:c r="S44" s="240" t="n">
        <x:f>(K44-K43)^2</x:f>
        <x:v>0.00000978528287055628</x:v>
      </x:c>
      <x:c r="T44" s="280" t="n">
        <x:f>E44/$E$9*100</x:f>
        <x:v>112.01736006860685</x:v>
      </x:c>
      <x:c r="U44" s="136"/>
      <x:c r="V44" s="136"/>
      <x:c r="W44" s="136"/>
      <x:c r="X44" s="136"/>
      <x:c r="Y44" s="136"/>
      <x:c r="Z44" s="136"/>
    </x:row>
    <x:row r="45" ht="24" customHeight="1">
      <x:c r="A45" s="136"/>
      <x:c r="B45" s="136"/>
      <x:c r="C45" s="274" t="d">
        <x:v>2021-11-29T00:00:00.000Z</x:v>
      </x:c>
      <x:c r="D45" s="191" t="n">
        <x:v>336.6300048828125</x:v>
      </x:c>
      <x:c r="E45" s="191" t="n">
        <x:v>323.6640625</x:v>
      </x:c>
      <x:c r="F45" s="191" t="n">
        <x:v>464.6000061035156</x:v>
      </x:c>
      <x:c r="G45" s="191" t="n">
        <x:v>434.5414733886719</x:v>
      </x:c>
      <x:c r="H45" s="208" t="n">
        <x:f>E45/E44-1</x:f>
        <x:v>0.021080963937221142</x:v>
      </x:c>
      <x:c r="I45" s="208" t="n">
        <x:f>G45/G44-1</x:f>
        <x:v>0.012266584732087304</x:v>
      </x:c>
      <x:c r="J45" s="208" t="n">
        <x:f>'Beta HC3'!$E$13+'Beta HC3'!$E$12*I45</x:f>
        <x:v>0.01384352959915044</x:v>
      </x:c>
      <x:c r="K45" s="240" t="n">
        <x:f>H45-J45</x:f>
        <x:v>0.0072374343380707026</x:v>
      </x:c>
      <x:c r="L45" s="240" t="n">
        <x:f>I45-'Beta HC3'!$E$9</x:f>
        <x:v>0.011702637114426866</x:v>
      </x:c>
      <x:c r="M45" s="240" t="n">
        <x:f>1/'Beta HC3'!$E$8+L45^2/'Beta HC3'!$E$11</x:f>
        <x:v>0.0017333495292528413</x:v>
      </x:c>
      <x:c r="N45" s="240" t="n">
        <x:f>K45^2/(1-M45)^2</x:f>
        <x:v>0.000052562516299541954</x:v>
      </x:c>
      <x:c r="O45" s="240" t="n">
        <x:f>N45*L45^2/'Beta HC3'!$E$11^2</x:f>
        <x:v>3.3663428648610496e-7</x:v>
      </x:c>
      <x:c r="P45" s="240" t="n">
        <x:f>N45*(1/'Beta HC3'!$E$8-'Beta HC3'!$E$9*L45/'Beta HC3'!$E$11)^2</x:f>
        <x:v>2.96991192043731e-11</x:v>
      </x:c>
      <x:c r="Q45" s="240" t="n">
        <x:f>N45*(1/'Beta HC3'!$E$8-'Beta HC3'!$E$9*L45/'Beta HC3'!$E$11)*L45/'Beta HC3'!$E$11</x:f>
        <x:v>3.161920587653952e-9</x:v>
      </x:c>
      <x:c r="R45" s="240" t="n">
        <x:f>K45*L45/'Beta HC3'!$E$11</x:f>
        <x:v>0.0005791962432025913</x:v>
      </x:c>
      <x:c r="S45" s="240" t="n">
        <x:f>(K45-K44)^2</x:f>
        <x:v>0.000041579666311530564</x:v>
      </x:c>
      <x:c r="T45" s="280" t="n">
        <x:f>E45/$E$9*100</x:f>
        <x:v>114.37879399655586</x:v>
      </x:c>
      <x:c r="U45" s="136"/>
      <x:c r="V45" s="136"/>
      <x:c r="W45" s="136"/>
      <x:c r="X45" s="136"/>
      <x:c r="Y45" s="136"/>
      <x:c r="Z45" s="136"/>
    </x:row>
    <x:row r="46" ht="24" customHeight="1">
      <x:c r="A46" s="136"/>
      <x:c r="B46" s="136"/>
      <x:c r="C46" s="274" t="d">
        <x:v>2021-11-30T00:00:00.000Z</x:v>
      </x:c>
      <x:c r="D46" s="191" t="n">
        <x:v>330.5899963378906</x:v>
      </x:c>
      <x:c r="E46" s="191" t="n">
        <x:v>317.8567199707031</x:v>
      </x:c>
      <x:c r="F46" s="191" t="n">
        <x:v>455.55999755859375</x:v>
      </x:c>
      <x:c r="G46" s="191" t="n">
        <x:v>426.0863342285156</x:v>
      </x:c>
      <x:c r="H46" s="208" t="n">
        <x:f>E46/E45-1</x:f>
        <x:v>-0.017942500271548867</x:v>
      </x:c>
      <x:c r="I46" s="208" t="n">
        <x:f>G46/G45-1</x:f>
        <x:v>-0.019457611477727954</x:v>
      </x:c>
      <x:c r="J46" s="208" t="n">
        <x:f>'Beta HC3'!$E$13+'Beta HC3'!$E$12*I46</x:f>
        <x:v>-0.021935391141502645</x:v>
      </x:c>
      <x:c r="K46" s="240" t="n">
        <x:f>H46-J46</x:f>
        <x:v>0.003992890869953778</x:v>
      </x:c>
      <x:c r="L46" s="240" t="n">
        <x:f>I46-'Beta HC3'!$E$9</x:f>
        <x:v>-0.020021559095388393</x:v>
      </x:c>
      <x:c r="M46" s="240" t="n">
        <x:f>1/'Beta HC3'!$E$8+L46^2/'Beta HC3'!$E$11</x:f>
        <x:v>0.003538091174351593</x:v>
      </x:c>
      <x:c r="N46" s="240" t="n">
        <x:f>K46^2/(1-M46)^2</x:f>
        <x:v>0.000016056595901962893</x:v>
      </x:c>
      <x:c r="O46" s="240" t="n">
        <x:f>N46*L46^2/'Beta HC3'!$E$11^2</x:f>
        <x:v>3.00998261392226e-7</x:v>
      </x:c>
      <x:c r="P46" s="240" t="n">
        <x:f>N46*(1/'Beta HC3'!$E$8-'Beta HC3'!$E$9*L46/'Beta HC3'!$E$11)^2</x:f>
        <x:v>1.2265988894195963e-11</x:v>
      </x:c>
      <x:c r="Q46" s="240" t="n">
        <x:f>N46*(1/'Beta HC3'!$E$8-'Beta HC3'!$E$9*L46/'Beta HC3'!$E$11)*L46/'Beta HC3'!$E$11</x:f>
        <x:v>-1.921468535107806e-9</x:v>
      </x:c>
      <x:c r="R46" s="240" t="n">
        <x:f>K46*L46/'Beta HC3'!$E$11</x:f>
        <x:v>-0.0005466919706114629</x:v>
      </x:c>
      <x:c r="S46" s="240" t="n">
        <x:f>(K46-K45)^2</x:f>
        <x:v>0.0000105270623165002</x:v>
      </x:c>
      <x:c r="T46" s="280" t="n">
        <x:f>E46/$E$9*100</x:f>
        <x:v>112.32655245421321</x:v>
      </x:c>
      <x:c r="U46" s="136"/>
      <x:c r="V46" s="136"/>
      <x:c r="W46" s="136"/>
      <x:c r="X46" s="136"/>
      <x:c r="Y46" s="136"/>
      <x:c r="Z46" s="136"/>
    </x:row>
    <x:row r="47" ht="24" customHeight="1">
      <x:c r="A47" s="136"/>
      <x:c r="B47" s="136"/>
      <x:c r="C47" s="274" t="d">
        <x:v>2021-12-01T00:00:00.000Z</x:v>
      </x:c>
      <x:c r="D47" s="191" t="n">
        <x:v>330.0799865722656</x:v>
      </x:c>
      <x:c r="E47" s="191" t="n">
        <x:v>317.3663330078125</x:v>
      </x:c>
      <x:c r="F47" s="191" t="n">
        <x:v>450.5</x:v>
      </x:c>
      <x:c r="G47" s="191" t="n">
        <x:v>421.353759765625</x:v>
      </x:c>
      <x:c r="H47" s="208" t="n">
        <x:f>E47/E46-1</x:f>
        <x:v>-0.001542792497625456</x:v>
      </x:c>
      <x:c r="I47" s="208" t="n">
        <x:f>G47/G46-1</x:f>
        <x:v>-0.011107078736659282</x:v>
      </x:c>
      <x:c r="J47" s="208" t="n">
        <x:f>'Beta HC3'!$E$13+'Beta HC3'!$E$12*I47</x:f>
        <x:v>-0.012517562330051588</x:v>
      </x:c>
      <x:c r="K47" s="240" t="n">
        <x:f>H47-J47</x:f>
        <x:v>0.010974769832426132</x:v>
      </x:c>
      <x:c r="L47" s="240" t="n">
        <x:f>I47-'Beta HC3'!$E$9</x:f>
        <x:v>-0.01167102635431972</x:v>
      </x:c>
      <x:c r="M47" s="240" t="n">
        <x:f>1/'Beta HC3'!$E$8+L47^2/'Beta HC3'!$E$11</x:f>
        <x:v>0.0017282968807451815</x:v>
      </x:c>
      <x:c r="N47" s="240" t="n">
        <x:f>K47^2/(1-M47)^2</x:f>
        <x:v>0.00012086298609951623</x:v>
      </x:c>
      <x:c r="O47" s="240" t="n">
        <x:f>N47*L47^2/'Beta HC3'!$E$11^2</x:f>
        <x:v>7.698855035765125e-7</x:v>
      </x:c>
      <x:c r="P47" s="240" t="n">
        <x:f>N47*(1/'Beta HC3'!$E$8-'Beta HC3'!$E$9*L47/'Beta HC3'!$E$11)^2</x:f>
        <x:v>8.565135251247331e-11</x:v>
      </x:c>
      <x:c r="Q47" s="240" t="n">
        <x:f>N47*(1/'Beta HC3'!$E$8-'Beta HC3'!$E$9*L47/'Beta HC3'!$E$11)*L47/'Beta HC3'!$E$11</x:f>
        <x:v>-8.120451629132146e-9</x:v>
      </x:c>
      <x:c r="R47" s="240" t="n">
        <x:f>K47*L47/'Beta HC3'!$E$11</x:f>
        <x:v>-0.000875914734322679</x:v>
      </x:c>
      <x:c r="S47" s="240" t="n">
        <x:f>(K47-K46)^2</x:f>
        <x:v>0.000048746633846614034</x:v>
      </x:c>
      <x:c r="T47" s="280" t="n">
        <x:f>E47/$E$9*100</x:f>
        <x:v>112.15325589180271</x:v>
      </x:c>
      <x:c r="U47" s="136"/>
      <x:c r="V47" s="136"/>
      <x:c r="W47" s="136"/>
      <x:c r="X47" s="136"/>
      <x:c r="Y47" s="136"/>
      <x:c r="Z47" s="136"/>
    </x:row>
    <x:row r="48" ht="24" customHeight="1">
      <x:c r="A48" s="136"/>
      <x:c r="B48" s="136"/>
      <x:c r="C48" s="274" t="d">
        <x:v>2021-12-02T00:00:00.000Z</x:v>
      </x:c>
      <x:c r="D48" s="191" t="n">
        <x:v>329.489990234375</x:v>
      </x:c>
      <x:c r="E48" s="191" t="n">
        <x:v>316.799072265625</x:v>
      </x:c>
      <x:c r="F48" s="191" t="n">
        <x:v>457.3999938964844</x:v>
      </x:c>
      <x:c r="G48" s="191" t="n">
        <x:v>427.8073425292969</x:v>
      </x:c>
      <x:c r="H48" s="208" t="n">
        <x:f>E48/E47-1</x:f>
        <x:v>-0.0017874004996413229</x:v>
      </x:c>
      <x:c r="I48" s="208" t="n">
        <x:f>G48/G47-1</x:f>
        <x:v>0.015316305157124122</x:v>
      </x:c>
      <x:c r="J48" s="208" t="n">
        <x:f>'Beta HC3'!$E$13+'Beta HC3'!$E$12*I48</x:f>
        <x:v>0.017283040080263386</x:v>
      </x:c>
      <x:c r="K48" s="240" t="n">
        <x:f>H48-J48</x:f>
        <x:v>-0.01907044057990471</x:v>
      </x:c>
      <x:c r="L48" s="240" t="n">
        <x:f>I48-'Beta HC3'!$E$9</x:f>
        <x:v>0.014752357539463683</x:v>
      </x:c>
      <x:c r="M48" s="240" t="n">
        <x:f>1/'Beta HC3'!$E$8+L48^2/'Beta HC3'!$E$11</x:f>
        <x:v>0.0022850775839980777</x:v>
      </x:c>
      <x:c r="N48" s="240" t="n">
        <x:f>K48^2/(1-M48)^2</x:f>
        <x:v>0.0003653495001162736</x:v>
      </x:c>
      <x:c r="O48" s="240" t="n">
        <x:f>N48*L48^2/'Beta HC3'!$E$11^2</x:f>
        <x:v>0.000003718314319884592</x:v>
      </x:c>
      <x:c r="P48" s="240" t="n">
        <x:f>N48*(1/'Beta HC3'!$E$8-'Beta HC3'!$E$9*L48/'Beta HC3'!$E$11)^2</x:f>
        <x:v>2.000220860170405e-10</x:v>
      </x:c>
      <x:c r="Q48" s="240" t="n">
        <x:f>N48*(1/'Beta HC3'!$E$8-'Beta HC3'!$E$9*L48/'Beta HC3'!$E$11)*L48/'Beta HC3'!$E$11</x:f>
        <x:v>2.7271688373299315e-8</x:v>
      </x:c>
      <x:c r="R48" s="240" t="n">
        <x:f>K48*L48/'Beta HC3'!$E$11</x:f>
        <x:v>-0.0019238868111075055</x:v>
      </x:c>
      <x:c r="S48" s="240" t="n">
        <x:f>(K48-K47)^2</x:f>
        <x:v>0.0009027146687212334</x:v>
      </x:c>
      <x:c r="T48" s="280" t="n">
        <x:f>E48/$E$9*100</x:f>
        <x:v>111.95279310618531</x:v>
      </x:c>
      <x:c r="U48" s="136"/>
      <x:c r="V48" s="136"/>
      <x:c r="W48" s="136"/>
      <x:c r="X48" s="136"/>
      <x:c r="Y48" s="136"/>
      <x:c r="Z48" s="136"/>
    </x:row>
    <x:row r="49" ht="24" customHeight="1">
      <x:c r="A49" s="136"/>
      <x:c r="B49" s="136"/>
      <x:c r="C49" s="274" t="d">
        <x:v>2021-12-03T00:00:00.000Z</x:v>
      </x:c>
      <x:c r="D49" s="191" t="n">
        <x:v>323.010009765625</x:v>
      </x:c>
      <x:c r="E49" s="191" t="n">
        <x:v>310.5685729980469</x:v>
      </x:c>
      <x:c r="F49" s="191" t="n">
        <x:v>453.4200134277344</x:v>
      </x:c>
      <x:c r="G49" s="191" t="n">
        <x:v>424.0848693847656</x:v>
      </x:c>
      <x:c r="H49" s="208" t="n">
        <x:f>E49/E48-1</x:f>
        <x:v>-0.019667037605318738</x:v>
      </x:c>
      <x:c r="I49" s="208" t="n">
        <x:f>G49/G48-1</x:f>
        <x:v>-0.008701283906262902</x:v>
      </x:c>
      <x:c r="J49" s="208" t="n">
        <x:f>'Beta HC3'!$E$13+'Beta HC3'!$E$12*I49</x:f>
        <x:v>-0.009804278690468203</x:v>
      </x:c>
      <x:c r="K49" s="240" t="n">
        <x:f>H49-J49</x:f>
        <x:v>-0.009862758914850535</x:v>
      </x:c>
      <x:c r="L49" s="240" t="n">
        <x:f>I49-'Beta HC3'!$E$9</x:f>
        <x:v>-0.009265231523923341</x:v>
      </x:c>
      <x:c r="M49" s="240" t="n">
        <x:f>1/'Beta HC3'!$E$8+L49^2/'Beta HC3'!$E$11</x:f>
        <x:v>0.001383855748839868</x:v>
      </x:c>
      <x:c r="N49" s="240" t="n">
        <x:f>K49^2/(1-M49)^2</x:f>
        <x:v>0.00009754379970652837</x:v>
      </x:c>
      <x:c r="O49" s="240" t="n">
        <x:f>N49*L49^2/'Beta HC3'!$E$11^2</x:f>
        <x:v>3.9158580852361106e-7</x:v>
      </x:c>
      <x:c r="P49" s="240" t="n">
        <x:f>N49*(1/'Beta HC3'!$E$8-'Beta HC3'!$E$9*L49/'Beta HC3'!$E$11)^2</x:f>
        <x:v>6.761054217027535e-11</x:v>
      </x:c>
      <x:c r="Q49" s="240" t="n">
        <x:f>N49*(1/'Beta HC3'!$E$8-'Beta HC3'!$E$9*L49/'Beta HC3'!$E$11)*L49/'Beta HC3'!$E$11</x:f>
        <x:v>-5.145418235718742e-9</x:v>
      </x:c>
      <x:c r="R49" s="240" t="n">
        <x:f>K49*L49/'Beta HC3'!$E$11</x:f>
        <x:v>0.000624902201858876</x:v>
      </x:c>
      <x:c r="S49" s="240" t="n">
        <x:f>(K49-K48)^2</x:f>
        <x:v>0.00008478140164497481</x:v>
      </x:c>
      <x:c r="T49" s="280" t="n">
        <x:f>E49/$E$9*100</x:f>
        <x:v>109.7510133141455</x:v>
      </x:c>
      <x:c r="U49" s="136"/>
      <x:c r="V49" s="136"/>
      <x:c r="W49" s="136"/>
      <x:c r="X49" s="136"/>
      <x:c r="Y49" s="136"/>
      <x:c r="Z49" s="136"/>
    </x:row>
    <x:row r="50" ht="24" customHeight="1">
      <x:c r="A50" s="136"/>
      <x:c r="B50" s="136"/>
      <x:c r="C50" s="274" t="d">
        <x:v>2021-12-06T00:00:00.000Z</x:v>
      </x:c>
      <x:c r="D50" s="191" t="n">
        <x:v>326.19000244140625</x:v>
      </x:c>
      <x:c r="E50" s="191" t="n">
        <x:v>313.62615966796875</x:v>
      </x:c>
      <x:c r="F50" s="191" t="n">
        <x:v>458.7900085449219</x:v>
      </x:c>
      <x:c r="G50" s="191" t="n">
        <x:v>429.1074523925781</x:v>
      </x:c>
      <x:c r="H50" s="208" t="n">
        <x:f>E50/E49-1</x:f>
        <x:v>0.009845125797519394</x:v>
      </x:c>
      <x:c r="I50" s="208" t="n">
        <x:f>G50/G49-1</x:f>
        <x:v>0.011843344034176306</x:v>
      </x:c>
      <x:c r="J50" s="208" t="n">
        <x:f>'Beta HC3'!$E$13+'Beta HC3'!$E$12*I50</x:f>
        <x:v>0.013366193773693302</x:v>
      </x:c>
      <x:c r="K50" s="240" t="n">
        <x:f>H50-J50</x:f>
        <x:v>-0.0035210679761739083</x:v>
      </x:c>
      <x:c r="L50" s="240" t="n">
        <x:f>I50-'Beta HC3'!$E$9</x:f>
        <x:v>0.011279396416515867</x:v>
      </x:c>
      <x:c r="M50" s="240" t="n">
        <x:f>1/'Beta HC3'!$E$8+L50^2/'Beta HC3'!$E$11</x:f>
        <x:v>0.0016668324398907842</x:v>
      </x:c>
      <x:c r="N50" s="240" t="n">
        <x:f>K50^2/(1-M50)^2</x:f>
        <x:v>0.000012439353768989764</x:v>
      </x:c>
      <x:c r="O50" s="240" t="n">
        <x:f>N50*L50^2/'Beta HC3'!$E$11^2</x:f>
        <x:v>7.400895337300327e-8</x:v>
      </x:c>
      <x:c r="P50" s="240" t="n">
        <x:f>N50*(1/'Beta HC3'!$E$8-'Beta HC3'!$E$9*L50/'Beta HC3'!$E$11)^2</x:f>
        <x:v>7.059099338527965e-12</x:v>
      </x:c>
      <x:c r="Q50" s="240" t="n">
        <x:f>N50*(1/'Beta HC3'!$E$8-'Beta HC3'!$E$9*L50/'Beta HC3'!$E$11)*L50/'Beta HC3'!$E$11</x:f>
        <x:v>7.22797726753837e-10</x:v>
      </x:c>
      <x:c r="R50" s="240" t="n">
        <x:f>K50*L50/'Beta HC3'!$E$11</x:f>
        <x:v>-0.0002715924114287401</x:v>
      </x:c>
      <x:c r="S50" s="240" t="n">
        <x:f>(K50-K49)^2</x:f>
        <x:v>0.00004021704396169323</x:v>
      </x:c>
      <x:c r="T50" s="280" t="n">
        <x:f>E50/$E$9*100</x:f>
        <x:v>110.8315258466285</x:v>
      </x:c>
      <x:c r="U50" s="136"/>
      <x:c r="V50" s="136"/>
      <x:c r="W50" s="136"/>
      <x:c r="X50" s="136"/>
      <x:c r="Y50" s="136"/>
      <x:c r="Z50" s="136"/>
    </x:row>
    <x:row r="51" ht="24" customHeight="1">
      <x:c r="A51" s="136"/>
      <x:c r="B51" s="136"/>
      <x:c r="C51" s="274" t="d">
        <x:v>2021-12-07T00:00:00.000Z</x:v>
      </x:c>
      <x:c r="D51" s="191" t="n">
        <x:v>334.9200134277344</x:v>
      </x:c>
      <x:c r="E51" s="191" t="n">
        <x:v>322.0199890136719</x:v>
      </x:c>
      <x:c r="F51" s="191" t="n">
        <x:v>468.2799987792969</x:v>
      </x:c>
      <x:c r="G51" s="191" t="n">
        <x:v>437.98345947265625</x:v>
      </x:c>
      <x:c r="H51" s="208" t="n">
        <x:f>E51/E50-1</x:f>
        <x:v>0.026763804889839315</x:v>
      </x:c>
      <x:c r="I51" s="208" t="n">
        <x:f>G51/G50-1</x:f>
        <x:v>0.020684812231966943</x:v>
      </x:c>
      <x:c r="J51" s="208" t="n">
        <x:f>'Beta HC3'!$E$13+'Beta HC3'!$E$12*I51</x:f>
        <x:v>0.023337705353926284</x:v>
      </x:c>
      <x:c r="K51" s="240" t="n">
        <x:f>H51-J51</x:f>
        <x:v>0.003426099535913031</x:v>
      </x:c>
      <x:c r="L51" s="240" t="n">
        <x:f>I51-'Beta HC3'!$E$9</x:f>
        <x:v>0.020120864614306504</x:v>
      </x:c>
      <x:c r="M51" s="240" t="n">
        <x:f>1/'Beta HC3'!$E$8+L51^2/'Beta HC3'!$E$11</x:f>
        <x:v>0.0035653517069928033</x:v>
      </x:c>
      <x:c r="N51" s="240" t="n">
        <x:f>K51^2/(1-M51)^2</x:f>
        <x:v>0.000011822309128009125</x:v>
      </x:c>
      <x:c r="O51" s="240" t="n">
        <x:f>N51*L51^2/'Beta HC3'!$E$11^2</x:f>
        <x:v>2.238258856331582e-7</x:v>
      </x:c>
      <x:c r="P51" s="240" t="n">
        <x:f>N51*(1/'Beta HC3'!$E$8-'Beta HC3'!$E$9*L51/'Beta HC3'!$E$11)^2</x:f>
        <x:v>6.1153477130545815e-12</x:v>
      </x:c>
      <x:c r="Q51" s="240" t="n">
        <x:f>N51*(1/'Beta HC3'!$E$8-'Beta HC3'!$E$9*L51/'Beta HC3'!$E$11)*L51/'Beta HC3'!$E$11</x:f>
        <x:v>1.1699457755935316e-9</x:v>
      </x:c>
      <x:c r="R51" s="240" t="n">
        <x:f>K51*L51/'Beta HC3'!$E$11</x:f>
        <x:v>0.00047141562854999426</x:v>
      </x:c>
      <x:c r="S51" s="240" t="n">
        <x:f>(K51-K50)^2</x:f>
        <x:v>0.00004826313644099624</x:v>
      </x:c>
      <x:c r="T51" s="280" t="n">
        <x:f>E51/$E$9*100</x:f>
        <x:v>113.79779918003085</x:v>
      </x:c>
      <x:c r="U51" s="136"/>
      <x:c r="V51" s="136"/>
      <x:c r="W51" s="136"/>
      <x:c r="X51" s="136"/>
      <x:c r="Y51" s="136"/>
      <x:c r="Z51" s="136"/>
    </x:row>
    <x:row r="52" ht="24" customHeight="1">
      <x:c r="A52" s="136"/>
      <x:c r="B52" s="136"/>
      <x:c r="C52" s="274" t="d">
        <x:v>2021-12-08T00:00:00.000Z</x:v>
      </x:c>
      <x:c r="D52" s="191" t="n">
        <x:v>334.9700012207031</x:v>
      </x:c>
      <x:c r="E52" s="191" t="n">
        <x:v>322.0679626464844</x:v>
      </x:c>
      <x:c r="F52" s="191" t="n">
        <x:v>469.5199890136719</x:v>
      </x:c>
      <x:c r="G52" s="191" t="n">
        <x:v>439.14312744140625</x:v>
      </x:c>
      <x:c r="H52" s="208" t="n">
        <x:f>E52/E51-1</x:f>
        <x:v>0.0001489771891471925</x:v>
      </x:c>
      <x:c r="I52" s="208" t="n">
        <x:f>G52/G51-1</x:f>
        <x:v>0.002647743753031895</x:v>
      </x:c>
      <x:c r="J52" s="208" t="n">
        <x:f>'Beta HC3'!$E$13+'Beta HC3'!$E$12*I52</x:f>
        <x:v>0.002995287874428943</x:v>
      </x:c>
      <x:c r="K52" s="240" t="n">
        <x:f>H52-J52</x:f>
        <x:v>-0.0028463106852817505</x:v>
      </x:c>
      <x:c r="L52" s="240" t="n">
        <x:f>I52-'Beta HC3'!$E$9</x:f>
        <x:v>0.0020837961353714555</x:v>
      </x:c>
      <x:c r="M52" s="240" t="n">
        <x:f>1/'Beta HC3'!$E$8+L52^2/'Beta HC3'!$E$11</x:f>
        <x:v>0.0008265066884058845</x:v>
      </x:c>
      <x:c r="N52" s="240" t="n">
        <x:f>K52^2/(1-M52)^2</x:f>
        <x:v>0.000008114893000438804</x:v>
      </x:c>
      <x:c r="O52" s="240" t="n">
        <x:f>N52*L52^2/'Beta HC3'!$E$11^2</x:f>
        <x:v>1.6478131984432013e-9</x:v>
      </x:c>
      <x:c r="P52" s="240" t="n">
        <x:f>N52*(1/'Beta HC3'!$E$8-'Beta HC3'!$E$9*L52/'Beta HC3'!$E$11)^2</x:f>
        <x:v>5.048830206693243e-12</x:v>
      </x:c>
      <x:c r="Q52" s="240" t="n">
        <x:f>N52*(1/'Beta HC3'!$E$8-'Beta HC3'!$E$9*L52/'Beta HC3'!$E$11)*L52/'Beta HC3'!$E$11</x:f>
        <x:v>9.121145241299386e-11</x:v>
      </x:c>
      <x:c r="R52" s="240" t="n">
        <x:f>K52*L52/'Beta HC3'!$E$11</x:f>
        <x:v>-0.00004055971482674415</x:v>
      </x:c>
      <x:c r="S52" s="240" t="n">
        <x:f>(K52-K51)^2</x:f>
        <x:v>0.000039343129982948774</x:v>
      </x:c>
      <x:c r="T52" s="280" t="n">
        <x:f>E52/$E$9*100</x:f>
        <x:v>113.81475245628386</x:v>
      </x:c>
      <x:c r="U52" s="136"/>
      <x:c r="V52" s="136"/>
      <x:c r="W52" s="136"/>
      <x:c r="X52" s="136"/>
      <x:c r="Y52" s="136"/>
      <x:c r="Z52" s="136"/>
    </x:row>
    <x:row r="53" ht="24" customHeight="1">
      <x:c r="A53" s="136"/>
      <x:c r="B53" s="136"/>
      <x:c r="C53" s="274" t="d">
        <x:v>2021-12-09T00:00:00.000Z</x:v>
      </x:c>
      <x:c r="D53" s="191" t="n">
        <x:v>333.1000061035156</x:v>
      </x:c>
      <x:c r="E53" s="191" t="n">
        <x:v>320.26995849609375</x:v>
      </x:c>
      <x:c r="F53" s="191" t="n">
        <x:v>466.3500061035156</x:v>
      </x:c>
      <x:c r="G53" s="191" t="n">
        <x:v>436.1782531738281</x:v>
      </x:c>
      <x:c r="H53" s="208" t="n">
        <x:f>E53/E52-1</x:f>
        <x:v>-0.005582685516485775</x:v>
      </x:c>
      <x:c r="I53" s="208" t="n">
        <x:f>G53/G52-1</x:f>
        <x:v>-0.006751498730840799</x:v>
      </x:c>
      <x:c r="J53" s="208" t="n">
        <x:f>'Beta HC3'!$E$13+'Beta HC3'!$E$12*I53</x:f>
        <x:v>-0.007605288090632481</x:v>
      </x:c>
      <x:c r="K53" s="240" t="n">
        <x:f>H53-J53</x:f>
        <x:v>0.002022602574146706</x:v>
      </x:c>
      <x:c r="L53" s="240" t="n">
        <x:f>I53-'Beta HC3'!$E$9</x:f>
        <x:v>-0.007315446348501239</x:v>
      </x:c>
      <x:c r="M53" s="240" t="n">
        <x:f>1/'Beta HC3'!$E$8+L53^2/'Beta HC3'!$E$11</x:f>
        <x:v>0.0011627773006883076</x:v>
      </x:c>
      <x:c r="N53" s="240" t="n">
        <x:f>K53^2/(1-M53)^2</x:f>
        <x:v>0.00000410045145266866</x:v>
      </x:c>
      <x:c r="O53" s="240" t="n">
        <x:f>N53*L53^2/'Beta HC3'!$E$11^2</x:f>
        <x:v>1.026190657117898e-8</x:v>
      </x:c>
      <x:c r="P53" s="240" t="n">
        <x:f>N53*(1/'Beta HC3'!$E$8-'Beta HC3'!$E$9*L53/'Beta HC3'!$E$11)^2</x:f>
        <x:v>2.7910385725987058e-12</x:v>
      </x:c>
      <x:c r="Q53" s="240" t="n">
        <x:f>N53*(1/'Beta HC3'!$E$8-'Beta HC3'!$E$9*L53/'Beta HC3'!$E$11)*L53/'Beta HC3'!$E$11</x:f>
        <x:v>-1.6923763490596488e-10</x:v>
      </x:c>
      <x:c r="R53" s="240" t="n">
        <x:f>K53*L53/'Beta HC3'!$E$11</x:f>
        <x:v>-0.00010118327837026751</x:v>
      </x:c>
      <x:c r="S53" s="240" t="n">
        <x:f>(K53-K52)^2</x:f>
        <x:v>0.00002370631632783824</x:v>
      </x:c>
      <x:c r="T53" s="280" t="n">
        <x:f>E53/$E$9*100</x:f>
        <x:v>113.17936048618374</x:v>
      </x:c>
      <x:c r="U53" s="136"/>
      <x:c r="V53" s="136"/>
      <x:c r="W53" s="136"/>
      <x:c r="X53" s="136"/>
      <x:c r="Y53" s="136"/>
      <x:c r="Z53" s="136"/>
    </x:row>
    <x:row r="54" ht="24" customHeight="1">
      <x:c r="A54" s="136"/>
      <x:c r="B54" s="136"/>
      <x:c r="C54" s="274" t="d">
        <x:v>2021-12-10T00:00:00.000Z</x:v>
      </x:c>
      <x:c r="D54" s="191" t="n">
        <x:v>342.5400085449219</x:v>
      </x:c>
      <x:c r="E54" s="191" t="n">
        <x:v>329.34649658203125</x:v>
      </x:c>
      <x:c r="F54" s="191" t="n">
        <x:v>470.739990234375</x:v>
      </x:c>
      <x:c r="G54" s="191" t="n">
        <x:v>440.2843322753906</x:v>
      </x:c>
      <x:c r="H54" s="208" t="n">
        <x:f>E54/E53-1</x:f>
        <x:v>0.028340273088861112</x:v>
      </x:c>
      <x:c r="I54" s="208" t="n">
        <x:f>G54/G53-1</x:f>
        <x:v>0.009413763918042273</x:v>
      </x:c>
      <x:c r="J54" s="208" t="n">
        <x:f>'Beta HC3'!$E$13+'Beta HC3'!$E$12*I54</x:f>
        <x:v>0.01062608480975582</x:v>
      </x:c>
      <x:c r="K54" s="240" t="n">
        <x:f>H54-J54</x:f>
        <x:v>0.017714188279105293</x:v>
      </x:c>
      <x:c r="L54" s="240" t="n">
        <x:f>I54-'Beta HC3'!$E$9</x:f>
        <x:v>0.008849816300381834</x:v>
      </x:c>
      <x:c r="M54" s="240" t="n">
        <x:f>1/'Beta HC3'!$E$8+L54^2/'Beta HC3'!$E$11</x:f>
        <x:v>0.0013323946264390235</x:v>
      </x:c>
      <x:c r="N54" s="240" t="n">
        <x:f>K54^2/(1-M54)^2</x:f>
        <x:v>0.0003146303313577227</x:v>
      </x:c>
      <x:c r="O54" s="240" t="n">
        <x:f>N54*L54^2/'Beta HC3'!$E$11^2</x:f>
        <x:v>0.0000011523484510086667</x:v>
      </x:c>
      <x:c r="P54" s="240" t="n">
        <x:f>N54*(1/'Beta HC3'!$E$8-'Beta HC3'!$E$9*L54/'Beta HC3'!$E$11)^2</x:f>
        <x:v>1.8301595932310826e-10</x:v>
      </x:c>
      <x:c r="Q54" s="240" t="n">
        <x:f>N54*(1/'Beta HC3'!$E$8-'Beta HC3'!$E$9*L54/'Beta HC3'!$E$11)*L54/'Beta HC3'!$E$11</x:f>
        <x:v>1.4522333050713614e-8</x:v>
      </x:c>
      <x:c r="R54" s="240" t="n">
        <x:f>K54*L54/'Beta HC3'!$E$11</x:f>
        <x:v>0.0010720446497122927</x:v>
      </x:c>
      <x:c r="S54" s="240" t="n">
        <x:f>(K54-K53)^2</x:f>
        <x:v>0.00024622586193606065</x:v>
      </x:c>
      <x:c r="T54" s="280" t="n">
        <x:f>E54/$E$9*100</x:f>
        <x:v>116.38689447038482</x:v>
      </x:c>
      <x:c r="U54" s="136"/>
      <x:c r="V54" s="136"/>
      <x:c r="W54" s="136"/>
      <x:c r="X54" s="136"/>
      <x:c r="Y54" s="136"/>
      <x:c r="Z54" s="136"/>
    </x:row>
    <x:row r="55" ht="24" customHeight="1">
      <x:c r="A55" s="136"/>
      <x:c r="B55" s="136"/>
      <x:c r="C55" s="274" t="d">
        <x:v>2021-12-13T00:00:00.000Z</x:v>
      </x:c>
      <x:c r="D55" s="191" t="n">
        <x:v>339.3999938964844</x:v>
      </x:c>
      <x:c r="E55" s="191" t="n">
        <x:v>326.3273620605469</x:v>
      </x:c>
      <x:c r="F55" s="191" t="n">
        <x:v>466.57000732421875</x:v>
      </x:c>
      <x:c r="G55" s="191" t="n">
        <x:v>436.3840637207031</x:v>
      </x:c>
      <x:c r="H55" s="208" t="n">
        <x:f>E55/E54-1</x:f>
        <x:v>-0.009167046113491617</x:v>
      </x:c>
      <x:c r="I55" s="208" t="n">
        <x:f>G55/G54-1</x:f>
        <x:v>-0.008858522252043088</x:v>
      </x:c>
      <x:c r="J55" s="208" t="n">
        <x:f>'Beta HC3'!$E$13+'Beta HC3'!$E$12*I55</x:f>
        <x:v>-0.00998161394189122</x:v>
      </x:c>
      <x:c r="K55" s="240" t="n">
        <x:f>H55-J55</x:f>
        <x:v>0.0008145678283996028</x:v>
      </x:c>
      <x:c r="L55" s="240" t="n">
        <x:f>I55-'Beta HC3'!$E$9</x:f>
        <x:v>-0.009422469869703527</x:v>
      </x:c>
      <x:c r="M55" s="240" t="n">
        <x:f>1/'Beta HC3'!$E$8+L55^2/'Beta HC3'!$E$11</x:f>
        <x:v>0.0014039499947879745</x:v>
      </x:c>
      <x:c r="N55" s="240" t="n">
        <x:f>K55^2/(1-M55)^2</x:f>
        <x:v>6.653877778685804e-7</x:v>
      </x:c>
      <x:c r="O55" s="240" t="n">
        <x:f>N55*L55^2/'Beta HC3'!$E$11^2</x:f>
        <x:v>2.7626066753363403e-9</x:v>
      </x:c>
      <x:c r="P55" s="240" t="n">
        <x:f>N55*(1/'Beta HC3'!$E$8-'Beta HC3'!$E$9*L55/'Beta HC3'!$E$11)^2</x:f>
        <x:v>4.618723730583041e-13</x:v>
      </x:c>
      <x:c r="Q55" s="240" t="n">
        <x:f>N55*(1/'Beta HC3'!$E$8-'Beta HC3'!$E$9*L55/'Beta HC3'!$E$11)*L55/'Beta HC3'!$E$11</x:f>
        <x:v>-3.5720746086333466e-11</x:v>
      </x:c>
      <x:c r="R55" s="240" t="n">
        <x:f>K55*L55/'Beta HC3'!$E$11</x:f>
        <x:v>-0.00005248671257935706</x:v>
      </x:c>
      <x:c r="S55" s="240" t="n">
        <x:f>(K55-K54)^2</x:f>
        <x:v>0.0002855971713779101</x:v>
      </x:c>
      <x:c r="T55" s="280" t="n">
        <x:f>E55/$E$9*100</x:f>
        <x:v>115.31997044176873</x:v>
      </x:c>
      <x:c r="U55" s="136"/>
      <x:c r="V55" s="136"/>
      <x:c r="W55" s="136"/>
      <x:c r="X55" s="136"/>
      <x:c r="Y55" s="136"/>
      <x:c r="Z55" s="136"/>
    </x:row>
    <x:row r="56" ht="24" customHeight="1">
      <x:c r="A56" s="136"/>
      <x:c r="B56" s="136"/>
      <x:c r="C56" s="274" t="d">
        <x:v>2021-12-14T00:00:00.000Z</x:v>
      </x:c>
      <x:c r="D56" s="191" t="n">
        <x:v>328.3399963378906</x:v>
      </x:c>
      <x:c r="E56" s="191" t="n">
        <x:v>315.6933898925781</x:v>
      </x:c>
      <x:c r="F56" s="191" t="n">
        <x:v>463.3599853515625</x:v>
      </x:c>
      <x:c r="G56" s="191" t="n">
        <x:v>433.3817443847656</x:v>
      </x:c>
      <x:c r="H56" s="208" t="n">
        <x:f>E56/E55-1</x:f>
        <x:v>-0.03258682355295639</x:v>
      </x:c>
      <x:c r="I56" s="208" t="n">
        <x:f>G56/G55-1</x:f>
        <x:v>-0.006879993073851232</x:v>
      </x:c>
      <x:c r="J56" s="208" t="n">
        <x:f>'Beta HC3'!$E$13+'Beta HC3'!$E$12*I56</x:f>
        <x:v>-0.007750205518446464</x:v>
      </x:c>
      <x:c r="K56" s="240" t="n">
        <x:f>H56-J56</x:f>
        <x:v>-0.024836618034509927</x:v>
      </x:c>
      <x:c r="L56" s="240" t="n">
        <x:f>I56-'Beta HC3'!$E$9</x:f>
        <x:v>-0.007443940691511671</x:v>
      </x:c>
      <x:c r="M56" s="240" t="n">
        <x:f>1/'Beta HC3'!$E$8+L56^2/'Beta HC3'!$E$11</x:f>
        <x:v>0.0011757463962739304</x:v>
      </x:c>
      <x:c r="N56" s="240" t="n">
        <x:f>K56^2/(1-M56)^2</x:f>
        <x:v>0.0006183106937920687</x:v>
      </x:c>
      <x:c r="O56" s="240" t="n">
        <x:f>N56*L56^2/'Beta HC3'!$E$11^2</x:f>
        <x:v>0.000001602238964989316</x:v>
      </x:c>
      <x:c r="P56" s="240" t="n">
        <x:f>N56*(1/'Beta HC3'!$E$8-'Beta HC3'!$E$9*L56/'Beta HC3'!$E$11)^2</x:f>
        <x:v>4.2136889480768765e-10</x:v>
      </x:c>
      <x:c r="Q56" s="240" t="n">
        <x:f>N56*(1/'Beta HC3'!$E$8-'Beta HC3'!$E$9*L56/'Beta HC3'!$E$11)*L56/'Beta HC3'!$E$11</x:f>
        <x:v>-2.5983334310579955e-8</x:v>
      </x:c>
      <x:c r="R56" s="240" t="n">
        <x:f>K56*L56/'Beta HC3'!$E$11</x:f>
        <x:v>0.0012643075284572364</x:v>
      </x:c>
      <x:c r="S56" s="240" t="n">
        <x:f>(K56-K55)^2</x:f>
        <x:v>0.0006579833361735297</x:v>
      </x:c>
      <x:c r="T56" s="280" t="n">
        <x:f>E56/$E$9*100</x:f>
        <x:v>111.56205891285067</x:v>
      </x:c>
      <x:c r="U56" s="136"/>
      <x:c r="V56" s="136"/>
      <x:c r="W56" s="136"/>
      <x:c r="X56" s="136"/>
      <x:c r="Y56" s="136"/>
      <x:c r="Z56" s="136"/>
    </x:row>
    <x:row r="57" ht="24" customHeight="1">
      <x:c r="A57" s="136"/>
      <x:c r="B57" s="136"/>
      <x:c r="C57" s="274" t="d">
        <x:v>2021-12-15T00:00:00.000Z</x:v>
      </x:c>
      <x:c r="D57" s="191" t="n">
        <x:v>334.6499938964844</x:v>
      </x:c>
      <x:c r="E57" s="191" t="n">
        <x:v>321.7602844238281</x:v>
      </x:c>
      <x:c r="F57" s="191" t="n">
        <x:v>470.6000061035156</x:v>
      </x:c>
      <x:c r="G57" s="191" t="n">
        <x:v>440.1532897949219</x:v>
      </x:c>
      <x:c r="H57" s="208" t="n">
        <x:f>E57/E56-1</x:f>
        <x:v>0.0192176799562207</x:v>
      </x:c>
      <x:c r="I57" s="208" t="n">
        <x:f>G57/G56-1</x:f>
        <x:v>0.015624897674841431</x:v>
      </x:c>
      <x:c r="J57" s="208" t="n">
        <x:f>'Beta HC3'!$E$13+'Beta HC3'!$E$12*I57</x:f>
        <x:v>0.017631074342803664</x:v>
      </x:c>
      <x:c r="K57" s="240" t="n">
        <x:f>H57-J57</x:f>
        <x:v>0.0015866056134170373</x:v>
      </x:c>
      <x:c r="L57" s="240" t="n">
        <x:f>I57-'Beta HC3'!$E$9</x:f>
        <x:v>0.015060950057180993</x:v>
      </x:c>
      <x:c r="M57" s="240" t="n">
        <x:f>1/'Beta HC3'!$E$8+L57^2/'Beta HC3'!$E$11</x:f>
        <x:v>0.00234799239757243</x:v>
      </x:c>
      <x:c r="N57" s="240" t="n">
        <x:f>K57^2/(1-M57)^2</x:f>
        <x:v>0.0000025291804217869363</x:v>
      </x:c>
      <x:c r="O57" s="240" t="n">
        <x:f>N57*L57^2/'Beta HC3'!$E$11^2</x:f>
        <x:v>2.6828677866064005e-8</x:v>
      </x:c>
      <x:c r="P57" s="240" t="n">
        <x:f>N57*(1/'Beta HC3'!$E$8-'Beta HC3'!$E$9*L57/'Beta HC3'!$E$11)^2</x:f>
        <x:v>1.3802287644818922e-12</x:v>
      </x:c>
      <x:c r="Q57" s="240" t="n">
        <x:f>N57*(1/'Beta HC3'!$E$8-'Beta HC3'!$E$9*L57/'Beta HC3'!$E$11)*L57/'Beta HC3'!$E$11</x:f>
        <x:v>1.9243106013261015e-10</x:v>
      </x:c>
      <x:c r="R57" s="240" t="n">
        <x:f>K57*L57/'Beta HC3'!$E$11</x:f>
        <x:v>0.00016341003246760763</x:v>
      </x:c>
      <x:c r="S57" s="240" t="n">
        <x:f>(K57-K56)^2</x:f>
        <x:v>0.0006981867479483668</x:v>
      </x:c>
      <x:c r="T57" s="280" t="n">
        <x:f>E57/$E$9*100</x:f>
        <x:v>113.70602285629488</x:v>
      </x:c>
      <x:c r="U57" s="136"/>
      <x:c r="V57" s="136"/>
      <x:c r="W57" s="136"/>
      <x:c r="X57" s="136"/>
      <x:c r="Y57" s="136"/>
      <x:c r="Z57" s="136"/>
    </x:row>
    <x:row r="58" ht="24" customHeight="1">
      <x:c r="A58" s="136"/>
      <x:c r="B58" s="136"/>
      <x:c r="C58" s="274" t="d">
        <x:v>2021-12-16T00:00:00.000Z</x:v>
      </x:c>
      <x:c r="D58" s="191" t="n">
        <x:v>324.8999938964844</x:v>
      </x:c>
      <x:c r="E58" s="191" t="n">
        <x:v>312.3858337402344</x:v>
      </x:c>
      <x:c r="F58" s="191" t="n">
        <x:v>466.45001220703125</x:v>
      </x:c>
      <x:c r="G58" s="191" t="n">
        <x:v>436.2718200683594</x:v>
      </x:c>
      <x:c r="H58" s="208" t="n">
        <x:f>E58/E57-1</x:f>
        <x:v>-0.029134890592170004</x:v>
      </x:c>
      <x:c r="I58" s="208" t="n">
        <x:f>G58/G57-1</x:f>
        <x:v>-0.00881844988224667</x:v>
      </x:c>
      <x:c r="J58" s="208" t="n">
        <x:f>'Beta HC3'!$E$13+'Beta HC3'!$E$12*I58</x:f>
        <x:v>-0.009936419853021204</x:v>
      </x:c>
      <x:c r="K58" s="240" t="n">
        <x:f>H58-J58</x:f>
        <x:v>-0.0191984707391488</x:v>
      </x:c>
      <x:c r="L58" s="240" t="n">
        <x:f>I58-'Beta HC3'!$E$9</x:f>
        <x:v>-0.00938239749990711</x:v>
      </x:c>
      <x:c r="M58" s="240" t="n">
        <x:f>1/'Beta HC3'!$E$8+L58^2/'Beta HC3'!$E$11</x:f>
        <x:v>0.0013987968462319711</x:v>
      </x:c>
      <x:c r="N58" s="240" t="n">
        <x:f>K58^2/(1-M58)^2</x:f>
        <x:v>0.00036961458695911563</x:v>
      </x:c>
      <x:c r="O58" s="240" t="n">
        <x:f>N58*L58^2/'Beta HC3'!$E$11^2</x:f>
        <x:v>0.0000015215684075887512</x:v>
      </x:c>
      <x:c r="P58" s="240" t="n">
        <x:f>N58*(1/'Beta HC3'!$E$8-'Beta HC3'!$E$9*L58/'Beta HC3'!$E$11)^2</x:f>
        <x:v>2.5646915469246733e-10</x:v>
      </x:c>
      <x:c r="Q58" s="240" t="n">
        <x:f>N58*(1/'Beta HC3'!$E$8-'Beta HC3'!$E$9*L58/'Beta HC3'!$E$11)*L58/'Beta HC3'!$E$11</x:f>
        <x:v>-1.9754375801352235e-8</x:v>
      </x:c>
      <x:c r="R58" s="240" t="n">
        <x:f>K58*L58/'Beta HC3'!$E$11</x:f>
        <x:v>0.0012317932677845759</x:v>
      </x:c>
      <x:c r="S58" s="240" t="n">
        <x:f>(K58-K57)^2</x:f>
        <x:v>0.00043201939898199155</x:v>
      </x:c>
      <x:c r="T58" s="280" t="n">
        <x:f>E58/$E$9*100</x:f>
        <x:v>110.39321032070595</x:v>
      </x:c>
      <x:c r="U58" s="136"/>
      <x:c r="V58" s="136"/>
      <x:c r="W58" s="136"/>
      <x:c r="X58" s="136"/>
      <x:c r="Y58" s="136"/>
      <x:c r="Z58" s="136"/>
    </x:row>
    <x:row r="59" ht="24" customHeight="1">
      <x:c r="A59" s="136"/>
      <x:c r="B59" s="136"/>
      <x:c r="C59" s="274" t="d">
        <x:v>2021-12-17T00:00:00.000Z</x:v>
      </x:c>
      <x:c r="D59" s="191" t="n">
        <x:v>323.79998779296875</x:v>
      </x:c>
      <x:c r="E59" s="191" t="n">
        <x:v>311.3282165527344</x:v>
      </x:c>
      <x:c r="F59" s="191" t="n">
        <x:v>459.8699951171875</x:v>
      </x:c>
      <x:c r="G59" s="191" t="n">
        <x:v>431.628662109375</x:v>
      </x:c>
      <x:c r="H59" s="208" t="n">
        <x:f>E59/E58-1</x:f>
        <x:v>-0.003385611872462446</x:v>
      </x:c>
      <x:c r="I59" s="208" t="n">
        <x:f>G59/G58-1</x:f>
        <x:v>-0.010642809701201461</x:v>
      </x:c>
      <x:c r="J59" s="208" t="n">
        <x:f>'Beta HC3'!$E$13+'Beta HC3'!$E$12*I59</x:f>
        <x:v>-0.0119939542640781</x:v>
      </x:c>
      <x:c r="K59" s="240" t="n">
        <x:f>H59-J59</x:f>
        <x:v>0.008608342391615655</x:v>
      </x:c>
      <x:c r="L59" s="240" t="n">
        <x:f>I59-'Beta HC3'!$E$9</x:f>
        <x:v>-0.0112067573188619</x:v>
      </x:c>
      <x:c r="M59" s="240" t="n">
        <x:f>1/'Beta HC3'!$E$8+L59^2/'Beta HC3'!$E$11</x:f>
        <x:v>0.001655662702115773</x:v>
      </x:c>
      <x:c r="N59" s="240" t="n">
        <x:f>K59^2/(1-M59)^2</x:f>
        <x:v>0.00007434955047817956</x:v>
      </x:c>
      <x:c r="O59" s="240" t="n">
        <x:f>N59*L59^2/'Beta HC3'!$E$11^2</x:f>
        <x:v>4.366696467136788e-7</x:v>
      </x:c>
      <x:c r="P59" s="240" t="n">
        <x:f>N59*(1/'Beta HC3'!$E$8-'Beta HC3'!$E$9*L59/'Beta HC3'!$E$11)^2</x:f>
        <x:v>5.246502574269683e-11</x:v>
      </x:c>
      <x:c r="Q59" s="240" t="n">
        <x:f>N59*(1/'Beta HC3'!$E$8-'Beta HC3'!$E$9*L59/'Beta HC3'!$E$11)*L59/'Beta HC3'!$E$11</x:f>
        <x:v>-4.786427086657384e-9</x:v>
      </x:c>
      <x:c r="R59" s="240" t="n">
        <x:f>K59*L59/'Beta HC3'!$E$11</x:f>
        <x:v>-0.000659715763360543</x:v>
      </x:c>
      <x:c r="S59" s="240" t="n">
        <x:f>(K59-K58)^2</x:f>
        <x:v>0.0007732188564892545</x:v>
      </x:c>
      <x:c r="T59" s="280" t="n">
        <x:f>E59/$E$9*100</x:f>
        <x:v>110.01946175720492</x:v>
      </x:c>
      <x:c r="U59" s="136"/>
      <x:c r="V59" s="136"/>
      <x:c r="W59" s="136"/>
      <x:c r="X59" s="136"/>
      <x:c r="Y59" s="136"/>
      <x:c r="Z59" s="136"/>
    </x:row>
    <x:row r="60" ht="24" customHeight="1">
      <x:c r="A60" s="136"/>
      <x:c r="B60" s="136"/>
      <x:c r="C60" s="274" t="d">
        <x:v>2021-12-20T00:00:00.000Z</x:v>
      </x:c>
      <x:c r="D60" s="191" t="n">
        <x:v>319.9100036621094</x:v>
      </x:c>
      <x:c r="E60" s="191" t="n">
        <x:v>307.5880126953125</x:v>
      </x:c>
      <x:c r="F60" s="191" t="n">
        <x:v>454.9800109863281</x:v>
      </x:c>
      <x:c r="G60" s="191" t="n">
        <x:v>427.0389709472656</x:v>
      </x:c>
      <x:c r="H60" s="208" t="n">
        <x:f>E60/E59-1</x:f>
        <x:v>-0.0120137001998607</x:v>
      </x:c>
      <x:c r="I60" s="208" t="n">
        <x:f>G60/G59-1</x:f>
        <x:v>-0.01063342536077072</x:v>
      </x:c>
      <x:c r="J60" s="208" t="n">
        <x:f>'Beta HC3'!$E$13+'Beta HC3'!$E$12*I60</x:f>
        <x:v>-0.011983370494823424</x:v>
      </x:c>
      <x:c r="K60" s="240" t="n">
        <x:f>H60-J60</x:f>
        <x:v>-0.000030329705037275903</x:v>
      </x:c>
      <x:c r="L60" s="240" t="n">
        <x:f>I60-'Beta HC3'!$E$9</x:f>
        <x:v>-0.01119737297843116</x:v>
      </x:c>
      <x:c r="M60" s="240" t="n">
        <x:f>1/'Beta HC3'!$E$8+L60^2/'Beta HC3'!$E$11</x:f>
        <x:v>0.0016542249328186116</x:v>
      </x:c>
      <x:c r="N60" s="240" t="n">
        <x:f>K60^2/(1-M60)^2</x:f>
        <x:v>9.229419893548768e-10</x:v>
      </x:c>
      <x:c r="O60" s="240" t="n">
        <x:f>N60*L60^2/'Beta HC3'!$E$11^2</x:f>
        <x:v>5.4115467751790556e-12</x:v>
      </x:c>
      <x:c r="P60" s="240" t="n">
        <x:f>N60*(1/'Beta HC3'!$E$8-'Beta HC3'!$E$9*L60/'Beta HC3'!$E$11)^2</x:f>
        <x:v>6.51221193422084e-16</x:v>
      </x:c>
      <x:c r="Q60" s="240" t="n">
        <x:f>N60*(1/'Beta HC3'!$E$8-'Beta HC3'!$E$9*L60/'Beta HC3'!$E$11)*L60/'Beta HC3'!$E$11</x:f>
        <x:v>-5.936424807231651e-14</x:v>
      </x:c>
      <x:c r="R60" s="240" t="n">
        <x:f>K60*L60/'Beta HC3'!$E$11</x:f>
        <x:v>0.000002322424972407033</x:v>
      </x:c>
      <x:c r="S60" s="240" t="n">
        <x:f>(K60-K59)^2</x:f>
        <x:v>0.00007462665559348994</x:v>
      </x:c>
      <x:c r="T60" s="280" t="n">
        <x:f>E60/$E$9*100</x:f>
        <x:v>108.69772092750382</x:v>
      </x:c>
      <x:c r="U60" s="136"/>
      <x:c r="V60" s="136"/>
      <x:c r="W60" s="136"/>
      <x:c r="X60" s="136"/>
      <x:c r="Y60" s="136"/>
      <x:c r="Z60" s="136"/>
    </x:row>
    <x:row r="61" ht="24" customHeight="1">
      <x:c r="A61" s="136"/>
      <x:c r="B61" s="136"/>
      <x:c r="C61" s="274" t="d">
        <x:v>2021-12-21T00:00:00.000Z</x:v>
      </x:c>
      <x:c r="D61" s="191" t="n">
        <x:v>327.2900085449219</x:v>
      </x:c>
      <x:c r="E61" s="191" t="n">
        <x:v>314.6837463378906</x:v>
      </x:c>
      <x:c r="F61" s="191" t="n">
        <x:v>463.05999755859375</x:v>
      </x:c>
      <x:c r="G61" s="191" t="n">
        <x:v>434.62274169921875</x:v>
      </x:c>
      <x:c r="H61" s="208" t="n">
        <x:f>E61/E60-1</x:f>
        <x:v>0.02306895376188467</x:v>
      </x:c>
      <x:c r="I61" s="208" t="n">
        <x:f>G61/G60-1</x:f>
        <x:v>0.017758966436085766</x:v>
      </x:c>
      <x:c r="J61" s="208" t="n">
        <x:f>'Beta HC3'!$E$13+'Beta HC3'!$E$12*I61</x:f>
        <x:v>0.020037902133133657</x:v>
      </x:c>
      <x:c r="K61" s="240" t="n">
        <x:f>H61-J61</x:f>
        <x:v>0.003031051628751013</x:v>
      </x:c>
      <x:c r="L61" s="240" t="n">
        <x:f>I61-'Beta HC3'!$E$9</x:f>
        <x:v>0.017195018818425327</x:v>
      </x:c>
      <x:c r="M61" s="240" t="n">
        <x:f>1/'Beta HC3'!$E$8+L61^2/'Beta HC3'!$E$11</x:f>
        <x:v>0.0028187267161084734</x:v>
      </x:c>
      <x:c r="N61" s="240" t="n">
        <x:f>K61^2/(1-M61)^2</x:f>
        <x:v>0.000009239286616031372</x:v>
      </x:c>
      <x:c r="O61" s="240" t="n">
        <x:f>N61*L61^2/'Beta HC3'!$E$11^2</x:f>
        <x:v>1.2774928364099484e-7</x:v>
      </x:c>
      <x:c r="P61" s="240" t="n">
        <x:f>N61*(1/'Beta HC3'!$E$8-'Beta HC3'!$E$9*L61/'Beta HC3'!$E$11)^2</x:f>
        <x:v>4.930359217296538e-12</x:v>
      </x:c>
      <x:c r="Q61" s="240" t="n">
        <x:f>N61*(1/'Beta HC3'!$E$8-'Beta HC3'!$E$9*L61/'Beta HC3'!$E$11)*L61/'Beta HC3'!$E$11</x:f>
        <x:v>7.936308071782551e-10</x:v>
      </x:c>
      <x:c r="R61" s="240" t="n">
        <x:f>K61*L61/'Beta HC3'!$E$11</x:f>
        <x:v>0.00035641284769165007</x:v>
      </x:c>
      <x:c r="S61" s="240" t="n">
        <x:f>(K61-K60)^2</x:f>
        <x:v>0.000009372055670867362</x:v>
      </x:c>
      <x:c r="T61" s="280" t="n">
        <x:f>E61/$E$9*100</x:f>
        <x:v>111.20526362560264</x:v>
      </x:c>
      <x:c r="U61" s="136"/>
      <x:c r="V61" s="136"/>
      <x:c r="W61" s="136"/>
      <x:c r="X61" s="136"/>
      <x:c r="Y61" s="136"/>
      <x:c r="Z61" s="136"/>
    </x:row>
    <x:row r="62" ht="24" customHeight="1">
      <x:c r="A62" s="136"/>
      <x:c r="B62" s="136"/>
      <x:c r="C62" s="274" t="d">
        <x:v>2021-12-22T00:00:00.000Z</x:v>
      </x:c>
      <x:c r="D62" s="191" t="n">
        <x:v>333.20001220703125</x:v>
      </x:c>
      <x:c r="E62" s="191" t="n">
        <x:v>320.36614990234375</x:v>
      </x:c>
      <x:c r="F62" s="191" t="n">
        <x:v>467.69000244140625</x:v>
      </x:c>
      <x:c r="G62" s="191" t="n">
        <x:v>438.9683837890625</x:v>
      </x:c>
      <x:c r="H62" s="208" t="n">
        <x:f>E62/E61-1</x:f>
        <x:v>0.018057505767557602</x:v>
      </x:c>
      <x:c r="I62" s="208" t="n">
        <x:f>G62/G61-1</x:f>
        <x:v>0.009998653252367484</x:v>
      </x:c>
      <x:c r="J62" s="208" t="n">
        <x:f>'Beta HC3'!$E$13+'Beta HC3'!$E$12*I62</x:f>
        <x:v>0.011285729864163865</x:v>
      </x:c>
      <x:c r="K62" s="240" t="n">
        <x:f>H62-J62</x:f>
        <x:v>0.006771775903393737</x:v>
      </x:c>
      <x:c r="L62" s="240" t="n">
        <x:f>I62-'Beta HC3'!$E$9</x:f>
        <x:v>0.009434705634707045</x:v>
      </x:c>
      <x:c r="M62" s="240" t="n">
        <x:f>1/'Beta HC3'!$E$8+L62^2/'Beta HC3'!$E$11</x:f>
        <x:v>0.0014055278426727215</x:v>
      </x:c>
      <x:c r="N62" s="240" t="n">
        <x:f>K62^2/(1-M62)^2</x:f>
        <x:v>0.00004598612760524909</x:v>
      </x:c>
      <x:c r="O62" s="240" t="n">
        <x:f>N62*L62^2/'Beta HC3'!$E$11^2</x:f>
        <x:v>1.9142483090492016e-7</x:v>
      </x:c>
      <x:c r="P62" s="240" t="n">
        <x:f>N62*(1/'Beta HC3'!$E$8-'Beta HC3'!$E$9*L62/'Beta HC3'!$E$11)^2</x:f>
        <x:v>2.6591482586585048e-11</x:v>
      </x:c>
      <x:c r="Q62" s="240" t="n">
        <x:f>N62*(1/'Beta HC3'!$E$8-'Beta HC3'!$E$9*L62/'Beta HC3'!$E$11)*L62/'Beta HC3'!$E$11</x:f>
        <x:v>2.2561626842158725e-9</x:v>
      </x:c>
      <x:c r="R62" s="240" t="n">
        <x:f>K62*L62/'Beta HC3'!$E$11</x:f>
        <x:v>0.00043690628652729677</x:v>
      </x:c>
      <x:c r="S62" s="240" t="n">
        <x:f>(K62-K61)^2</x:f>
        <x:v>0.000013993018098901336</x:v>
      </x:c>
      <x:c r="T62" s="280" t="n">
        <x:f>E62/$E$9*100</x:f>
        <x:v>113.21335331490474</x:v>
      </x:c>
      <x:c r="U62" s="136"/>
      <x:c r="V62" s="136"/>
      <x:c r="W62" s="136"/>
      <x:c r="X62" s="136"/>
      <x:c r="Y62" s="136"/>
      <x:c r="Z62" s="136"/>
    </x:row>
    <x:row r="63" ht="24" customHeight="1">
      <x:c r="A63" s="136"/>
      <x:c r="B63" s="136"/>
      <x:c r="C63" s="274" t="d">
        <x:v>2021-12-23T00:00:00.000Z</x:v>
      </x:c>
      <x:c r="D63" s="191" t="n">
        <x:v>334.69000244140625</x:v>
      </x:c>
      <x:c r="E63" s="191" t="n">
        <x:v>321.798828125</x:v>
      </x:c>
      <x:c r="F63" s="191" t="n">
        <x:v>470.6000061035156</x:v>
      </x:c>
      <x:c r="G63" s="191" t="n">
        <x:v>441.69970703125</x:v>
      </x:c>
      <x:c r="H63" s="208" t="n">
        <x:f>E63/E62-1</x:f>
        <x:v>0.004472002498057126</x:v>
      </x:c>
      <x:c r="I63" s="208" t="n">
        <x:f>G63/G62-1</x:f>
        <x:v>0.006222141145135307</x:v>
      </x:c>
      <x:c r="J63" s="208" t="n">
        <x:f>'Beta HC3'!$E$13+'Beta HC3'!$E$12*I63</x:f>
        <x:v>0.007026535195617094</x:v>
      </x:c>
      <x:c r="K63" s="240" t="n">
        <x:f>H63-J63</x:f>
        <x:v>-0.002554532697559968</x:v>
      </x:c>
      <x:c r="L63" s="240" t="n">
        <x:f>I63-'Beta HC3'!$E$9</x:f>
        <x:v>0.005658193527474867</x:v>
      </x:c>
      <x:c r="M63" s="240" t="n">
        <x:f>1/'Beta HC3'!$E$8+L63^2/'Beta HC3'!$E$11</x:f>
        <x:v>0.0010157466203065588</x:v>
      </x:c>
      <x:c r="N63" s="240" t="n">
        <x:f>K63^2/(1-M63)^2</x:f>
        <x:v>0.000006538914316670991</x:v>
      </x:c>
      <x:c r="O63" s="240" t="n">
        <x:f>N63*L63^2/'Beta HC3'!$E$11^2</x:f>
        <x:v>9.789848353113472e-9</x:v>
      </x:c>
      <x:c r="P63" s="240" t="n">
        <x:f>N63*(1/'Beta HC3'!$E$8-'Beta HC3'!$E$9*L63/'Beta HC3'!$E$11)^2</x:f>
        <x:v>3.9273521541021165e-12</x:v>
      </x:c>
      <x:c r="Q63" s="240" t="n">
        <x:f>N63*(1/'Beta HC3'!$E$8-'Beta HC3'!$E$9*L63/'Beta HC3'!$E$11)*L63/'Beta HC3'!$E$11</x:f>
        <x:v>1.9608207979806125e-10</x:v>
      </x:c>
      <x:c r="R63" s="240" t="n">
        <x:f>K63*L63/'Beta HC3'!$E$11</x:f>
        <x:v>-0.00009884316083041533</x:v>
      </x:c>
      <x:c r="S63" s="240" t="n">
        <x:f>(K63-K62)^2</x:f>
        <x:v>0.00008698003212022306</x:v>
      </x:c>
      <x:c r="T63" s="280" t="n">
        <x:f>E63/$E$9*100</x:f>
        <x:v>113.71964371374241</x:v>
      </x:c>
      <x:c r="U63" s="136"/>
      <x:c r="V63" s="136"/>
      <x:c r="W63" s="136"/>
      <x:c r="X63" s="136"/>
      <x:c r="Y63" s="136"/>
      <x:c r="Z63" s="136"/>
    </x:row>
    <x:row r="64" ht="24" customHeight="1">
      <x:c r="A64" s="136"/>
      <x:c r="B64" s="136"/>
      <x:c r="C64" s="274" t="d">
        <x:v>2021-12-27T00:00:00.000Z</x:v>
      </x:c>
      <x:c r="D64" s="191" t="n">
        <x:v>342.45001220703125</x:v>
      </x:c>
      <x:c r="E64" s="191" t="n">
        <x:v>329.2599182128906</x:v>
      </x:c>
      <x:c r="F64" s="191" t="n">
        <x:v>477.260009765625</x:v>
      </x:c>
      <x:c r="G64" s="191" t="n">
        <x:v>447.9507141113281</x:v>
      </x:c>
      <x:c r="H64" s="208" t="n">
        <x:f>E64/E63-1</x:f>
        <x:v>0.02318557258695919</x:v>
      </x:c>
      <x:c r="I64" s="208" t="n">
        <x:f>G64/G63-1</x:f>
        <x:v>0.014152164877111462</x:v>
      </x:c>
      <x:c r="J64" s="208" t="n">
        <x:f>'Beta HC3'!$E$13+'Beta HC3'!$E$12*I64</x:f>
        <x:v>0.015970109012314437</x:v>
      </x:c>
      <x:c r="K64" s="240" t="n">
        <x:f>H64-J64</x:f>
        <x:v>0.007215463574644754</x:v>
      </x:c>
      <x:c r="L64" s="240" t="n">
        <x:f>I64-'Beta HC3'!$E$9</x:f>
        <x:v>0.013588217259451023</x:v>
      </x:c>
      <x:c r="M64" s="240" t="n">
        <x:f>1/'Beta HC3'!$E$8+L64^2/'Beta HC3'!$E$11</x:f>
        <x:v>0.0020594608375687972</x:v>
      </x:c>
      <x:c r="N64" s="240" t="n">
        <x:f>K64^2/(1-M64)^2</x:f>
        <x:v>0.00005227802194384168</x:v>
      </x:c>
      <x:c r="O64" s="240" t="n">
        <x:f>N64*L64^2/'Beta HC3'!$E$11^2</x:f>
        <x:v>4.513971718414671e-7</x:v>
      </x:c>
      <x:c r="P64" s="240" t="n">
        <x:f>N64*(1/'Beta HC3'!$E$8-'Beta HC3'!$E$9*L64/'Beta HC3'!$E$11)^2</x:f>
        <x:v>2.896962708501079e-11</x:v>
      </x:c>
      <x:c r="Q64" s="240" t="n">
        <x:f>N64*(1/'Beta HC3'!$E$8-'Beta HC3'!$E$9*L64/'Beta HC3'!$E$11)*L64/'Beta HC3'!$E$11</x:f>
        <x:v>3.6161869054953226e-9</x:v>
      </x:c>
      <x:c r="R64" s="240" t="n">
        <x:f>K64*L64/'Beta HC3'!$E$11</x:f>
        <x:v>0.0006704773052033398</x:v>
      </x:c>
      <x:c r="S64" s="240" t="n">
        <x:f>(K64-K63)^2</x:f>
        <x:v>0.00009545282715889416</x:v>
      </x:c>
      <x:c r="T64" s="280" t="n">
        <x:f>E64/$E$9*100</x:f>
        <x:v>116.35629876763053</x:v>
      </x:c>
      <x:c r="U64" s="136"/>
      <x:c r="V64" s="136"/>
      <x:c r="W64" s="136"/>
      <x:c r="X64" s="136"/>
      <x:c r="Y64" s="136"/>
      <x:c r="Z64" s="136"/>
    </x:row>
    <x:row r="65" ht="24" customHeight="1">
      <x:c r="A65" s="136"/>
      <x:c r="B65" s="136"/>
      <x:c r="C65" s="274" t="d">
        <x:v>2021-12-28T00:00:00.000Z</x:v>
      </x:c>
      <x:c r="D65" s="191" t="n">
        <x:v>341.25</x:v>
      </x:c>
      <x:c r="E65" s="191" t="n">
        <x:v>328.10614013671875</x:v>
      </x:c>
      <x:c r="F65" s="191" t="n">
        <x:v>476.8699951171875</x:v>
      </x:c>
      <x:c r="G65" s="191" t="n">
        <x:v>447.58465576171875</x:v>
      </x:c>
      <x:c r="H65" s="208" t="n">
        <x:f>E65/E64-1</x:f>
        <x:v>-0.0035041558730688482</x:v>
      </x:c>
      <x:c r="I65" s="208" t="n">
        <x:f>G65/G64-1</x:f>
        <x:v>-0.000817184431406881</x:v>
      </x:c>
      <x:c r="J65" s="208" t="n">
        <x:f>'Beta HC3'!$E$13+'Beta HC3'!$E$12*I65</x:f>
        <x:v>-0.000912498789831254</x:v>
      </x:c>
      <x:c r="K65" s="240" t="n">
        <x:f>H65-J65</x:f>
        <x:v>-0.002591657083237594</x:v>
      </x:c>
      <x:c r="L65" s="240" t="n">
        <x:f>I65-'Beta HC3'!$E$9</x:f>
        <x:v>-0.0013811320490673203</x:v>
      </x:c>
      <x:c r="M65" s="240" t="n">
        <x:f>1/'Beta HC3'!$E$8+L65^2/'Beta HC3'!$E$11</x:f>
        <x:v>0.000809857258934367</x:v>
      </x:c>
      <x:c r="N65" s="240" t="n">
        <x:f>K65^2/(1-M65)^2</x:f>
        <x:v>0.000006727578781709547</x:v>
      </x:c>
      <x:c r="O65" s="240" t="n">
        <x:f>N65*L65^2/'Beta HC3'!$E$11^2</x:f>
        <x:v>6.001280432582104e-10</x:v>
      </x:c>
      <x:c r="P65" s="240" t="n">
        <x:f>N65*(1/'Beta HC3'!$E$8-'Beta HC3'!$E$9*L65/'Beta HC3'!$E$11)^2</x:f>
        <x:v>4.328706951043355e-12</x:v>
      </x:c>
      <x:c r="Q65" s="240" t="n">
        <x:f>N65*(1/'Beta HC3'!$E$8-'Beta HC3'!$E$9*L65/'Beta HC3'!$E$11)*L65/'Beta HC3'!$E$11</x:f>
        <x:v>-5.0968406217654713e-11</x:v>
      </x:c>
      <x:c r="R65" s="240" t="n">
        <x:f>K65*L65/'Beta HC3'!$E$11</x:f>
        <x:v>0.00002447767147339004</x:v>
      </x:c>
      <x:c r="S65" s="240" t="n">
        <x:f>(K65-K64)^2</x:f>
        <x:v>0.0000961796155982627</x:v>
      </x:c>
      <x:c r="T65" s="280" t="n">
        <x:f>E65/$E$9*100</x:f>
        <x:v>115.94856815993539</x:v>
      </x:c>
      <x:c r="U65" s="136"/>
      <x:c r="V65" s="136"/>
      <x:c r="W65" s="136"/>
      <x:c r="X65" s="136"/>
      <x:c r="Y65" s="136"/>
      <x:c r="Z65" s="136"/>
    </x:row>
    <x:row r="66" ht="24" customHeight="1">
      <x:c r="A66" s="136"/>
      <x:c r="B66" s="136"/>
      <x:c r="C66" s="274" t="d">
        <x:v>2021-12-29T00:00:00.000Z</x:v>
      </x:c>
      <x:c r="D66" s="191" t="n">
        <x:v>341.95001220703125</x:v>
      </x:c>
      <x:c r="E66" s="191" t="n">
        <x:v>328.7791442871094</x:v>
      </x:c>
      <x:c r="F66" s="191" t="n">
        <x:v>477.4800109863281</x:v>
      </x:c>
      <x:c r="G66" s="191" t="n">
        <x:v>448.1572265625</x:v>
      </x:c>
      <x:c r="H66" s="208" t="n">
        <x:f>E66/E65-1</x:f>
        <x:v>0.0020511781648164806</x:v>
      </x:c>
      <x:c r="I66" s="208" t="n">
        <x:f>G66/G65-1</x:f>
        <x:v>0.0012792458217916192</x:v>
      </x:c>
      <x:c r="J66" s="208" t="n">
        <x:f>'Beta HC3'!$E$13+'Beta HC3'!$E$12*I66</x:f>
        <x:v>0.0014518798494702338</x:v>
      </x:c>
      <x:c r="K66" s="240" t="n">
        <x:f>H66-J66</x:f>
        <x:v>0.0005992983153462468</x:v>
      </x:c>
      <x:c r="L66" s="240" t="n">
        <x:f>I66-'Beta HC3'!$E$9</x:f>
        <x:v>0.0007152982041311798</x:v>
      </x:c>
      <x:c r="M66" s="240" t="n">
        <x:f>1/'Beta HC3'!$E$8+L66^2/'Beta HC3'!$E$11</x:f>
        <x:v>0.0008003116498130704</x:v>
      </x:c>
      <x:c r="N66" s="240" t="n">
        <x:f>K66^2/(1-M66)^2</x:f>
        <x:v>3.5973403905222746e-7</x:v>
      </x:c>
      <x:c r="O66" s="240" t="n">
        <x:f>N66*L66^2/'Beta HC3'!$E$11^2</x:f>
        <x:v>8.607371069953706e-12</x:v>
      </x:c>
      <x:c r="P66" s="240" t="n">
        <x:f>N66*(1/'Beta HC3'!$E$8-'Beta HC3'!$E$9*L66/'Beta HC3'!$E$11)^2</x:f>
        <x:v>2.268202425791323e-13</x:v>
      </x:c>
      <x:c r="Q66" s="240" t="n">
        <x:f>N66*(1/'Beta HC3'!$E$8-'Beta HC3'!$E$9*L66/'Beta HC3'!$E$11)*L66/'Beta HC3'!$E$11</x:f>
        <x:v>1.3972565956385768e-12</x:v>
      </x:c>
      <x:c r="R66" s="240" t="n">
        <x:f>K66*L66/'Beta HC3'!$E$11</x:f>
        <x:v>0.000002931484167496204</x:v>
      </x:c>
      <x:c r="S66" s="240" t="n">
        <x:f>(K66-K65)^2</x:f>
        <x:v>0.000010182196355751359</x:v>
      </x:c>
      <x:c r="T66" s="280" t="n">
        <x:f>E66/$E$9*100</x:f>
        <x:v>116.18639933118678</x:v>
      </x:c>
      <x:c r="U66" s="136"/>
      <x:c r="V66" s="136"/>
      <x:c r="W66" s="136"/>
      <x:c r="X66" s="136"/>
      <x:c r="Y66" s="136"/>
      <x:c r="Z66" s="136"/>
    </x:row>
    <x:row r="67" ht="24" customHeight="1">
      <x:c r="A67" s="136"/>
      <x:c r="B67" s="136"/>
      <x:c r="C67" s="274" t="d">
        <x:v>2021-12-30T00:00:00.000Z</x:v>
      </x:c>
      <x:c r="D67" s="191" t="n">
        <x:v>339.32000732421875</x:v>
      </x:c>
      <x:c r="E67" s="191" t="n">
        <x:v>326.2504577636719</x:v>
      </x:c>
      <x:c r="F67" s="191" t="n">
        <x:v>476.1600036621094</x:v>
      </x:c>
      <x:c r="G67" s="191" t="n">
        <x:v>446.91827392578125</x:v>
      </x:c>
      <x:c r="H67" s="208" t="n">
        <x:f>E67/E66-1</x:f>
        <x:v>-0.0076911402909100035</x:v>
      </x:c>
      <x:c r="I67" s="208" t="n">
        <x:f>G67/G66-1</x:f>
        <x:v>-0.0027645490539600637</x:v>
      </x:c>
      <x:c r="J67" s="208" t="n">
        <x:f>'Beta HC3'!$E$13+'Beta HC3'!$E$12*I67</x:f>
        <x:v>-0.003108759461738373</x:v>
      </x:c>
      <x:c r="K67" s="240" t="n">
        <x:f>H67-J67</x:f>
        <x:v>-0.004582380829171631</x:v>
      </x:c>
      <x:c r="L67" s="240" t="n">
        <x:f>I67-'Beta HC3'!$E$9</x:f>
        <x:v>-0.003328496671620503</x:v>
      </x:c>
      <x:c r="M67" s="240" t="n">
        <x:f>1/'Beta HC3'!$E$8+L67^2/'Beta HC3'!$E$11</x:f>
        <x:v>0.0008725751301007981</x:v>
      </x:c>
      <x:c r="N67" s="240" t="n">
        <x:f>K67^2/(1-M67)^2</x:f>
        <x:v>0.000021034907121483705</x:v>
      </x:c>
      <x:c r="O67" s="240" t="n">
        <x:f>N67*L67^2/'Beta HC3'!$E$11^2</x:f>
        <x:v>1.0898119747727753e-8</x:v>
      </x:c>
      <x:c r="P67" s="240" t="n">
        <x:f>N67*(1/'Beta HC3'!$E$8-'Beta HC3'!$E$9*L67/'Beta HC3'!$E$11)^2</x:f>
        <x:v>1.3789050380161287e-11</x:v>
      </x:c>
      <x:c r="Q67" s="240" t="n">
        <x:f>N67*(1/'Beta HC3'!$E$8-'Beta HC3'!$E$9*L67/'Beta HC3'!$E$11)*L67/'Beta HC3'!$E$11</x:f>
        <x:v>-3.8765283727898683e-10</x:v>
      </x:c>
      <x:c r="R67" s="240" t="n">
        <x:f>K67*L67/'Beta HC3'!$E$11</x:f>
        <x:v>0.00010430296826507335</x:v>
      </x:c>
      <x:c r="S67" s="240" t="n">
        <x:f>(K67-K66)^2</x:f>
        <x:v>0.000026849798756731533</x:v>
      </x:c>
      <x:c r="T67" s="280" t="n">
        <x:f>E67/$E$9*100</x:f>
        <x:v>115.29279343403493</x:v>
      </x:c>
      <x:c r="U67" s="136"/>
      <x:c r="V67" s="136"/>
      <x:c r="W67" s="136"/>
      <x:c r="X67" s="136"/>
      <x:c r="Y67" s="136"/>
      <x:c r="Z67" s="136"/>
    </x:row>
    <x:row r="68" ht="24" customHeight="1">
      <x:c r="A68" s="136"/>
      <x:c r="B68" s="136"/>
      <x:c r="C68" s="274" t="d">
        <x:v>2021-12-31T00:00:00.000Z</x:v>
      </x:c>
      <x:c r="D68" s="191" t="n">
        <x:v>336.32000732421875</x:v>
      </x:c>
      <x:c r="E68" s="191" t="n">
        <x:v>323.3659973144531</x:v>
      </x:c>
      <x:c r="F68" s="191" t="n">
        <x:v>474.9599914550781</x:v>
      </x:c>
      <x:c r="G68" s="191" t="n">
        <x:v>445.79193115234375</x:v>
      </x:c>
      <x:c r="H68" s="208" t="n">
        <x:f>E68/E67-1</x:f>
        <x:v>-0.008841245676682541</x:v>
      </x:c>
      <x:c r="I68" s="208" t="n">
        <x:f>G68/G67-1</x:f>
        <x:v>-0.0025202432729893864</x:v>
      </x:c>
      <x:c r="J68" s="208" t="n">
        <x:f>'Beta HC3'!$E$13+'Beta HC3'!$E$12*I68</x:f>
        <x:v>-0.0028332285352486164</x:v>
      </x:c>
      <x:c r="K68" s="240" t="n">
        <x:f>H68-J68</x:f>
        <x:v>-0.0060080171414339245</x:v>
      </x:c>
      <x:c r="L68" s="240" t="n">
        <x:f>I68-'Beta HC3'!$E$9</x:f>
        <x:v>-0.0030841908906498257</x:v>
      </x:c>
      <x:c r="M68" s="240" t="n">
        <x:f>1/'Beta HC3'!$E$8+L68^2/'Beta HC3'!$E$11</x:f>
        <x:v>0.0008618616347379767</x:v>
      </x:c>
      <x:c r="N68" s="240" t="n">
        <x:f>K68^2/(1-M68)^2</x:f>
        <x:v>0.000036158570482311</x:v>
      </x:c>
      <x:c r="O68" s="240" t="n">
        <x:f>N68*L68^2/'Beta HC3'!$E$11^2</x:f>
        <x:v>1.608453371948544e-8</x:v>
      </x:c>
      <x:c r="P68" s="240" t="n">
        <x:f>N68*(1/'Beta HC3'!$E$8-'Beta HC3'!$E$9*L68/'Beta HC3'!$E$11)^2</x:f>
        <x:v>2.3647959080773943e-11</x:v>
      </x:c>
      <x:c r="Q68" s="240" t="n">
        <x:f>N68*(1/'Beta HC3'!$E$8-'Beta HC3'!$E$9*L68/'Beta HC3'!$E$11)*L68/'Beta HC3'!$E$11</x:f>
        <x:v>-6.167385144708578e-10</x:v>
      </x:c>
      <x:c r="R68" s="240" t="n">
        <x:f>K68*L68/'Beta HC3'!$E$11</x:f>
        <x:v>0.0001267155096352228</x:v>
      </x:c>
      <x:c r="S68" s="240" t="n">
        <x:f>(K68-K67)^2</x:f>
        <x:v>0.000002032438894840831</x:v>
      </x:c>
      <x:c r="T68" s="280" t="n">
        <x:f>E68/$E$9*100</x:f>
        <x:v>114.27346152253361</x:v>
      </x:c>
      <x:c r="U68" s="136"/>
      <x:c r="V68" s="136"/>
      <x:c r="W68" s="136"/>
      <x:c r="X68" s="136"/>
      <x:c r="Y68" s="136"/>
      <x:c r="Z68" s="136"/>
    </x:row>
    <x:row r="69" ht="24" customHeight="1">
      <x:c r="A69" s="136"/>
      <x:c r="B69" s="136"/>
      <x:c r="C69" s="274" t="d">
        <x:v>2022-01-03T00:00:00.000Z</x:v>
      </x:c>
      <x:c r="D69" s="191" t="n">
        <x:v>334.75</x:v>
      </x:c>
      <x:c r="E69" s="191" t="n">
        <x:v>321.8564758300781</x:v>
      </x:c>
      <x:c r="F69" s="191" t="n">
        <x:v>477.7099914550781</x:v>
      </x:c>
      <x:c r="G69" s="191" t="n">
        <x:v>448.37310791015625</x:v>
      </x:c>
      <x:c r="H69" s="208" t="n">
        <x:f>E69/E68-1</x:f>
        <x:v>-0.004668151558641087</x:v>
      </x:c>
      <x:c r="I69" s="208" t="n">
        <x:f>G69/G68-1</x:f>
        <x:v>0.005790093039908406</x:v>
      </x:c>
      <x:c r="J69" s="208" t="n">
        <x:f>'Beta HC3'!$E$13+'Beta HC3'!$E$12*I69</x:f>
        <x:v>0.006539266272841993</x:v>
      </x:c>
      <x:c r="K69" s="240" t="n">
        <x:f>H69-J69</x:f>
        <x:v>-0.011207417831483081</x:v>
      </x:c>
      <x:c r="L69" s="240" t="n">
        <x:f>I69-'Beta HC3'!$E$9</x:f>
        <x:v>0.005226145422247966</x:v>
      </x:c>
      <x:c r="M69" s="240" t="n">
        <x:f>1/'Beta HC3'!$E$8+L69^2/'Beta HC3'!$E$11</x:f>
        <x:v>0.0009835884357013045</x:v>
      </x:c>
      <x:c r="N69" s="240" t="n">
        <x:f>K69^2/(1-M69)^2</x:f>
        <x:v>0.0001258536691198634</x:v>
      </x:c>
      <x:c r="O69" s="240" t="n">
        <x:f>N69*L69^2/'Beta HC3'!$E$11^2</x:f>
        <x:v>1.607472621112892e-7</x:v>
      </x:c>
      <x:c r="P69" s="240" t="n">
        <x:f>N69*(1/'Beta HC3'!$E$8-'Beta HC3'!$E$9*L69/'Beta HC3'!$E$11)^2</x:f>
        <x:v>7.591463529520638e-11</x:v>
      </x:c>
      <x:c r="Q69" s="240" t="n">
        <x:f>N69*(1/'Beta HC3'!$E$8-'Beta HC3'!$E$9*L69/'Beta HC3'!$E$11)*L69/'Beta HC3'!$E$11</x:f>
        <x:v>3.4932892491005476e-9</x:v>
      </x:c>
      <x:c r="R69" s="240" t="n">
        <x:f>K69*L69/'Beta HC3'!$E$11</x:f>
        <x:v>-0.000400538636500216</x:v>
      </x:c>
      <x:c r="S69" s="240" t="n">
        <x:f>(K69-K68)^2</x:f>
        <x:v>0.000027033767535683644</x:v>
      </x:c>
      <x:c r="T69" s="280" t="n">
        <x:f>E69/$E$9*100</x:f>
        <x:v>113.74001568501588</x:v>
      </x:c>
      <x:c r="U69" s="136"/>
      <x:c r="V69" s="136"/>
      <x:c r="W69" s="136"/>
      <x:c r="X69" s="136"/>
      <x:c r="Y69" s="136"/>
      <x:c r="Z69" s="136"/>
    </x:row>
    <x:row r="70" ht="24" customHeight="1">
      <x:c r="A70" s="136"/>
      <x:c r="B70" s="136"/>
      <x:c r="C70" s="274" t="d">
        <x:v>2022-01-04T00:00:00.000Z</x:v>
      </x:c>
      <x:c r="D70" s="191" t="n">
        <x:v>329.010009765625</x:v>
      </x:c>
      <x:c r="E70" s="191" t="n">
        <x:v>316.3375549316406</x:v>
      </x:c>
      <x:c r="F70" s="191" t="n">
        <x:v>477.54998779296875</x:v>
      </x:c>
      <x:c r="G70" s="191" t="n">
        <x:v>448.2229309082031</x:v>
      </x:c>
      <x:c r="H70" s="208" t="n">
        <x:f>E70/E69-1</x:f>
        <x:v>-0.01714714884702573</x:v>
      </x:c>
      <x:c r="I70" s="208" t="n">
        <x:f>G70/G69-1</x:f>
        <x:v>-0.0003349375761028117</x:v>
      </x:c>
      <x:c r="J70" s="208" t="n">
        <x:f>'Beta HC3'!$E$13+'Beta HC3'!$E$12*I70</x:f>
        <x:v>-0.00036861512768144244</x:v>
      </x:c>
      <x:c r="K70" s="240" t="n">
        <x:f>H70-J70</x:f>
        <x:v>-0.016778533719344287</x:v>
      </x:c>
      <x:c r="L70" s="240" t="n">
        <x:f>I70-'Beta HC3'!$E$9</x:f>
        <x:v>-0.0008988851937632511</x:v>
      </x:c>
      <x:c r="M70" s="240" t="n">
        <x:f>1/'Beta HC3'!$E$8+L70^2/'Beta HC3'!$E$11</x:f>
        <x:v>0.0008023381756177194</x:v>
      </x:c>
      <x:c r="N70" s="240" t="n">
        <x:f>K70^2/(1-M70)^2</x:f>
        <x:v>0.00028197148522706957</x:v>
      </x:c>
      <x:c r="O70" s="240" t="n">
        <x:f>N70*L70^2/'Beta HC3'!$E$11^2</x:f>
        <x:v>1.0654384567103905e-8</x:v>
      </x:c>
      <x:c r="P70" s="240" t="n">
        <x:f>N70*(1/'Beta HC3'!$E$8-'Beta HC3'!$E$9*L70/'Beta HC3'!$E$11)^2</x:f>
        <x:v>1.805877899058271e-10</x:v>
      </x:c>
      <x:c r="Q70" s="240" t="n">
        <x:f>N70*(1/'Beta HC3'!$E$8-'Beta HC3'!$E$9*L70/'Beta HC3'!$E$11)*L70/'Beta HC3'!$E$11</x:f>
        <x:v>-1.3871019291241888e-9</x:v>
      </x:c>
      <x:c r="R70" s="240" t="n">
        <x:f>K70*L70/'Beta HC3'!$E$11</x:f>
        <x:v>0.00010313726090446359</x:v>
      </x:c>
      <x:c r="S70" s="240" t="n">
        <x:f>(K70-K69)^2</x:f>
        <x:v>0.00003103733223597955</x:v>
      </x:c>
      <x:c r="T70" s="280" t="n">
        <x:f>E70/$E$9*100</x:f>
        <x:v>111.78969870620188</x:v>
      </x:c>
      <x:c r="U70" s="136"/>
      <x:c r="V70" s="136"/>
      <x:c r="W70" s="136"/>
      <x:c r="X70" s="136"/>
      <x:c r="Y70" s="136"/>
      <x:c r="Z70" s="136"/>
    </x:row>
    <x:row r="71" ht="24" customHeight="1">
      <x:c r="A71" s="136"/>
      <x:c r="B71" s="136"/>
      <x:c r="C71" s="274" t="d">
        <x:v>2022-01-05T00:00:00.000Z</x:v>
      </x:c>
      <x:c r="D71" s="191" t="n">
        <x:v>316.3800048828125</x:v>
      </x:c>
      <x:c r="E71" s="191" t="n">
        <x:v>304.1939697265625</x:v>
      </x:c>
      <x:c r="F71" s="191" t="n">
        <x:v>468.3800048828125</x:v>
      </x:c>
      <x:c r="G71" s="191" t="n">
        <x:v>439.6160888671875</x:v>
      </x:c>
      <x:c r="H71" s="208" t="n">
        <x:f>E71/E70-1</x:f>
        <x:v>-0.038388060525100465</x:v>
      </x:c>
      <x:c r="I71" s="208" t="n">
        <x:f>G71/G70-1</x:f>
        <x:v>-0.01920214573488277</x:v>
      </x:c>
      <x:c r="J71" s="208" t="n">
        <x:f>'Beta HC3'!$E$13+'Beta HC3'!$E$12*I71</x:f>
        <x:v>-0.02164727387905859</x:v>
      </x:c>
      <x:c r="K71" s="240" t="n">
        <x:f>H71-J71</x:f>
        <x:v>-0.016740786646041873</x:v>
      </x:c>
      <x:c r="L71" s="240" t="n">
        <x:f>I71-'Beta HC3'!$E$9</x:f>
        <x:v>-0.01976609335254321</x:v>
      </x:c>
      <x:c r="M71" s="240" t="n">
        <x:f>1/'Beta HC3'!$E$8+L71^2/'Beta HC3'!$E$11</x:f>
        <x:v>0.0034685826053046315</x:v>
      </x:c>
      <x:c r="N71" s="240" t="n">
        <x:f>K71^2/(1-M71)^2</x:f>
        <x:v>0.0002822082676386095</x:v>
      </x:c>
      <x:c r="O71" s="240" t="n">
        <x:f>N71*L71^2/'Beta HC3'!$E$11^2</x:f>
        <x:v>0.0000051561570852339835</x:v>
      </x:c>
      <x:c r="P71" s="240" t="n">
        <x:f>N71*(1/'Beta HC3'!$E$8-'Beta HC3'!$E$9*L71/'Beta HC3'!$E$11)^2</x:f>
        <x:v>2.1509939519715227e-10</x:v>
      </x:c>
      <x:c r="Q71" s="240" t="n">
        <x:f>N71*(1/'Beta HC3'!$E$8-'Beta HC3'!$E$9*L71/'Beta HC3'!$E$11)*L71/'Beta HC3'!$E$11</x:f>
        <x:v>-3.330294687524426e-8</x:v>
      </x:c>
      <x:c r="R71" s="240" t="n">
        <x:f>K71*L71/'Beta HC3'!$E$11</x:f>
        <x:v>0.002262841135772549</x:v>
      </x:c>
      <x:c r="S71" s="240" t="n">
        <x:f>(K71-K70)^2</x:f>
        <x:v>1.4248415428978096e-9</x:v>
      </x:c>
      <x:c r="T71" s="280" t="n">
        <x:f>E71/$E$9*100</x:f>
        <x:v>107.49830898618544</x:v>
      </x:c>
      <x:c r="U71" s="136"/>
      <x:c r="V71" s="136"/>
      <x:c r="W71" s="136"/>
      <x:c r="X71" s="136"/>
      <x:c r="Y71" s="136"/>
      <x:c r="Z71" s="136"/>
    </x:row>
    <x:row r="72" ht="24" customHeight="1">
      <x:c r="A72" s="136"/>
      <x:c r="B72" s="136"/>
      <x:c r="C72" s="274" t="d">
        <x:v>2022-01-06T00:00:00.000Z</x:v>
      </x:c>
      <x:c r="D72" s="191" t="n">
        <x:v>313.8800048828125</x:v>
      </x:c>
      <x:c r="E72" s="191" t="n">
        <x:v>301.7903137207031</x:v>
      </x:c>
      <x:c r="F72" s="191" t="n">
        <x:v>467.94000244140625</x:v>
      </x:c>
      <x:c r="G72" s="191" t="n">
        <x:v>439.20306396484375</x:v>
      </x:c>
      <x:c r="H72" s="208" t="n">
        <x:f>E72/E71-1</x:f>
        <x:v>-0.00790172141814649</x:v>
      </x:c>
      <x:c r="I72" s="208" t="n">
        <x:f>G72/G71-1</x:f>
        <x:v>-0.0009395127084816934</x:v>
      </x:c>
      <x:c r="J72" s="208" t="n">
        <x:f>'Beta HC3'!$E$13+'Beta HC3'!$E$12*I72</x:f>
        <x:v>-0.001050462056129746</x:v>
      </x:c>
      <x:c r="K72" s="240" t="n">
        <x:f>H72-J72</x:f>
        <x:v>-0.006851259362016744</x:v>
      </x:c>
      <x:c r="L72" s="240" t="n">
        <x:f>I72-'Beta HC3'!$E$9</x:f>
        <x:v>-0.0015034603261421327</x:v>
      </x:c>
      <x:c r="M72" s="240" t="n">
        <x:f>1/'Beta HC3'!$E$8+L72^2/'Beta HC3'!$E$11</x:f>
        <x:v>0.0008122703219956888</x:v>
      </x:c>
      <x:c r="N72" s="240" t="n">
        <x:f>K72^2/(1-M72)^2</x:f>
        <x:v>0.0000470161033960818</x:v>
      </x:c>
      <x:c r="O72" s="240" t="n">
        <x:f>N72*L72^2/'Beta HC3'!$E$11^2</x:f>
        <x:v>4.9698731055028075e-9</x:v>
      </x:c>
      <x:c r="P72" s="240" t="n">
        <x:f>N72*(1/'Beta HC3'!$E$8-'Beta HC3'!$E$9*L72/'Beta HC3'!$E$11)^2</x:f>
        <x:v>3.0287032191922e-11</x:v>
      </x:c>
      <x:c r="Q72" s="240" t="n">
        <x:f>N72*(1/'Beta HC3'!$E$8-'Beta HC3'!$E$9*L72/'Beta HC3'!$E$11)*L72/'Beta HC3'!$E$11</x:f>
        <x:v>-3.879725592566192e-10</x:v>
      </x:c>
      <x:c r="R72" s="240" t="n">
        <x:f>K72*L72/'Beta HC3'!$E$11</x:f>
        <x:v>0.0000704400640522537</x:v>
      </x:c>
      <x:c r="S72" s="240" t="n">
        <x:f>(K72-K71)^2</x:f>
        <x:v>0.00009780274990147743</x:v>
      </x:c>
      <x:c r="T72" s="280" t="n">
        <x:f>E72/$E$9*100</x:f>
        <x:v>106.64888729565479</x:v>
      </x:c>
      <x:c r="U72" s="136"/>
      <x:c r="V72" s="136"/>
      <x:c r="W72" s="136"/>
      <x:c r="X72" s="136"/>
      <x:c r="Y72" s="136"/>
      <x:c r="Z72" s="136"/>
    </x:row>
    <x:row r="73" ht="24" customHeight="1">
      <x:c r="A73" s="136"/>
      <x:c r="B73" s="136"/>
      <x:c r="C73" s="274" t="d">
        <x:v>2022-01-07T00:00:00.000Z</x:v>
      </x:c>
      <x:c r="D73" s="191" t="n">
        <x:v>314.0400085449219</x:v>
      </x:c>
      <x:c r="E73" s="191" t="n">
        <x:v>301.9441223144531</x:v>
      </x:c>
      <x:c r="F73" s="191" t="n">
        <x:v>466.0899963378906</x:v>
      </x:c>
      <x:c r="G73" s="191" t="n">
        <x:v>437.46661376953125</x:v>
      </x:c>
      <x:c r="H73" s="208" t="n">
        <x:f>E73/E72-1</x:f>
        <x:v>0.0005096538449287369</x:v>
      </x:c>
      <x:c r="I73" s="208" t="n">
        <x:f>G73/G72-1</x:f>
        <x:v>-0.003953638619086486</x:v>
      </x:c>
      <x:c r="J73" s="208" t="n">
        <x:f>'Beta HC3'!$E$13+'Beta HC3'!$E$12*I73</x:f>
        <x:v>-0.004449828626196288</x:v>
      </x:c>
      <x:c r="K73" s="240" t="n">
        <x:f>H73-J73</x:f>
        <x:v>0.004959482471125025</x:v>
      </x:c>
      <x:c r="L73" s="240" t="n">
        <x:f>I73-'Beta HC3'!$E$9</x:f>
        <x:v>-0.0045175862367469255</x:v>
      </x:c>
      <x:c r="M73" s="240" t="n">
        <x:f>1/'Beta HC3'!$E$8+L73^2/'Beta HC3'!$E$11</x:f>
        <x:v>0.000936375738819046</x:v>
      </x:c>
      <x:c r="N73" s="240" t="n">
        <x:f>K73^2/(1-M73)^2</x:f>
        <x:v>0.000024642594229537686</x:v>
      </x:c>
      <x:c r="O73" s="240" t="n">
        <x:f>N73*L73^2/'Beta HC3'!$E$11^2</x:f>
        <x:v>2.3518740051088716e-8</x:v>
      </x:c>
      <x:c r="P73" s="240" t="n">
        <x:f>N73*(1/'Beta HC3'!$E$8-'Beta HC3'!$E$9*L73/'Beta HC3'!$E$11)^2</x:f>
        <x:v>1.6337510775231265e-11</x:v>
      </x:c>
      <x:c r="Q73" s="240" t="n">
        <x:f>N73*(1/'Beta HC3'!$E$8-'Beta HC3'!$E$9*L73/'Beta HC3'!$E$11)*L73/'Beta HC3'!$E$11</x:f>
        <x:v>-6.198690740830075e-10</x:v>
      </x:c>
      <x:c r="R73" s="240" t="n">
        <x:f>K73*L73/'Beta HC3'!$E$11</x:f>
        <x:v>-0.0001532146073882185</x:v>
      </x:c>
      <x:c r="S73" s="240" t="n">
        <x:f>(K73-K72)^2</x:f>
        <x:v>0.000139493622649125</x:v>
      </x:c>
      <x:c r="T73" s="280" t="n">
        <x:f>E73/$E$9*100</x:f>
        <x:v>106.70324131112238</x:v>
      </x:c>
      <x:c r="U73" s="136"/>
      <x:c r="V73" s="136"/>
      <x:c r="W73" s="136"/>
      <x:c r="X73" s="136"/>
      <x:c r="Y73" s="136"/>
      <x:c r="Z73" s="136"/>
    </x:row>
    <x:row r="74" ht="24" customHeight="1">
      <x:c r="A74" s="136"/>
      <x:c r="B74" s="136"/>
      <x:c r="C74" s="274" t="d">
        <x:v>2022-01-10T00:00:00.000Z</x:v>
      </x:c>
      <x:c r="D74" s="191" t="n">
        <x:v>314.2699890136719</x:v>
      </x:c>
      <x:c r="E74" s="191" t="n">
        <x:v>302.1653137207031</x:v>
      </x:c>
      <x:c r="F74" s="191" t="n">
        <x:v>465.510009765625</x:v>
      </x:c>
      <x:c r="G74" s="191" t="n">
        <x:v>436.9223327636719</x:v>
      </x:c>
      <x:c r="H74" s="208" t="n">
        <x:f>E74/E73-1</x:f>
        <x:v>0.0007325574167649229</x:v>
      </x:c>
      <x:c r="I74" s="208" t="n">
        <x:f>G74/G73-1</x:f>
        <x:v>-0.0012441658145508905</x:v>
      </x:c>
      <x:c r="J74" s="208" t="n">
        <x:f>'Beta HC3'!$E$13+'Beta HC3'!$E$12*I74</x:f>
        <x:v>-0.0013940534039877934</x:v>
      </x:c>
      <x:c r="K74" s="240" t="n">
        <x:f>H74-J74</x:f>
        <x:v>0.0021266108207527164</x:v>
      </x:c>
      <x:c r="L74" s="240" t="n">
        <x:f>I74-'Beta HC3'!$E$9</x:f>
        <x:v>-0.0018081134322113297</x:v>
      </x:c>
      <x:c r="M74" s="240" t="n">
        <x:f>1/'Beta HC3'!$E$8+L74^2/'Beta HC3'!$E$11</x:f>
        <x:v>0.0008191695008572644</x:v>
      </x:c>
      <x:c r="N74" s="240" t="n">
        <x:f>K74^2/(1-M74)^2</x:f>
        <x:v>0.0000045298920420157965</x:v>
      </x:c>
      <x:c r="O74" s="240" t="n">
        <x:f>N74*L74^2/'Beta HC3'!$E$11^2</x:f>
        <x:v>6.925544428984387e-10</x:v>
      </x:c>
      <x:c r="P74" s="240" t="n">
        <x:f>N74*(1/'Beta HC3'!$E$8-'Beta HC3'!$E$9*L74/'Beta HC3'!$E$11)^2</x:f>
        <x:v>2.926634533324204e-12</x:v>
      </x:c>
      <x:c r="Q74" s="240" t="n">
        <x:f>N74*(1/'Beta HC3'!$E$8-'Beta HC3'!$E$9*L74/'Beta HC3'!$E$11)*L74/'Beta HC3'!$E$11</x:f>
        <x:v>-4.502059249714153e-11</x:v>
      </x:c>
      <x:c r="R74" s="240" t="n">
        <x:f>K74*L74/'Beta HC3'!$E$11</x:f>
        <x:v>-0.0000262948715280117</x:v>
      </x:c>
      <x:c r="S74" s="240" t="n">
        <x:f>(K74-K73)^2</x:f>
        <x:v>0.000008025161787483127</x:v>
      </x:c>
      <x:c r="T74" s="280" t="n">
        <x:f>E74/$E$9*100</x:f>
        <x:v>106.7814075619377</x:v>
      </x:c>
      <x:c r="U74" s="136"/>
      <x:c r="V74" s="136"/>
      <x:c r="W74" s="136"/>
      <x:c r="X74" s="136"/>
      <x:c r="Y74" s="136"/>
      <x:c r="Z74" s="136"/>
    </x:row>
    <x:row r="75" ht="24" customHeight="1">
      <x:c r="A75" s="136"/>
      <x:c r="B75" s="136"/>
      <x:c r="C75" s="274" t="d">
        <x:v>2022-01-11T00:00:00.000Z</x:v>
      </x:c>
      <x:c r="D75" s="191" t="n">
        <x:v>314.9800109863281</x:v>
      </x:c>
      <x:c r="E75" s="191" t="n">
        <x:v>302.8479919433594</x:v>
      </x:c>
      <x:c r="F75" s="191" t="n">
        <x:v>469.75</x:v>
      </x:c>
      <x:c r="G75" s="191" t="n">
        <x:v>440.9019470214844</x:v>
      </x:c>
      <x:c r="H75" s="208" t="n">
        <x:f>E75/E74-1</x:f>
        <x:v>0.002259287190346626</x:v>
      </x:c>
      <x:c r="I75" s="208" t="n">
        <x:f>G75/G74-1</x:f>
        <x:v>0.009108287582006103</x:v>
      </x:c>
      <x:c r="J75" s="208" t="n">
        <x:f>'Beta HC3'!$E$13+'Beta HC3'!$E$12*I75</x:f>
        <x:v>0.01028156501348115</x:v>
      </x:c>
      <x:c r="K75" s="240" t="n">
        <x:f>H75-J75</x:f>
        <x:v>-0.008022277823134524</x:v>
      </x:c>
      <x:c r="L75" s="240" t="n">
        <x:f>I75-'Beta HC3'!$E$9</x:f>
        <x:v>0.008544339964345664</x:v>
      </x:c>
      <x:c r="M75" s="240" t="n">
        <x:f>1/'Beta HC3'!$E$8+L75^2/'Beta HC3'!$E$11</x:f>
        <x:v>0.0012960585273104003</x:v>
      </x:c>
      <x:c r="N75" s="240" t="n">
        <x:f>K75^2/(1-M75)^2</x:f>
        <x:v>0.00006452408707261302</x:v>
      </x:c>
      <x:c r="O75" s="240" t="n">
        <x:f>N75*L75^2/'Beta HC3'!$E$11^2</x:f>
        <x:v>2.2028941575162606e-7</x:v>
      </x:c>
      <x:c r="P75" s="240" t="n">
        <x:f>N75*(1/'Beta HC3'!$E$8-'Beta HC3'!$E$9*L75/'Beta HC3'!$E$11)^2</x:f>
        <x:v>3.764877697005432e-11</x:v>
      </x:c>
      <x:c r="Q75" s="240" t="n">
        <x:f>N75*(1/'Beta HC3'!$E$8-'Beta HC3'!$E$9*L75/'Beta HC3'!$E$11)*L75/'Beta HC3'!$E$11</x:f>
        <x:v>2.8798658098072107e-9</x:v>
      </x:c>
      <x:c r="R75" s="240" t="n">
        <x:f>K75*L75/'Beta HC3'!$E$11</x:f>
        <x:v>-0.0004687416877504607</x:v>
      </x:c>
      <x:c r="S75" s="240" t="n">
        <x:f>(K75-K74)^2</x:f>
        <x:v>0.0001029999407060234</x:v>
      </x:c>
      <x:c r="T75" s="280" t="n">
        <x:f>E75/$E$9*100</x:f>
        <x:v>107.02265742820956</x:v>
      </x:c>
      <x:c r="U75" s="136"/>
      <x:c r="V75" s="136"/>
      <x:c r="W75" s="136"/>
      <x:c r="X75" s="136"/>
      <x:c r="Y75" s="136"/>
      <x:c r="Z75" s="136"/>
    </x:row>
    <x:row r="76" ht="24" customHeight="1">
      <x:c r="A76" s="136"/>
      <x:c r="B76" s="136"/>
      <x:c r="C76" s="274" t="d">
        <x:v>2022-01-12T00:00:00.000Z</x:v>
      </x:c>
      <x:c r="D76" s="191" t="n">
        <x:v>318.2699890136719</x:v>
      </x:c>
      <x:c r="E76" s="191" t="n">
        <x:v>306.0111999511719</x:v>
      </x:c>
      <x:c r="F76" s="191" t="n">
        <x:v>471.0199890136719</x:v>
      </x:c>
      <x:c r="G76" s="191" t="n">
        <x:v>442.09393310546875</x:v>
      </x:c>
      <x:c r="H76" s="208" t="n">
        <x:f>E76/E75-1</x:f>
        <x:v>0.0104448703374731</x:v>
      </x:c>
      <x:c r="I76" s="208" t="n">
        <x:f>G76/G75-1</x:f>
        <x:v>0.002703517396638544</x:v>
      </x:c>
      <x:c r="J76" s="208" t="n">
        <x:f>'Beta HC3'!$E$13+'Beta HC3'!$E$12*I76</x:f>
        <x:v>0.003058190044142618</x:v>
      </x:c>
      <x:c r="K76" s="240" t="n">
        <x:f>H76-J76</x:f>
        <x:v>0.007386680293330482</x:v>
      </x:c>
      <x:c r="L76" s="240" t="n">
        <x:f>I76-'Beta HC3'!$E$9</x:f>
        <x:v>0.0021395697789781047</x:v>
      </x:c>
      <x:c r="M76" s="240" t="n">
        <x:f>1/'Beta HC3'!$E$8+L76^2/'Beta HC3'!$E$11</x:f>
        <x:v>0.0008281175012695501</x:v>
      </x:c>
      <x:c r="N76" s="240" t="n">
        <x:f>K76^2/(1-M76)^2</x:f>
        <x:v>0.000054653527360684635</x:v>
      </x:c>
      <x:c r="O76" s="240" t="n">
        <x:f>N76*L76^2/'Beta HC3'!$E$11^2</x:f>
        <x:v>1.169999912930974e-8</x:v>
      </x:c>
      <x:c r="P76" s="240" t="n">
        <x:f>N76*(1/'Beta HC3'!$E$8-'Beta HC3'!$E$9*L76/'Beta HC3'!$E$11)^2</x:f>
        <x:v>3.398515661100535e-11</x:v>
      </x:c>
      <x:c r="Q76" s="240" t="n">
        <x:f>N76*(1/'Beta HC3'!$E$8-'Beta HC3'!$E$9*L76/'Beta HC3'!$E$11)*L76/'Beta HC3'!$E$11</x:f>
        <x:v>6.305761672932286e-10</x:v>
      </x:c>
      <x:c r="R76" s="240" t="n">
        <x:f>K76*L76/'Beta HC3'!$E$11</x:f>
        <x:v>0.00010807695963909735</x:v>
      </x:c>
      <x:c r="S76" s="240" t="n">
        <x:f>(K76-K75)^2</x:f>
        <x:v>0.00023743599023497275</x:v>
      </x:c>
      <x:c r="T76" s="280" t="n">
        <x:f>E76/$E$9*100</x:f>
        <x:v>108.14049520821902</x:v>
      </x:c>
      <x:c r="U76" s="136"/>
      <x:c r="V76" s="136"/>
      <x:c r="W76" s="136"/>
      <x:c r="X76" s="136"/>
      <x:c r="Y76" s="136"/>
      <x:c r="Z76" s="136"/>
    </x:row>
    <x:row r="77" ht="24" customHeight="1">
      <x:c r="A77" s="136"/>
      <x:c r="B77" s="136"/>
      <x:c r="C77" s="274" t="d">
        <x:v>2022-01-13T00:00:00.000Z</x:v>
      </x:c>
      <x:c r="D77" s="191" t="n">
        <x:v>304.79998779296875</x:v>
      </x:c>
      <x:c r="E77" s="191" t="n">
        <x:v>293.05999755859375</x:v>
      </x:c>
      <x:c r="F77" s="191" t="n">
        <x:v>464.5299987792969</x:v>
      </x:c>
      <x:c r="G77" s="191" t="n">
        <x:v>436.00250244140625</x:v>
      </x:c>
      <x:c r="H77" s="208" t="n">
        <x:f>E77/E76-1</x:f>
        <x:v>-0.0423226417681597</x:v>
      </x:c>
      <x:c r="I77" s="208" t="n">
        <x:f>G77/G76-1</x:f>
        <x:v>-0.013778589136642316</x:v>
      </x:c>
      <x:c r="J77" s="208" t="n">
        <x:f>'Beta HC3'!$E$13+'Beta HC3'!$E$12*I77</x:f>
        <x:v>-0.015530523106950656</x:v>
      </x:c>
      <x:c r="K77" s="240" t="n">
        <x:f>H77-J77</x:f>
        <x:v>-0.026792118661209043</x:v>
      </x:c>
      <x:c r="L77" s="240" t="n">
        <x:f>I77-'Beta HC3'!$E$9</x:f>
        <x:v>-0.014342536754302755</x:v>
      </x:c>
      <x:c r="M77" s="240" t="n">
        <x:f>1/'Beta HC3'!$E$8+L77^2/'Beta HC3'!$E$11</x:f>
        <x:v>0.0022035380685864105</x:v>
      </x:c>
      <x:c r="N77" s="240" t="n">
        <x:f>K77^2/(1-M77)^2</x:f>
        <x:v>0.0007209915863392229</x:v>
      </x:c>
      <x:c r="O77" s="240" t="n">
        <x:f>N77*L77^2/'Beta HC3'!$E$11^2</x:f>
        <x:v>0.000006935804809055579</x:v>
      </x:c>
      <x:c r="P77" s="240" t="n">
        <x:f>N77*(1/'Beta HC3'!$E$8-'Beta HC3'!$E$9*L77/'Beta HC3'!$E$11)^2</x:f>
        <x:v>5.235243788873101e-10</x:v>
      </x:c>
      <x:c r="Q77" s="240" t="n">
        <x:f>N77*(1/'Beta HC3'!$E$8-'Beta HC3'!$E$9*L77/'Beta HC3'!$E$11)*L77/'Beta HC3'!$E$11</x:f>
        <x:v>-6.025830154214803e-8</x:v>
      </x:c>
      <x:c r="R77" s="240" t="n">
        <x:f>K77*L77/'Beta HC3'!$E$11</x:f>
        <x:v>0.0026277883983579714</x:v>
      </x:c>
      <x:c r="S77" s="240" t="n">
        <x:f>(K77-K76)^2</x:f>
        <x:v>0.0011681902979748322</x:v>
      </x:c>
      <x:c r="T77" s="280" t="n">
        <x:f>E77/$E$9*100</x:f>
        <x:v>103.56370376889016</x:v>
      </x:c>
      <x:c r="U77" s="136"/>
      <x:c r="V77" s="136"/>
      <x:c r="W77" s="136"/>
      <x:c r="X77" s="136"/>
      <x:c r="Y77" s="136"/>
      <x:c r="Z77" s="136"/>
    </x:row>
    <x:row r="78" ht="24" customHeight="1">
      <x:c r="A78" s="136"/>
      <x:c r="B78" s="136"/>
      <x:c r="C78" s="274" t="d">
        <x:v>2022-01-14T00:00:00.000Z</x:v>
      </x:c>
      <x:c r="D78" s="191" t="n">
        <x:v>310.20001220703125</x:v>
      </x:c>
      <x:c r="E78" s="191" t="n">
        <x:v>298.25201416015625</x:v>
      </x:c>
      <x:c r="F78" s="191" t="n">
        <x:v>464.7200012207031</x:v>
      </x:c>
      <x:c r="G78" s="191" t="n">
        <x:v>436.18084716796875</x:v>
      </x:c>
      <x:c r="H78" s="208" t="n">
        <x:f>E78/E77-1</x:f>
        <x:v>0.017716565361413528</x:v>
      </x:c>
      <x:c r="I78" s="208" t="n">
        <x:f>G78/G77-1</x:f>
        <x:v>0.0004090451902543091</x:v>
      </x:c>
      <x:c r="J78" s="208" t="n">
        <x:f>'Beta HC3'!$E$13+'Beta HC3'!$E$12*I78</x:f>
        <x:v>0.0004704573661920992</x:v>
      </x:c>
      <x:c r="K78" s="240" t="n">
        <x:f>H78-J78</x:f>
        <x:v>0.01724610799522143</x:v>
      </x:c>
      <x:c r="L78" s="240" t="n">
        <x:f>I78-'Beta HC3'!$E$9</x:f>
        <x:v>-0.0001549024274061303</x:v>
      </x:c>
      <x:c r="M78" s="240" t="n">
        <x:f>1/'Beta HC3'!$E$8+L78^2/'Beta HC3'!$E$11</x:f>
        <x:v>0.0007969768358654792</x:v>
      </x:c>
      <x:c r="N78" s="240" t="n">
        <x:f>K78^2/(1-M78)^2</x:f>
        <x:v>0.00029790289517682623</x:v>
      </x:c>
      <x:c r="O78" s="240" t="n">
        <x:f>N78*L78^2/'Beta HC3'!$E$11^2</x:f>
        <x:v>3.3427653644896347e-10</x:v>
      </x:c>
      <x:c r="P78" s="240" t="n">
        <x:f>N78*(1/'Beta HC3'!$E$8-'Beta HC3'!$E$9*L78/'Beta HC3'!$E$11)^2</x:f>
        <x:v>1.8942540536810526e-10</x:v>
      </x:c>
      <x:c r="Q78" s="240" t="n">
        <x:f>N78*(1/'Beta HC3'!$E$8-'Beta HC3'!$E$9*L78/'Beta HC3'!$E$11)*L78/'Beta HC3'!$E$11</x:f>
        <x:v>-2.516355865570113e-10</x:v>
      </x:c>
      <x:c r="R78" s="240" t="n">
        <x:f>K78*L78/'Beta HC3'!$E$11</x:f>
        <x:v>-0.000018268659706159047</x:v>
      </x:c>
      <x:c r="S78" s="240" t="n">
        <x:f>(K78-K77)^2</x:f>
        <x:v>0.0019393654070431435</x:v>
      </x:c>
      <x:c r="T78" s="280" t="n">
        <x:f>E78/$E$9*100</x:f>
        <x:v>105.39849689578178</x:v>
      </x:c>
      <x:c r="U78" s="136"/>
      <x:c r="V78" s="136"/>
      <x:c r="W78" s="136"/>
      <x:c r="X78" s="136"/>
      <x:c r="Y78" s="136"/>
      <x:c r="Z78" s="136"/>
    </x:row>
    <x:row r="79" ht="24" customHeight="1">
      <x:c r="A79" s="136"/>
      <x:c r="B79" s="136"/>
      <x:c r="C79" s="274" t="d">
        <x:v>2022-01-18T00:00:00.000Z</x:v>
      </x:c>
      <x:c r="D79" s="191" t="n">
        <x:v>302.6499938964844</x:v>
      </x:c>
      <x:c r="E79" s="191" t="n">
        <x:v>290.99285888671875</x:v>
      </x:c>
      <x:c r="F79" s="191" t="n">
        <x:v>456.489990234375</x:v>
      </x:c>
      <x:c r="G79" s="191" t="n">
        <x:v>428.45623779296875</x:v>
      </x:c>
      <x:c r="H79" s="208" t="n">
        <x:f>E79/E78-1</x:f>
        <x:v>-0.02433899832622577</x:v>
      </x:c>
      <x:c r="I79" s="208" t="n">
        <x:f>G79/G78-1</x:f>
        <x:v>-0.01770964824602983</x:v>
      </x:c>
      <x:c r="J79" s="208" t="n">
        <x:f>'Beta HC3'!$E$13+'Beta HC3'!$E$12*I79</x:f>
        <x:v>-0.01996401769799981</x:v>
      </x:c>
      <x:c r="K79" s="240" t="n">
        <x:f>H79-J79</x:f>
        <x:v>-0.004374980628225958</x:v>
      </x:c>
      <x:c r="L79" s="240" t="n">
        <x:f>I79-'Beta HC3'!$E$9</x:f>
        <x:v>-0.01827359586369027</x:v>
      </x:c>
      <x:c r="M79" s="240" t="n">
        <x:f>1/'Beta HC3'!$E$8+L79^2/'Beta HC3'!$E$11</x:f>
        <x:v>0.0030803357644296724</x:v>
      </x:c>
      <x:c r="N79" s="240" t="n">
        <x:f>K79^2/(1-M79)^2</x:f>
        <x:v>0.000019258920643778722</x:v>
      </x:c>
      <x:c r="O79" s="240" t="n">
        <x:f>N79*L79^2/'Beta HC3'!$E$11^2</x:f>
        <x:v>3.00742425669498e-7</x:v>
      </x:c>
      <x:c r="P79" s="240" t="n">
        <x:f>N79*(1/'Beta HC3'!$E$8-'Beta HC3'!$E$9*L79/'Beta HC3'!$E$11)^2</x:f>
        <x:v>1.4486248770943164e-11</x:v>
      </x:c>
      <x:c r="Q79" s="240" t="n">
        <x:f>N79*(1/'Beta HC3'!$E$8-'Beta HC3'!$E$9*L79/'Beta HC3'!$E$11)*L79/'Beta HC3'!$E$11</x:f>
        <x:v>-2.0872540799397736e-9</x:v>
      </x:c>
      <x:c r="R79" s="240" t="n">
        <x:f>K79*L79/'Beta HC3'!$E$11</x:f>
        <x:v>0.0005467106217691082</x:v>
      </x:c>
      <x:c r="S79" s="240" t="n">
        <x:f>(K79-K78)^2</x:f>
        <x:v>0.00046747147326296604</x:v>
      </x:c>
      <x:c r="T79" s="280" t="n">
        <x:f>E79/$E$9*100</x:f>
        <x:v>102.83320305624864</x:v>
      </x:c>
      <x:c r="U79" s="136"/>
      <x:c r="V79" s="136"/>
      <x:c r="W79" s="136"/>
      <x:c r="X79" s="136"/>
      <x:c r="Y79" s="136"/>
      <x:c r="Z79" s="136"/>
    </x:row>
    <x:row r="80" ht="24" customHeight="1">
      <x:c r="A80" s="136"/>
      <x:c r="B80" s="136"/>
      <x:c r="C80" s="274" t="d">
        <x:v>2022-01-19T00:00:00.000Z</x:v>
      </x:c>
      <x:c r="D80" s="191" t="n">
        <x:v>303.3299865722656</x:v>
      </x:c>
      <x:c r="E80" s="191" t="n">
        <x:v>291.6466369628906</x:v>
      </x:c>
      <x:c r="F80" s="191" t="n">
        <x:v>451.75</x:v>
      </x:c>
      <x:c r="G80" s="191" t="n">
        <x:v>424.00726318359375</x:v>
      </x:c>
      <x:c r="H80" s="208" t="n">
        <x:f>E80/E79-1</x:f>
        <x:v>0.002246715189757831</x:v>
      </x:c>
      <x:c r="I80" s="208" t="n">
        <x:f>G80/G79-1</x:f>
        <x:v>-0.010383731678857644</x:v>
      </x:c>
      <x:c r="J80" s="208" t="n">
        <x:f>'Beta HC3'!$E$13+'Beta HC3'!$E$12*I80</x:f>
        <x:v>-0.011701763030428605</x:v>
      </x:c>
      <x:c r="K80" s="240" t="n">
        <x:f>H80-J80</x:f>
        <x:v>0.013948478220186435</x:v>
      </x:c>
      <x:c r="L80" s="240" t="n">
        <x:f>I80-'Beta HC3'!$E$9</x:f>
        <x:v>-0.010947679296518083</x:v>
      </x:c>
      <x:c r="M80" s="240" t="n">
        <x:f>1/'Beta HC3'!$E$8+L80^2/'Beta HC3'!$E$11</x:f>
        <x:v>0.0016164118901638611</x:v>
      </x:c>
      <x:c r="N80" s="240" t="n">
        <x:f>K80^2/(1-M80)^2</x:f>
        <x:v>0.00019519055132361676</x:v>
      </x:c>
      <x:c r="O80" s="240" t="n">
        <x:f>N80*L80^2/'Beta HC3'!$E$11^2</x:f>
        <x:v>0.0000010940008181957438</x:v>
      </x:c>
      <x:c r="P80" s="240" t="n">
        <x:f>N80*(1/'Beta HC3'!$E$8-'Beta HC3'!$E$9*L80/'Beta HC3'!$E$11)^2</x:f>
        <x:v>1.3740945345936556e-10</x:v>
      </x:c>
      <x:c r="Q80" s="240" t="n">
        <x:f>N80*(1/'Beta HC3'!$E$8-'Beta HC3'!$E$9*L80/'Beta HC3'!$E$11)*L80/'Beta HC3'!$E$11</x:f>
        <x:v>-1.2260752607910166e-8</x:v>
      </x:c>
      <x:c r="R80" s="240" t="n">
        <x:f>K80*L80/'Beta HC3'!$E$11</x:f>
        <x:v>-0.001044254262489043</x:v>
      </x:c>
      <x:c r="S80" s="240" t="n">
        <x:f>(K80-K79)^2</x:f>
        <x:v>0.00033574914416946243</x:v>
      </x:c>
      <x:c r="T80" s="280" t="n">
        <x:f>E80/$E$9*100</x:f>
        <x:v>103.06423997556658</x:v>
      </x:c>
      <x:c r="U80" s="136"/>
      <x:c r="V80" s="136"/>
      <x:c r="W80" s="136"/>
      <x:c r="X80" s="136"/>
      <x:c r="Y80" s="136"/>
      <x:c r="Z80" s="136"/>
    </x:row>
    <x:row r="81" ht="24" customHeight="1">
      <x:c r="A81" s="136"/>
      <x:c r="B81" s="136"/>
      <x:c r="C81" s="274" t="d">
        <x:v>2022-01-20T00:00:00.000Z</x:v>
      </x:c>
      <x:c r="D81" s="191" t="n">
        <x:v>301.6000061035156</x:v>
      </x:c>
      <x:c r="E81" s="191" t="n">
        <x:v>289.9833068847656</x:v>
      </x:c>
      <x:c r="F81" s="191" t="n">
        <x:v>446.75</x:v>
      </x:c>
      <x:c r="G81" s="191" t="n">
        <x:v>419.3143615722656</x:v>
      </x:c>
      <x:c r="H81" s="208" t="n">
        <x:f>E81/E80-1</x:f>
        <x:v>-0.005703237642121883</x:v>
      </x:c>
      <x:c r="I81" s="208" t="n">
        <x:f>G81/G80-1</x:f>
        <x:v>-0.01106797458159603</x:v>
      </x:c>
      <x:c r="J81" s="208" t="n">
        <x:f>'Beta HC3'!$E$13+'Beta HC3'!$E$12*I81</x:f>
        <x:v>-0.012473460205118777</x:v>
      </x:c>
      <x:c r="K81" s="240" t="n">
        <x:f>H81-J81</x:f>
        <x:v>0.006770222562996893</x:v>
      </x:c>
      <x:c r="L81" s="240" t="n">
        <x:f>I81-'Beta HC3'!$E$9</x:f>
        <x:v>-0.011631922199256468</x:v>
      </x:c>
      <x:c r="M81" s="240" t="n">
        <x:f>1/'Beta HC3'!$E$8+L81^2/'Beta HC3'!$E$11</x:f>
        <x:v>0.0017220654016251724</x:v>
      </x:c>
      <x:c r="N81" s="240" t="n">
        <x:f>K81^2/(1-M81)^2</x:f>
        <x:v>0.00004599418715306924</x:v>
      </x:c>
      <x:c r="O81" s="240" t="n">
        <x:f>N81*L81^2/'Beta HC3'!$E$11^2</x:f>
        <x:v>2.9101853378838464e-7</x:v>
      </x:c>
      <x:c r="P81" s="240" t="n">
        <x:f>N81*(1/'Beta HC3'!$E$8-'Beta HC3'!$E$9*L81/'Beta HC3'!$E$11)^2</x:f>
        <x:v>3.258278766780415e-11</x:v>
      </x:c>
      <x:c r="Q81" s="240" t="n">
        <x:f>N81*(1/'Beta HC3'!$E$8-'Beta HC3'!$E$9*L81/'Beta HC3'!$E$11)*L81/'Beta HC3'!$E$11</x:f>
        <x:v>-3.0793173097007437e-9</x:v>
      </x:c>
      <x:c r="R81" s="240" t="n">
        <x:f>K81*L81/'Beta HC3'!$E$11</x:f>
        <x:v>-0.0005385323489912193</x:v>
      </x:c>
      <x:c r="S81" s="240" t="n">
        <x:f>(K81-K80)^2</x:f>
        <x:v>0.00005152735427997367</x:v>
      </x:c>
      <x:c r="T81" s="280" t="n">
        <x:f>E81/$E$9*100</x:f>
        <x:v>102.47644012258124</x:v>
      </x:c>
      <x:c r="U81" s="136"/>
      <x:c r="V81" s="136"/>
      <x:c r="W81" s="136"/>
      <x:c r="X81" s="136"/>
      <x:c r="Y81" s="136"/>
      <x:c r="Z81" s="136"/>
    </x:row>
    <x:row r="82" ht="24" customHeight="1">
      <x:c r="A82" s="136"/>
      <x:c r="B82" s="136"/>
      <x:c r="C82" s="274" t="d">
        <x:v>2022-01-21T00:00:00.000Z</x:v>
      </x:c>
      <x:c r="D82" s="191" t="n">
        <x:v>296.0299987792969</x:v>
      </x:c>
      <x:c r="E82" s="191" t="n">
        <x:v>284.6278381347656</x:v>
      </x:c>
      <x:c r="F82" s="191" t="n">
        <x:v>437.9800109863281</x:v>
      </x:c>
      <x:c r="G82" s="191" t="n">
        <x:v>411.0830078125</x:v>
      </x:c>
      <x:c r="H82" s="208" t="n">
        <x:f>E82/E81-1</x:f>
        <x:v>-0.018468196695640038</x:v>
      </x:c>
      <x:c r="I82" s="208" t="n">
        <x:f>G82/G81-1</x:f>
        <x:v>-0.01963050759554541</x:v>
      </x:c>
      <x:c r="J82" s="208" t="n">
        <x:f>'Beta HC3'!$E$13+'Beta HC3'!$E$12*I82</x:f>
        <x:v>-0.02213038541195932</x:v>
      </x:c>
      <x:c r="K82" s="240" t="n">
        <x:f>H82-J82</x:f>
        <x:v>0.003662188716319282</x:v>
      </x:c>
      <x:c r="L82" s="240" t="n">
        <x:f>I82-'Beta HC3'!$E$9</x:f>
        <x:v>-0.02019445521320585</x:v>
      </x:c>
      <x:c r="M82" s="240" t="n">
        <x:f>1/'Beta HC3'!$E$8+L82^2/'Beta HC3'!$E$11</x:f>
        <x:v>0.003585640200869198</x:v>
      </x:c>
      <x:c r="N82" s="240" t="n">
        <x:f>K82^2/(1-M82)^2</x:f>
        <x:v>0.000013508324502664679</x:v>
      </x:c>
      <x:c r="O82" s="240" t="n">
        <x:f>N82*L82^2/'Beta HC3'!$E$11^2</x:f>
        <x:v>2.576205428780654e-7</x:v>
      </x:c>
      <x:c r="P82" s="240" t="n">
        <x:f>N82*(1/'Beta HC3'!$E$8-'Beta HC3'!$E$9*L82/'Beta HC3'!$E$11)^2</x:f>
        <x:v>1.0335058801256617e-11</x:v>
      </x:c>
      <x:c r="Q82" s="240" t="n">
        <x:f>N82*(1/'Beta HC3'!$E$8-'Beta HC3'!$E$9*L82/'Beta HC3'!$E$11)*L82/'Beta HC3'!$E$11</x:f>
        <x:v>-1.6317240756501872e-9</x:v>
      </x:c>
      <x:c r="R82" s="240" t="n">
        <x:f>K82*L82/'Beta HC3'!$E$11</x:f>
        <x:v>-0.0005057433992724633</x:v>
      </x:c>
      <x:c r="S82" s="240" t="n">
        <x:f>(K82-K81)^2</x:f>
        <x:v>0.00000965987439209363</x:v>
      </x:c>
      <x:c r="T82" s="280" t="n">
        <x:f>E82/$E$9*100</x:f>
        <x:v>100.58388506972844</x:v>
      </x:c>
      <x:c r="U82" s="136"/>
      <x:c r="V82" s="136"/>
      <x:c r="W82" s="136"/>
      <x:c r="X82" s="136"/>
      <x:c r="Y82" s="136"/>
      <x:c r="Z82" s="136"/>
    </x:row>
    <x:row r="83" ht="24" customHeight="1">
      <x:c r="A83" s="136"/>
      <x:c r="B83" s="136"/>
      <x:c r="C83" s="274" t="d">
        <x:v>2022-01-24T00:00:00.000Z</x:v>
      </x:c>
      <x:c r="D83" s="191" t="n">
        <x:v>296.3699951171875</x:v>
      </x:c>
      <x:c r="E83" s="191" t="n">
        <x:v>284.9547119140625</x:v>
      </x:c>
      <x:c r="F83" s="191" t="n">
        <x:v>439.8399963378906</x:v>
      </x:c>
      <x:c r="G83" s="191" t="n">
        <x:v>412.8286437988281</x:v>
      </x:c>
      <x:c r="H83" s="208" t="n">
        <x:f>E83/E82-1</x:f>
        <x:v>0.0011484251907296628</x:v>
      </x:c>
      <x:c r="I83" s="208" t="n">
        <x:f>G83/G82-1</x:f>
        <x:v>0.00424643187179452</x:v>
      </x:c>
      <x:c r="J83" s="208" t="n">
        <x:f>'Beta HC3'!$E$13+'Beta HC3'!$E$12*I83</x:f>
        <x:v>0.004798307093952452</x:v>
      </x:c>
      <x:c r="K83" s="240" t="n">
        <x:f>H83-J83</x:f>
        <x:v>-0.003649881903222789</x:v>
      </x:c>
      <x:c r="L83" s="240" t="n">
        <x:f>I83-'Beta HC3'!$E$9</x:f>
        <x:v>0.003682484254134081</x:v>
      </x:c>
      <x:c r="M83" s="240" t="n">
        <x:f>1/'Beta HC3'!$E$8+L83^2/'Beta HC3'!$E$11</x:f>
        <x:v>0.000889546784313784</x:v>
      </x:c>
      <x:c r="N83" s="240" t="n">
        <x:f>K83^2/(1-M83)^2</x:f>
        <x:v>0.000013345370009323453</x:v>
      </x:c>
      <x:c r="O83" s="240" t="n">
        <x:f>N83*L83^2/'Beta HC3'!$E$11^2</x:f>
        <x:v>8.463054531857922e-9</x:v>
      </x:c>
      <x:c r="P83" s="240" t="n">
        <x:f>N83*(1/'Beta HC3'!$E$8-'Beta HC3'!$E$9*L83/'Beta HC3'!$E$11)^2</x:f>
        <x:v>8.17377520382351e-12</x:v>
      </x:c>
      <x:c r="Q83" s="240" t="n">
        <x:f>N83*(1/'Beta HC3'!$E$8-'Beta HC3'!$E$9*L83/'Beta HC3'!$E$11)*L83/'Beta HC3'!$E$11</x:f>
        <x:v>2.630116067421863e-10</x:v>
      </x:c>
      <x:c r="R83" s="240" t="n">
        <x:f>K83*L83/'Beta HC3'!$E$11</x:f>
        <x:v>-0.00009191302770951044</x:v>
      </x:c>
      <x:c r="S83" s="240" t="n">
        <x:f>(K83-K82)^2</x:f>
        <x:v>0.000053466376745170365</x:v>
      </x:c>
      <x:c r="T83" s="280" t="n">
        <x:f>E83/$E$9*100</x:f>
        <x:v>100.69939813712396</x:v>
      </x:c>
      <x:c r="U83" s="136"/>
      <x:c r="V83" s="136"/>
      <x:c r="W83" s="136"/>
      <x:c r="X83" s="136"/>
      <x:c r="Y83" s="136"/>
      <x:c r="Z83" s="136"/>
    </x:row>
    <x:row r="84" ht="24" customHeight="1">
      <x:c r="A84" s="136"/>
      <x:c r="B84" s="136"/>
      <x:c r="C84" s="274" t="d">
        <x:v>2022-01-25T00:00:00.000Z</x:v>
      </x:c>
      <x:c r="D84" s="191" t="n">
        <x:v>288.489990234375</x:v>
      </x:c>
      <x:c r="E84" s="191" t="n">
        <x:v>277.3782958984375</x:v>
      </x:c>
      <x:c r="F84" s="191" t="n">
        <x:v>434.4700012207031</x:v>
      </x:c>
      <x:c r="G84" s="191" t="n">
        <x:v>407.7884521484375</x:v>
      </x:c>
      <x:c r="H84" s="208" t="n">
        <x:f>E84/E83-1</x:f>
        <x:v>-0.026588140847833786</x:v>
      </x:c>
      <x:c r="I84" s="208" t="n">
        <x:f>G84/G83-1</x:f>
        <x:v>-0.012208919429647747</x:v>
      </x:c>
      <x:c r="J84" s="208" t="n">
        <x:f>'Beta HC3'!$E$13+'Beta HC3'!$E$12*I84</x:f>
        <x:v>-0.01376023119272441</x:v>
      </x:c>
      <x:c r="K84" s="240" t="n">
        <x:f>H84-J84</x:f>
        <x:v>-0.012827909655109375</x:v>
      </x:c>
      <x:c r="L84" s="240" t="n">
        <x:f>I84-'Beta HC3'!$E$9</x:f>
        <x:v>-0.012772867047308185</x:v>
      </x:c>
      <x:c r="M84" s="240" t="n">
        <x:f>1/'Beta HC3'!$E$8+L84^2/'Beta HC3'!$E$11</x:f>
        <x:v>0.0019124786116842946</x:v>
      </x:c>
      <x:c r="N84" s="240" t="n">
        <x:f>K84^2/(1-M84)^2</x:f>
        <x:v>0.00016518649320815238</x:v>
      </x:c>
      <x:c r="O84" s="240" t="n">
        <x:f>N84*L84^2/'Beta HC3'!$E$11^2</x:f>
        <x:v>0.0000012602770844946182</x:v>
      </x:c>
      <x:c r="P84" s="240" t="n">
        <x:f>N84*(1/'Beta HC3'!$E$8-'Beta HC3'!$E$9*L84/'Beta HC3'!$E$11)^2</x:f>
        <x:v>1.1824663657533775e-10</x:v>
      </x:c>
      <x:c r="Q84" s="240" t="n">
        <x:f>N84*(1/'Beta HC3'!$E$8-'Beta HC3'!$E$9*L84/'Beta HC3'!$E$11)*L84/'Beta HC3'!$E$11</x:f>
        <x:v>-1.2207519256362505e-8</x:v>
      </x:c>
      <x:c r="R84" s="240" t="n">
        <x:f>K84*L84/'Beta HC3'!$E$11</x:f>
        <x:v>0.0011204736445423811</x:v>
      </x:c>
      <x:c r="S84" s="240" t="n">
        <x:f>(K84-K83)^2</x:f>
        <x:v>0.00008423619341440034</x:v>
      </x:c>
      <x:c r="T84" s="280" t="n">
        <x:f>E84/$E$9*100</x:f>
        <x:v>98.02198835616201</x:v>
      </x:c>
      <x:c r="U84" s="136"/>
      <x:c r="V84" s="136"/>
      <x:c r="W84" s="136"/>
      <x:c r="X84" s="136"/>
      <x:c r="Y84" s="136"/>
      <x:c r="Z84" s="136"/>
    </x:row>
    <x:row r="85" ht="24" customHeight="1">
      <x:c r="A85" s="136"/>
      <x:c r="B85" s="136"/>
      <x:c r="C85" s="274" t="d">
        <x:v>2022-01-26T00:00:00.000Z</x:v>
      </x:c>
      <x:c r="D85" s="191" t="n">
        <x:v>296.7099914550781</x:v>
      </x:c>
      <x:c r="E85" s="191" t="n">
        <x:v>285.28167724609375</x:v>
      </x:c>
      <x:c r="F85" s="191" t="n">
        <x:v>433.3800048828125</x:v>
      </x:c>
      <x:c r="G85" s="191" t="n">
        <x:v>406.76544189453125</x:v>
      </x:c>
      <x:c r="H85" s="208" t="n">
        <x:f>E85/E84-1</x:f>
        <x:v>0.028493149840930876</x:v>
      </x:c>
      <x:c r="I85" s="208" t="n">
        <x:f>G85/G84-1</x:f>
        <x:v>-0.0025086788223562806</x:v>
      </x:c>
      <x:c r="J85" s="208" t="n">
        <x:f>'Beta HC3'!$E$13+'Beta HC3'!$E$12*I85</x:f>
        <x:v>-0.0028201860121260585</x:v>
      </x:c>
      <x:c r="K85" s="240" t="n">
        <x:f>H85-J85</x:f>
        <x:v>0.031313335853056935</x:v>
      </x:c>
      <x:c r="L85" s="240" t="n">
        <x:f>I85-'Beta HC3'!$E$9</x:f>
        <x:v>-0.00307262644001672</x:v>
      </x:c>
      <x:c r="M85" s="240" t="n">
        <x:f>1/'Beta HC3'!$E$8+L85^2/'Beta HC3'!$E$11</x:f>
        <x:v>0.0008613747360139356</x:v>
      </x:c>
      <x:c r="N85" s="240" t="n">
        <x:f>K85^2/(1-M85)^2</x:f>
        <x:v>0.000982216386235554</x:v>
      </x:c>
      <x:c r="O85" s="240" t="n">
        <x:f>N85*L85^2/'Beta HC3'!$E$11^2</x:f>
        <x:v>4.336520708704995e-7</x:v>
      </x:c>
      <x:c r="P85" s="240" t="n">
        <x:f>N85*(1/'Beta HC3'!$E$8-'Beta HC3'!$E$9*L85/'Beta HC3'!$E$11)^2</x:f>
        <x:v>6.423055662690924e-10</x:v>
      </x:c>
      <x:c r="Q85" s="240" t="n">
        <x:f>N85*(1/'Beta HC3'!$E$8-'Beta HC3'!$E$9*L85/'Beta HC3'!$E$11)*L85/'Beta HC3'!$E$11</x:f>
        <x:v>-1.668943195391146e-8</x:v>
      </x:c>
      <x:c r="R85" s="240" t="n">
        <x:f>K85*L85/'Beta HC3'!$E$11</x:f>
        <x:v>-0.0006579554078732427</x:v>
      </x:c>
      <x:c r="S85" s="240" t="n">
        <x:f>(K85-K84)^2</x:f>
        <x:v>0.0019484495550122125</x:v>
      </x:c>
      <x:c r="T85" s="280" t="n">
        <x:f>E85/$E$9*100</x:f>
        <x:v>100.81494355810013</x:v>
      </x:c>
      <x:c r="U85" s="136"/>
      <x:c r="V85" s="136"/>
      <x:c r="W85" s="136"/>
      <x:c r="X85" s="136"/>
      <x:c r="Y85" s="136"/>
      <x:c r="Z85" s="136"/>
    </x:row>
    <x:row r="86" ht="24" customHeight="1">
      <x:c r="A86" s="136"/>
      <x:c r="B86" s="136"/>
      <x:c r="C86" s="274" t="d">
        <x:v>2022-01-27T00:00:00.000Z</x:v>
      </x:c>
      <x:c r="D86" s="191" t="n">
        <x:v>299.8399963378906</x:v>
      </x:c>
      <x:c r="E86" s="191" t="n">
        <x:v>288.2911682128906</x:v>
      </x:c>
      <x:c r="F86" s="191" t="n">
        <x:v>431.239990234375</x:v>
      </x:c>
      <x:c r="G86" s="191" t="n">
        <x:v>404.75677490234375</x:v>
      </x:c>
      <x:c r="H86" s="208" t="n">
        <x:f>E86/E85-1</x:f>
        <x:v>0.010549191226889798</x:v>
      </x:c>
      <x:c r="I86" s="208" t="n">
        <x:f>G86/G85-1</x:f>
        <x:v>-0.004938145637033542</x:v>
      </x:c>
      <x:c r="J86" s="208" t="n">
        <x:f>'Beta HC3'!$E$13+'Beta HC3'!$E$12*I86</x:f>
        <x:v>-0.005560167193351101</x:v>
      </x:c>
      <x:c r="K86" s="240" t="n">
        <x:f>H86-J86</x:f>
        <x:v>0.0161093584202409</x:v>
      </x:c>
      <x:c r="L86" s="240" t="n">
        <x:f>I86-'Beta HC3'!$E$9</x:f>
        <x:v>-0.005502093254693982</x:v>
      </x:c>
      <x:c r="M86" s="240" t="n">
        <x:f>1/'Beta HC3'!$E$8+L86^2/'Beta HC3'!$E$11</x:f>
        <x:v>0.0010038332023576742</x:v>
      </x:c>
      <x:c r="N86" s="240" t="n">
        <x:f>K86^2/(1-M86)^2</x:f>
        <x:v>0.00026003322665448284</x:v>
      </x:c>
      <x:c r="O86" s="240" t="n">
        <x:f>N86*L86^2/'Beta HC3'!$E$11^2</x:f>
        <x:v>3.6812851738158725e-7</x:v>
      </x:c>
      <x:c r="P86" s="240" t="n">
        <x:f>N86*(1/'Beta HC3'!$E$8-'Beta HC3'!$E$9*L86/'Beta HC3'!$E$11)^2</x:f>
        <x:v>1.7400796207601899e-10</x:v>
      </x:c>
      <x:c r="Q86" s="240" t="n">
        <x:f>N86*(1/'Beta HC3'!$E$8-'Beta HC3'!$E$9*L86/'Beta HC3'!$E$11)*L86/'Beta HC3'!$E$11</x:f>
        <x:v>-8.003580017194577e-9</x:v>
      </x:c>
      <x:c r="R86" s="240" t="n">
        <x:f>K86*L86/'Beta HC3'!$E$11</x:f>
        <x:v>-0.0006061268918970443</x:v>
      </x:c>
      <x:c r="S86" s="240" t="n">
        <x:f>(K86-K85)^2</x:f>
        <x:v>0.00023116092977757934</x:v>
      </x:c>
      <x:c r="T86" s="280" t="n">
        <x:f>E86/$E$9*100</x:f>
        <x:v>101.87845967622262</x:v>
      </x:c>
      <x:c r="U86" s="136"/>
      <x:c r="V86" s="136"/>
      <x:c r="W86" s="136"/>
      <x:c r="X86" s="136"/>
      <x:c r="Y86" s="136"/>
      <x:c r="Z86" s="136"/>
    </x:row>
    <x:row r="87" ht="24" customHeight="1">
      <x:c r="A87" s="136"/>
      <x:c r="B87" s="136"/>
      <x:c r="C87" s="274" t="d">
        <x:v>2022-01-28T00:00:00.000Z</x:v>
      </x:c>
      <x:c r="D87" s="191" t="n">
        <x:v>308.260009765625</x:v>
      </x:c>
      <x:c r="E87" s="191" t="n">
        <x:v>296.3868103027344</x:v>
      </x:c>
      <x:c r="F87" s="191" t="n">
        <x:v>441.95001220703125</x:v>
      </x:c>
      <x:c r="G87" s="191" t="n">
        <x:v>414.8091125488281</x:v>
      </x:c>
      <x:c r="H87" s="208" t="n">
        <x:f>E87/E86-1</x:f>
        <x:v>0.028081477972524915</x:v>
      </x:c>
      <x:c r="I87" s="208" t="n">
        <x:f>G87/G86-1</x:f>
        <x:v>0.024835501886063982</x:v>
      </x:c>
      <x:c r="J87" s="208" t="n">
        <x:f>'Beta HC3'!$E$13+'Beta HC3'!$E$12*I87</x:f>
        <x:v>0.028018901850467924</x:v>
      </x:c>
      <x:c r="K87" s="240" t="n">
        <x:f>H87-J87</x:f>
        <x:v>0.0000625761220569912</x:v>
      </x:c>
      <x:c r="L87" s="240" t="n">
        <x:f>I87-'Beta HC3'!$E$9</x:f>
        <x:v>0.024271554268403543</x:v>
      </x:c>
      <x:c r="M87" s="240" t="n">
        <x:f>1/'Beta HC3'!$E$8+L87^2/'Beta HC3'!$E$11</x:f>
        <x:v>0.0048253978047376805</x:v>
      </x:c>
      <x:c r="N87" s="240" t="n">
        <x:f>K87^2/(1-M87)^2</x:f>
        <x:v>3.953836658185636e-9</x:v>
      </x:c>
      <x:c r="O87" s="240" t="n">
        <x:f>N87*L87^2/'Beta HC3'!$E$11^2</x:f>
        <x:v>1.0892526431189127e-10</x:v>
      </x:c>
      <x:c r="P87" s="240" t="n">
        <x:f>N87*(1/'Beta HC3'!$E$8-'Beta HC3'!$E$9*L87/'Beta HC3'!$E$11)^2</x:f>
        <x:v>1.9551831182996373e-15</x:v>
      </x:c>
      <x:c r="Q87" s="240" t="n">
        <x:f>N87*(1/'Beta HC3'!$E$8-'Beta HC3'!$E$9*L87/'Beta HC3'!$E$11)*L87/'Beta HC3'!$E$11</x:f>
        <x:v>4.614854688274982e-13</x:v>
      </x:c>
      <x:c r="R87" s="240" t="n">
        <x:f>K87*L87/'Beta HC3'!$E$11</x:f>
        <x:v>0.0000103863653467275</x:v>
      </x:c>
      <x:c r="S87" s="240" t="n">
        <x:f>(K87-K86)^2</x:f>
        <x:v>0.0002574992221253084</x:v>
      </x:c>
      <x:c r="T87" s="280" t="n">
        <x:f>E87/$E$9*100</x:f>
        <x:v>104.73935739749523</x:v>
      </x:c>
      <x:c r="U87" s="136"/>
      <x:c r="V87" s="136"/>
      <x:c r="W87" s="136"/>
      <x:c r="X87" s="136"/>
      <x:c r="Y87" s="136"/>
      <x:c r="Z87" s="136"/>
    </x:row>
    <x:row r="88" ht="24" customHeight="1">
      <x:c r="A88" s="136"/>
      <x:c r="B88" s="136"/>
      <x:c r="C88" s="274" t="d">
        <x:v>2022-01-31T00:00:00.000Z</x:v>
      </x:c>
      <x:c r="D88" s="191" t="n">
        <x:v>310.9800109863281</x:v>
      </x:c>
      <x:c r="E88" s="191" t="n">
        <x:v>299.0020751953125</x:v>
      </x:c>
      <x:c r="F88" s="191" t="n">
        <x:v>449.9100036621094</x:v>
      </x:c>
      <x:c r="G88" s="191" t="n">
        <x:v>422.2803039550781</x:v>
      </x:c>
      <x:c r="H88" s="208" t="n">
        <x:f>E88/E87-1</x:f>
        <x:v>0.00882382346875299</x:v>
      </x:c>
      <x:c r="I88" s="208" t="n">
        <x:f>G88/G87-1</x:f>
        <x:v>0.01801115544531484</x:v>
      </x:c>
      <x:c r="J88" s="208" t="n">
        <x:f>'Beta HC3'!$E$13+'Beta HC3'!$E$12*I88</x:f>
        <x:v>0.020322323856955905</x:v>
      </x:c>
      <x:c r="K88" s="240" t="n">
        <x:f>H88-J88</x:f>
        <x:v>-0.011498500388202916</x:v>
      </x:c>
      <x:c r="L88" s="240" t="n">
        <x:f>I88-'Beta HC3'!$E$9</x:f>
        <x:v>0.017447207827654403</x:v>
      </x:c>
      <x:c r="M88" s="240" t="n">
        <x:f>1/'Beta HC3'!$E$8+L88^2/'Beta HC3'!$E$11</x:f>
        <x:v>0.0028784700309427286</x:v>
      </x:c>
      <x:c r="N88" s="240" t="n">
        <x:f>K88^2/(1-M88)^2</x:f>
        <x:v>0.0001329799670598498</x:v>
      </x:c>
      <x:c r="O88" s="240" t="n">
        <x:f>N88*L88^2/'Beta HC3'!$E$11^2</x:f>
        <x:v>0.0000018930095830492641</x:v>
      </x:c>
      <x:c r="P88" s="240" t="n">
        <x:f>N88*(1/'Beta HC3'!$E$8-'Beta HC3'!$E$9*L88/'Beta HC3'!$E$11)^2</x:f>
        <x:v>7.077325182729444e-11</x:v>
      </x:c>
      <x:c r="Q88" s="240" t="n">
        <x:f>N88*(1/'Beta HC3'!$E$8-'Beta HC3'!$E$9*L88/'Beta HC3'!$E$11)*L88/'Beta HC3'!$E$11</x:f>
        <x:v>1.157473299617003e-8</x:v>
      </x:c>
      <x:c r="R88" s="240" t="n">
        <x:f>K88*L88/'Beta HC3'!$E$11</x:f>
        <x:v>-0.001371906456375147</x:v>
      </x:c>
      <x:c r="S88" s="240" t="n">
        <x:f>(K88-K87)^2</x:f>
        <x:v>0.0001336584900760834</x:v>
      </x:c>
      <x:c r="T88" s="280" t="n">
        <x:f>E88/$E$9*100</x:f>
        <x:v>105.66355899740137</x:v>
      </x:c>
      <x:c r="U88" s="136"/>
      <x:c r="V88" s="136"/>
      <x:c r="W88" s="136"/>
      <x:c r="X88" s="136"/>
      <x:c r="Y88" s="136"/>
      <x:c r="Z88" s="136"/>
    </x:row>
    <x:row r="89" ht="24" customHeight="1">
      <x:c r="A89" s="136"/>
      <x:c r="B89" s="136"/>
      <x:c r="C89" s="274" t="d">
        <x:v>2022-02-01T00:00:00.000Z</x:v>
      </x:c>
      <x:c r="D89" s="191" t="n">
        <x:v>308.760009765625</x:v>
      </x:c>
      <x:c r="E89" s="191" t="n">
        <x:v>296.8675231933594</x:v>
      </x:c>
      <x:c r="F89" s="191" t="n">
        <x:v>452.95001220703125</x:v>
      </x:c>
      <x:c r="G89" s="191" t="n">
        <x:v>425.1336669921875</x:v>
      </x:c>
      <x:c r="H89" s="208" t="n">
        <x:f>E89/E88-1</x:f>
        <x:v>-0.007138920358859768</x:v>
      </x:c>
      <x:c r="I89" s="208" t="n">
        <x:f>G89/G88-1</x:f>
        <x:v>0.006757035576570258</x:v>
      </x:c>
      <x:c r="J89" s="208" t="n">
        <x:f>'Beta HC3'!$E$13+'Beta HC3'!$E$12*I89</x:f>
        <x:v>0.00762979541189979</x:v>
      </x:c>
      <x:c r="K89" s="240" t="n">
        <x:f>H89-J89</x:f>
        <x:v>-0.014768715770759559</x:v>
      </x:c>
      <x:c r="L89" s="240" t="n">
        <x:f>I89-'Beta HC3'!$E$9</x:f>
        <x:v>0.006193087958909819</x:v>
      </x:c>
      <x:c r="M89" s="240" t="n">
        <x:f>1/'Beta HC3'!$E$8+L89^2/'Beta HC3'!$E$11</x:f>
        <x:v>0.0010590967849722042</x:v>
      </x:c>
      <x:c r="N89" s="240" t="n">
        <x:f>K89^2/(1-M89)^2</x:f>
        <x:v>0.000218577710242293</x:v>
      </x:c>
      <x:c r="O89" s="240" t="n">
        <x:f>N89*L89^2/'Beta HC3'!$E$11^2</x:f>
        <x:v>3.920442525451799e-7</x:v>
      </x:c>
      <x:c r="P89" s="240" t="n">
        <x:f>N89*(1/'Beta HC3'!$E$8-'Beta HC3'!$E$9*L89/'Beta HC3'!$E$11)^2</x:f>
        <x:v>1.3058251301846184e-10</x:v>
      </x:c>
      <x:c r="Q89" s="240" t="n">
        <x:f>N89*(1/'Beta HC3'!$E$8-'Beta HC3'!$E$9*L89/'Beta HC3'!$E$11)*L89/'Beta HC3'!$E$11</x:f>
        <x:v>7.155006898095494e-9</x:v>
      </x:c>
      <x:c r="R89" s="240" t="n">
        <x:f>K89*L89/'Beta HC3'!$E$11</x:f>
        <x:v>-0.0006254712356942201</x:v>
      </x:c>
      <x:c r="S89" s="240" t="n">
        <x:f>(K89-K88)^2</x:f>
        <x:v>0.000010694308648310087</x:v>
      </x:c>
      <x:c r="T89" s="280" t="n">
        <x:f>E89/$E$9*100</x:f>
        <x:v>104.90923526488523</x:v>
      </x:c>
      <x:c r="U89" s="136"/>
      <x:c r="V89" s="136"/>
      <x:c r="W89" s="136"/>
      <x:c r="X89" s="136"/>
      <x:c r="Y89" s="136"/>
      <x:c r="Z89" s="136"/>
    </x:row>
    <x:row r="90" ht="24" customHeight="1">
      <x:c r="A90" s="136"/>
      <x:c r="B90" s="136"/>
      <x:c r="C90" s="274" t="d">
        <x:v>2022-02-02T00:00:00.000Z</x:v>
      </x:c>
      <x:c r="D90" s="191" t="n">
        <x:v>313.4599914550781</x:v>
      </x:c>
      <x:c r="E90" s="191" t="n">
        <x:v>301.3865051269531</x:v>
      </x:c>
      <x:c r="F90" s="191" t="n">
        <x:v>457.3500061035156</x:v>
      </x:c>
      <x:c r="G90" s="191" t="n">
        <x:v>429.2633972167969</x:v>
      </x:c>
      <x:c r="H90" s="208" t="n">
        <x:f>E90/E89-1</x:f>
        <x:v>0.015222217253621162</x:v>
      </x:c>
      <x:c r="I90" s="208" t="n">
        <x:f>G90/G89-1</x:f>
        <x:v>0.00971395715099943</x:v>
      </x:c>
      <x:c r="J90" s="208" t="n">
        <x:f>'Beta HC3'!$E$13+'Beta HC3'!$E$12*I90</x:f>
        <x:v>0.010964646260385466</x:v>
      </x:c>
      <x:c r="K90" s="240" t="n">
        <x:f>H90-J90</x:f>
        <x:v>0.0042575709932356955</x:v>
      </x:c>
      <x:c r="L90" s="240" t="n">
        <x:f>I90-'Beta HC3'!$E$9</x:f>
        <x:v>0.009150009533338992</x:v>
      </x:c>
      <x:c r="M90" s="240" t="n">
        <x:f>1/'Beta HC3'!$E$8+L90^2/'Beta HC3'!$E$11</x:f>
        <x:v>0.0013693456575948823</x:v>
      </x:c>
      <x:c r="N90" s="240" t="n">
        <x:f>K90^2/(1-M90)^2</x:f>
        <x:v>0.000018176656931733824</x:v>
      </x:c>
      <x:c r="O90" s="240" t="n">
        <x:f>N90*L90^2/'Beta HC3'!$E$11^2</x:f>
        <x:v>7.116588037987622e-8</x:v>
      </x:c>
      <x:c r="P90" s="240" t="n">
        <x:f>N90*(1/'Beta HC3'!$E$8-'Beta HC3'!$E$9*L90/'Beta HC3'!$E$11)^2</x:f>
        <x:v>1.0541026935915298e-11</x:v>
      </x:c>
      <x:c r="Q90" s="240" t="n">
        <x:f>N90*(1/'Beta HC3'!$E$8-'Beta HC3'!$E$9*L90/'Beta HC3'!$E$11)*L90/'Beta HC3'!$E$11</x:f>
        <x:v>8.661186188983595e-10</x:v>
      </x:c>
      <x:c r="R90" s="240" t="n">
        <x:f>K90*L90/'Beta HC3'!$E$11</x:f>
        <x:v>0.0002664040398436559</x:v>
      </x:c>
      <x:c r="S90" s="240" t="n">
        <x:f>(K90-K89)^2</x:f>
        <x:v>0.00036199958802578096</x:v>
      </x:c>
      <x:c r="T90" s="280" t="n">
        <x:f>E90/$E$9*100</x:f>
        <x:v>106.50618643599859</x:v>
      </x:c>
      <x:c r="U90" s="136"/>
      <x:c r="V90" s="136"/>
      <x:c r="W90" s="136"/>
      <x:c r="X90" s="136"/>
      <x:c r="Y90" s="136"/>
      <x:c r="Z90" s="136"/>
    </x:row>
    <x:row r="91" ht="24" customHeight="1">
      <x:c r="A91" s="136"/>
      <x:c r="B91" s="136"/>
      <x:c r="C91" s="274" t="d">
        <x:v>2022-02-03T00:00:00.000Z</x:v>
      </x:c>
      <x:c r="D91" s="191" t="n">
        <x:v>301.25</x:v>
      </x:c>
      <x:c r="E91" s="191" t="n">
        <x:v>289.6467590332031</x:v>
      </x:c>
      <x:c r="F91" s="191" t="n">
        <x:v>446.6000061035156</x:v>
      </x:c>
      <x:c r="G91" s="191" t="n">
        <x:v>419.173583984375</x:v>
      </x:c>
      <x:c r="H91" s="208" t="n">
        <x:f>E91/E90-1</x:f>
        <x:v>-0.038952461022781604</x:v>
      </x:c>
      <x:c r="I91" s="208" t="n">
        <x:f>G91/G90-1</x:f>
        <x:v>-0.023504946608168598</x:v>
      </x:c>
      <x:c r="J91" s="208" t="n">
        <x:f>'Beta HC3'!$E$13+'Beta HC3'!$E$12*I91</x:f>
        <x:v>-0.0265000231934912</x:v>
      </x:c>
      <x:c r="K91" s="240" t="n">
        <x:f>H91-J91</x:f>
        <x:v>-0.012452437829290404</x:v>
      </x:c>
      <x:c r="L91" s="240" t="n">
        <x:f>I91-'Beta HC3'!$E$9</x:f>
        <x:v>-0.024068894225829036</x:v>
      </x:c>
      <x:c r="M91" s="240" t="n">
        <x:f>1/'Beta HC3'!$E$8+L91^2/'Beta HC3'!$E$11</x:f>
        <x:v>0.004758403765024599</x:v>
      </x:c>
      <x:c r="N91" s="240" t="n">
        <x:f>K91^2/(1-M91)^2</x:f>
        <x:v>0.0001565495148362264</x:v>
      </x:c>
      <x:c r="O91" s="240" t="n">
        <x:f>N91*L91^2/'Beta HC3'!$E$11^2</x:f>
        <x:v>0.000004241102078547639</x:v>
      </x:c>
      <x:c r="P91" s="240" t="n">
        <x:f>N91*(1/'Beta HC3'!$E$8-'Beta HC3'!$E$9*L91/'Beta HC3'!$E$11)^2</x:f>
        <x:v>1.2390119145988156e-10</x:v>
      </x:c>
      <x:c r="Q91" s="240" t="n">
        <x:f>N91*(1/'Beta HC3'!$E$8-'Beta HC3'!$E$9*L91/'Beta HC3'!$E$11)*L91/'Beta HC3'!$E$11</x:f>
        <x:v>-2.2923298205865417e-8</x:v>
      </x:c>
      <x:c r="R91" s="240" t="n">
        <x:f>K91*L91/'Beta HC3'!$E$11</x:f>
        <x:v>0.0020495941927873474</x:v>
      </x:c>
      <x:c r="S91" s="240" t="n">
        <x:f>(K91-K90)^2</x:f>
        <x:v>0.0002792243948489001</x:v>
      </x:c>
      <x:c r="T91" s="280" t="n">
        <x:f>E91/$E$9*100</x:f>
        <x:v>102.35750836016524</x:v>
      </x:c>
      <x:c r="U91" s="136"/>
      <x:c r="V91" s="136"/>
      <x:c r="W91" s="136"/>
      <x:c r="X91" s="136"/>
      <x:c r="Y91" s="136"/>
      <x:c r="Z91" s="136"/>
    </x:row>
    <x:row r="92" ht="24" customHeight="1">
      <x:c r="A92" s="136"/>
      <x:c r="B92" s="136"/>
      <x:c r="C92" s="274" t="d">
        <x:v>2022-02-04T00:00:00.000Z</x:v>
      </x:c>
      <x:c r="D92" s="191" t="n">
        <x:v>305.94000244140625</x:v>
      </x:c>
      <x:c r="E92" s="191" t="n">
        <x:v>294.15618896484375</x:v>
      </x:c>
      <x:c r="F92" s="191" t="n">
        <x:v>448.70001220703125</x:v>
      </x:c>
      <x:c r="G92" s="191" t="n">
        <x:v>421.1446533203125</x:v>
      </x:c>
      <x:c r="H92" s="208" t="n">
        <x:f>E92/E91-1</x:f>
        <x:v>0.015568722214232222</x:v>
      </x:c>
      <x:c r="I92" s="208" t="n">
        <x:f>G92/G91-1</x:f>
        <x:v>0.004702274692984787</x:v>
      </x:c>
      <x:c r="J92" s="208" t="n">
        <x:f>'Beta HC3'!$E$13+'Beta HC3'!$E$12*I92</x:f>
        <x:v>0.005312411976600863</x:v>
      </x:c>
      <x:c r="K92" s="240" t="n">
        <x:f>H92-J92</x:f>
        <x:v>0.01025631023763136</x:v>
      </x:c>
      <x:c r="L92" s="240" t="n">
        <x:f>I92-'Beta HC3'!$E$9</x:f>
        <x:v>0.004138327075324347</x:v>
      </x:c>
      <x:c r="M92" s="240" t="n">
        <x:f>1/'Beta HC3'!$E$8+L92^2/'Beta HC3'!$E$11</x:f>
        <x:v>0.0009139262560073616</x:v>
      </x:c>
      <x:c r="N92" s="240" t="n">
        <x:f>K92^2/(1-M92)^2</x:f>
        <x:v>0.00010538443887833986</x:v>
      </x:c>
      <x:c r="O92" s="240" t="n">
        <x:f>N92*L92^2/'Beta HC3'!$E$11^2</x:f>
        <x:v>8.439968682632293e-8</x:v>
      </x:c>
      <x:c r="P92" s="240" t="n">
        <x:f>N92*(1/'Beta HC3'!$E$8-'Beta HC3'!$E$9*L92/'Beta HC3'!$E$11)^2</x:f>
        <x:v>6.425623320400017e-11</x:v>
      </x:c>
      <x:c r="Q92" s="240" t="n">
        <x:f>N92*(1/'Beta HC3'!$E$8-'Beta HC3'!$E$9*L92/'Beta HC3'!$E$11)*L92/'Beta HC3'!$E$11</x:f>
        <x:v>2.3287777822404587e-9</x:v>
      </x:c>
      <x:c r="R92" s="240" t="n">
        <x:f>K92*L92/'Beta HC3'!$E$11</x:f>
        <x:v>0.00029025073151075435</x:v>
      </x:c>
      <x:c r="S92" s="240" t="n">
        <x:f>(K92-K91)^2</x:f>
        <x:v>0.0005156872387669229</x:v>
      </x:c>
      <x:c r="T92" s="280" t="n">
        <x:f>E92/$E$9*100</x:f>
        <x:v>103.95108397436562</x:v>
      </x:c>
      <x:c r="U92" s="136"/>
      <x:c r="V92" s="136"/>
      <x:c r="W92" s="136"/>
      <x:c r="X92" s="136"/>
      <x:c r="Y92" s="136"/>
      <x:c r="Z92" s="136"/>
    </x:row>
    <x:row r="93" ht="24" customHeight="1">
      <x:c r="A93" s="136"/>
      <x:c r="B93" s="136"/>
      <x:c r="C93" s="274" t="d">
        <x:v>2022-02-07T00:00:00.000Z</x:v>
      </x:c>
      <x:c r="D93" s="191" t="n">
        <x:v>300.95001220703125</x:v>
      </x:c>
      <x:c r="E93" s="191" t="n">
        <x:v>289.3583679199219</x:v>
      </x:c>
      <x:c r="F93" s="191" t="n">
        <x:v>447.260009765625</x:v>
      </x:c>
      <x:c r="G93" s="191" t="n">
        <x:v>419.79302978515625</x:v>
      </x:c>
      <x:c r="H93" s="208" t="n">
        <x:f>E93/E92-1</x:f>
        <x:v>-0.016310454190359702</x:v>
      </x:c>
      <x:c r="I93" s="208" t="n">
        <x:f>G93/G92-1</x:f>
        <x:v>-0.003209404475398192</x:v>
      </x:c>
      <x:c r="J93" s="208" t="n">
        <x:f>'Beta HC3'!$E$13+'Beta HC3'!$E$12*I93</x:f>
        <x:v>-0.00361047262601896</x:v>
      </x:c>
      <x:c r="K93" s="240" t="n">
        <x:f>H93-J93</x:f>
        <x:v>-0.012699981564340742</x:v>
      </x:c>
      <x:c r="L93" s="240" t="n">
        <x:f>I93-'Beta HC3'!$E$9</x:f>
        <x:v>-0.0037733520930586313</x:v>
      </x:c>
      <x:c r="M93" s="240" t="n">
        <x:f>1/'Beta HC3'!$E$8+L93^2/'Beta HC3'!$E$11</x:f>
        <x:v>0.0008941798016765347</x:v>
      </x:c>
      <x:c r="N93" s="240" t="n">
        <x:f>K93^2/(1-M93)^2</x:f>
        <x:v>0.0001615783627601362</x:v>
      </x:c>
      <x:c r="O93" s="240" t="n">
        <x:f>N93*L93^2/'Beta HC3'!$E$11^2</x:f>
        <x:v>1.0758521413365532e-7</x:v>
      </x:c>
      <x:c r="P93" s="240" t="n">
        <x:f>N93*(1/'Beta HC3'!$E$8-'Beta HC3'!$E$9*L93/'Beta HC3'!$E$11)^2</x:f>
        <x:v>1.0636910407798e-10</x:v>
      </x:c>
      <x:c r="Q93" s="240" t="n">
        <x:f>N93*(1/'Beta HC3'!$E$8-'Beta HC3'!$E$9*L93/'Beta HC3'!$E$11)*L93/'Beta HC3'!$E$11</x:f>
        <x:v>-3.3828601566477066e-9</x:v>
      </x:c>
      <x:c r="R93" s="240" t="n">
        <x:f>K93*L93/'Beta HC3'!$E$11</x:f>
        <x:v>0.0003277085581783719</x:v>
      </x:c>
      <x:c r="S93" s="240" t="n">
        <x:f>(K93-K92)^2</x:f>
        <x:v>0.0005269913332972917</x:v>
      </x:c>
      <x:c r="T93" s="280" t="n">
        <x:f>E93/$E$9*100</x:f>
        <x:v>102.25559458116349</x:v>
      </x:c>
      <x:c r="U93" s="136"/>
      <x:c r="V93" s="136"/>
      <x:c r="W93" s="136"/>
      <x:c r="X93" s="136"/>
      <x:c r="Y93" s="136"/>
      <x:c r="Z93" s="136"/>
    </x:row>
    <x:row r="94" ht="24" customHeight="1">
      <x:c r="A94" s="136"/>
      <x:c r="B94" s="136"/>
      <x:c r="C94" s="274" t="d">
        <x:v>2022-02-08T00:00:00.000Z</x:v>
      </x:c>
      <x:c r="D94" s="191" t="n">
        <x:v>304.55999755859375</x:v>
      </x:c>
      <x:c r="E94" s="191" t="n">
        <x:v>292.8293151855469</x:v>
      </x:c>
      <x:c r="F94" s="191" t="n">
        <x:v>450.94000244140625</x:v>
      </x:c>
      <x:c r="G94" s="191" t="n">
        <x:v>423.2470397949219</x:v>
      </x:c>
      <x:c r="H94" s="208" t="n">
        <x:f>E94/E93-1</x:f>
        <x:v>0.011995323620934917</x:v>
      </x:c>
      <x:c r="I94" s="208" t="n">
        <x:f>G94/G93-1</x:f>
        <x:v>0.008227887946432366</x:v>
      </x:c>
      <x:c r="J94" s="208" t="n">
        <x:f>'Beta HC3'!$E$13+'Beta HC3'!$E$12*I94</x:f>
        <x:v>0.009288639973774493</x:v>
      </x:c>
      <x:c r="K94" s="240" t="n">
        <x:f>H94-J94</x:f>
        <x:v>0.002706683647160424</x:v>
      </x:c>
      <x:c r="L94" s="240" t="n">
        <x:f>I94-'Beta HC3'!$E$9</x:f>
        <x:v>0.0076639403287719265</x:v>
      </x:c>
      <x:c r="M94" s="240" t="n">
        <x:f>1/'Beta HC3'!$E$8+L94^2/'Beta HC3'!$E$11</x:f>
        <x:v>0.0011984755299113748</x:v>
      </x:c>
      <x:c r="N94" s="240" t="n">
        <x:f>K94^2/(1-M94)^2</x:f>
        <x:v>0.00000734372837520042</x:v>
      </x:c>
      <x:c r="O94" s="240" t="n">
        <x:f>N94*L94^2/'Beta HC3'!$E$11^2</x:f>
        <x:v>2.0171377507288165e-8</x:v>
      </x:c>
      <x:c r="P94" s="240" t="n">
        <x:f>N94*(1/'Beta HC3'!$E$8-'Beta HC3'!$E$9*L94/'Beta HC3'!$E$11)^2</x:f>
        <x:v>4.3231254733100625e-12</x:v>
      </x:c>
      <x:c r="Q94" s="240" t="n">
        <x:f>N94*(1/'Beta HC3'!$E$8-'Beta HC3'!$E$9*L94/'Beta HC3'!$E$11)*L94/'Beta HC3'!$E$11</x:f>
        <x:v>2.953022111896745e-10</x:v>
      </x:c>
      <x:c r="R94" s="240" t="n">
        <x:f>K94*L94/'Beta HC3'!$E$11</x:f>
        <x:v>0.0001418557601073107</x:v>
      </x:c>
      <x:c r="S94" s="240" t="n">
        <x:f>(K94-K93)^2</x:f>
        <x:v>0.00023736533293928025</x:v>
      </x:c>
      <x:c r="T94" s="280" t="n">
        <x:f>E94/$E$9*100</x:f>
        <x:v>103.48218353021565</x:v>
      </x:c>
      <x:c r="U94" s="136"/>
      <x:c r="V94" s="136"/>
      <x:c r="W94" s="136"/>
      <x:c r="X94" s="136"/>
      <x:c r="Y94" s="136"/>
      <x:c r="Z94" s="136"/>
    </x:row>
    <x:row r="95" ht="24" customHeight="1">
      <x:c r="A95" s="136"/>
      <x:c r="B95" s="136"/>
      <x:c r="C95" s="274" t="d">
        <x:v>2022-02-09T00:00:00.000Z</x:v>
      </x:c>
      <x:c r="D95" s="191" t="n">
        <x:v>311.2099914550781</x:v>
      </x:c>
      <x:c r="E95" s="191" t="n">
        <x:v>299.2231140136719</x:v>
      </x:c>
      <x:c r="F95" s="191" t="n">
        <x:v>457.5400085449219</x:v>
      </x:c>
      <x:c r="G95" s="191" t="n">
        <x:v>429.4417419433594</x:v>
      </x:c>
      <x:c r="H95" s="208" t="n">
        <x:f>E95/E94-1</x:f>
        <x:v>0.021834558551877548</x:v>
      </x:c>
      <x:c r="I95" s="208" t="n">
        <x:f>G95/G94-1</x:f>
        <x:v>0.014636138155718736</x:v>
      </x:c>
      <x:c r="J95" s="208" t="n">
        <x:f>'Beta HC3'!$E$13+'Beta HC3'!$E$12*I95</x:f>
        <x:v>0.016515939754923648</x:v>
      </x:c>
      <x:c r="K95" s="240" t="n">
        <x:f>H95-J95</x:f>
        <x:v>0.005318618796953899</x:v>
      </x:c>
      <x:c r="L95" s="240" t="n">
        <x:f>I95-'Beta HC3'!$E$9</x:f>
        <x:v>0.014072190538058298</x:v>
      </x:c>
      <x:c r="M95" s="240" t="n">
        <x:f>1/'Beta HC3'!$E$8+L95^2/'Beta HC3'!$E$11</x:f>
        <x:v>0.002151006405614034</x:v>
      </x:c>
      <x:c r="N95" s="240" t="n">
        <x:f>K95^2/(1-M95)^2</x:f>
        <x:v>0.000028409793756772274</x:v>
      </x:c>
      <x:c r="O95" s="240" t="n">
        <x:f>N95*L95^2/'Beta HC3'!$E$11^2</x:f>
        <x:v>2.630911367722733e-7</x:v>
      </x:c>
      <x:c r="P95" s="240" t="n">
        <x:f>N95*(1/'Beta HC3'!$E$8-'Beta HC3'!$E$9*L95/'Beta HC3'!$E$11)^2</x:f>
        <x:v>1.5664310905120417e-11</x:v>
      </x:c>
      <x:c r="Q95" s="240" t="n">
        <x:f>N95*(1/'Beta HC3'!$E$8-'Beta HC3'!$E$9*L95/'Beta HC3'!$E$11)*L95/'Beta HC3'!$E$11</x:f>
        <x:v>2.030059448090732e-9</x:v>
      </x:c>
      <x:c r="R95" s="240" t="n">
        <x:f>K95*L95/'Beta HC3'!$E$11</x:f>
        <x:v>0.0005118208012663642</x:v>
      </x:c>
      <x:c r="S95" s="240" t="n">
        <x:f>(K95-K94)^2</x:f>
        <x:v>0.000006822205226726665</x:v>
      </x:c>
      <x:c r="T95" s="280" t="n">
        <x:f>E95/$E$9*100</x:f>
        <x:v>105.74167132558227</x:v>
      </x:c>
      <x:c r="U95" s="136"/>
      <x:c r="V95" s="136"/>
      <x:c r="W95" s="136"/>
      <x:c r="X95" s="136"/>
      <x:c r="Y95" s="136"/>
      <x:c r="Z95" s="136"/>
    </x:row>
    <x:row r="96" ht="24" customHeight="1">
      <x:c r="A96" s="136"/>
      <x:c r="B96" s="136"/>
      <x:c r="C96" s="274" t="d">
        <x:v>2022-02-10T00:00:00.000Z</x:v>
      </x:c>
      <x:c r="D96" s="191" t="n">
        <x:v>302.3800048828125</x:v>
      </x:c>
      <x:c r="E96" s="191" t="n">
        <x:v>290.7332458496094</x:v>
      </x:c>
      <x:c r="F96" s="191" t="n">
        <x:v>449.32000732421875</x:v>
      </x:c>
      <x:c r="G96" s="191" t="n">
        <x:v>421.7265930175781</x:v>
      </x:c>
      <x:c r="H96" s="208" t="n">
        <x:f>E96/E95-1</x:f>
        <x:v>-0.028373035926878898</x:v>
      </x:c>
      <x:c r="I96" s="208" t="n">
        <x:f>G96/G95-1</x:f>
        <x:v>-0.017965530995817436</x:v>
      </x:c>
      <x:c r="J96" s="208" t="n">
        <x:f>'Beta HC3'!$E$13+'Beta HC3'!$E$12*I96</x:f>
        <x:v>-0.02025260526576673</x:v>
      </x:c>
      <x:c r="K96" s="240" t="n">
        <x:f>H96-J96</x:f>
        <x:v>-0.008120430661112166</x:v>
      </x:c>
      <x:c r="L96" s="240" t="n">
        <x:f>I96-'Beta HC3'!$E$9</x:f>
        <x:v>-0.018529478613477875</x:v>
      </x:c>
      <x:c r="M96" s="240" t="n">
        <x:f>1/'Beta HC3'!$E$8+L96^2/'Beta HC3'!$E$11</x:f>
        <x:v>0.003144735260807851</x:v>
      </x:c>
      <x:c r="N96" s="240" t="n">
        <x:f>K96^2/(1-M96)^2</x:f>
        <x:v>0.00006635809516626662</x:v>
      </x:c>
      <x:c r="O96" s="240" t="n">
        <x:f>N96*L96^2/'Beta HC3'!$E$11^2</x:f>
        <x:v>0.0000010654548047141457</x:v>
      </x:c>
      <x:c r="P96" s="240" t="n">
        <x:f>N96*(1/'Beta HC3'!$E$8-'Beta HC3'!$E$9*L96/'Beta HC3'!$E$11)^2</x:f>
        <x:v>5.0027136606028785e-11</x:v>
      </x:c>
      <x:c r="Q96" s="240" t="n">
        <x:f>N96*(1/'Beta HC3'!$E$8-'Beta HC3'!$E$9*L96/'Beta HC3'!$E$11)*L96/'Beta HC3'!$E$11</x:f>
        <x:v>-7.3007981113700356e-9</x:v>
      </x:c>
      <x:c r="R96" s="240" t="n">
        <x:f>K96*L96/'Beta HC3'!$E$11</x:f>
        <x:v>0.0010289626790091861</x:v>
      </x:c>
      <x:c r="S96" s="240" t="n">
        <x:f>(K96-K95)^2</x:f>
        <x:v>0.0001806080503363458</x:v>
      </x:c>
      <x:c r="T96" s="280" t="n">
        <x:f>E96/$E$9*100</x:f>
        <x:v>102.74145908609331</x:v>
      </x:c>
      <x:c r="U96" s="136"/>
      <x:c r="V96" s="136"/>
      <x:c r="W96" s="136"/>
      <x:c r="X96" s="136"/>
      <x:c r="Y96" s="136"/>
      <x:c r="Z96" s="136"/>
    </x:row>
    <x:row r="97" ht="24" customHeight="1">
      <x:c r="A97" s="136"/>
      <x:c r="B97" s="136"/>
      <x:c r="C97" s="274" t="d">
        <x:v>2022-02-11T00:00:00.000Z</x:v>
      </x:c>
      <x:c r="D97" s="191" t="n">
        <x:v>295.0400085449219</x:v>
      </x:c>
      <x:c r="E97" s="191" t="n">
        <x:v>283.6759948730469</x:v>
      </x:c>
      <x:c r="F97" s="191" t="n">
        <x:v>440.4599914550781</x:v>
      </x:c>
      <x:c r="G97" s="191" t="n">
        <x:v>413.4106750488281</x:v>
      </x:c>
      <x:c r="H97" s="208" t="n">
        <x:f>E97/E96-1</x:f>
        <x:v>-0.02427397305712009</x:v>
      </x:c>
      <x:c r="I97" s="208" t="n">
        <x:f>G97/G96-1</x:f>
        <x:v>-0.019718742205102946</x:v>
      </x:c>
      <x:c r="J97" s="208" t="n">
        <x:f>'Beta HC3'!$E$13+'Beta HC3'!$E$12*I97</x:f>
        <x:v>-0.022229897439972966</x:v>
      </x:c>
      <x:c r="K97" s="240" t="n">
        <x:f>H97-J97</x:f>
        <x:v>-0.0020440756171471244</x:v>
      </x:c>
      <x:c r="L97" s="240" t="n">
        <x:f>I97-'Beta HC3'!$E$9</x:f>
        <x:v>-0.020282689822763385</x:v>
      </x:c>
      <x:c r="M97" s="240" t="n">
        <x:f>1/'Beta HC3'!$E$8+L97^2/'Beta HC3'!$E$11</x:f>
        <x:v>0.003610063605385957</x:v>
      </x:c>
      <x:c r="N97" s="240" t="n">
        <x:f>K97^2/(1-M97)^2</x:f>
        <x:v>0.000004208576739525415</x:v>
      </x:c>
      <x:c r="O97" s="240" t="n">
        <x:f>N97*L97^2/'Beta HC3'!$E$11^2</x:f>
        <x:v>8.096569938808315e-8</x:v>
      </x:c>
      <x:c r="P97" s="240" t="n">
        <x:f>N97*(1/'Beta HC3'!$E$8-'Beta HC3'!$E$9*L97/'Beta HC3'!$E$11)^2</x:f>
        <x:v>3.2224378949970296e-12</x:v>
      </x:c>
      <x:c r="Q97" s="240" t="n">
        <x:f>N97*(1/'Beta HC3'!$E$8-'Beta HC3'!$E$9*L97/'Beta HC3'!$E$11)*L97/'Beta HC3'!$E$11</x:f>
        <x:v>-5.107905029492003e-10</x:v>
      </x:c>
      <x:c r="R97" s="240" t="n">
        <x:f>K97*L97/'Beta HC3'!$E$11</x:f>
        <x:v>0.0002835174984530326</x:v>
      </x:c>
      <x:c r="S97" s="240" t="n">
        <x:f>(K97-K96)^2</x:f>
        <x:v>0.000036922090620319405</x:v>
      </x:c>
      <x:c r="T97" s="280" t="n">
        <x:f>E97/$E$9*100</x:f>
        <x:v>100.24751567638828</x:v>
      </x:c>
      <x:c r="U97" s="136"/>
      <x:c r="V97" s="136"/>
      <x:c r="W97" s="136"/>
      <x:c r="X97" s="136"/>
      <x:c r="Y97" s="136"/>
      <x:c r="Z97" s="136"/>
    </x:row>
    <x:row r="98" ht="24" customHeight="1">
      <x:c r="A98" s="136"/>
      <x:c r="B98" s="136"/>
      <x:c r="C98" s="274" t="d">
        <x:v>2022-02-14T00:00:00.000Z</x:v>
      </x:c>
      <x:c r="D98" s="191" t="n">
        <x:v>295</x:v>
      </x:c>
      <x:c r="E98" s="191" t="n">
        <x:v>283.6375427246094</x:v>
      </x:c>
      <x:c r="F98" s="191" t="n">
        <x:v>439.0199890136719</x:v>
      </x:c>
      <x:c r="G98" s="191" t="n">
        <x:v>412.05908203125</x:v>
      </x:c>
      <x:c r="H98" s="208" t="n">
        <x:f>E98/E97-1</x:f>
        <x:v>-0.0001355495323271949</x:v>
      </x:c>
      <x:c r="I98" s="208" t="n">
        <x:f>G98/G97-1</x:f>
        <x:v>-0.0032693713519093004</x:v>
      </x:c>
      <x:c r="J98" s="208" t="n">
        <x:f>'Beta HC3'!$E$13+'Beta HC3'!$E$12*I98</x:f>
        <x:v>-0.0036781039730061425</x:v>
      </x:c>
      <x:c r="K98" s="240" t="n">
        <x:f>H98-J98</x:f>
        <x:v>0.0035425544406789476</x:v>
      </x:c>
      <x:c r="L98" s="240" t="n">
        <x:f>I98-'Beta HC3'!$E$9</x:f>
        <x:v>-0.0038333189695697397</x:v>
      </x:c>
      <x:c r="M98" s="240" t="n">
        <x:f>1/'Beta HC3'!$E$8+L98^2/'Beta HC3'!$E$11</x:f>
        <x:v>0.0008972991467891725</x:v>
      </x:c>
      <x:c r="N98" s="240" t="n">
        <x:f>K98^2/(1-M98)^2</x:f>
        <x:v>0.000012572243970260699</x:v>
      </x:c>
      <x:c r="O98" s="240" t="n">
        <x:f>N98*L98^2/'Beta HC3'!$E$11^2</x:f>
        <x:v>8.639277807208095e-9</x:v>
      </x:c>
      <x:c r="P98" s="240" t="n">
        <x:f>N98*(1/'Beta HC3'!$E$8-'Beta HC3'!$E$9*L98/'Beta HC3'!$E$11)^2</x:f>
        <x:v>8.28118787010539e-12</x:v>
      </x:c>
      <x:c r="Q98" s="240" t="n">
        <x:f>N98*(1/'Beta HC3'!$E$8-'Beta HC3'!$E$9*L98/'Beta HC3'!$E$11)*L98/'Beta HC3'!$E$11</x:f>
        <x:v>-2.6747613460554263e-10</x:v>
      </x:c>
      <x:c r="R98" s="240" t="n">
        <x:f>K98*L98/'Beta HC3'!$E$11</x:f>
        <x:v>-0.00009286431354333814</x:v>
      </x:c>
      <x:c r="S98" s="240" t="n">
        <x:f>(K98-K97)^2</x:f>
        <x:v>0.000031210435403005745</x:v>
      </x:c>
      <x:c r="T98" s="280" t="n">
        <x:f>E98/$E$9*100</x:f>
        <x:v>100.23392717252138</x:v>
      </x:c>
      <x:c r="U98" s="136"/>
      <x:c r="V98" s="136"/>
      <x:c r="W98" s="136"/>
      <x:c r="X98" s="136"/>
      <x:c r="Y98" s="136"/>
      <x:c r="Z98" s="136"/>
    </x:row>
    <x:row r="99" ht="24" customHeight="1">
      <x:c r="A99" s="136"/>
      <x:c r="B99" s="136"/>
      <x:c r="C99" s="274" t="d">
        <x:v>2022-02-15T00:00:00.000Z</x:v>
      </x:c>
      <x:c r="D99" s="191" t="n">
        <x:v>300.4700012207031</x:v>
      </x:c>
      <x:c r="E99" s="191" t="n">
        <x:v>288.8968505859375</x:v>
      </x:c>
      <x:c r="F99" s="191" t="n">
        <x:v>446.1000061035156</x:v>
      </x:c>
      <x:c r="G99" s="191" t="n">
        <x:v>418.7043151855469</x:v>
      </x:c>
      <x:c r="H99" s="208" t="n">
        <x:f>E99/E98-1</x:f>
        <x:v>0.018542354481030365</x:v>
      </x:c>
      <x:c r="I99" s="208" t="n">
        <x:f>G99/G98-1</x:f>
        <x:v>0.016126894040386475</x:v>
      </x:c>
      <x:c r="J99" s="208" t="n">
        <x:f>'Beta HC3'!$E$13+'Beta HC3'!$E$12*I99</x:f>
        <x:v>0.018197231734346182</x:v>
      </x:c>
      <x:c r="K99" s="240" t="n">
        <x:f>H99-J99</x:f>
        <x:v>0.000345122746684183</x:v>
      </x:c>
      <x:c r="L99" s="240" t="n">
        <x:f>I99-'Beta HC3'!$E$9</x:f>
        <x:v>0.015562946422726036</x:v>
      </x:c>
      <x:c r="M99" s="240" t="n">
        <x:f>1/'Beta HC3'!$E$8+L99^2/'Beta HC3'!$E$11</x:f>
        <x:v>0.0024531203927329603</x:v>
      </x:c>
      <x:c r="N99" s="240" t="n">
        <x:f>K99^2/(1-M99)^2</x:f>
        <x:v>1.1969624858747771e-7</x:v>
      </x:c>
      <x:c r="O99" s="240" t="n">
        <x:f>N99*L99^2/'Beta HC3'!$E$11^2</x:f>
        <x:v>1.3557477952885347e-9</x:v>
      </x:c>
      <x:c r="P99" s="240" t="n">
        <x:f>N99*(1/'Beta HC3'!$E$8-'Beta HC3'!$E$9*L99/'Beta HC3'!$E$11)^2</x:f>
        <x:v>6.497892703389546e-14</x:v>
      </x:c>
      <x:c r="Q99" s="240" t="n">
        <x:f>N99*(1/'Beta HC3'!$E$8-'Beta HC3'!$E$9*L99/'Beta HC3'!$E$11)*L99/'Beta HC3'!$E$11</x:f>
        <x:v>9.385895645404244e-12</x:v>
      </x:c>
      <x:c r="R99" s="240" t="n">
        <x:f>K99*L99/'Beta HC3'!$E$11</x:f>
        <x:v>0.00003673015557793225</x:v>
      </x:c>
      <x:c r="S99" s="240" t="n">
        <x:f>(K99-K98)^2</x:f>
        <x:v>0.00001022356943776223</x:v>
      </x:c>
      <x:c r="T99" s="280" t="n">
        <x:f>E99/$E$9*100</x:f>
        <x:v>102.09250018118006</x:v>
      </x:c>
      <x:c r="U99" s="136"/>
      <x:c r="V99" s="136"/>
      <x:c r="W99" s="136"/>
      <x:c r="X99" s="136"/>
      <x:c r="Y99" s="136"/>
      <x:c r="Z99" s="136"/>
    </x:row>
    <x:row r="100" ht="24" customHeight="1">
      <x:c r="A100" s="136"/>
      <x:c r="B100" s="136"/>
      <x:c r="C100" s="274" t="d">
        <x:v>2022-02-16T00:00:00.000Z</x:v>
      </x:c>
      <x:c r="D100" s="191" t="n">
        <x:v>299.5</x:v>
      </x:c>
      <x:c r="E100" s="191" t="n">
        <x:v>288.5596618652344</x:v>
      </x:c>
      <x:c r="F100" s="191" t="n">
        <x:v>446.6000061035156</x:v>
      </x:c>
      <x:c r="G100" s="191" t="n">
        <x:v>419.173583984375</x:v>
      </x:c>
      <x:c r="H100" s="208" t="n">
        <x:f>E100/E99-1</x:f>
        <x:v>-0.0011671595589195505</x:v>
      </x:c>
      <x:c r="I100" s="208" t="n">
        <x:f>G100/G99-1</x:f>
        <x:v>0.0011207641808519408</x:v>
      </x:c>
      <x:c r="J100" s="208" t="n">
        <x:f>'Beta HC3'!$E$13+'Beta HC3'!$E$12*I100</x:f>
        <x:v>0.0012731423951773796</x:v>
      </x:c>
      <x:c r="K100" s="240" t="n">
        <x:f>H100-J100</x:f>
        <x:v>-0.00244030195409693</x:v>
      </x:c>
      <x:c r="L100" s="240" t="n">
        <x:f>I100-'Beta HC3'!$E$9</x:f>
        <x:v>0.0005568165631915015</x:v>
      </x:c>
      <x:c r="M100" s="240" t="n">
        <x:f>1/'Beta HC3'!$E$8+L100^2/'Beta HC3'!$E$11</x:f>
        <x:v>0.0007989329725451708</x:v>
      </x:c>
      <x:c r="N100" s="240" t="n">
        <x:f>K100^2/(1-M100)^2</x:f>
        <x:v>0.0000059646004519394685</x:v>
      </x:c>
      <x:c r="O100" s="240" t="n">
        <x:f>N100*L100^2/'Beta HC3'!$E$11^2</x:f>
        <x:v>8.648093387246116e-11</x:v>
      </x:c>
      <x:c r="P100" s="240" t="n">
        <x:f>N100*(1/'Beta HC3'!$E$8-'Beta HC3'!$E$9*L100/'Beta HC3'!$E$11)^2</x:f>
        <x:v>3.766603753202059e-12</x:v>
      </x:c>
      <x:c r="Q100" s="240" t="n">
        <x:f>N100*(1/'Beta HC3'!$E$8-'Beta HC3'!$E$9*L100/'Beta HC3'!$E$11)*L100/'Beta HC3'!$E$11</x:f>
        <x:v>1.8048252272849894e-11</x:v>
      </x:c>
      <x:c r="R100" s="240" t="n">
        <x:f>K100*L100/'Beta HC3'!$E$11</x:f>
        <x:v>-0.000009292082873800623</x:v>
      </x:c>
      <x:c r="S100" s="240" t="n">
        <x:f>(K100-K99)^2</x:f>
        <x:v>0.000007758590763721555</x:v>
      </x:c>
      <x:c r="T100" s="280" t="n">
        <x:f>E100/$E$9*100</x:f>
        <x:v>101.97334194369961</x:v>
      </x:c>
      <x:c r="U100" s="136"/>
      <x:c r="V100" s="136"/>
      <x:c r="W100" s="136"/>
      <x:c r="X100" s="136"/>
      <x:c r="Y100" s="136"/>
      <x:c r="Z100" s="136"/>
    </x:row>
    <x:row r="101" ht="24" customHeight="1">
      <x:c r="A101" s="136"/>
      <x:c r="B101" s="136"/>
      <x:c r="C101" s="274" t="d">
        <x:v>2022-02-17T00:00:00.000Z</x:v>
      </x:c>
      <x:c r="D101" s="191" t="n">
        <x:v>290.7300109863281</x:v>
      </x:c>
      <x:c r="E101" s="191" t="n">
        <x:v>280.1100158691406</x:v>
      </x:c>
      <x:c r="F101" s="191" t="n">
        <x:v>437.05999755859375</x:v>
      </x:c>
      <x:c r="G101" s="191" t="n">
        <x:v>410.2193908691406</x:v>
      </x:c>
      <x:c r="H101" s="208" t="n">
        <x:f>E101/E100-1</x:f>
        <x:v>-0.029282145472016685</x:v>
      </x:c>
      <x:c r="I101" s="208" t="n">
        <x:f>G101/G100-1</x:f>
        <x:v>-0.021361539604003665</x:v>
      </x:c>
      <x:c r="J101" s="208" t="n">
        <x:f>'Beta HC3'!$E$13+'Beta HC3'!$E$12*I101</x:f>
        <x:v>-0.024082663623219383</x:v>
      </x:c>
      <x:c r="K101" s="240" t="n">
        <x:f>H101-J101</x:f>
        <x:v>-0.005199481848797302</x:v>
      </x:c>
      <x:c r="L101" s="240" t="n">
        <x:f>I101-'Beta HC3'!$E$9</x:f>
        <x:v>-0.021925487221664104</x:v>
      </x:c>
      <x:c r="M101" s="240" t="n">
        <x:f>1/'Beta HC3'!$E$8+L101^2/'Beta HC3'!$E$11</x:f>
        <x:v>0.004084237852709477</x:v>
      </x:c>
      <x:c r="N101" s="240" t="n">
        <x:f>K101^2/(1-M101)^2</x:f>
        <x:v>0.000027256803361331846</x:v>
      </x:c>
      <x:c r="O101" s="240" t="n">
        <x:f>N101*L101^2/'Beta HC3'!$E$11^2</x:f>
        <x:v>6.127568143969784e-7</x:v>
      </x:c>
      <x:c r="P101" s="240" t="n">
        <x:f>N101*(1/'Beta HC3'!$E$8-'Beta HC3'!$E$9*L101/'Beta HC3'!$E$11)^2</x:f>
        <x:v>2.1173390071876517e-11</x:v>
      </x:c>
      <x:c r="Q101" s="240" t="n">
        <x:f>N101*(1/'Beta HC3'!$E$8-'Beta HC3'!$E$9*L101/'Beta HC3'!$E$11)*L101/'Beta HC3'!$E$11</x:f>
        <x:v>-3.601963221692813e-9</x:v>
      </x:c>
      <x:c r="R101" s="240" t="n">
        <x:f>K101*L101/'Beta HC3'!$E$11</x:f>
        <x:v>0.0007795907558719225</x:v>
      </x:c>
      <x:c r="S101" s="240" t="n">
        <x:f>(K101-K100)^2</x:f>
        <x:v>0.000007613073691318756</x:v>
      </x:c>
      <x:c r="T101" s="280" t="n">
        <x:f>E101/$E$9*100</x:f>
        <x:v>98.98734371063648</x:v>
      </x:c>
      <x:c r="U101" s="136"/>
      <x:c r="V101" s="136"/>
      <x:c r="W101" s="136"/>
      <x:c r="X101" s="136"/>
      <x:c r="Y101" s="136"/>
      <x:c r="Z101" s="136"/>
    </x:row>
    <x:row r="102" ht="24" customHeight="1">
      <x:c r="A102" s="136"/>
      <x:c r="B102" s="136"/>
      <x:c r="C102" s="274" t="d">
        <x:v>2022-02-18T00:00:00.000Z</x:v>
      </x:c>
      <x:c r="D102" s="191" t="n">
        <x:v>287.92999267578125</x:v>
      </x:c>
      <x:c r="E102" s="191" t="n">
        <x:v>277.4122314453125</x:v>
      </x:c>
      <x:c r="F102" s="191" t="n">
        <x:v>434.2300109863281</x:v>
      </x:c>
      <x:c r="G102" s="191" t="n">
        <x:v>407.5632019042969</x:v>
      </x:c>
      <x:c r="H102" s="208" t="n">
        <x:f>E102/E101-1</x:f>
        <x:v>-0.009631160154903062</x:v>
      </x:c>
      <x:c r="I102" s="208" t="n">
        <x:f>G102/G101-1</x:f>
        <x:v>-0.006475044875904112</x:v>
      </x:c>
      <x:c r="J102" s="208" t="n">
        <x:f>'Beta HC3'!$E$13+'Beta HC3'!$E$12*I102</x:f>
        <x:v>-0.007293500189094807</x:v>
      </x:c>
      <x:c r="K102" s="240" t="n">
        <x:f>H102-J102</x:f>
        <x:v>-0.002337659965808255</x:v>
      </x:c>
      <x:c r="L102" s="240" t="n">
        <x:f>I102-'Beta HC3'!$E$9</x:f>
        <x:v>-0.007038992493564552</x:v>
      </x:c>
      <x:c r="M102" s="240" t="n">
        <x:f>1/'Beta HC3'!$E$8+L102^2/'Beta HC3'!$E$11</x:f>
        <x:v>0.0011356400259844926</x:v>
      </x:c>
      <x:c r="N102" s="240" t="n">
        <x:f>K102^2/(1-M102)^2</x:f>
        <x:v>0.000005477087050623487</x:v>
      </x:c>
      <x:c r="O102" s="240" t="n">
        <x:f>N102*L102^2/'Beta HC3'!$E$11^2</x:f>
        <x:v>1.269069394105177e-8</x:v>
      </x:c>
      <x:c r="P102" s="240" t="n">
        <x:f>N102*(1/'Beta HC3'!$E$8-'Beta HC3'!$E$9*L102/'Beta HC3'!$E$11)^2</x:f>
        <x:v>3.718438768154529e-12</x:v>
      </x:c>
      <x:c r="Q102" s="240" t="n">
        <x:f>N102*(1/'Beta HC3'!$E$8-'Beta HC3'!$E$9*L102/'Beta HC3'!$E$11)*L102/'Beta HC3'!$E$11</x:f>
        <x:v>-2.172316007057691e-10</x:v>
      </x:c>
      <x:c r="R102" s="240" t="n">
        <x:f>K102*L102/'Beta HC3'!$E$11</x:f>
        <x:v>0.00011252504693609332</x:v>
      </x:c>
      <x:c r="S102" s="240" t="n">
        <x:f>(K102-K101)^2</x:f>
        <x:v>0.000008190024489954975</x:v>
      </x:c>
      <x:c r="T102" s="280" t="n">
        <x:f>E102/$E$9*100</x:f>
        <x:v>98.0339807500509</x:v>
      </x:c>
      <x:c r="U102" s="136"/>
      <x:c r="V102" s="136"/>
      <x:c r="W102" s="136"/>
      <x:c r="X102" s="136"/>
      <x:c r="Y102" s="136"/>
      <x:c r="Z102" s="136"/>
    </x:row>
    <x:row r="103" ht="24" customHeight="1">
      <x:c r="A103" s="136"/>
      <x:c r="B103" s="136"/>
      <x:c r="C103" s="274" t="d">
        <x:v>2022-02-22T00:00:00.000Z</x:v>
      </x:c>
      <x:c r="D103" s="191" t="n">
        <x:v>287.7200012207031</x:v>
      </x:c>
      <x:c r="E103" s="191" t="n">
        <x:v>277.2099304199219</x:v>
      </x:c>
      <x:c r="F103" s="191" t="n">
        <x:v>429.57000732421875</x:v>
      </x:c>
      <x:c r="G103" s="191" t="n">
        <x:v>403.1894226074219</x:v>
      </x:c>
      <x:c r="H103" s="208" t="n">
        <x:f>E103/E102-1</x:f>
        <x:v>-0.0007292433514436425</x:v>
      </x:c>
      <x:c r="I103" s="208" t="n">
        <x:f>G103/G102-1</x:f>
        <x:v>-0.010731536302686195</x:v>
      </x:c>
      <x:c r="J103" s="208" t="n">
        <x:f>'Beta HC3'!$E$13+'Beta HC3'!$E$12*I103</x:f>
        <x:v>-0.012094021166360328</x:v>
      </x:c>
      <x:c r="K103" s="240" t="n">
        <x:f>H103-J103</x:f>
        <x:v>0.011364777814916686</x:v>
      </x:c>
      <x:c r="L103" s="240" t="n">
        <x:f>I103-'Beta HC3'!$E$9</x:f>
        <x:v>-0.011295483920346634</x:v>
      </x:c>
      <x:c r="M103" s="240" t="n">
        <x:f>1/'Beta HC3'!$E$8+L103^2/'Beta HC3'!$E$11</x:f>
        <x:v>0.0016693159817350305</x:v>
      </x:c>
      <x:c r="N103" s="240" t="n">
        <x:f>K103^2/(1-M103)^2</x:f>
        <x:v>0.00012959046854401135</x:v>
      </x:c>
      <x:c r="O103" s="240" t="n">
        <x:f>N103*L103^2/'Beta HC3'!$E$11^2</x:f>
        <x:v>7.732100072716763e-7</x:v>
      </x:c>
      <x:c r="P103" s="240" t="n">
        <x:f>N103*(1/'Beta HC3'!$E$8-'Beta HC3'!$E$9*L103/'Beta HC3'!$E$11)^2</x:f>
        <x:v>9.152049069222298e-11</x:v>
      </x:c>
      <x:c r="Q103" s="240" t="n">
        <x:f>N103*(1/'Beta HC3'!$E$8-'Beta HC3'!$E$9*L103/'Beta HC3'!$E$11)*L103/'Beta HC3'!$E$11</x:f>
        <x:v>-8.412167335095108e-9</x:v>
      </x:c>
      <x:c r="R103" s="240" t="n">
        <x:f>K103*L103/'Beta HC3'!$E$11</x:f>
        <x:v>-0.0008778557388695384</x:v>
      </x:c>
      <x:c r="S103" s="240" t="n">
        <x:f>(K103-K102)^2</x:f>
        <x:v>0.00018775680113463825</x:v>
      </x:c>
      <x:c r="T103" s="280" t="n">
        <x:f>E103/$E$9*100</x:f>
        <x:v>97.96249012137338</x:v>
      </x:c>
      <x:c r="U103" s="136"/>
      <x:c r="V103" s="136"/>
      <x:c r="W103" s="136"/>
      <x:c r="X103" s="136"/>
      <x:c r="Y103" s="136"/>
      <x:c r="Z103" s="136"/>
    </x:row>
    <x:row r="104" ht="24" customHeight="1">
      <x:c r="A104" s="136"/>
      <x:c r="B104" s="136"/>
      <x:c r="C104" s="274" t="d">
        <x:v>2022-02-23T00:00:00.000Z</x:v>
      </x:c>
      <x:c r="D104" s="191" t="n">
        <x:v>280.2699890136719</x:v>
      </x:c>
      <x:c r="E104" s="191" t="n">
        <x:v>270.0320739746094</x:v>
      </x:c>
      <x:c r="F104" s="191" t="n">
        <x:v>421.95001220703125</x:v>
      </x:c>
      <x:c r="G104" s="191" t="n">
        <x:v>396.0374450683594</x:v>
      </x:c>
      <x:c r="H104" s="208" t="n">
        <x:f>E104/E103-1</x:f>
        <x:v>-0.025893215421393334</x:v>
      </x:c>
      <x:c r="I104" s="208" t="n">
        <x:f>G104/G103-1</x:f>
        <x:v>-0.017738504876469108</x:v>
      </x:c>
      <x:c r="J104" s="208" t="n">
        <x:f>'Beta HC3'!$E$13+'Beta HC3'!$E$12*I104</x:f>
        <x:v>-0.01999656254441612</x:v>
      </x:c>
      <x:c r="K104" s="240" t="n">
        <x:f>H104-J104</x:f>
        <x:v>-0.005896652876977215</x:v>
      </x:c>
      <x:c r="L104" s="240" t="n">
        <x:f>I104-'Beta HC3'!$E$9</x:f>
        <x:v>-0.018302452494129547</x:v>
      </x:c>
      <x:c r="M104" s="240" t="n">
        <x:f>1/'Beta HC3'!$E$8+L104^2/'Beta HC3'!$E$11</x:f>
        <x:v>0.003087553479969052</x:v>
      </x:c>
      <x:c r="N104" s="240" t="n">
        <x:f>K104^2/(1-M104)^2</x:f>
        <x:v>0.00003498622531177508</x:v>
      </x:c>
      <x:c r="O104" s="240" t="n">
        <x:f>N104*L104^2/'Beta HC3'!$E$11^2</x:f>
        <x:v>5.480628793674853e-7</x:v>
      </x:c>
      <x:c r="P104" s="240" t="n">
        <x:f>N104*(1/'Beta HC3'!$E$8-'Beta HC3'!$E$9*L104/'Beta HC3'!$E$11)^2</x:f>
        <x:v>2.6322827059764106e-11</x:v>
      </x:c>
      <x:c r="Q104" s="240" t="n">
        <x:f>N104*(1/'Beta HC3'!$E$8-'Beta HC3'!$E$9*L104/'Beta HC3'!$E$11)*L104/'Beta HC3'!$E$11</x:f>
        <x:v>-3.798231745360816e-9</x:v>
      </x:c>
      <x:c r="R104" s="240" t="n">
        <x:f>K104*L104/'Beta HC3'!$E$11</x:f>
        <x:v>0.0007380269352419632</x:v>
      </x:c>
      <x:c r="S104" s="240" t="n">
        <x:f>(K104-K103)^2</x:f>
        <x:v>0.00029795698953105675</x:v>
      </x:c>
      <x:c r="T104" s="280" t="n">
        <x:f>E104/$E$9*100</x:f>
        <x:v>95.42592626144454</x:v>
      </x:c>
      <x:c r="U104" s="136"/>
      <x:c r="V104" s="136"/>
      <x:c r="W104" s="136"/>
      <x:c r="X104" s="136"/>
      <x:c r="Y104" s="136"/>
      <x:c r="Z104" s="136"/>
    </x:row>
    <x:row r="105" ht="24" customHeight="1">
      <x:c r="A105" s="136"/>
      <x:c r="B105" s="136"/>
      <x:c r="C105" s="274" t="d">
        <x:v>2022-02-24T00:00:00.000Z</x:v>
      </x:c>
      <x:c r="D105" s="191" t="n">
        <x:v>294.5899963378906</x:v>
      </x:c>
      <x:c r="E105" s="191" t="n">
        <x:v>283.8290100097656</x:v>
      </x:c>
      <x:c r="F105" s="191" t="n">
        <x:v>428.29998779296875</x:v>
      </x:c>
      <x:c r="G105" s="191" t="n">
        <x:v>401.9973449707031</x:v>
      </x:c>
      <x:c r="H105" s="208" t="n">
        <x:f>E105/E104-1</x:f>
        <x:v>0.05109369354565474</x:v>
      </x:c>
      <x:c r="I105" s="208" t="n">
        <x:f>G105/G104-1</x:f>
        <x:v>0.015048829287632293</x:v>
      </x:c>
      <x:c r="J105" s="208" t="n">
        <x:f>'Beta HC3'!$E$13+'Beta HC3'!$E$12*I105</x:f>
        <x:v>0.016981377656059095</x:v>
      </x:c>
      <x:c r="K105" s="240" t="n">
        <x:f>H105-J105</x:f>
        <x:v>0.034112315889595644</x:v>
      </x:c>
      <x:c r="L105" s="240" t="n">
        <x:f>I105-'Beta HC3'!$E$9</x:f>
        <x:v>0.014484881669971854</x:v>
      </x:c>
      <x:c r="M105" s="240" t="n">
        <x:f>1/'Beta HC3'!$E$8+L105^2/'Beta HC3'!$E$11</x:f>
        <x:v>0.0022315991932216426</x:v>
      </x:c>
      <x:c r="N105" s="240" t="n">
        <x:f>K105^2/(1-M105)^2</x:f>
        <x:v>0.0011688611335072983</x:v>
      </x:c>
      <x:c r="O105" s="240" t="n">
        <x:f>N105*L105^2/'Beta HC3'!$E$11^2</x:f>
        <x:v>0.000011468524432344337</x:v>
      </x:c>
      <x:c r="P105" s="240" t="n">
        <x:f>N105*(1/'Beta HC3'!$E$8-'Beta HC3'!$E$9*L105/'Beta HC3'!$E$11)^2</x:f>
        <x:v>6.417153310684309e-10</x:v>
      </x:c>
      <x:c r="Q105" s="240" t="n">
        <x:f>N105*(1/'Beta HC3'!$E$8-'Beta HC3'!$E$9*L105/'Beta HC3'!$E$11)*L105/'Beta HC3'!$E$11</x:f>
        <x:v>8.578769115070199e-8</x:v>
      </x:c>
      <x:c r="R105" s="240" t="n">
        <x:f>K105*L105/'Beta HC3'!$E$11</x:f>
        <x:v>0.0033789636349412836</x:v>
      </x:c>
      <x:c r="S105" s="240" t="n">
        <x:f>(K105-K104)^2</x:f>
        <x:v>0.0016007175817646026</x:v>
      </x:c>
      <x:c r="T105" s="280" t="n">
        <x:f>E105/$E$9*100</x:f>
        <x:v>100.30158929415703</x:v>
      </x:c>
      <x:c r="U105" s="136"/>
      <x:c r="V105" s="136"/>
      <x:c r="W105" s="136"/>
      <x:c r="X105" s="136"/>
      <x:c r="Y105" s="136"/>
      <x:c r="Z105" s="136"/>
    </x:row>
    <x:row r="106" ht="24" customHeight="1">
      <x:c r="A106" s="136"/>
      <x:c r="B106" s="136"/>
      <x:c r="C106" s="274" t="d">
        <x:v>2022-02-25T00:00:00.000Z</x:v>
      </x:c>
      <x:c r="D106" s="191" t="n">
        <x:v>297.30999755859375</x:v>
      </x:c>
      <x:c r="E106" s="191" t="n">
        <x:v>286.4495849609375</x:v>
      </x:c>
      <x:c r="F106" s="191" t="n">
        <x:v>437.75</x:v>
      </x:c>
      <x:c r="G106" s="191" t="n">
        <x:v>410.86712646484375</x:v>
      </x:c>
      <x:c r="H106" s="208" t="n">
        <x:f>E106/E105-1</x:f>
        <x:v>0.009232935530732789</x:v>
      </x:c>
      <x:c r="I106" s="208" t="n">
        <x:f>G106/G105-1</x:f>
        <x:v>0.022064278794644787</x:v>
      </x:c>
      <x:c r="J106" s="208" t="n">
        <x:f>'Beta HC3'!$E$13+'Beta HC3'!$E$12*I106</x:f>
        <x:v>0.024893483930127417</x:v>
      </x:c>
      <x:c r="K106" s="240" t="n">
        <x:f>H106-J106</x:f>
        <x:v>-0.01566054839939463</x:v>
      </x:c>
      <x:c r="L106" s="240" t="n">
        <x:f>I106-'Beta HC3'!$E$9</x:f>
        <x:v>0.02150033117698435</x:v>
      </x:c>
      <x:c r="M106" s="240" t="n">
        <x:f>1/'Beta HC3'!$E$8+L106^2/'Beta HC3'!$E$11</x:f>
        <x:v>0.003957981356951641</x:v>
      </x:c>
      <x:c r="N106" s="240" t="n">
        <x:f>K106^2/(1-M106)^2</x:f>
        <x:v>0.00024720577523837807</x:v>
      </x:c>
      <x:c r="O106" s="240" t="n">
        <x:f>N106*L106^2/'Beta HC3'!$E$11^2</x:f>
        <x:v>0.000005343965361656683</x:v>
      </x:c>
      <x:c r="P106" s="240" t="n">
        <x:f>N106*(1/'Beta HC3'!$E$8-'Beta HC3'!$E$9*L106/'Beta HC3'!$E$11)^2</x:f>
        <x:v>1.2598787166471106e-10</x:v>
      </x:c>
      <x:c r="Q106" s="240" t="n">
        <x:f>N106*(1/'Beta HC3'!$E$8-'Beta HC3'!$E$9*L106/'Beta HC3'!$E$11)*L106/'Beta HC3'!$E$11</x:f>
        <x:v>2.59475398094899e-8</x:v>
      </x:c>
      <x:c r="R106" s="240" t="n">
        <x:f>K106*L106/'Beta HC3'!$E$11</x:f>
        <x:v>-0.002302552159587475</x:v>
      </x:c>
      <x:c r="S106" s="240" t="n">
        <x:f>(K106-K105)^2</x:f>
        <x:v>0.0024773380195302437</x:v>
      </x:c>
      <x:c r="T106" s="280" t="n">
        <x:f>E106/$E$9*100</x:f>
        <x:v>101.22766740174004</x:v>
      </x:c>
      <x:c r="U106" s="136"/>
      <x:c r="V106" s="136"/>
      <x:c r="W106" s="136"/>
      <x:c r="X106" s="136"/>
      <x:c r="Y106" s="136"/>
      <x:c r="Z106" s="136"/>
    </x:row>
    <x:row r="107" ht="24" customHeight="1">
      <x:c r="A107" s="136"/>
      <x:c r="B107" s="136"/>
      <x:c r="C107" s="274" t="d">
        <x:v>2022-02-28T00:00:00.000Z</x:v>
      </x:c>
      <x:c r="D107" s="191" t="n">
        <x:v>298.7900085449219</x:v>
      </x:c>
      <x:c r="E107" s="191" t="n">
        <x:v>287.8756103515625</x:v>
      </x:c>
      <x:c r="F107" s="191" t="n">
        <x:v>436.6300048828125</x:v>
      </x:c>
      <x:c r="G107" s="191" t="n">
        <x:v>409.81585693359375</x:v>
      </x:c>
      <x:c r="H107" s="208" t="n">
        <x:f>E107/E106-1</x:f>
        <x:v>0.0049782770354491745</x:v>
      </x:c>
      <x:c r="I107" s="208" t="n">
        <x:f>G107/G106-1</x:f>
        <x:v>-0.0025586606071292817</x:v>
      </x:c>
      <x:c r="J107" s="208" t="n">
        <x:f>'Beta HC3'!$E$13+'Beta HC3'!$E$12*I107</x:f>
        <x:v>-0.002876556055484834</x:v>
      </x:c>
      <x:c r="K107" s="240" t="n">
        <x:f>H107-J107</x:f>
        <x:v>0.007854833090934009</x:v>
      </x:c>
      <x:c r="L107" s="240" t="n">
        <x:f>I107-'Beta HC3'!$E$9</x:f>
        <x:v>-0.003122608224789721</x:v>
      </x:c>
      <x:c r="M107" s="240" t="n">
        <x:f>1/'Beta HC3'!$E$8+L107^2/'Beta HC3'!$E$11</x:f>
        <x:v>0.0008634922529026082</x:v>
      </x:c>
      <x:c r="N107" s="240" t="n">
        <x:f>K107^2/(1-M107)^2</x:f>
        <x:v>0.00006180509324179651</x:v>
      </x:c>
      <x:c r="O107" s="240" t="n">
        <x:f>N107*L107^2/'Beta HC3'!$E$11^2</x:f>
        <x:v>2.8182141254688367e-8</x:v>
      </x:c>
      <x:c r="P107" s="240" t="n">
        <x:f>N107*(1/'Beta HC3'!$E$8-'Beta HC3'!$E$9*L107/'Beta HC3'!$E$11)^2</x:f>
        <x:v>4.04357769379806e-11</x:v>
      </x:c>
      <x:c r="Q107" s="240" t="n">
        <x:f>N107*(1/'Beta HC3'!$E$8-'Beta HC3'!$E$9*L107/'Beta HC3'!$E$11)*L107/'Beta HC3'!$E$11</x:f>
        <x:v>-1.0675049308594503e-9</x:v>
      </x:c>
      <x:c r="R107" s="240" t="n">
        <x:f>K107*L107/'Beta HC3'!$E$11</x:f>
        <x:v>-0.00016773041509081604</x:v>
      </x:c>
      <x:c r="S107" s="240" t="n">
        <x:f>(K107-K106)^2</x:f>
        <x:v>0.0005529731666356907</x:v>
      </x:c>
      <x:c r="T107" s="280" t="n">
        <x:f>E107/$E$9*100</x:f>
        <x:v>101.7316067737182</x:v>
      </x:c>
      <x:c r="U107" s="136"/>
      <x:c r="V107" s="136"/>
      <x:c r="W107" s="136"/>
      <x:c r="X107" s="136"/>
      <x:c r="Y107" s="136"/>
      <x:c r="Z107" s="136"/>
    </x:row>
    <x:row r="108" ht="24" customHeight="1">
      <x:c r="A108" s="136"/>
      <x:c r="B108" s="136"/>
      <x:c r="C108" s="274" t="d">
        <x:v>2022-03-01T00:00:00.000Z</x:v>
      </x:c>
      <x:c r="D108" s="191" t="n">
        <x:v>294.95001220703125</x:v>
      </x:c>
      <x:c r="E108" s="191" t="n">
        <x:v>284.1758117675781</x:v>
      </x:c>
      <x:c r="F108" s="191" t="n">
        <x:v>429.9800109863281</x:v>
      </x:c>
      <x:c r="G108" s="191" t="n">
        <x:v>403.5743103027344</x:v>
      </x:c>
      <x:c r="H108" s="208" t="n">
        <x:f>E108/E107-1</x:f>
        <x:v>-0.012852073780984963</x:v>
      </x:c>
      <x:c r="I108" s="208" t="n">
        <x:f>G108/G107-1</x:f>
        <x:v>-0.015230124762768193</x:v>
      </x:c>
      <x:c r="J108" s="208" t="n">
        <x:f>'Beta HC3'!$E$13+'Beta HC3'!$E$12*I108</x:f>
        <x:v>-0.01716758201857483</x:v>
      </x:c>
      <x:c r="K108" s="240" t="n">
        <x:f>H108-J108</x:f>
        <x:v>0.004315508237589867</x:v>
      </x:c>
      <x:c r="L108" s="240" t="n">
        <x:f>I108-'Beta HC3'!$E$9</x:f>
        <x:v>-0.015794072380428632</x:v>
      </x:c>
      <x:c r="M108" s="240" t="n">
        <x:f>1/'Beta HC3'!$E$8+L108^2/'Beta HC3'!$E$11</x:f>
        <x:v>0.0025026814829939826</x:v>
      </x:c>
      <x:c r="N108" s="240" t="n">
        <x:f>K108^2/(1-M108)^2</x:f>
        <x:v>0.000018717180396830944</x:v>
      </x:c>
      <x:c r="O108" s="240" t="n">
        <x:f>N108*L108^2/'Beta HC3'!$E$11^2</x:f>
        <x:v>2.1834507320376687e-7</x:v>
      </x:c>
      <x:c r="P108" s="240" t="n">
        <x:f>N108*(1/'Beta HC3'!$E$8-'Beta HC3'!$E$9*L108/'Beta HC3'!$E$11)^2</x:f>
        <x:v>1.377001833225459e-11</x:v>
      </x:c>
      <x:c r="Q108" s="240" t="n">
        <x:f>N108*(1/'Beta HC3'!$E$8-'Beta HC3'!$E$9*L108/'Beta HC3'!$E$11)*L108/'Beta HC3'!$E$11</x:f>
        <x:v>-1.7339595326227602e-9</x:v>
      </x:c>
      <x:c r="R108" s="240" t="n">
        <x:f>K108*L108/'Beta HC3'!$E$11</x:f>
        <x:v>-0.00046610464967243933</x:v>
      </x:c>
      <x:c r="S108" s="240" t="n">
        <x:f>(K108-K107)^2</x:f>
        <x:v>0.00001252682041749953</x:v>
      </x:c>
      <x:c r="T108" s="280" t="n">
        <x:f>E108/$E$9*100</x:f>
        <x:v>100.4241446576042</x:v>
      </x:c>
      <x:c r="U108" s="136"/>
      <x:c r="V108" s="136"/>
      <x:c r="W108" s="136"/>
      <x:c r="X108" s="136"/>
      <x:c r="Y108" s="136"/>
      <x:c r="Z108" s="136"/>
    </x:row>
    <x:row r="109" ht="24" customHeight="1">
      <x:c r="A109" s="136"/>
      <x:c r="B109" s="136"/>
      <x:c r="C109" s="274" t="d">
        <x:v>2022-03-02T00:00:00.000Z</x:v>
      </x:c>
      <x:c r="D109" s="191" t="n">
        <x:v>300.19000244140625</x:v>
      </x:c>
      <x:c r="E109" s="191" t="n">
        <x:v>289.2244567871094</x:v>
      </x:c>
      <x:c r="F109" s="191" t="n">
        <x:v>437.8900146484375</x:v>
      </x:c>
      <x:c r="G109" s="191" t="n">
        <x:v>410.9984436035156</x:v>
      </x:c>
      <x:c r="H109" s="208" t="n">
        <x:f>E109/E108-1</x:f>
        <x:v>0.01776592099140517</x:v>
      </x:c>
      <x:c r="I109" s="208" t="n">
        <x:f>G109/G108-1</x:f>
        <x:v>0.018395951157575308</x:v>
      </x:c>
      <x:c r="J109" s="208" t="n">
        <x:f>'Beta HC3'!$E$13+'Beta HC3'!$E$12*I109</x:f>
        <x:v>0.020756300976478664</x:v>
      </x:c>
      <x:c r="K109" s="240" t="n">
        <x:f>H109-J109</x:f>
        <x:v>-0.002990379985073493</x:v>
      </x:c>
      <x:c r="L109" s="240" t="n">
        <x:f>I109-'Beta HC3'!$E$9</x:f>
        <x:v>0.01783200353991487</x:v>
      </x:c>
      <x:c r="M109" s="240" t="n">
        <x:f>1/'Beta HC3'!$E$8+L109^2/'Beta HC3'!$E$11</x:f>
        <x:v>0.0029713039006039185</x:v>
      </x:c>
      <x:c r="N109" s="240" t="n">
        <x:f>K109^2/(1-M109)^2</x:f>
        <x:v>0.000008995751256411046</x:v>
      </x:c>
      <x:c r="O109" s="240" t="n">
        <x:f>N109*L109^2/'Beta HC3'!$E$11^2</x:f>
        <x:v>1.3376806482909504e-7</x:v>
      </x:c>
      <x:c r="P109" s="240" t="n">
        <x:f>N109*(1/'Beta HC3'!$E$8-'Beta HC3'!$E$9*L109/'Beta HC3'!$E$11)^2</x:f>
        <x:v>4.768169882821568e-12</x:v>
      </x:c>
      <x:c r="Q109" s="240" t="n">
        <x:f>N109*(1/'Beta HC3'!$E$8-'Beta HC3'!$E$9*L109/'Beta HC3'!$E$11)*L109/'Beta HC3'!$E$11</x:f>
        <x:v>7.986418834505325e-10</x:v>
      </x:c>
      <x:c r="R109" s="240" t="n">
        <x:f>K109*L109/'Beta HC3'!$E$11</x:f>
        <x:v>-0.0003646564337489413</x:v>
      </x:c>
      <x:c r="S109" s="240" t="n">
        <x:f>(K109-K108)^2</x:f>
        <x:v>0.00005337600272205119</x:v>
      </x:c>
      <x:c r="T109" s="280" t="n">
        <x:f>E109/$E$9*100</x:f>
        <x:v>102.20827207722067</x:v>
      </x:c>
      <x:c r="U109" s="136"/>
      <x:c r="V109" s="136"/>
      <x:c r="W109" s="136"/>
      <x:c r="X109" s="136"/>
      <x:c r="Y109" s="136"/>
      <x:c r="Z109" s="136"/>
    </x:row>
    <x:row r="110" ht="24" customHeight="1">
      <x:c r="A110" s="136"/>
      <x:c r="B110" s="136"/>
      <x:c r="C110" s="274" t="d">
        <x:v>2022-03-03T00:00:00.000Z</x:v>
      </x:c>
      <x:c r="D110" s="191" t="n">
        <x:v>295.9200134277344</x:v>
      </x:c>
      <x:c r="E110" s="191" t="n">
        <x:v>285.11041259765625</x:v>
      </x:c>
      <x:c r="F110" s="191" t="n">
        <x:v>435.7099914550781</x:v>
      </x:c>
      <x:c r="G110" s="191" t="n">
        <x:v>408.9523620605469</x:v>
      </x:c>
      <x:c r="H110" s="208" t="n">
        <x:f>E110/E109-1</x:f>
        <x:v>-0.014224399399534016</x:v>
      </x:c>
      <x:c r="I110" s="208" t="n">
        <x:f>G110/G109-1</x:f>
        <x:v>-0.004978319443327606</x:v>
      </x:c>
      <x:c r="J110" s="208" t="n">
        <x:f>'Beta HC3'!$E$13+'Beta HC3'!$E$12*I110</x:f>
        <x:v>-0.005605475683493428</x:v>
      </x:c>
      <x:c r="K110" s="240" t="n">
        <x:f>H110-J110</x:f>
        <x:v>-0.008618923716040588</x:v>
      </x:c>
      <x:c r="L110" s="240" t="n">
        <x:f>I110-'Beta HC3'!$E$9</x:f>
        <x:v>-0.005542267060988045</x:v>
      </x:c>
      <x:c r="M110" s="240" t="n">
        <x:f>1/'Beta HC3'!$E$8+L110^2/'Beta HC3'!$E$11</x:f>
        <x:v>0.0010068673793399714</x:v>
      </x:c>
      <x:c r="N110" s="240" t="n">
        <x:f>K110^2/(1-M110)^2</x:f>
        <x:v>0.00007443566424577347</x:v>
      </x:c>
      <x:c r="O110" s="240" t="n">
        <x:f>N110*L110^2/'Beta HC3'!$E$11^2</x:f>
        <x:v>1.0692289007417343e-7</x:v>
      </x:c>
      <x:c r="P110" s="240" t="n">
        <x:f>N110*(1/'Beta HC3'!$E$8-'Beta HC3'!$E$9*L110/'Beta HC3'!$E$11)^2</x:f>
        <x:v>4.98294203269371e-11</x:v>
      </x:c>
      <x:c r="Q110" s="240" t="n">
        <x:f>N110*(1/'Beta HC3'!$E$8-'Beta HC3'!$E$9*L110/'Beta HC3'!$E$11)*L110/'Beta HC3'!$E$11</x:f>
        <x:v>-2.3082256458320704e-9</x:v>
      </x:c>
      <x:c r="R110" s="240" t="n">
        <x:f>K110*L110/'Beta HC3'!$E$11</x:f>
        <x:v>0.00032666142124595203</x:v>
      </x:c>
      <x:c r="S110" s="240" t="n">
        <x:f>(K110-K109)^2</x:f>
        <x:v>0.00003168050453140899</x:v>
      </x:c>
      <x:c r="T110" s="280" t="n">
        <x:f>E110/$E$9*100</x:f>
        <x:v>100.75442079325802</x:v>
      </x:c>
      <x:c r="U110" s="136"/>
      <x:c r="V110" s="136"/>
      <x:c r="W110" s="136"/>
      <x:c r="X110" s="136"/>
      <x:c r="Y110" s="136"/>
      <x:c r="Z110" s="136"/>
    </x:row>
    <x:row r="111" ht="24" customHeight="1">
      <x:c r="A111" s="136"/>
      <x:c r="B111" s="136"/>
      <x:c r="C111" s="274" t="d">
        <x:v>2022-03-04T00:00:00.000Z</x:v>
      </x:c>
      <x:c r="D111" s="191" t="n">
        <x:v>289.8599853515625</x:v>
      </x:c>
      <x:c r="E111" s="191" t="n">
        <x:v>279.2716979980469</x:v>
      </x:c>
      <x:c r="F111" s="191" t="n">
        <x:v>432.1700134277344</x:v>
      </x:c>
      <x:c r="G111" s="191" t="n">
        <x:v>405.6297302246094</x:v>
      </x:c>
      <x:c r="H111" s="208" t="n">
        <x:f>E111/E110-1</x:f>
        <x:v>-0.020478784153874052</x:v>
      </x:c>
      <x:c r="I111" s="208" t="n">
        <x:f>G111/G110-1</x:f>
        <x:v>-0.008124740542385211</x:v>
      </x:c>
      <x:c r="J111" s="208" t="n">
        <x:f>'Beta HC3'!$E$13+'Beta HC3'!$E$12*I111</x:f>
        <x:v>-0.009154046319463411</x:v>
      </x:c>
      <x:c r="K111" s="240" t="n">
        <x:f>H111-J111</x:f>
        <x:v>-0.011324737834410641</x:v>
      </x:c>
      <x:c r="L111" s="240" t="n">
        <x:f>I111-'Beta HC3'!$E$9</x:f>
        <x:v>-0.00868868816004565</x:v>
      </x:c>
      <x:c r="M111" s="240" t="n">
        <x:f>1/'Beta HC3'!$E$8+L111^2/'Beta HC3'!$E$11</x:f>
        <x:v>0.0013130695458509402</x:v>
      </x:c>
      <x:c r="N111" s="240" t="n">
        <x:f>K111^2/(1-M111)^2</x:f>
        <x:v>0.0001285871530637333</x:v>
      </x:c>
      <x:c r="O111" s="240" t="n">
        <x:f>N111*L111^2/'Beta HC3'!$E$11^2</x:f>
        <x:v>4.53963279711147e-7</x:v>
      </x:c>
      <x:c r="P111" s="240" t="n">
        <x:f>N111*(1/'Beta HC3'!$E$8-'Beta HC3'!$E$9*L111/'Beta HC3'!$E$11)^2</x:f>
        <x:v>8.865219852412062e-11</x:v>
      </x:c>
      <x:c r="Q111" s="240" t="n">
        <x:f>N111*(1/'Beta HC3'!$E$8-'Beta HC3'!$E$9*L111/'Beta HC3'!$E$11)*L111/'Beta HC3'!$E$11</x:f>
        <x:v>-6.343882312560149e-9</x:v>
      </x:c>
      <x:c r="R111" s="240" t="n">
        <x:f>K111*L111/'Beta HC3'!$E$11</x:f>
        <x:v>0.0006728832675120031</x:v>
      </x:c>
      <x:c r="S111" s="240" t="n">
        <x:f>(K111-K110)^2</x:f>
        <x:v>0.000007321430043170704</x:v>
      </x:c>
      <x:c r="T111" s="280" t="n">
        <x:f>E111/$E$9*100</x:f>
        <x:v>98.69109275728431</x:v>
      </x:c>
      <x:c r="U111" s="136"/>
      <x:c r="V111" s="136"/>
      <x:c r="W111" s="136"/>
      <x:c r="X111" s="136"/>
      <x:c r="Y111" s="136"/>
      <x:c r="Z111" s="136"/>
    </x:row>
    <x:row r="112" ht="24" customHeight="1">
      <x:c r="A112" s="136"/>
      <x:c r="B112" s="136"/>
      <x:c r="C112" s="274" t="d">
        <x:v>2022-03-07T00:00:00.000Z</x:v>
      </x:c>
      <x:c r="D112" s="191" t="n">
        <x:v>278.9100036621094</x:v>
      </x:c>
      <x:c r="E112" s="191" t="n">
        <x:v>268.7216796875</x:v>
      </x:c>
      <x:c r="F112" s="191" t="n">
        <x:v>419.42999267578125</x:v>
      </x:c>
      <x:c r="G112" s="191" t="n">
        <x:v>393.6720886230469</x:v>
      </x:c>
      <x:c r="H112" s="208" t="n">
        <x:f>E112/E111-1</x:f>
        <x:v>-0.03777689750223334</x:v>
      </x:c>
      <x:c r="I112" s="208" t="n">
        <x:f>G112/G111-1</x:f>
        <x:v>-0.029479204088273314</x:v>
      </x:c>
      <x:c r="J112" s="208" t="n">
        <x:f>'Beta HC3'!$E$13+'Beta HC3'!$E$12*I112</x:f>
        <x:v>-0.03323786088215065</x:v>
      </x:c>
      <x:c r="K112" s="240" t="n">
        <x:f>H112-J112</x:f>
        <x:v>-0.00453903662008269</x:v>
      </x:c>
      <x:c r="L112" s="240" t="n">
        <x:f>I112-'Beta HC3'!$E$9</x:f>
        <x:v>-0.030043151705933753</x:v>
      </x:c>
      <x:c r="M112" s="240" t="n">
        <x:f>1/'Beta HC3'!$E$8+L112^2/'Beta HC3'!$E$11</x:f>
        <x:v>0.006969131460301619</x:v>
      </x:c>
      <x:c r="N112" s="240" t="n">
        <x:f>K112^2/(1-M112)^2</x:f>
        <x:v>0.0000208930515336397</x:v>
      </x:c>
      <x:c r="O112" s="240" t="n">
        <x:f>N112*L112^2/'Beta HC3'!$E$11^2</x:f>
        <x:v>8.818761143985413e-7</x:v>
      </x:c>
      <x:c r="P112" s="240" t="n">
        <x:f>N112*(1/'Beta HC3'!$E$8-'Beta HC3'!$E$9*L112/'Beta HC3'!$E$11)^2</x:f>
        <x:v>1.740339980710519e-11</x:v>
      </x:c>
      <x:c r="Q112" s="240" t="n">
        <x:f>N112*(1/'Beta HC3'!$E$8-'Beta HC3'!$E$9*L112/'Beta HC3'!$E$11)*L112/'Beta HC3'!$E$11</x:f>
        <x:v>-3.9176067438187625e-9</x:v>
      </x:c>
      <x:c r="R112" s="240" t="n">
        <x:f>K112*L112/'Beta HC3'!$E$11</x:f>
        <x:v>0.0009325380018591096</x:v>
      </x:c>
      <x:c r="S112" s="240" t="n">
        <x:f>(K112-K111)^2</x:f>
        <x:v>0.000046045740970131834</x:v>
      </x:c>
      <x:c r="T112" s="280" t="n">
        <x:f>E112/$E$9*100</x:f>
        <x:v>94.96284946180897</x:v>
      </x:c>
      <x:c r="U112" s="136"/>
      <x:c r="V112" s="136"/>
      <x:c r="W112" s="136"/>
      <x:c r="X112" s="136"/>
      <x:c r="Y112" s="136"/>
      <x:c r="Z112" s="136"/>
    </x:row>
    <x:row r="113" ht="24" customHeight="1">
      <x:c r="A113" s="136"/>
      <x:c r="B113" s="136"/>
      <x:c r="C113" s="274" t="d">
        <x:v>2022-03-08T00:00:00.000Z</x:v>
      </x:c>
      <x:c r="D113" s="191" t="n">
        <x:v>275.8500061035156</x:v>
      </x:c>
      <x:c r="E113" s="191" t="n">
        <x:v>265.77362060546875</x:v>
      </x:c>
      <x:c r="F113" s="191" t="n">
        <x:v>416.25</x:v>
      </x:c>
      <x:c r="G113" s="191" t="n">
        <x:v>390.68743896484375</x:v>
      </x:c>
      <x:c r="H113" s="208" t="n">
        <x:f>E113/E112-1</x:f>
        <x:v>-0.010970678232807951</x:v>
      </x:c>
      <x:c r="I113" s="208" t="n">
        <x:f>G113/G112-1</x:f>
        <x:v>-0.007581562789078067</x:v>
      </x:c>
      <x:c r="J113" s="208" t="n">
        <x:f>'Beta HC3'!$E$13+'Beta HC3'!$E$12*I113</x:f>
        <x:v>-0.008541444075575841</x:v>
      </x:c>
      <x:c r="K113" s="240" t="n">
        <x:f>H113-J113</x:f>
        <x:v>-0.00242923415723211</x:v>
      </x:c>
      <x:c r="L113" s="240" t="n">
        <x:f>I113-'Beta HC3'!$E$9</x:f>
        <x:v>-0.008145510406738506</x:v>
      </x:c>
      <x:c r="M113" s="240" t="n">
        <x:f>1/'Beta HC3'!$E$8+L113^2/'Beta HC3'!$E$11</x:f>
        <x:v>0.0012505390631220139</x:v>
      </x:c>
      <x:c r="N113" s="240" t="n">
        <x:f>K113^2/(1-M113)^2</x:f>
        <x:v>0.00000591596563122836</x:v>
      </x:c>
      <x:c r="O113" s="240" t="n">
        <x:f>N113*L113^2/'Beta HC3'!$E$11^2</x:f>
        <x:v>1.8355954430352368e-8</x:v>
      </x:c>
      <x:c r="P113" s="240" t="n">
        <x:f>N113*(1/'Beta HC3'!$E$8-'Beta HC3'!$E$9*L113/'Beta HC3'!$E$11)^2</x:f>
        <x:v>4.058106865125256e-12</x:v>
      </x:c>
      <x:c r="Q113" s="240" t="n">
        <x:f>N113*(1/'Beta HC3'!$E$8-'Beta HC3'!$E$9*L113/'Beta HC3'!$E$11)*L113/'Beta HC3'!$E$11</x:f>
        <x:v>-2.7292934010424623e-10</x:v>
      </x:c>
      <x:c r="R113" s="240" t="n">
        <x:f>K113*L113/'Beta HC3'!$E$11</x:f>
        <x:v>0.00013531472004243278</x:v>
      </x:c>
      <x:c r="S113" s="240" t="n">
        <x:f>(K113-K112)^2</x:f>
        <x:v>0.000004451266432250373</x:v>
      </x:c>
      <x:c r="T113" s="280" t="n">
        <x:f>E113/$E$9*100</x:f>
        <x:v>93.92104259629288</x:v>
      </x:c>
      <x:c r="U113" s="136"/>
      <x:c r="V113" s="136"/>
      <x:c r="W113" s="136"/>
      <x:c r="X113" s="136"/>
      <x:c r="Y113" s="136"/>
      <x:c r="Z113" s="136"/>
    </x:row>
    <x:row r="114" ht="24" customHeight="1">
      <x:c r="A114" s="136"/>
      <x:c r="B114" s="136"/>
      <x:c r="C114" s="274" t="d">
        <x:v>2022-03-09T00:00:00.000Z</x:v>
      </x:c>
      <x:c r="D114" s="191" t="n">
        <x:v>288.5</x:v>
      </x:c>
      <x:c r="E114" s="191" t="n">
        <x:v>277.96136474609375</x:v>
      </x:c>
      <x:c r="F114" s="191" t="n">
        <x:v>427.4100036621094</x:v>
      </x:c>
      <x:c r="G114" s="191" t="n">
        <x:v>401.16204833984375</x:v>
      </x:c>
      <x:c r="H114" s="208" t="n">
        <x:f>E114/E113-1</x:f>
        <x:v>0.045857614133636204</x:v>
      </x:c>
      <x:c r="I114" s="208" t="n">
        <x:f>G114/G113-1</x:f>
        <x:v>0.026810714474858166</x:v>
      </x:c>
      <x:c r="J114" s="208" t="n">
        <x:f>'Beta HC3'!$E$13+'Beta HC3'!$E$12*I114</x:f>
        <x:v>0.030246569785472757</x:v>
      </x:c>
      <x:c r="K114" s="240" t="n">
        <x:f>H114-J114</x:f>
        <x:v>0.015611044348163447</x:v>
      </x:c>
      <x:c r="L114" s="240" t="n">
        <x:f>I114-'Beta HC3'!$E$9</x:f>
        <x:v>0.026246766857197727</x:v>
      </x:c>
      <x:c r="M114" s="240" t="n">
        <x:f>1/'Beta HC3'!$E$8+L114^2/'Beta HC3'!$E$11</x:f>
        <x:v>0.00550776810392389</x:v>
      </x:c>
      <x:c r="N114" s="240" t="n">
        <x:f>K114^2/(1-M114)^2</x:f>
        <x:v>0.00024641158637101303</x:v>
      </x:c>
      <x:c r="O114" s="240" t="n">
        <x:f>N114*L114^2/'Beta HC3'!$E$11^2</x:f>
        <x:v>0.000007938299398329309</x:v>
      </x:c>
      <x:c r="P114" s="240" t="n">
        <x:f>N114*(1/'Beta HC3'!$E$8-'Beta HC3'!$E$9*L114/'Beta HC3'!$E$11)^2</x:f>
        <x:v>1.1922561870259434e-10</x:v>
      </x:c>
      <x:c r="Q114" s="240" t="n">
        <x:f>N114*(1/'Beta HC3'!$E$8-'Beta HC3'!$E$9*L114/'Beta HC3'!$E$11)*L114/'Beta HC3'!$E$11</x:f>
        <x:v>3.076440568599114e-8</x:v>
      </x:c>
      <x:c r="R114" s="240" t="n">
        <x:f>K114*L114/'Beta HC3'!$E$11</x:f>
        <x:v>0.002801980654150735</x:v>
      </x:c>
      <x:c r="S114" s="240" t="n">
        <x:f>(K114-K113)^2</x:f>
        <x:v>0.000325451648552237</x:v>
      </x:c>
      <x:c r="T114" s="280" t="n">
        <x:f>E114/$E$9*100</x:f>
        <x:v>98.22803752670248</x:v>
      </x:c>
      <x:c r="U114" s="136"/>
      <x:c r="V114" s="136"/>
      <x:c r="W114" s="136"/>
      <x:c r="X114" s="136"/>
      <x:c r="Y114" s="136"/>
      <x:c r="Z114" s="136"/>
    </x:row>
    <x:row r="115" ht="24" customHeight="1">
      <x:c r="A115" s="136"/>
      <x:c r="B115" s="136"/>
      <x:c r="C115" s="274" t="d">
        <x:v>2022-03-10T00:00:00.000Z</x:v>
      </x:c>
      <x:c r="D115" s="191" t="n">
        <x:v>285.5899963378906</x:v>
      </x:c>
      <x:c r="E115" s="191" t="n">
        <x:v>275.15771484375</x:v>
      </x:c>
      <x:c r="F115" s="191" t="n">
        <x:v>425.4800109863281</x:v>
      </x:c>
      <x:c r="G115" s="191" t="n">
        <x:v>399.3505859375</x:v>
      </x:c>
      <x:c r="H115" s="208" t="n">
        <x:f>E115/E114-1</x:f>
        <x:v>-0.010086473366198834</x:v>
      </x:c>
      <x:c r="I115" s="208" t="n">
        <x:f>G115/G114-1</x:f>
        <x:v>-0.004515537822783244</x:v>
      </x:c>
      <x:c r="J115" s="208" t="n">
        <x:f>'Beta HC3'!$E$13+'Beta HC3'!$E$12*I115</x:f>
        <x:v>-0.005083545141512831</x:v>
      </x:c>
      <x:c r="K115" s="240" t="n">
        <x:f>H115-J115</x:f>
        <x:v>-0.005002928224686003</x:v>
      </x:c>
      <x:c r="L115" s="240" t="n">
        <x:f>I115-'Beta HC3'!$E$9</x:f>
        <x:v>-0.005079485440443684</x:v>
      </x:c>
      <x:c r="M115" s="240" t="n">
        <x:f>1/'Beta HC3'!$E$8+L115^2/'Beta HC3'!$E$11</x:f>
        <x:v>0.0009732526482300289</x:v>
      </x:c>
      <x:c r="N115" s="240" t="n">
        <x:f>K115^2/(1-M115)^2</x:f>
        <x:v>0.000025078081685707602</x:v>
      </x:c>
      <x:c r="O115" s="240" t="n">
        <x:f>N115*L115^2/'Beta HC3'!$E$11^2</x:f>
        <x:v>3.025857525472532e-8</x:v>
      </x:c>
      <x:c r="P115" s="240" t="n">
        <x:f>N115*(1/'Beta HC3'!$E$8-'Beta HC3'!$E$9*L115/'Beta HC3'!$E$11)^2</x:f>
        <x:v>1.6714844375178156e-11</x:v>
      </x:c>
      <x:c r="Q115" s="240" t="n">
        <x:f>N115*(1/'Beta HC3'!$E$8-'Beta HC3'!$E$9*L115/'Beta HC3'!$E$11)*L115/'Beta HC3'!$E$11</x:f>
        <x:v>-7.111732393709359e-10</x:v>
      </x:c>
      <x:c r="R115" s="240" t="n">
        <x:f>K115*L115/'Beta HC3'!$E$11</x:f>
        <x:v>0.00017378062446451857</x:v>
      </x:c>
      <x:c r="S115" s="240" t="n">
        <x:f>(K115-K114)^2</x:f>
        <x:v>0.00042493586523418935</x:v>
      </x:c>
      <x:c r="T115" s="280" t="n">
        <x:f>E115/$E$9*100</x:f>
        <x:v>97.23726304237542</x:v>
      </x:c>
      <x:c r="U115" s="136"/>
      <x:c r="V115" s="136"/>
      <x:c r="W115" s="136"/>
      <x:c r="X115" s="136"/>
      <x:c r="Y115" s="136"/>
      <x:c r="Z115" s="136"/>
    </x:row>
    <x:row r="116" ht="24" customHeight="1">
      <x:c r="A116" s="136"/>
      <x:c r="B116" s="136"/>
      <x:c r="C116" s="274" t="d">
        <x:v>2022-03-11T00:00:00.000Z</x:v>
      </x:c>
      <x:c r="D116" s="191" t="n">
        <x:v>280.07000732421875</x:v>
      </x:c>
      <x:c r="E116" s="191" t="n">
        <x:v>269.83935546875</x:v>
      </x:c>
      <x:c r="F116" s="191" t="n">
        <x:v>420.07000732421875</x:v>
      </x:c>
      <x:c r="G116" s="191" t="n">
        <x:v>394.27276611328125</x:v>
      </x:c>
      <x:c r="H116" s="208" t="n">
        <x:f>E116/E115-1</x:f>
        <x:v>-0.019328403632149938</x:v>
      </x:c>
      <x:c r="I116" s="208" t="n">
        <x:f>G116/G115-1</x:f>
        <x:v>-0.012715193123601587</x:v>
      </x:c>
      <x:c r="J116" s="208" t="n">
        <x:f>'Beta HC3'!$E$13+'Beta HC3'!$E$12*I116</x:f>
        <x:v>-0.014331212605437012</x:v>
      </x:c>
      <x:c r="K116" s="240" t="n">
        <x:f>H116-J116</x:f>
        <x:v>-0.004997191026712925</x:v>
      </x:c>
      <x:c r="L116" s="240" t="n">
        <x:f>I116-'Beta HC3'!$E$9</x:f>
        <x:v>-0.013279140741262026</x:v>
      </x:c>
      <x:c r="M116" s="240" t="n">
        <x:f>1/'Beta HC3'!$E$8+L116^2/'Beta HC3'!$E$11</x:f>
        <x:v>0.0020026739148635343</x:v>
      </x:c>
      <x:c r="N116" s="240" t="n">
        <x:f>K116^2/(1-M116)^2</x:f>
        <x:v>0.000025072240644807263</x:v>
      </x:c>
      <x:c r="O116" s="240" t="n">
        <x:f>N116*L116^2/'Beta HC3'!$E$11^2</x:f>
        <x:v>2.0675109487640503e-7</x:v>
      </x:c>
      <x:c r="P116" s="240" t="n">
        <x:f>N116*(1/'Beta HC3'!$E$8-'Beta HC3'!$E$9*L116/'Beta HC3'!$E$11)^2</x:f>
        <x:v>1.8030572685195072e-11</x:v>
      </x:c>
      <x:c r="Q116" s="240" t="n">
        <x:f>N116*(1/'Beta HC3'!$E$8-'Beta HC3'!$E$9*L116/'Beta HC3'!$E$11)*L116/'Beta HC3'!$E$11</x:f>
        <x:v>-1.9307616745504048e-9</x:v>
      </x:c>
      <x:c r="R116" s="240" t="n">
        <x:f>K116*L116/'Beta HC3'!$E$11</x:f>
        <x:v>0.00045378829209714655</x:v>
      </x:c>
      <x:c r="S116" s="240" t="n">
        <x:f>(K116-K115)^2</x:f>
        <x:v>3.2915440582285926e-11</x:v>
      </x:c>
      <x:c r="T116" s="280" t="n">
        <x:f>E116/$E$9*100</x:f>
        <x:v>95.35782197420686</x:v>
      </x:c>
      <x:c r="U116" s="136"/>
      <x:c r="V116" s="136"/>
      <x:c r="W116" s="136"/>
      <x:c r="X116" s="136"/>
      <x:c r="Y116" s="136"/>
      <x:c r="Z116" s="136"/>
    </x:row>
    <x:row r="117" ht="24" customHeight="1">
      <x:c r="A117" s="136"/>
      <x:c r="B117" s="136"/>
      <x:c r="C117" s="274" t="d">
        <x:v>2022-03-14T00:00:00.000Z</x:v>
      </x:c>
      <x:c r="D117" s="191" t="n">
        <x:v>276.44000244140625</x:v>
      </x:c>
      <x:c r="E117" s="191" t="n">
        <x:v>266.34197998046875</x:v>
      </x:c>
      <x:c r="F117" s="191" t="n">
        <x:v>417</x:v>
      </x:c>
      <x:c r="G117" s="191" t="n">
        <x:v>391.39141845703125</x:v>
      </x:c>
      <x:c r="H117" s="208" t="n">
        <x:f>E117/E116-1</x:f>
        <x:v>-0.01296095405433284</x:v>
      </x:c>
      <x:c r="I117" s="208" t="n">
        <x:f>G117/G116-1</x:f>
        <x:v>-0.00730800578658819</x:v>
      </x:c>
      <x:c r="J117" s="208" t="n">
        <x:f>'Beta HC3'!$E$13+'Beta HC3'!$E$12*I117</x:f>
        <x:v>-0.008232923278219667</x:v>
      </x:c>
      <x:c r="K117" s="240" t="n">
        <x:f>H117-J117</x:f>
        <x:v>-0.004728030776113173</x:v>
      </x:c>
      <x:c r="L117" s="240" t="n">
        <x:f>I117-'Beta HC3'!$E$9</x:f>
        <x:v>-0.007871953404248629</x:v>
      </x:c>
      <x:c r="M117" s="240" t="n">
        <x:f>1/'Beta HC3'!$E$8+L117^2/'Beta HC3'!$E$11</x:f>
        <x:v>0.0012205751210261266</x:v>
      </x:c>
      <x:c r="N117" s="240" t="n">
        <x:f>K117^2/(1-M117)^2</x:f>
        <x:v>0.00002240894523703499</x:v>
      </x:c>
      <x:c r="O117" s="240" t="n">
        <x:f>N117*L117^2/'Beta HC3'!$E$11^2</x:f>
        <x:v>6.493833774405555e-8</x:v>
      </x:c>
      <x:c r="P117" s="240" t="n">
        <x:f>N117*(1/'Beta HC3'!$E$8-'Beta HC3'!$E$9*L117/'Beta HC3'!$E$11)^2</x:f>
        <x:v>1.5332471085225315e-11</x:v>
      </x:c>
      <x:c r="Q117" s="240" t="n">
        <x:f>N117*(1/'Beta HC3'!$E$8-'Beta HC3'!$E$9*L117/'Beta HC3'!$E$11)*L117/'Beta HC3'!$E$11</x:f>
        <x:v>-9.978302389601786e-10</x:v>
      </x:c>
      <x:c r="R117" s="240" t="n">
        <x:f>K117*L117/'Beta HC3'!$E$11</x:f>
        <x:v>0.0002545189781735818</x:v>
      </x:c>
      <x:c r="S117" s="240" t="n">
        <x:f>(K117-K116)^2</x:f>
        <x:v>7.244724050292127e-8</x:v>
      </x:c>
      <x:c r="T117" s="280" t="n">
        <x:f>E117/$E$9*100</x:f>
        <x:v>94.12189362487791</x:v>
      </x:c>
      <x:c r="U117" s="136"/>
      <x:c r="V117" s="136"/>
      <x:c r="W117" s="136"/>
      <x:c r="X117" s="136"/>
      <x:c r="Y117" s="136"/>
      <x:c r="Z117" s="136"/>
    </x:row>
    <x:row r="118" ht="24" customHeight="1">
      <x:c r="A118" s="136"/>
      <x:c r="B118" s="136"/>
      <x:c r="C118" s="274" t="d">
        <x:v>2022-03-15T00:00:00.000Z</x:v>
      </x:c>
      <x:c r="D118" s="191" t="n">
        <x:v>287.1499938964844</x:v>
      </x:c>
      <x:c r="E118" s="191" t="n">
        <x:v>276.6607666015625</x:v>
      </x:c>
      <x:c r="F118" s="191" t="n">
        <x:v>426.1700134277344</x:v>
      </x:c>
      <x:c r="G118" s="191" t="n">
        <x:v>399.9981994628906</x:v>
      </x:c>
      <x:c r="H118" s="208" t="n">
        <x:f>E118/E117-1</x:f>
        <x:v>0.0387426218797744</x:v>
      </x:c>
      <x:c r="I118" s="208" t="n">
        <x:f>G118/G117-1</x:f>
        <x:v>0.02199021388815736</x:v>
      </x:c>
      <x:c r="J118" s="208" t="n">
        <x:f>'Beta HC3'!$E$13+'Beta HC3'!$E$12*I118</x:f>
        <x:v>0.024809952659505103</x:v>
      </x:c>
      <x:c r="K118" s="240" t="n">
        <x:f>H118-J118</x:f>
        <x:v>0.013932669220269294</x:v>
      </x:c>
      <x:c r="L118" s="240" t="n">
        <x:f>I118-'Beta HC3'!$E$9</x:f>
        <x:v>0.021426266270496923</x:v>
      </x:c>
      <x:c r="M118" s="240" t="n">
        <x:f>1/'Beta HC3'!$E$8+L118^2/'Beta HC3'!$E$11</x:f>
        <x:v>0.003936239516422007</x:v>
      </x:c>
      <x:c r="N118" s="240" t="n">
        <x:f>K118^2/(1-M118)^2</x:f>
        <x:v>0.00019565654212813175</x:v>
      </x:c>
      <x:c r="O118" s="240" t="n">
        <x:f>N118*L118^2/'Beta HC3'!$E$11^2</x:f>
        <x:v>0.000004200510669210251</x:v>
      </x:c>
      <x:c r="P118" s="240" t="n">
        <x:f>N118*(1/'Beta HC3'!$E$8-'Beta HC3'!$E$9*L118/'Beta HC3'!$E$11)^2</x:f>
        <x:v>9.979572961101455e-11</x:v>
      </x:c>
      <x:c r="Q118" s="240" t="n">
        <x:f>N118*(1/'Beta HC3'!$E$8-'Beta HC3'!$E$9*L118/'Beta HC3'!$E$11)*L118/'Beta HC3'!$E$11</x:f>
        <x:v>2.047420393990174e-8</x:v>
      </x:c>
      <x:c r="R118" s="240" t="n">
        <x:f>K118*L118/'Beta HC3'!$E$11</x:f>
        <x:v>0.0020414473590260377</x:v>
      </x:c>
      <x:c r="S118" s="240" t="n">
        <x:f>(K118-K117)^2</x:f>
        <x:v>0.00034822172435498855</x:v>
      </x:c>
      <x:c r="T118" s="280" t="n">
        <x:f>E118/$E$9*100</x:f>
        <x:v>97.7684225601949</x:v>
      </x:c>
      <x:c r="U118" s="136"/>
      <x:c r="V118" s="136"/>
      <x:c r="W118" s="136"/>
      <x:c r="X118" s="136"/>
      <x:c r="Y118" s="136"/>
      <x:c r="Z118" s="136"/>
    </x:row>
    <x:row r="119" ht="24" customHeight="1">
      <x:c r="A119" s="136"/>
      <x:c r="B119" s="136"/>
      <x:c r="C119" s="274" t="d">
        <x:v>2022-03-16T00:00:00.000Z</x:v>
      </x:c>
      <x:c r="D119" s="191" t="n">
        <x:v>294.3900146484375</x:v>
      </x:c>
      <x:c r="E119" s="191" t="n">
        <x:v>283.63629150390625</x:v>
      </x:c>
      <x:c r="F119" s="191" t="n">
        <x:v>435.6199951171875</x:v>
      </x:c>
      <x:c r="G119" s="191" t="n">
        <x:v>408.8678894042969</x:v>
      </x:c>
      <x:c r="H119" s="208" t="n">
        <x:f>E119/E118-1</x:f>
        <x:v>0.025213278297568253</x:v>
      </x:c>
      <x:c r="I119" s="208" t="n">
        <x:f>G119/G118-1</x:f>
        <x:v>0.02217432466775171</x:v>
      </x:c>
      <x:c r="J119" s="208" t="n">
        <x:f>'Beta HC3'!$E$13+'Beta HC3'!$E$12*I119</x:f>
        <x:v>0.025017594957107838</x:v>
      </x:c>
      <x:c r="K119" s="240" t="n">
        <x:f>H119-J119</x:f>
        <x:v>0.00019568334046041538</x:v>
      </x:c>
      <x:c r="L119" s="240" t="n">
        <x:f>I119-'Beta HC3'!$E$9</x:f>
        <x:v>0.02161037705009127</x:v>
      </x:c>
      <x:c r="M119" s="240" t="n">
        <x:f>1/'Beta HC3'!$E$8+L119^2/'Beta HC3'!$E$11</x:f>
        <x:v>0.003990424003824242</x:v>
      </x:c>
      <x:c r="N119" s="240" t="n">
        <x:f>K119^2/(1-M119)^2</x:f>
        <x:v>3.85994111300655e-8</x:v>
      </x:c>
      <x:c r="O119" s="240" t="n">
        <x:f>N119*L119^2/'Beta HC3'!$E$11^2</x:f>
        <x:v>8.429854732378817e-10</x:v>
      </x:c>
      <x:c r="P119" s="240" t="n">
        <x:f>N119*(1/'Beta HC3'!$E$8-'Beta HC3'!$E$9*L119/'Beta HC3'!$E$11)^2</x:f>
        <x:v>1.9648721478919734e-14</x:v>
      </x:c>
      <x:c r="Q119" s="240" t="n">
        <x:f>N119*(1/'Beta HC3'!$E$8-'Beta HC3'!$E$9*L119/'Beta HC3'!$E$11)*L119/'Beta HC3'!$E$11</x:f>
        <x:v>4.069838666879375e-12</x:v>
      </x:c>
      <x:c r="R119" s="240" t="n">
        <x:f>K119*L119/'Beta HC3'!$E$11</x:f>
        <x:v>0.000028918353299743444</x:v>
      </x:c>
      <x:c r="S119" s="240" t="n">
        <x:f>(K119-K118)^2</x:f>
        <x:v>0.00018870478106206853</x:v>
      </x:c>
      <x:c r="T119" s="280" t="n">
        <x:f>E119/$E$9*100</x:f>
        <x:v>100.23348500691935</x:v>
      </x:c>
      <x:c r="U119" s="136"/>
      <x:c r="V119" s="136"/>
      <x:c r="W119" s="136"/>
      <x:c r="X119" s="136"/>
      <x:c r="Y119" s="136"/>
      <x:c r="Z119" s="136"/>
    </x:row>
    <x:row r="120" ht="24" customHeight="1">
      <x:c r="A120" s="136"/>
      <x:c r="B120" s="136"/>
      <x:c r="C120" s="274" t="d">
        <x:v>2022-03-17T00:00:00.000Z</x:v>
      </x:c>
      <x:c r="D120" s="191" t="n">
        <x:v>295.2200012207031</x:v>
      </x:c>
      <x:c r="E120" s="191" t="n">
        <x:v>284.43597412109375</x:v>
      </x:c>
      <x:c r="F120" s="191" t="n">
        <x:v>441.07000732421875</x:v>
      </x:c>
      <x:c r="G120" s="191" t="n">
        <x:v>413.983154296875</x:v>
      </x:c>
      <x:c r="H120" s="208" t="n">
        <x:f>E120/E119-1</x:f>
        <x:v>0.0028193945596572956</x:v>
      </x:c>
      <x:c r="I120" s="208" t="n">
        <x:f>G120/G119-1</x:f>
        <x:v>0.012510801227337387</x:v>
      </x:c>
      <x:c r="J120" s="208" t="n">
        <x:f>'Beta HC3'!$E$13+'Beta HC3'!$E$12*I120</x:f>
        <x:v>0.01411895982815682</x:v>
      </x:c>
      <x:c r="K120" s="240" t="n">
        <x:f>H120-J120</x:f>
        <x:v>-0.011299565268499524</x:v>
      </x:c>
      <x:c r="L120" s="240" t="n">
        <x:f>I120-'Beta HC3'!$E$9</x:f>
        <x:v>0.011946853609676948</x:v>
      </x:c>
      <x:c r="M120" s="240" t="n">
        <x:f>1/'Beta HC3'!$E$8+L120^2/'Beta HC3'!$E$11</x:f>
        <x:v>0.001772845623335676</x:v>
      </x:c>
      <x:c r="N120" s="240" t="n">
        <x:f>K120^2/(1-M120)^2</x:f>
        <x:v>0.0001281340964782557</x:v>
      </x:c>
      <x:c r="O120" s="240" t="n">
        <x:f>N120*L120^2/'Beta HC3'!$E$11^2</x:f>
        <x:v>8.5523707185335e-7</x:v>
      </x:c>
      <x:c r="P120" s="240" t="n">
        <x:f>N120*(1/'Beta HC3'!$E$8-'Beta HC3'!$E$9*L120/'Beta HC3'!$E$11)^2</x:f>
        <x:v>7.22176151285563e-11</x:v>
      </x:c>
      <x:c r="Q120" s="240" t="n">
        <x:f>N120*(1/'Beta HC3'!$E$8-'Beta HC3'!$E$9*L120/'Beta HC3'!$E$11)*L120/'Beta HC3'!$E$11</x:f>
        <x:v>7.858955509403186e-9</x:v>
      </x:c>
      <x:c r="R120" s="240" t="n">
        <x:f>K120*L120/'Beta HC3'!$E$11</x:f>
        <x:v>-0.0009231507749269534</x:v>
      </x:c>
      <x:c r="S120" s="240" t="n">
        <x:f>(K120-K119)^2</x:f>
        <x:v>0.00013214074058179542</x:v>
      </x:c>
      <x:c r="T120" s="280" t="n">
        <x:f>E120/$E$9*100</x:f>
        <x:v>100.51608274924335</x:v>
      </x:c>
      <x:c r="U120" s="136"/>
      <x:c r="V120" s="136"/>
      <x:c r="W120" s="136"/>
      <x:c r="X120" s="136"/>
      <x:c r="Y120" s="136"/>
      <x:c r="Z120" s="136"/>
    </x:row>
    <x:row r="121" ht="24" customHeight="1">
      <x:c r="C121" s="274" t="d">
        <x:v>2022-03-18T00:00:00.000Z</x:v>
      </x:c>
      <x:c r="D121" s="191" t="n">
        <x:v>300.42999267578125</x:v>
      </x:c>
      <x:c r="E121" s="191" t="n">
        <x:v>289.45562744140625</x:v>
      </x:c>
      <x:c r="F121" s="191" t="n">
        <x:v>444.5199890136719</x:v>
      </x:c>
      <x:c r="G121" s="191" t="n">
        <x:v>418.5174255371094</x:v>
      </x:c>
      <x:c r="H121" s="208" t="n">
        <x:f>E121/E120-1</x:f>
        <x:v>0.017647744227231588</x:v>
      </x:c>
      <x:c r="I121" s="208" t="n">
        <x:f>G121/G120-1</x:f>
        <x:v>0.010952791661137828</x:v>
      </x:c>
      <x:c r="J121" s="208" t="n">
        <x:f>'Beta HC3'!$E$13+'Beta HC3'!$E$12*I121</x:f>
        <x:v>0.012361818357540568</x:v>
      </x:c>
      <x:c r="K121" s="240" t="n">
        <x:f>H121-J121</x:f>
        <x:v>0.005285925869691019</x:v>
      </x:c>
      <x:c r="L121" s="240" t="n">
        <x:f>I121-'Beta HC3'!$E$9</x:f>
        <x:v>0.01038884404347739</x:v>
      </x:c>
      <x:c r="M121" s="240" t="n">
        <x:f>1/'Beta HC3'!$E$8+L121^2/'Beta HC3'!$E$11</x:f>
        <x:v>0.0015348729970775716</x:v>
      </x:c>
      <x:c r="N121" s="240" t="n">
        <x:f>K121^2/(1-M121)^2</x:f>
        <x:v>0.000028026981988608147</x:v>
      </x:c>
      <x:c r="O121" s="240" t="n">
        <x:f>N121*L121^2/'Beta HC3'!$E$11^2</x:f>
        <x:v>1.4145734763884803e-7</x:v>
      </x:c>
      <x:c r="P121" s="240" t="n">
        <x:f>N121*(1/'Beta HC3'!$E$8-'Beta HC3'!$E$9*L121/'Beta HC3'!$E$11)^2</x:f>
        <x:v>1.6050139070916884e-11</x:v>
      </x:c>
      <x:c r="Q121" s="240" t="n">
        <x:f>N121*(1/'Beta HC3'!$E$8-'Beta HC3'!$E$9*L121/'Beta HC3'!$E$11)*L121/'Beta HC3'!$E$11</x:f>
        <x:v>1.5067880083829133e-9</x:v>
      </x:c>
      <x:c r="R121" s="240" t="n">
        <x:f>K121*L121/'Beta HC3'!$E$11</x:f>
        <x:v>0.0003755308812371854</x:v>
      </x:c>
      <x:c r="S121" s="240" t="n">
        <x:f>(K121-K120)^2</x:f>
        <x:v>0.00027507851629499704</x:v>
      </x:c>
      <x:c r="T121" s="280" t="n">
        <x:f>E121/$E$9*100</x:f>
        <x:v>102.28996486832524</x:v>
      </x:c>
    </x:row>
    <x:row r="122" ht="24" customHeight="1">
      <x:c r="C122" s="274" t="d">
        <x:v>2022-03-21T00:00:00.000Z</x:v>
      </x:c>
      <x:c r="D122" s="191" t="n">
        <x:v>299.1600036621094</x:v>
      </x:c>
      <x:c r="E122" s="191" t="n">
        <x:v>288.2320861816406</x:v>
      </x:c>
      <x:c r="F122" s="191" t="n">
        <x:v>444.3900146484375</x:v>
      </x:c>
      <x:c r="G122" s="191" t="n">
        <x:v>418.3951416015625</x:v>
      </x:c>
      <x:c r="H122" s="208" t="n">
        <x:f>E122/E121-1</x:f>
        <x:v>-0.004227042571536499</x:v>
      </x:c>
      <x:c r="I122" s="208" t="n">
        <x:f>G122/G121-1</x:f>
        <x:v>-0.0002921836178981785</x:v>
      </x:c>
      <x:c r="J122" s="208" t="n">
        <x:f>'Beta HC3'!$E$13+'Beta HC3'!$E$12*I122</x:f>
        <x:v>-0.00032039671193858775</x:v>
      </x:c>
      <x:c r="K122" s="240" t="n">
        <x:f>H122-J122</x:f>
        <x:v>-0.003906645859597911</x:v>
      </x:c>
      <x:c r="L122" s="240" t="n">
        <x:f>I122-'Beta HC3'!$E$9</x:f>
        <x:v>-0.0008561312355586179</x:v>
      </x:c>
      <x:c r="M122" s="240" t="n">
        <x:f>1/'Beta HC3'!$E$8+L122^2/'Beta HC3'!$E$11</x:f>
        <x:v>0.000801825060422187</x:v>
      </x:c>
      <x:c r="N122" s="240" t="n">
        <x:f>K122^2/(1-M122)^2</x:f>
        <x:v>0.000015286386059188875</x:v>
      </x:c>
      <x:c r="O122" s="240" t="n">
        <x:f>N122*L122^2/'Beta HC3'!$E$11^2</x:f>
        <x:v>5.239625307316839e-10</x:v>
      </x:c>
      <x:c r="P122" s="240" t="n">
        <x:f>N122*(1/'Beta HC3'!$E$8-'Beta HC3'!$E$9*L122/'Beta HC3'!$E$11)^2</x:f>
        <x:v>9.786086284838675e-12</x:v>
      </x:c>
      <x:c r="Q122" s="240" t="n">
        <x:f>N122*(1/'Beta HC3'!$E$8-'Beta HC3'!$E$9*L122/'Beta HC3'!$E$11)*L122/'Beta HC3'!$E$11</x:f>
        <x:v>-7.160686095453909e-11</x:v>
      </x:c>
      <x:c r="R122" s="240" t="n">
        <x:f>K122*L122/'Beta HC3'!$E$11</x:f>
        <x:v>0.00002287187388527106</x:v>
      </x:c>
      <x:c r="S122" s="240" t="n">
        <x:f>(K122-K121)^2</x:f>
        <x:v>0.0000845033749981221</x:v>
      </x:c>
      <x:c r="T122" s="280" t="n">
        <x:f>E122/$E$9*100</x:f>
        <x:v>101.85758083218586</x:v>
      </x:c>
    </x:row>
    <x:row r="123" ht="24" customHeight="1">
      <x:c r="C123" s="274" t="d">
        <x:v>2022-03-22T00:00:00.000Z</x:v>
      </x:c>
      <x:c r="D123" s="191" t="n">
        <x:v>304.05999755859375</x:v>
      </x:c>
      <x:c r="E123" s="191" t="n">
        <x:v>292.9530029296875</x:v>
      </x:c>
      <x:c r="F123" s="191" t="n">
        <x:v>449.5899963378906</x:v>
      </x:c>
      <x:c r="G123" s="191" t="n">
        <x:v>423.2908630371094</x:v>
      </x:c>
      <x:c r="H123" s="208" t="n">
        <x:f>E123/E122-1</x:f>
        <x:v>0.016378873048408016</x:v>
      </x:c>
      <x:c r="I123" s="208" t="n">
        <x:f>G123/G122-1</x:f>
        <x:v>0.011701190928763427</x:v>
      </x:c>
      <x:c r="J123" s="208" t="n">
        <x:f>'Beta HC3'!$E$13+'Beta HC3'!$E$12*I123</x:f>
        <x:v>0.013205871833368413</x:v>
      </x:c>
      <x:c r="K123" s="240" t="n">
        <x:f>H123-J123</x:f>
        <x:v>0.0031730012150396024</x:v>
      </x:c>
      <x:c r="L123" s="240" t="n">
        <x:f>I123-'Beta HC3'!$E$9</x:f>
        <x:v>0.011137243311102989</x:v>
      </x:c>
      <x:c r="M123" s="240" t="n">
        <x:f>1/'Beta HC3'!$E$8+L123^2/'Beta HC3'!$E$11</x:f>
        <x:v>0.0016450410854327029</x:v>
      </x:c>
      <x:c r="N123" s="240" t="n">
        <x:f>K123^2/(1-M123)^2</x:f>
        <x:v>0.000010101142965708842</x:v>
      </x:c>
      <x:c r="O123" s="240" t="n">
        <x:f>N123*L123^2/'Beta HC3'!$E$11^2</x:f>
        <x:v>5.859231480175466e-8</x:v>
      </x:c>
      <x:c r="P123" s="240" t="n">
        <x:f>N123*(1/'Beta HC3'!$E$8-'Beta HC3'!$E$9*L123/'Beta HC3'!$E$11)^2</x:f>
        <x:v>5.7405548387709826e-12</x:v>
      </x:c>
      <x:c r="Q123" s="240" t="n">
        <x:f>N123*(1/'Beta HC3'!$E$8-'Beta HC3'!$E$9*L123/'Beta HC3'!$E$11)*L123/'Beta HC3'!$E$11</x:f>
        <x:v>5.799589608325794e-10</x:v>
      </x:c>
      <x:c r="R123" s="240" t="n">
        <x:f>K123*L123/'Beta HC3'!$E$11</x:f>
        <x:v>0.00024166029841838813</x:v>
      </x:c>
      <x:c r="S123" s="240" t="n">
        <x:f>(K123-K122)^2</x:f>
        <x:v>0.00005012140270142351</x:v>
      </x:c>
      <x:c r="T123" s="280" t="n">
        <x:f>E123/$E$9*100</x:f>
        <x:v>103.52589321765417</x:v>
      </x:c>
    </x:row>
    <x:row r="124" ht="24" customHeight="1">
      <x:c r="C124" s="274" t="d">
        <x:v>2022-03-23T00:00:00.000Z</x:v>
      </x:c>
      <x:c r="D124" s="191" t="n">
        <x:v>299.489990234375</x:v>
      </x:c>
      <x:c r="E124" s="191" t="n">
        <x:v>288.54998779296875</x:v>
      </x:c>
      <x:c r="F124" s="191" t="n">
        <x:v>443.79998779296875</x:v>
      </x:c>
      <x:c r="G124" s="191" t="n">
        <x:v>417.839599609375</x:v>
      </x:c>
      <x:c r="H124" s="208" t="n">
        <x:f>E124/E123-1</x:f>
        <x:v>-0.01502976618326568</x:v>
      </x:c>
      <x:c r="I124" s="208" t="n">
        <x:f>G124/G123-1</x:f>
        <x:v>-0.012878292218786891</x:v>
      </x:c>
      <x:c r="J124" s="208" t="n">
        <x:f>'Beta HC3'!$E$13+'Beta HC3'!$E$12*I124</x:f>
        <x:v>-0.0145151576788098</x:v>
      </x:c>
      <x:c r="K124" s="240" t="n">
        <x:f>H124-J124</x:f>
        <x:v>-0.0005146085044558796</x:v>
      </x:c>
      <x:c r="L124" s="240" t="n">
        <x:f>I124-'Beta HC3'!$E$9</x:f>
        <x:v>-0.01344223983644733</x:v>
      </x:c>
      <x:c r="M124" s="240" t="n">
        <x:f>1/'Beta HC3'!$E$8+L124^2/'Beta HC3'!$E$11</x:f>
        <x:v>0.0020324774517028283</x:v>
      </x:c>
      <x:c r="N124" s="240" t="n">
        <x:f>K124^2/(1-M124)^2</x:f>
        <x:v>2.6590169281788306e-7</x:v>
      </x:c>
      <x:c r="O124" s="240" t="n">
        <x:f>N124*L124^2/'Beta HC3'!$E$11^2</x:f>
        <x:v>2.246875996392678e-9</x:v>
      </x:c>
      <x:c r="P124" s="240" t="n">
        <x:f>N124*(1/'Beta HC3'!$E$8-'Beta HC3'!$E$9*L124/'Beta HC3'!$E$11)^2</x:f>
        <x:v>1.9150560343047205e-13</x:v>
      </x:c>
      <x:c r="Q124" s="240" t="n">
        <x:f>N124*(1/'Beta HC3'!$E$8-'Beta HC3'!$E$9*L124/'Beta HC3'!$E$11)*L124/'Beta HC3'!$E$11</x:f>
        <x:v>-2.0743416871928862e-11</x:v>
      </x:c>
      <x:c r="R124" s="240" t="n">
        <x:f>K124*L124/'Beta HC3'!$E$11</x:f>
        <x:v>0.000047304881656748496</x:v>
      </x:c>
      <x:c r="S124" s="240" t="n">
        <x:f>(K124-K123)^2</x:f>
        <x:v>0.000013598465443317547</x:v>
      </x:c>
      <x:c r="T124" s="280" t="n">
        <x:f>E124/$E$9*100</x:f>
        <x:v>101.96992324867911</x:v>
      </x:c>
    </x:row>
    <x:row r="125" ht="24" customHeight="1">
      <x:c r="C125" s="274" t="d">
        <x:v>2022-03-24T00:00:00.000Z</x:v>
      </x:c>
      <x:c r="D125" s="191" t="n">
        <x:v>304.1000061035156</x:v>
      </x:c>
      <x:c r="E125" s="191" t="n">
        <x:v>292.9916076660156</x:v>
      </x:c>
      <x:c r="F125" s="191" t="n">
        <x:v>450.489990234375</x:v>
      </x:c>
      <x:c r="G125" s="191" t="n">
        <x:v>424.1382141113281</x:v>
      </x:c>
      <x:c r="H125" s="208" t="n">
        <x:f>E125/E124-1</x:f>
        <x:v>0.015392895723266076</x:v>
      </x:c>
      <x:c r="I125" s="208" t="n">
        <x:f>G125/G124-1</x:f>
        <x:v>0.015074240229603575</x:v>
      </x:c>
      <x:c r="J125" s="208" t="n">
        <x:f>'Beta HC3'!$E$13+'Beta HC3'!$E$12*I125</x:f>
        <x:v>0.01701003641458911</x:v>
      </x:c>
      <x:c r="K125" s="240" t="n">
        <x:f>H125-J125</x:f>
        <x:v>-0.001617140691323033</x:v>
      </x:c>
      <x:c r="L125" s="240" t="n">
        <x:f>I125-'Beta HC3'!$E$9</x:f>
        <x:v>0.014510292611943136</x:v>
      </x:c>
      <x:c r="M125" s="240" t="n">
        <x:f>1/'Beta HC3'!$E$8+L125^2/'Beta HC3'!$E$11</x:f>
        <x:v>0.002236637723228764</x:v>
      </x:c>
      <x:c r="N125" s="240" t="n">
        <x:f>K125^2/(1-M125)^2</x:f>
        <x:v>0.0000026268816395694804</x:v>
      </x:c>
      <x:c r="O125" s="240" t="n">
        <x:f>N125*L125^2/'Beta HC3'!$E$11^2</x:f>
        <x:v>2.5864707340832326e-8</x:v>
      </x:c>
      <x:c r="P125" s="240" t="n">
        <x:f>N125*(1/'Beta HC3'!$E$8-'Beta HC3'!$E$9*L125/'Beta HC3'!$E$11)^2</x:f>
        <x:v>1.441800312744044e-12</x:v>
      </x:c>
      <x:c r="Q125" s="240" t="n">
        <x:f>N125*(1/'Beta HC3'!$E$8-'Beta HC3'!$E$9*L125/'Beta HC3'!$E$11)*L125/'Beta HC3'!$E$11</x:f>
        <x:v>1.9311070175690736e-10</x:v>
      </x:c>
      <x:c r="R125" s="240" t="n">
        <x:f>K125*L125/'Beta HC3'!$E$11</x:f>
        <x:v>-0.00016046537561107267</x:v>
      </x:c>
      <x:c r="S125" s="240" t="n">
        <x:f>(K125-K124)^2</x:f>
        <x:v>0.000001215577223078068</x:v>
      </x:c>
      <x:c r="T125" s="280" t="n">
        <x:f>E125/$E$9*100</x:f>
        <x:v>103.53953564415548</x:v>
      </x:c>
    </x:row>
    <x:row r="126" ht="24" customHeight="1">
      <x:c r="C126" s="274" t="d">
        <x:v>2022-03-25T00:00:00.000Z</x:v>
      </x:c>
      <x:c r="D126" s="191" t="n">
        <x:v>303.67999267578125</x:v>
      </x:c>
      <x:c r="E126" s="191" t="n">
        <x:v>292.5869445800781</x:v>
      </x:c>
      <x:c r="F126" s="191" t="n">
        <x:v>452.69000244140625</x:v>
      </x:c>
      <x:c r="G126" s="191" t="n">
        <x:v>426.20953369140625</x:v>
      </x:c>
      <x:c r="H126" s="208" t="n">
        <x:f>E126/E125-1</x:f>
        <x:v>-0.0013811422421313724</x:v>
      </x:c>
      <x:c r="I126" s="208" t="n">
        <x:f>G126/G125-1</x:f>
        <x:v>0.004883595750545755</x:v>
      </x:c>
      <x:c r="J126" s="208" t="n">
        <x:f>'Beta HC3'!$E$13+'Beta HC3'!$E$12*I126</x:f>
        <x:v>0.005516907992959446</x:v>
      </x:c>
      <x:c r="K126" s="240" t="n">
        <x:f>H126-J126</x:f>
        <x:v>-0.0068980502350908185</x:v>
      </x:c>
      <x:c r="L126" s="240" t="n">
        <x:f>I126-'Beta HC3'!$E$9</x:f>
        <x:v>0.004319648132885315</x:v>
      </x:c>
      <x:c r="M126" s="240" t="n">
        <x:f>1/'Beta HC3'!$E$8+L126^2/'Beta HC3'!$E$11</x:f>
        <x:v>0.0009244137569448979</x:v>
      </x:c>
      <x:c r="N126" s="240" t="n">
        <x:f>K126^2/(1-M126)^2</x:f>
        <x:v>0.000047671192120470376</x:v>
      </x:c>
      <x:c r="O126" s="240" t="n">
        <x:f>N126*L126^2/'Beta HC3'!$E$11^2</x:f>
        <x:v>4.159752380028175e-8</x:v>
      </x:c>
      <x:c r="P126" s="240" t="n">
        <x:f>N126*(1/'Beta HC3'!$E$8-'Beta HC3'!$E$9*L126/'Beta HC3'!$E$11)^2</x:f>
        <x:v>2.901460091004308e-11</x:v>
      </x:c>
      <x:c r="Q126" s="240" t="n">
        <x:f>N126*(1/'Beta HC3'!$E$8-'Beta HC3'!$E$9*L126/'Beta HC3'!$E$11)*L126/'Beta HC3'!$E$11</x:f>
        <x:v>1.0986061859971448e-9</x:v>
      </x:c>
      <x:c r="R126" s="240" t="n">
        <x:f>K126*L126/'Beta HC3'!$E$11</x:f>
        <x:v>-0.0002037661716295203</x:v>
      </x:c>
      <x:c r="S126" s="240" t="n">
        <x:f>(K126-K125)^2</x:f>
        <x:v>0.00002788800560945768</x:v>
      </x:c>
      <x:c r="T126" s="280" t="n">
        <x:f>E126/$E$9*100</x:f>
        <x:v>103.39653281774667</x:v>
      </x:c>
    </x:row>
    <x:row r="127" ht="24" customHeight="1">
      <x:c r="C127" s="274" t="d">
        <x:v>2022-03-28T00:00:00.000Z</x:v>
      </x:c>
      <x:c r="D127" s="191" t="n">
        <x:v>310.70001220703125</x:v>
      </x:c>
      <x:c r="E127" s="191" t="n">
        <x:v>299.35052490234375</x:v>
      </x:c>
      <x:c r="F127" s="191" t="n">
        <x:v>455.9100036621094</x:v>
      </x:c>
      <x:c r="G127" s="191" t="n">
        <x:v>429.2412109375</x:v>
      </x:c>
      <x:c r="H127" s="208" t="n">
        <x:f>E127/E126-1</x:f>
        <x:v>0.023116480237943327</x:v>
      </x:c>
      <x:c r="I127" s="208" t="n">
        <x:f>G127/G126-1</x:f>
        <x:v>0.00711311457497521</x:v>
      </x:c>
      <x:c r="J127" s="208" t="n">
        <x:f>'Beta HC3'!$E$13+'Beta HC3'!$E$12*I127</x:f>
        <x:v>0.008031385484571205</x:v>
      </x:c>
      <x:c r="K127" s="240" t="n">
        <x:f>H127-J127</x:f>
        <x:v>0.015085094753372122</x:v>
      </x:c>
      <x:c r="L127" s="240" t="n">
        <x:f>I127-'Beta HC3'!$E$9</x:f>
        <x:v>0.00654916695731477</x:v>
      </x:c>
      <x:c r="M127" s="240" t="n">
        <x:f>1/'Beta HC3'!$E$8+L127^2/'Beta HC3'!$E$11</x:f>
        <x:v>0.0010901245154455361</x:v>
      </x:c>
      <x:c r="N127" s="240" t="n">
        <x:f>K127^2/(1-M127)^2</x:f>
        <x:v>0.00022805703382873806</x:v>
      </x:c>
      <x:c r="O127" s="240" t="n">
        <x:f>N127*L127^2/'Beta HC3'!$E$11^2</x:f>
        <x:v>4.5743597672402276e-7</x:v>
      </x:c>
      <x:c r="P127" s="240" t="n">
        <x:f>N127*(1/'Beta HC3'!$E$8-'Beta HC3'!$E$9*L127/'Beta HC3'!$E$11)^2</x:f>
        <x:v>1.3576194986192697e-10</x:v>
      </x:c>
      <x:c r="Q127" s="240" t="n">
        <x:f>N127*(1/'Beta HC3'!$E$8-'Beta HC3'!$E$9*L127/'Beta HC3'!$E$11)*L127/'Beta HC3'!$E$11</x:f>
        <x:v>7.880507606559894e-9</x:v>
      </x:c>
      <x:c r="R127" s="240" t="n">
        <x:f>K127*L127/'Beta HC3'!$E$11</x:f>
        <x:v>0.0006756028389393688</x:v>
      </x:c>
      <x:c r="S127" s="240" t="n">
        <x:f>(K127-K126)^2</x:f>
        <x:v>0.0004832586635837833</x:v>
      </x:c>
      <x:c r="T127" s="280" t="n">
        <x:f>E127/$E$9*100</x:f>
        <x:v>105.78669672529999</x:v>
      </x:c>
    </x:row>
    <x:row r="128" ht="24" customHeight="1">
      <x:c r="C128" s="274" t="d">
        <x:v>2022-03-29T00:00:00.000Z</x:v>
      </x:c>
      <x:c r="D128" s="191" t="n">
        <x:v>315.4100036621094</x:v>
      </x:c>
      <x:c r="E128" s="191" t="n">
        <x:v>303.8885192871094</x:v>
      </x:c>
      <x:c r="F128" s="191" t="n">
        <x:v>461.54998779296875</x:v>
      </x:c>
      <x:c r="G128" s="191" t="n">
        <x:v>434.55126953125</x:v>
      </x:c>
      <x:c r="H128" s="208" t="n">
        <x:f>E128/E127-1</x:f>
        <x:v>0.015159466936782717</x:v>
      </x:c>
      <x:c r="I128" s="208" t="n">
        <x:f>G128/G127-1</x:f>
        <x:v>0.012370803311621437</x:v>
      </x:c>
      <x:c r="J128" s="208" t="n">
        <x:f>'Beta HC3'!$E$13+'Beta HC3'!$E$12*I128</x:f>
        <x:v>0.01396106853606136</x:v>
      </x:c>
      <x:c r="K128" s="240" t="n">
        <x:f>H128-J128</x:f>
        <x:v>0.001198398400721357</x:v>
      </x:c>
      <x:c r="L128" s="240" t="n">
        <x:f>I128-'Beta HC3'!$E$9</x:f>
        <x:v>0.011806855693960998</x:v>
      </x:c>
      <x:c r="M128" s="240" t="n">
        <x:f>1/'Beta HC3'!$E$8+L128^2/'Beta HC3'!$E$11</x:f>
        <x:v>0.0017501045808963195</x:v>
      </x:c>
      <x:c r="N128" s="240" t="n">
        <x:f>K128^2/(1-M128)^2</x:f>
        <x:v>0.0000014411988099310936</x:v>
      </x:c>
      <x:c r="O128" s="240" t="n">
        <x:f>N128*L128^2/'Beta HC3'!$E$11^2</x:f>
        <x:v>9.39522376507918e-9</x:v>
      </x:c>
      <x:c r="P128" s="240" t="n">
        <x:f>N128*(1/'Beta HC3'!$E$8-'Beta HC3'!$E$9*L128/'Beta HC3'!$E$11)^2</x:f>
        <x:v>8.134423151559606e-13</x:v>
      </x:c>
      <x:c r="Q128" s="240" t="n">
        <x:f>N128*(1/'Beta HC3'!$E$8-'Beta HC3'!$E$9*L128/'Beta HC3'!$E$11)*L128/'Beta HC3'!$E$11</x:f>
        <x:v>8.742123638381185e-11</x:v>
      </x:c>
      <x:c r="R128" s="240" t="n">
        <x:f>K128*L128/'Beta HC3'!$E$11</x:f>
        <x:v>0.00009675932664653783</x:v>
      </x:c>
      <x:c r="S128" s="240" t="n">
        <x:f>(K128-K127)^2</x:f>
        <x:v>0.00019284033559072405</x:v>
      </x:c>
      <x:c r="T128" s="280" t="n">
        <x:f>E128/$E$9*100</x:f>
        <x:v>107.39036665665861</x:v>
      </x:c>
    </x:row>
    <x:row r="129" ht="24" customHeight="1">
      <x:c r="C129" s="274" t="d">
        <x:v>2022-03-30T00:00:00.000Z</x:v>
      </x:c>
      <x:c r="D129" s="191" t="n">
        <x:v>313.8599853515625</x:v>
      </x:c>
      <x:c r="E129" s="191" t="n">
        <x:v>302.3951110839844</x:v>
      </x:c>
      <x:c r="F129" s="191" t="n">
        <x:v>458.70001220703125</x:v>
      </x:c>
      <x:c r="G129" s="191" t="n">
        <x:v>431.8680114746094</x:v>
      </x:c>
      <x:c r="H129" s="208" t="n">
        <x:f>E129/E128-1</x:f>
        <x:v>-0.004914329131710415</x:v>
      </x:c>
      <x:c r="I129" s="208" t="n">
        <x:f>G129/G128-1</x:f>
        <x:v>-0.006174779007170006</x:v>
      </x:c>
      <x:c r="J129" s="208" t="n">
        <x:f>'Beta HC3'!$E$13+'Beta HC3'!$E$12*I129</x:f>
        <x:v>-0.006954856818983603</x:v>
      </x:c>
      <x:c r="K129" s="240" t="n">
        <x:f>H129-J129</x:f>
        <x:v>0.0020405276872731875</x:v>
      </x:c>
      <x:c r="L129" s="240" t="n">
        <x:f>I129-'Beta HC3'!$E$9</x:f>
        <x:v>-0.006738726624830446</x:v>
      </x:c>
      <x:c r="M129" s="240" t="n">
        <x:f>1/'Beta HC3'!$E$8+L129^2/'Beta HC3'!$E$11</x:f>
        <x:v>0.0011073495237930281</x:v>
      </x:c>
      <x:c r="N129" s="240" t="n">
        <x:f>K129^2/(1-M129)^2</x:f>
        <x:v>0.000004172990042585128</x:v>
      </x:c>
      <x:c r="O129" s="240" t="n">
        <x:f>N129*L129^2/'Beta HC3'!$E$11^2</x:f>
        <x:v>8.861714373890423e-9</x:v>
      </x:c>
      <x:c r="P129" s="240" t="n">
        <x:f>N129*(1/'Beta HC3'!$E$8-'Beta HC3'!$E$9*L129/'Beta HC3'!$E$11)^2</x:f>
        <x:v>2.825119189941224e-12</x:v>
      </x:c>
      <x:c r="Q129" s="240" t="n">
        <x:f>N129*(1/'Beta HC3'!$E$8-'Beta HC3'!$E$9*L129/'Beta HC3'!$E$11)*L129/'Beta HC3'!$E$11</x:f>
        <x:v>-1.5822578593091526e-10</x:v>
      </x:c>
      <x:c r="R129" s="240" t="n">
        <x:f>K129*L129/'Beta HC3'!$E$11</x:f>
        <x:v>-0.00009403243700949311</x:v>
      </x:c>
      <x:c r="S129" s="240" t="n">
        <x:f>(K129-K128)^2</x:f>
        <x:v>7.091817352682951e-7</x:v>
      </x:c>
      <x:c r="T129" s="280" t="n">
        <x:f>E129/$E$9*100</x:f>
        <x:v>106.86261504933275</x:v>
      </x:c>
    </x:row>
    <x:row r="130" ht="24" customHeight="1">
      <x:c r="C130" s="274" t="d">
        <x:v>2022-03-31T00:00:00.000Z</x:v>
      </x:c>
      <x:c r="D130" s="191" t="n">
        <x:v>308.30999755859375</x:v>
      </x:c>
      <x:c r="E130" s="191" t="n">
        <x:v>297.04779052734375</x:v>
      </x:c>
      <x:c r="F130" s="191" t="n">
        <x:v>451.6400146484375</x:v>
      </x:c>
      <x:c r="G130" s="191" t="n">
        <x:v>425.2210388183594</x:v>
      </x:c>
      <x:c r="H130" s="208" t="n">
        <x:f>E130/E129-1</x:f>
        <x:v>-0.01768322423425528</x:v>
      </x:c>
      <x:c r="I130" s="208" t="n">
        <x:f>G130/G129-1</x:f>
        <x:v>-0.01539121324025361</x:v>
      </x:c>
      <x:c r="J130" s="208" t="n">
        <x:f>'Beta HC3'!$E$13+'Beta HC3'!$E$12*I130</x:f>
        <x:v>-0.017349259493712875</x:v>
      </x:c>
      <x:c r="K130" s="240" t="n">
        <x:f>H130-J130</x:f>
        <x:v>-0.00033396474054240427</x:v>
      </x:c>
      <x:c r="L130" s="240" t="n">
        <x:f>I130-'Beta HC3'!$E$9</x:f>
        <x:v>-0.01595516085791405</x:v>
      </x:c>
      <x:c r="M130" s="240" t="n">
        <x:f>1/'Beta HC3'!$E$8+L130^2/'Beta HC3'!$E$11</x:f>
        <x:v>0.0025376562700963378</x:v>
      </x:c>
      <x:c r="N130" s="240" t="n">
        <x:f>K130^2/(1-M130)^2</x:f>
        <x:v>1.1210067197718131e-7</x:v>
      </x:c>
      <x:c r="O130" s="240" t="n">
        <x:f>N130*L130^2/'Beta HC3'!$E$11^2</x:f>
        <x:v>1.3345206946811404e-9</x:v>
      </x:c>
      <x:c r="P130" s="240" t="n">
        <x:f>N130*(1/'Beta HC3'!$E$8-'Beta HC3'!$E$9*L130/'Beta HC3'!$E$11)^2</x:f>
        <x:v>8.259070863212168e-14</x:v>
      </x:c>
      <x:c r="Q130" s="240" t="n">
        <x:f>N130*(1/'Beta HC3'!$E$8-'Beta HC3'!$E$9*L130/'Beta HC3'!$E$11)*L130/'Beta HC3'!$E$11</x:f>
        <x:v>-1.0498524175232759e-11</x:v>
      </x:c>
      <x:c r="R130" s="240" t="n">
        <x:f>K130*L130/'Beta HC3'!$E$11</x:f>
        <x:v>0.000036438388808731954</x:v>
      </x:c>
      <x:c r="S130" s="240" t="n">
        <x:f>(K130-K129)^2</x:f>
        <x:v>0.000005638214289753583</x:v>
      </x:c>
      <x:c r="T130" s="280" t="n">
        <x:f>E130/$E$9*100</x:f>
        <x:v>104.97293946515649</x:v>
      </x:c>
    </x:row>
    <x:row r="131" ht="24" customHeight="1">
      <x:c r="C131" s="274" t="d">
        <x:v>2022-04-01T00:00:00.000Z</x:v>
      </x:c>
      <x:c r="D131" s="191" t="n">
        <x:v>309.4200134277344</x:v>
      </x:c>
      <x:c r="E131" s="191" t="n">
        <x:v>298.1173095703125</x:v>
      </x:c>
      <x:c r="F131" s="191" t="n">
        <x:v>452.9200134277344</x:v>
      </x:c>
      <x:c r="G131" s="191" t="n">
        <x:v>426.4261474609375</x:v>
      </x:c>
      <x:c r="H131" s="208" t="n">
        <x:f>E131/E130-1</x:f>
        <x:v>0.0036004948600023567</x:v>
      </x:c>
      <x:c r="I131" s="208" t="n">
        <x:f>G131/G130-1</x:f>
        <x:v>0.0028340757689859775</x:v>
      </x:c>
      <x:c r="J131" s="208" t="n">
        <x:f>'Beta HC3'!$E$13+'Beta HC3'!$E$12*I131</x:f>
        <x:v>0.0032054353084624196</x:v>
      </x:c>
      <x:c r="K131" s="240" t="n">
        <x:f>H131-J131</x:f>
        <x:v>0.0003950595515399371</x:v>
      </x:c>
      <x:c r="L131" s="240" t="n">
        <x:f>I131-'Beta HC3'!$E$9</x:f>
        <x:v>0.002270128151325538</x:v>
      </x:c>
      <x:c r="M131" s="240" t="n">
        <x:f>1/'Beta HC3'!$E$8+L131^2/'Beta HC3'!$E$11</x:f>
        <x:v>0.0008320545512608823</x:v>
      </x:c>
      <x:c r="N131" s="240" t="n">
        <x:f>K131^2/(1-M131)^2</x:f>
        <x:v>1.5633209469371315e-7</x:v>
      </x:c>
      <x:c r="O131" s="240" t="n">
        <x:f>N131*L131^2/'Beta HC3'!$E$11^2</x:f>
        <x:v>3.767589852087103e-11</x:v>
      </x:c>
      <x:c r="P131" s="240" t="n">
        <x:f>N131*(1/'Beta HC3'!$E$8-'Beta HC3'!$E$9*L131/'Beta HC3'!$E$11)^2</x:f>
        <x:v>9.708775281703842e-14</x:v>
      </x:c>
      <x:c r="Q131" s="240" t="n">
        <x:f>N131*(1/'Beta HC3'!$E$8-'Beta HC3'!$E$9*L131/'Beta HC3'!$E$11)*L131/'Beta HC3'!$E$11</x:f>
        <x:v>1.9125554430536517e-12</x:v>
      </x:c>
      <x:c r="R131" s="240" t="n">
        <x:f>K131*L131/'Beta HC3'!$E$11</x:f>
        <x:v>0.00000613296239991556</x:v>
      </x:c>
      <x:c r="S131" s="240" t="n">
        <x:f>(K131-K130)^2</x:f>
        <x:v>5.31476418446159e-7</x:v>
      </x:c>
      <x:c r="T131" s="280" t="n">
        <x:f>E131/$E$9*100</x:f>
        <x:v>105.35089399414012</x:v>
      </x:c>
    </x:row>
    <x:row r="132" ht="24" customHeight="1">
      <x:c r="C132" s="274" t="d">
        <x:v>2022-04-04T00:00:00.000Z</x:v>
      </x:c>
      <x:c r="D132" s="191" t="n">
        <x:v>314.9700012207031</x:v>
      </x:c>
      <x:c r="E132" s="191" t="n">
        <x:v>303.4645080566406</x:v>
      </x:c>
      <x:c r="F132" s="191" t="n">
        <x:v>456.79998779296875</x:v>
      </x:c>
      <x:c r="G132" s="191" t="n">
        <x:v>430.0790710449219</x:v>
      </x:c>
      <x:c r="H132" s="208" t="n">
        <x:f>E132/E131-1</x:f>
        <x:v>0.01793655824291185</x:v>
      </x:c>
      <x:c r="I132" s="208" t="n">
        <x:f>G132/G131-1</x:f>
        <x:v>0.008566368656647727</x:v>
      </x:c>
      <x:c r="J132" s="208" t="n">
        <x:f>'Beta HC3'!$E$13+'Beta HC3'!$E$12*I132</x:f>
        <x:v>0.00967038249052543</x:v>
      </x:c>
      <x:c r="K132" s="240" t="n">
        <x:f>H132-J132</x:f>
        <x:v>0.00826617575238642</x:v>
      </x:c>
      <x:c r="L132" s="240" t="n">
        <x:f>I132-'Beta HC3'!$E$9</x:f>
        <x:v>0.008002421038987288</x:v>
      </x:c>
      <x:c r="M132" s="240" t="n">
        <x:f>1/'Beta HC3'!$E$8+L132^2/'Beta HC3'!$E$11</x:f>
        <x:v>0.0012347381704500234</x:v>
      </x:c>
      <x:c r="N132" s="240" t="n">
        <x:f>K132^2/(1-M132)^2</x:f>
        <x:v>0.00006849871308904172</x:v>
      </x:c>
      <x:c r="O132" s="240" t="n">
        <x:f>N132*L132^2/'Beta HC3'!$E$11^2</x:f>
        <x:v>2.0513507774200637e-7</x:v>
      </x:c>
      <x:c r="P132" s="240" t="n">
        <x:f>N132*(1/'Beta HC3'!$E$8-'Beta HC3'!$E$9*L132/'Beta HC3'!$E$11)^2</x:f>
        <x:v>4.018691144131129e-11</x:v>
      </x:c>
      <x:c r="Q132" s="240" t="n">
        <x:f>N132*(1/'Beta HC3'!$E$8-'Beta HC3'!$E$9*L132/'Beta HC3'!$E$11)*L132/'Beta HC3'!$E$11</x:f>
        <x:v>2.871192296368273e-9</x:v>
      </x:c>
      <x:c r="R132" s="240" t="n">
        <x:f>K132*L132/'Beta HC3'!$E$11</x:f>
        <x:v>0.000452359165116981</x:v>
      </x:c>
      <x:c r="S132" s="240" t="n">
        <x:f>(K132-K131)^2</x:f>
        <x:v>0.00006195447024722797</x:v>
      </x:c>
      <x:c r="T132" s="280" t="n">
        <x:f>E132/$E$9*100</x:f>
        <x:v>107.24052644020885</x:v>
      </x:c>
    </x:row>
    <x:row r="133" ht="24" customHeight="1">
      <x:c r="C133" s="274" t="d">
        <x:v>2022-04-05T00:00:00.000Z</x:v>
      </x:c>
      <x:c r="D133" s="191" t="n">
        <x:v>310.8800048828125</x:v>
      </x:c>
      <x:c r="E133" s="191" t="n">
        <x:v>299.5238952636719</x:v>
      </x:c>
      <x:c r="F133" s="191" t="n">
        <x:v>451.0299987792969</x:v>
      </x:c>
      <x:c r="G133" s="191" t="n">
        <x:v>424.64666748046875</x:v>
      </x:c>
      <x:c r="H133" s="208" t="n">
        <x:f>E133/E132-1</x:f>
        <x:v>-0.012985415718642312</x:v>
      </x:c>
      <x:c r="I133" s="208" t="n">
        <x:f>G133/G132-1</x:f>
        <x:v>-0.012631173963556397</x:v>
      </x:c>
      <x:c r="J133" s="208" t="n">
        <x:f>'Beta HC3'!$E$13+'Beta HC3'!$E$12*I133</x:f>
        <x:v>-0.01423645481084794</x:v>
      </x:c>
      <x:c r="K133" s="240" t="n">
        <x:f>H133-J133</x:f>
        <x:v>0.0012510390922056275</x:v>
      </x:c>
      <x:c r="L133" s="240" t="n">
        <x:f>I133-'Beta HC3'!$E$9</x:f>
        <x:v>-0.013195121581216836</x:v>
      </x:c>
      <x:c r="M133" s="240" t="n">
        <x:f>1/'Beta HC3'!$E$8+L133^2/'Beta HC3'!$E$11</x:f>
        <x:v>0.0019874628518763123</x:v>
      </x:c>
      <x:c r="N133" s="240" t="n">
        <x:f>K133^2/(1-M133)^2</x:f>
        <x:v>0.000001571338557447179</x:v>
      </x:c>
      <x:c r="O133" s="240" t="n">
        <x:f>N133*L133^2/'Beta HC3'!$E$11^2</x:f>
        <x:v>1.2794145417499057e-8</x:v>
      </x:c>
      <x:c r="P133" s="240" t="n">
        <x:f>N133*(1/'Beta HC3'!$E$8-'Beta HC3'!$E$9*L133/'Beta HC3'!$E$11)^2</x:f>
        <x:v>1.1291566529728949e-12</x:v>
      </x:c>
      <x:c r="Q133" s="240" t="n">
        <x:f>N133*(1/'Beta HC3'!$E$8-'Beta HC3'!$E$9*L133/'Beta HC3'!$E$11)*L133/'Beta HC3'!$E$11</x:f>
        <x:v>-1.201939866102782e-10</x:v>
      </x:c>
      <x:c r="R133" s="240" t="n">
        <x:f>K133*L133/'Beta HC3'!$E$11</x:f>
        <x:v>-0.00011288640386249251</x:v>
      </x:c>
      <x:c r="S133" s="240" t="n">
        <x:f>(K133-K132)^2</x:f>
        <x:v>0.000049212142361012514</x:v>
      </x:c>
      <x:c r="T133" s="280" t="n">
        <x:f>E133/$E$9*100</x:f>
        <x:v>105.84796362249669</x:v>
      </x:c>
    </x:row>
    <x:row r="134" ht="24" customHeight="1">
      <x:c r="C134" s="274" t="d">
        <x:v>2022-04-06T00:00:00.000Z</x:v>
      </x:c>
      <x:c r="D134" s="191" t="n">
        <x:v>299.5</x:v>
      </x:c>
      <x:c r="E134" s="191" t="n">
        <x:v>288.5596618652344</x:v>
      </x:c>
      <x:c r="F134" s="191" t="n">
        <x:v>446.5199890136719</x:v>
      </x:c>
      <x:c r="G134" s="191" t="n">
        <x:v>420.4004821777344</x:v>
      </x:c>
      <x:c r="H134" s="208" t="n">
        <x:f>E134/E133-1</x:f>
        <x:v>-0.03660553822854651</x:v>
      </x:c>
      <x:c r="I134" s="208" t="n">
        <x:f>G134/G133-1</x:f>
        <x:v>-0.00999933739720138</x:v>
      </x:c>
      <x:c r="J134" s="208" t="n">
        <x:f>'Beta HC3'!$E$13+'Beta HC3'!$E$12*I134</x:f>
        <x:v>-0.0112682386490517</x:v>
      </x:c>
      <x:c r="K134" s="240" t="n">
        <x:f>H134-J134</x:f>
        <x:v>-0.025337299579494807</x:v>
      </x:c>
      <x:c r="L134" s="240" t="n">
        <x:f>I134-'Beta HC3'!$E$9</x:f>
        <x:v>-0.010563285014861819</x:v>
      </x:c>
      <x:c r="M134" s="240" t="n">
        <x:f>1/'Beta HC3'!$E$8+L134^2/'Beta HC3'!$E$11</x:f>
        <x:v>0.0015598668965286478</x:v>
      </x:c>
      <x:c r="N134" s="240" t="n">
        <x:f>K134^2/(1-M134)^2</x:f>
        <x:v>0.0006439862487059099</x:v>
      </x:c>
      <x:c r="O134" s="240" t="n">
        <x:f>N134*L134^2/'Beta HC3'!$E$11^2</x:f>
        <x:v>0.000003360387128039188</x:v>
      </x:c>
      <x:c r="P134" s="240" t="n">
        <x:f>N134*(1/'Beta HC3'!$E$8-'Beta HC3'!$E$9*L134/'Beta HC3'!$E$11)^2</x:f>
        <x:v>4.5175025994205004e-10</x:v>
      </x:c>
      <x:c r="Q134" s="240" t="n">
        <x:f>N134*(1/'Beta HC3'!$E$8-'Beta HC3'!$E$9*L134/'Beta HC3'!$E$11)*L134/'Beta HC3'!$E$11</x:f>
        <x:v>-3.8962235030829816e-8</x:v>
      </x:c>
      <x:c r="R134" s="240" t="n">
        <x:f>K134*L134/'Beta HC3'!$E$11</x:f>
        <x:v>0.0018302764248060328</x:v>
      </x:c>
      <x:c r="S134" s="240" t="n">
        <x:f>(K134-K133)^2</x:f>
        <x:v>0.0007069397533210408</x:v>
      </x:c>
      <x:c r="T134" s="280" t="n">
        <x:f>E134/$E$9*100</x:f>
        <x:v>101.97334194369961</x:v>
      </x:c>
    </x:row>
    <x:row r="135" ht="24" customHeight="1">
      <x:c r="C135" s="274" t="d">
        <x:v>2022-04-07T00:00:00.000Z</x:v>
      </x:c>
      <x:c r="D135" s="191" t="n">
        <x:v>301.3699951171875</x:v>
      </x:c>
      <x:c r="E135" s="191" t="n">
        <x:v>290.3612976074219</x:v>
      </x:c>
      <x:c r="F135" s="191" t="n">
        <x:v>448.7699890136719</x:v>
      </x:c>
      <x:c r="G135" s="191" t="n">
        <x:v>422.518798828125</x:v>
      </x:c>
      <x:c r="H135" s="208" t="n">
        <x:f>E135/E134-1</x:f>
        <x:v>0.006243546760977603</x:v>
      </x:c>
      <x:c r="I135" s="208" t="n">
        <x:f>G135/G134-1</x:f>
        <x:v>0.005038806424334741</x:v>
      </x:c>
      <x:c r="J135" s="208" t="n">
        <x:f>'Beta HC3'!$E$13+'Beta HC3'!$E$12*I135</x:f>
        <x:v>0.005691956412117859</x:v>
      </x:c>
      <x:c r="K135" s="240" t="n">
        <x:f>H135-J135</x:f>
        <x:v>0.0005515903488597443</x:v>
      </x:c>
      <x:c r="L135" s="240" t="n">
        <x:f>I135-'Beta HC3'!$E$9</x:f>
        <x:v>0.004474858806674301</x:v>
      </x:c>
      <x:c r="M135" s="240" t="n">
        <x:f>1/'Beta HC3'!$E$8+L135^2/'Beta HC3'!$E$11</x:f>
        <x:v>0.0009337482436521814</x:v>
      </x:c>
      <x:c r="N135" s="240" t="n">
        <x:f>K135^2/(1-M135)^2</x:f>
        <x:v>3.0482089914461577e-7</x:v>
      </x:c>
      <x:c r="O135" s="240" t="n">
        <x:f>N135*L135^2/'Beta HC3'!$E$11^2</x:f>
        <x:v>2.854421711979966e-10</x:v>
      </x:c>
      <x:c r="P135" s="240" t="n">
        <x:f>N135*(1/'Beta HC3'!$E$8-'Beta HC3'!$E$9*L135/'Beta HC3'!$E$11)^2</x:f>
        <x:v>1.8524165272726976e-13</x:v>
      </x:c>
      <x:c r="Q135" s="240" t="n">
        <x:f>N135*(1/'Beta HC3'!$E$8-'Beta HC3'!$E$9*L135/'Beta HC3'!$E$11)*L135/'Beta HC3'!$E$11</x:f>
        <x:v>7.2715733889425305e-12</x:v>
      </x:c>
      <x:c r="R135" s="240" t="n">
        <x:f>K135*L135/'Beta HC3'!$E$11</x:f>
        <x:v>0.00001687925821293479</x:v>
      </x:c>
      <x:c r="S135" s="240" t="n">
        <x:f>(K135-K134)^2</x:f>
        <x:v>0.0006702346217224577</x:v>
      </x:c>
      <x:c r="T135" s="280" t="n">
        <x:f>E135/$E$9*100</x:f>
        <x:v>102.61001727249825</x:v>
      </x:c>
    </x:row>
    <x:row r="136" ht="24" customHeight="1">
      <x:c r="C136" s="274" t="d">
        <x:v>2022-04-08T00:00:00.000Z</x:v>
      </x:c>
      <x:c r="D136" s="191" t="n">
        <x:v>296.9700012207031</x:v>
      </x:c>
      <x:c r="E136" s="191" t="n">
        <x:v>286.12200927734375</x:v>
      </x:c>
      <x:c r="F136" s="191" t="n">
        <x:v>447.57000732421875</x:v>
      </x:c>
      <x:c r="G136" s="191" t="n">
        <x:v>421.3890075683594</x:v>
      </x:c>
      <x:c r="H136" s="208" t="n">
        <x:f>E136/E135-1</x:f>
        <x:v>-0.014600046097774988</x:v>
      </x:c>
      <x:c r="I136" s="208" t="n">
        <x:f>G136/G135-1</x:f>
        <x:v>-0.0026739431781477307</x:v>
      </x:c>
      <x:c r="J136" s="208" t="n">
        <x:f>'Beta HC3'!$E$13+'Beta HC3'!$E$12*I136</x:f>
        <x:v>-0.0030065730918178665</x:v>
      </x:c>
      <x:c r="K136" s="240" t="n">
        <x:f>H136-J136</x:f>
        <x:v>-0.011593473005957122</x:v>
      </x:c>
      <x:c r="L136" s="240" t="n">
        <x:f>I136-'Beta HC3'!$E$9</x:f>
        <x:v>-0.00323789079580817</x:v>
      </x:c>
      <x:c r="M136" s="240" t="n">
        <x:f>1/'Beta HC3'!$E$8+L136^2/'Beta HC3'!$E$11</x:f>
        <x:v>0.0008685065747385559</x:v>
      </x:c>
      <x:c r="N136" s="240" t="n">
        <x:f>K136^2/(1-M136)^2</x:f>
        <x:v>0.00013464239038117634</x:v>
      </x:c>
      <x:c r="O136" s="240" t="n">
        <x:f>N136*L136^2/'Beta HC3'!$E$11^2</x:f>
        <x:v>6.601170202309896e-8</x:v>
      </x:c>
      <x:c r="P136" s="240" t="n">
        <x:f>N136*(1/'Beta HC3'!$E$8-'Beta HC3'!$E$9*L136/'Beta HC3'!$E$11)^2</x:f>
        <x:v>8.81862004695625e-11</x:v>
      </x:c>
      <x:c r="Q136" s="240" t="n">
        <x:f>N136*(1/'Beta HC3'!$E$8-'Beta HC3'!$E$9*L136/'Beta HC3'!$E$11)*L136/'Beta HC3'!$E$11</x:f>
        <x:v>-2.412741425836186e-9</x:v>
      </x:c>
      <x:c r="R136" s="240" t="n">
        <x:f>K136*L136/'Beta HC3'!$E$11</x:f>
        <x:v>0.000256704282437077</x:v>
      </x:c>
      <x:c r="S136" s="240" t="n">
        <x:f>(K136-K135)^2</x:f>
        <x:v>0.0001475025638925155</x:v>
      </x:c>
      <x:c r="T136" s="280" t="n">
        <x:f>E136/$E$9*100</x:f>
        <x:v>101.11190629022629</x:v>
      </x:c>
    </x:row>
    <x:row r="137" ht="24" customHeight="1">
      <x:c r="C137" s="274" t="d">
        <x:v>2022-04-11T00:00:00.000Z</x:v>
      </x:c>
      <x:c r="D137" s="191" t="n">
        <x:v>285.260009765625</x:v>
      </x:c>
      <x:c r="E137" s="191" t="n">
        <x:v>274.8398132324219</x:v>
      </x:c>
      <x:c r="F137" s="191" t="n">
        <x:v>439.9200134277344</x:v>
      </x:c>
      <x:c r="G137" s="191" t="n">
        <x:v>414.1865539550781</x:v>
      </x:c>
      <x:c r="H137" s="208" t="n">
        <x:f>E137/E136-1</x:f>
        <x:v>-0.03943141624587787</x:v>
      </x:c>
      <x:c r="I137" s="208" t="n">
        <x:f>G137/G136-1</x:f>
        <x:v>-0.01709217251499573</x:v>
      </x:c>
      <x:c r="J137" s="208" t="n">
        <x:f>'Beta HC3'!$E$13+'Beta HC3'!$E$12*I137</x:f>
        <x:v>-0.019267621323011103</x:v>
      </x:c>
      <x:c r="K137" s="240" t="n">
        <x:f>H137-J137</x:f>
        <x:v>-0.020163794922866768</x:v>
      </x:c>
      <x:c r="L137" s="240" t="n">
        <x:f>I137-'Beta HC3'!$E$9</x:f>
        <x:v>-0.017656120132656168</x:v>
      </x:c>
      <x:c r="M137" s="240" t="n">
        <x:f>1/'Beta HC3'!$E$8+L137^2/'Beta HC3'!$E$11</x:f>
        <x:v>0.002928619885034358</x:v>
      </x:c>
      <x:c r="N137" s="240" t="n">
        <x:f>K137^2/(1-M137)^2</x:f>
        <x:v>0.00040897055663597097</x:v>
      </x:c>
      <x:c r="O137" s="240" t="n">
        <x:f>N137*L137^2/'Beta HC3'!$E$11^2</x:f>
        <x:v>0.000005962073362285077</x:v>
      </x:c>
      <x:c r="P137" s="240" t="n">
        <x:f>N137*(1/'Beta HC3'!$E$8-'Beta HC3'!$E$9*L137/'Beta HC3'!$E$11)^2</x:f>
        <x:v>3.059340866190728e-10</x:v>
      </x:c>
      <x:c r="Q137" s="240" t="n">
        <x:f>N137*(1/'Beta HC3'!$E$8-'Beta HC3'!$E$9*L137/'Beta HC3'!$E$11)*L137/'Beta HC3'!$E$11</x:f>
        <x:v>-4.27083301996998e-8</x:v>
      </x:c>
      <x:c r="R137" s="240" t="n">
        <x:f>K137*L137/'Beta HC3'!$E$11</x:f>
        <x:v>0.0024345848115586953</x:v>
      </x:c>
      <x:c r="S137" s="240" t="n">
        <x:f>(K137-K136)^2</x:f>
        <x:v>0.00007345041775946183</x:v>
      </x:c>
      <x:c r="T137" s="280" t="n">
        <x:f>E137/$E$9*100</x:f>
        <x:v>97.12492062588217</x:v>
      </x:c>
    </x:row>
    <x:row r="138" ht="24" customHeight="1">
      <x:c r="C138" s="274" t="d">
        <x:v>2022-04-12T00:00:00.000Z</x:v>
      </x:c>
      <x:c r="D138" s="191" t="n">
        <x:v>282.05999755859375</x:v>
      </x:c>
      <x:c r="E138" s="191" t="n">
        <x:v>271.75677490234375</x:v>
      </x:c>
      <x:c r="F138" s="191" t="n">
        <x:v>438.2900085449219</x:v>
      </x:c>
      <x:c r="G138" s="191" t="n">
        <x:v>412.6519470214844</x:v>
      </x:c>
      <x:c r="H138" s="208" t="n">
        <x:f>E138/E137-1</x:f>
        <x:v>-0.011217582685049021</x:v>
      </x:c>
      <x:c r="I138" s="208" t="n">
        <x:f>G138/G137-1</x:f>
        <x:v>-0.0037051104603462726</x:v>
      </x:c>
      <x:c r="J138" s="208" t="n">
        <x:f>'Beta HC3'!$E$13+'Beta HC3'!$E$12*I138</x:f>
        <x:v>-0.004169535652512202</x:v>
      </x:c>
      <x:c r="K138" s="240" t="n">
        <x:f>H138-J138</x:f>
        <x:v>-0.00704804703253682</x:v>
      </x:c>
      <x:c r="L138" s="240" t="n">
        <x:f>I138-'Beta HC3'!$E$9</x:f>
        <x:v>-0.004269058078006712</x:v>
      </x:c>
      <x:c r="M138" s="240" t="n">
        <x:f>1/'Beta HC3'!$E$8+L138^2/'Beta HC3'!$E$11</x:f>
        <x:v>0.0009214424312454211</x:v>
      </x:c>
      <x:c r="N138" s="240" t="n">
        <x:f>K138^2/(1-M138)^2</x:f>
        <x:v>0.00004976663890367266</x:v>
      </x:c>
      <x:c r="O138" s="240" t="n">
        <x:f>N138*L138^2/'Beta HC3'!$E$11^2</x:f>
        <x:v>4.241477425350515e-8</x:v>
      </x:c>
      <x:c r="P138" s="240" t="n">
        <x:f>N138*(1/'Beta HC3'!$E$8-'Beta HC3'!$E$9*L138/'Beta HC3'!$E$11)^2</x:f>
        <x:v>3.2916582052344344e-11</x:v>
      </x:c>
      <x:c r="Q138" s="240" t="n">
        <x:f>N138*(1/'Beta HC3'!$E$8-'Beta HC3'!$E$9*L138/'Beta HC3'!$E$11)*L138/'Beta HC3'!$E$11</x:f>
        <x:v>-1.181587659442652e-9</x:v>
      </x:c>
      <x:c r="R138" s="240" t="n">
        <x:f>K138*L138/'Beta HC3'!$E$11</x:f>
        <x:v>0.0002057587050907264</x:v>
      </x:c>
      <x:c r="S138" s="240" t="n">
        <x:f>(K138-K137)^2</x:f>
        <x:v>0.00017202284272269453</x:v>
      </x:c>
      <x:c r="T138" s="280" t="n">
        <x:f>E138/$E$9*100</x:f>
        <x:v>96.03541379798251</x:v>
      </x:c>
    </x:row>
    <x:row r="139" ht="24" customHeight="1">
      <x:c r="C139" s="274" t="d">
        <x:v>2022-04-13T00:00:00.000Z</x:v>
      </x:c>
      <x:c r="D139" s="191" t="n">
        <x:v>287.6199951171875</x:v>
      </x:c>
      <x:c r="E139" s="191" t="n">
        <x:v>277.11358642578125</x:v>
      </x:c>
      <x:c r="F139" s="191" t="n">
        <x:v>443.30999755859375</x:v>
      </x:c>
      <x:c r="G139" s="191" t="n">
        <x:v>417.3782653808594</x:v>
      </x:c>
      <x:c r="H139" s="208" t="n">
        <x:f>E139/E138-1</x:f>
        <x:v>0.019711786487613736</x:v>
      </x:c>
      <x:c r="I139" s="208" t="n">
        <x:f>G139/G138-1</x:f>
        <x:v>0.011453522498777735</x:v>
      </x:c>
      <x:c r="J139" s="208" t="n">
        <x:f>'Beta HC3'!$E$13+'Beta HC3'!$E$12*I139</x:f>
        <x:v>0.012926548471861829</x:v>
      </x:c>
      <x:c r="K139" s="240" t="n">
        <x:f>H139-J139</x:f>
        <x:v>0.0067852380157519075</x:v>
      </x:c>
      <x:c r="L139" s="240" t="n">
        <x:f>I139-'Beta HC3'!$E$9</x:f>
        <x:v>0.010889574881117296</x:v>
      </x:c>
      <x:c r="M139" s="240" t="n">
        <x:f>1/'Beta HC3'!$E$8+L139^2/'Beta HC3'!$E$11</x:f>
        <x:v>0.0016077349914766078</x:v>
      </x:c>
      <x:c r="N139" s="240" t="n">
        <x:f>K139^2/(1-M139)^2</x:f>
        <x:v>0.00004618785119258885</x:v>
      </x:c>
      <x:c r="O139" s="240" t="n">
        <x:f>N139*L139^2/'Beta HC3'!$E$11^2</x:f>
        <x:v>2.5613228977321603e-7</x:v>
      </x:c>
      <x:c r="P139" s="240" t="n">
        <x:f>N139*(1/'Beta HC3'!$E$8-'Beta HC3'!$E$9*L139/'Beta HC3'!$E$11)^2</x:f>
        <x:v>2.6315456723338194e-11</x:v>
      </x:c>
      <x:c r="Q139" s="240" t="n">
        <x:f>N139*(1/'Beta HC3'!$E$8-'Beta HC3'!$E$9*L139/'Beta HC3'!$E$11)*L139/'Beta HC3'!$E$11</x:f>
        <x:v>2.596196869841843e-9</x:v>
      </x:c>
      <x:c r="R139" s="240" t="n">
        <x:f>K139*L139/'Beta HC3'!$E$11</x:f>
        <x:v>0.000505281472189067</x:v>
      </x:c>
      <x:c r="S139" s="240" t="n">
        <x:f>(K139-K138)^2</x:f>
        <x:v>0.00019135977522720849</x:v>
      </x:c>
      <x:c r="T139" s="280" t="n">
        <x:f>E139/$E$9*100</x:f>
        <x:v>97.92844337001799</x:v>
      </x:c>
    </x:row>
    <x:row r="140" ht="24" customHeight="1">
      <x:c r="C140" s="274" t="d">
        <x:v>2022-04-14T00:00:00.000Z</x:v>
      </x:c>
      <x:c r="D140" s="191" t="n">
        <x:v>279.8299865722656</x:v>
      </x:c>
      <x:c r="E140" s="191" t="n">
        <x:v>269.608154296875</x:v>
      </x:c>
      <x:c r="F140" s="191" t="n">
        <x:v>437.7900085449219</x:v>
      </x:c>
      <x:c r="G140" s="191" t="n">
        <x:v>412.1810607910156</x:v>
      </x:c>
      <x:c r="H140" s="208" t="n">
        <x:f>E140/E139-1</x:f>
        <x:v>-0.027084316672132625</x:v>
      </x:c>
      <x:c r="I140" s="208" t="n">
        <x:f>G140/G139-1</x:f>
        <x:v>-0.012452024987696153</x:v>
      </x:c>
      <x:c r="J140" s="208" t="n">
        <x:f>'Beta HC3'!$E$13+'Beta HC3'!$E$12*I140</x:f>
        <x:v>-0.01403440849371888</x:v>
      </x:c>
      <x:c r="K140" s="240" t="n">
        <x:f>H140-J140</x:f>
        <x:v>-0.013049908178413745</x:v>
      </x:c>
      <x:c r="L140" s="240" t="n">
        <x:f>I140-'Beta HC3'!$E$9</x:f>
        <x:v>-0.013015972605356592</x:v>
      </x:c>
      <x:c r="M140" s="240" t="n">
        <x:f>1/'Beta HC3'!$E$8+L140^2/'Beta HC3'!$E$11</x:f>
        <x:v>0.001955351629199466</x:v>
      </x:c>
      <x:c r="N140" s="240" t="n">
        <x:f>K140^2/(1-M140)^2</x:f>
        <x:v>0.0001709680551159933</x:v>
      </x:c>
      <x:c r="O140" s="240" t="n">
        <x:f>N140*L140^2/'Beta HC3'!$E$11^2</x:f>
        <x:v>0.0000013545122774344674</x:v>
      </x:c>
      <x:c r="P140" s="240" t="n">
        <x:f>N140*(1/'Beta HC3'!$E$8-'Beta HC3'!$E$9*L140/'Beta HC3'!$E$11)^2</x:f>
        <x:v>1.226566773010639e-10</x:v>
      </x:c>
      <x:c r="Q140" s="240" t="n">
        <x:f>N140*(1/'Beta HC3'!$E$8-'Beta HC3'!$E$9*L140/'Beta HC3'!$E$11)*L140/'Beta HC3'!$E$11</x:f>
        <x:v>-1.2889529677750412e-8</x:v>
      </x:c>
      <x:c r="R140" s="240" t="n">
        <x:f>K140*L140/'Beta HC3'!$E$11</x:f>
        <x:v>0.0011615594520728572</x:v>
      </x:c>
      <x:c r="S140" s="240" t="n">
        <x:f>(K140-K139)^2</x:f>
        <x:v>0.00039343302454392424</x:v>
      </x:c>
      <x:c r="T140" s="280" t="n">
        <x:f>E140/$E$9*100</x:f>
        <x:v>95.2761183985754</x:v>
      </x:c>
    </x:row>
    <x:row r="141" ht="24" customHeight="1">
      <x:c r="C141" s="274" t="d">
        <x:v>2022-04-18T00:00:00.000Z</x:v>
      </x:c>
      <x:c r="D141" s="191" t="n">
        <x:v>280.5199890136719</x:v>
      </x:c>
      <x:c r="E141" s="191" t="n">
        <x:v>270.27294921875</x:v>
      </x:c>
      <x:c r="F141" s="191" t="n">
        <x:v>437.9700012207031</x:v>
      </x:c>
      <x:c r="G141" s="191" t="n">
        <x:v>412.3504943847656</x:v>
      </x:c>
      <x:c r="H141" s="208" t="n">
        <x:f>E141/E140-1</x:f>
        <x:v>0.00246578195532976</x:v>
      </x:c>
      <x:c r="I141" s="208" t="n">
        <x:f>G141/G140-1</x:f>
        <x:v>0.00041106593647177725</x:v>
      </x:c>
      <x:c r="J141" s="208" t="n">
        <x:f>'Beta HC3'!$E$13+'Beta HC3'!$E$12*I141</x:f>
        <x:v>0.0004727363874878192</x:v>
      </x:c>
      <x:c r="K141" s="240" t="n">
        <x:f>H141-J141</x:f>
        <x:v>0.0019930455678419407</x:v>
      </x:c>
      <x:c r="L141" s="240" t="n">
        <x:f>I141-'Beta HC3'!$E$9</x:f>
        <x:v>-0.00015288168118866212</x:v>
      </x:c>
      <x:c r="M141" s="240" t="n">
        <x:f>1/'Beta HC3'!$E$8+L141^2/'Beta HC3'!$E$11</x:f>
        <x:v>0.0007969725826701459</x:v>
      </x:c>
      <x:c r="N141" s="240" t="n">
        <x:f>K141^2/(1-M141)^2</x:f>
        <x:v>0.000003978569730431769</x:v>
      </x:c>
      <x:c r="O141" s="240" t="n">
        <x:f>N141*L141^2/'Beta HC3'!$E$11^2</x:f>
        <x:v>4.3486313924986026e-12</x:v>
      </x:c>
      <x:c r="P141" s="240" t="n">
        <x:f>N141*(1/'Beta HC3'!$E$8-'Beta HC3'!$E$9*L141/'Beta HC3'!$E$11)^2</x:f>
        <x:v>2.5297755262368103e-12</x:v>
      </x:c>
      <x:c r="Q141" s="240" t="n">
        <x:f>N141*(1/'Beta HC3'!$E$8-'Beta HC3'!$E$9*L141/'Beta HC3'!$E$11)*L141/'Beta HC3'!$E$11</x:f>
        <x:v>-3.316784778873671e-12</x:v>
      </x:c>
      <x:c r="R141" s="240" t="n">
        <x:f>K141*L141/'Beta HC3'!$E$11</x:f>
        <x:v>-0.000002083675280511441</x:v>
      </x:c>
      <x:c r="S141" s="240" t="n">
        <x:f>(K141-K140)^2</x:f>
        <x:v>0.00022629045741198796</x:v>
      </x:c>
      <x:c r="T141" s="280" t="n">
        <x:f>E141/$E$9*100</x:f>
        <x:v>95.51104853209648</x:v>
      </x:c>
    </x:row>
    <x:row r="142" ht="24" customHeight="1">
      <x:c r="C142" s="274" t="d">
        <x:v>2022-04-19T00:00:00.000Z</x:v>
      </x:c>
      <x:c r="D142" s="191" t="n">
        <x:v>285.29998779296875</x:v>
      </x:c>
      <x:c r="E142" s="191" t="n">
        <x:v>274.8782958984375</x:v>
      </x:c>
      <x:c r="F142" s="191" t="n">
        <x:v>445.0400085449219</x:v>
      </x:c>
      <x:c r="G142" s="191" t="n">
        <x:v>419.00701904296875</x:v>
      </x:c>
      <x:c r="H142" s="208" t="n">
        <x:f>E142/E141-1</x:f>
        <x:v>0.017039613816327792</x:v>
      </x:c>
      <x:c r="I142" s="208" t="n">
        <x:f>G142/G141-1</x:f>
        <x:v>0.016142880265330506</x:v>
      </x:c>
      <x:c r="J142" s="208" t="n">
        <x:f>'Beta HC3'!$E$13+'Beta HC3'!$E$12*I142</x:f>
        <x:v>0.01821526118642219</x:v>
      </x:c>
      <x:c r="K142" s="240" t="n">
        <x:f>H142-J142</x:f>
        <x:v>-0.001175647370094398</x:v>
      </x:c>
      <x:c r="L142" s="240" t="n">
        <x:f>I142-'Beta HC3'!$E$9</x:f>
        <x:v>0.015578932647670067</x:v>
      </x:c>
      <x:c r="M142" s="240" t="n">
        <x:f>1/'Beta HC3'!$E$8+L142^2/'Beta HC3'!$E$11</x:f>
        <x:v>0.0024565248516286637</x:v>
      </x:c>
      <x:c r="N142" s="240" t="n">
        <x:f>K142^2/(1-M142)^2</x:f>
        <x:v>0.0000013889623983956274</x:v>
      </x:c>
      <x:c r="O142" s="240" t="n">
        <x:f>N142*L142^2/'Beta HC3'!$E$11^2</x:f>
        <x:v>1.576451489098775e-8</x:v>
      </x:c>
      <x:c r="P142" s="240" t="n">
        <x:f>N142*(1/'Beta HC3'!$E$8-'Beta HC3'!$E$9*L142/'Beta HC3'!$E$11)^2</x:f>
        <x:v>7.538931598616595e-13</x:v>
      </x:c>
      <x:c r="Q142" s="240" t="n">
        <x:f>N142*(1/'Beta HC3'!$E$8-'Beta HC3'!$E$9*L142/'Beta HC3'!$E$11)*L142/'Beta HC3'!$E$11</x:f>
        <x:v>1.090172460891071e-10</x:v>
      </x:c>
      <x:c r="R142" s="240" t="n">
        <x:f>K142*L142/'Beta HC3'!$E$11</x:f>
        <x:v>-0.00012524838592561528</x:v>
      </x:c>
      <x:c r="S142" s="240" t="n">
        <x:f>(K142-K141)^2</x:f>
        <x:v>0.000010040614934927625</x:v>
      </x:c>
      <x:c r="T142" s="280" t="n">
        <x:f>E142/$E$9*100</x:f>
        <x:v>97.13851991427596</x:v>
      </x:c>
    </x:row>
    <x:row r="143" ht="24" customHeight="1">
      <x:c r="C143" s="274" t="d">
        <x:v>2022-04-20T00:00:00.000Z</x:v>
      </x:c>
      <x:c r="D143" s="191" t="n">
        <x:v>286.3599853515625</x:v>
      </x:c>
      <x:c r="E143" s="191" t="n">
        <x:v>275.8995361328125</x:v>
      </x:c>
      <x:c r="F143" s="191" t="n">
        <x:v>444.7099914550781</x:v>
      </x:c>
      <x:c r="G143" s="191" t="n">
        <x:v>418.69635009765625</x:v>
      </x:c>
      <x:c r="H143" s="208" t="n">
        <x:f>E143/E142-1</x:f>
        <x:v>0.003715245072504203</x:v>
      </x:c>
      <x:c r="I143" s="208" t="n">
        <x:f>G143/G142-1</x:f>
        <x:v>-0.0007414409095629626</x:v>
      </x:c>
      <x:c r="J143" s="208" t="n">
        <x:f>'Beta HC3'!$E$13+'Beta HC3'!$E$12*I143</x:f>
        <x:v>-0.0008270743571128288</x:v>
      </x:c>
      <x:c r="K143" s="240" t="n">
        <x:f>H143-J143</x:f>
        <x:v>0.004542319429617032</x:v>
      </x:c>
      <x:c r="L143" s="240" t="n">
        <x:f>I143-'Beta HC3'!$E$9</x:f>
        <x:v>-0.0013053885272234019</x:v>
      </x:c>
      <x:c r="M143" s="240" t="n">
        <x:f>1/'Beta HC3'!$E$8+L143^2/'Beta HC3'!$E$11</x:f>
        <x:v>0.0008084657274812089</x:v>
      </x:c>
      <x:c r="N143" s="240" t="n">
        <x:f>K143^2/(1-M143)^2</x:f>
        <x:v>0.000020666067908237768</x:v>
      </x:c>
      <x:c r="O143" s="240" t="n">
        <x:f>N143*L143^2/'Beta HC3'!$E$11^2</x:f>
        <x:v>1.6468428472690402e-9</x:v>
      </x:c>
      <x:c r="P143" s="240" t="n">
        <x:f>N143*(1/'Beta HC3'!$E$8-'Beta HC3'!$E$9*L143/'Beta HC3'!$E$11)^2</x:f>
        <x:v>1.3287426730704432e-11</x:v>
      </x:c>
      <x:c r="Q143" s="240" t="n">
        <x:f>N143*(1/'Beta HC3'!$E$8-'Beta HC3'!$E$9*L143/'Beta HC3'!$E$11)*L143/'Beta HC3'!$E$11</x:f>
        <x:v>-1.4792668342821737e-10</x:v>
      </x:c>
      <x:c r="R143" s="240" t="n">
        <x:f>K143*L143/'Beta HC3'!$E$11</x:f>
        <x:v>-0.00004054850295229303</x:v>
      </x:c>
      <x:c r="S143" s="240" t="n">
        <x:f>(K143-K142)^2</x:f>
        <x:v>0.000032695144322602166</x:v>
      </x:c>
      <x:c r="T143" s="280" t="n">
        <x:f>E143/$E$9*100</x:f>
        <x:v>97.4994133217378</x:v>
      </x:c>
    </x:row>
    <x:row r="144" ht="24" customHeight="1">
      <x:c r="C144" s="274" t="d">
        <x:v>2022-04-21T00:00:00.000Z</x:v>
      </x:c>
      <x:c r="D144" s="191" t="n">
        <x:v>280.80999755859375</x:v>
      </x:c>
      <x:c r="E144" s="191" t="n">
        <x:v>270.5523681640625</x:v>
      </x:c>
      <x:c r="F144" s="191" t="n">
        <x:v>438.05999755859375</x:v>
      </x:c>
      <x:c r="G144" s="191" t="n">
        <x:v>412.4353942871094</x:v>
      </x:c>
      <x:c r="H144" s="208" t="n">
        <x:f>E144/E143-1</x:f>
        <x:v>-0.019380851608884142</x:v>
      </x:c>
      <x:c r="I144" s="208" t="n">
        <x:f>G144/G143-1</x:f>
        <x:v>-0.014953452087859365</x:v>
      </x:c>
      <x:c r="J144" s="208" t="n">
        <x:f>'Beta HC3'!$E$13+'Beta HC3'!$E$12*I144</x:f>
        <x:v>-0.01685554732930492</x:v>
      </x:c>
      <x:c r="K144" s="240" t="n">
        <x:f>H144-J144</x:f>
        <x:v>-0.0025253042795792234</x:v>
      </x:c>
      <x:c r="L144" s="240" t="n">
        <x:f>I144-'Beta HC3'!$E$9</x:f>
        <x:v>-0.015517399705519803</x:v>
      </x:c>
      <x:c r="M144" s="240" t="n">
        <x:f>1/'Beta HC3'!$E$8+L144^2/'Beta HC3'!$E$11</x:f>
        <x:v>0.0024434398370219456</x:v>
      </x:c>
      <x:c r="N144" s="240" t="n">
        <x:f>K144^2/(1-M144)^2</x:f>
        <x:v>0.00000640844072222571</x:v>
      </x:c>
      <x:c r="O144" s="240" t="n">
        <x:f>N144*L144^2/'Beta HC3'!$E$11^2</x:f>
        <x:v>7.216140632674272e-8</x:v>
      </x:c>
      <x:c r="P144" s="240" t="n">
        <x:f>N144*(1/'Beta HC3'!$E$8-'Beta HC3'!$E$9*L144/'Beta HC3'!$E$11)^2</x:f>
        <x:v>4.702894962138179e-12</x:v>
      </x:c>
      <x:c r="Q144" s="240" t="n">
        <x:f>N144*(1/'Beta HC3'!$E$8-'Beta HC3'!$E$9*L144/'Beta HC3'!$E$11)*L144/'Beta HC3'!$E$11</x:f>
        <x:v>-5.825525849868357e-10</x:v>
      </x:c>
      <x:c r="R144" s="240" t="n">
        <x:f>K144*L144/'Beta HC3'!$E$11</x:f>
        <x:v>0.0002679723736679721</x:v>
      </x:c>
      <x:c r="S144" s="240" t="n">
        <x:f>(K144-K143)^2</x:f>
        <x:v>0.00004995130489479303</x:v>
      </x:c>
      <x:c r="T144" s="280" t="n">
        <x:f>E144/$E$9*100</x:f>
        <x:v>95.60979166019595</x:v>
      </x:c>
    </x:row>
    <x:row r="145" ht="24" customHeight="1">
      <x:c r="C145" s="274" t="d">
        <x:v>2022-04-22T00:00:00.000Z</x:v>
      </x:c>
      <x:c r="D145" s="191" t="n">
        <x:v>274.0299987792969</x:v>
      </x:c>
      <x:c r="E145" s="191" t="n">
        <x:v>264.01995849609375</x:v>
      </x:c>
      <x:c r="F145" s="191" t="n">
        <x:v>426.0400085449219</x:v>
      </x:c>
      <x:c r="G145" s="191" t="n">
        <x:v>401.11846923828125</x:v>
      </x:c>
      <x:c r="H145" s="208" t="n">
        <x:f>E145/E144-1</x:f>
        <x:v>-0.024144714431061698</x:v>
      </x:c>
      <x:c r="I145" s="208" t="n">
        <x:f>G145/G144-1</x:f>
        <x:v>-0.027439267350924945</x:v>
      </x:c>
      <x:c r="J145" s="208" t="n">
        <x:f>'Beta HC3'!$E$13+'Beta HC3'!$E$12*I145</x:f>
        <x:v>-0.030937196292926097</x:v>
      </x:c>
      <x:c r="K145" s="240" t="n">
        <x:f>H145-J145</x:f>
        <x:v>0.006792481861864399</x:v>
      </x:c>
      <x:c r="L145" s="240" t="n">
        <x:f>I145-'Beta HC3'!$E$9</x:f>
        <x:v>-0.028003214968585384</x:v>
      </x:c>
      <x:c r="M145" s="240" t="n">
        <x:f>1/'Beta HC3'!$E$8+L145^2/'Beta HC3'!$E$11</x:f>
        <x:v>0.006159384919152347</x:v>
      </x:c>
      <x:c r="N145" s="240" t="n">
        <x:f>K145^2/(1-M145)^2</x:f>
        <x:v>0.00004671146549537143</x:v>
      </x:c>
      <x:c r="O145" s="240" t="n">
        <x:f>N145*L145^2/'Beta HC3'!$E$11^2</x:f>
        <x:v>0.000001712986752001193</x:v>
      </x:c>
      <x:c r="P145" s="240" t="n">
        <x:f>N145*(1/'Beta HC3'!$E$8-'Beta HC3'!$E$9*L145/'Beta HC3'!$E$11)^2</x:f>
        <x:v>3.824161321053229e-11</x:v>
      </x:c>
      <x:c r="Q145" s="240" t="n">
        <x:f>N145*(1/'Beta HC3'!$E$8-'Beta HC3'!$E$9*L145/'Beta HC3'!$E$11)*L145/'Beta HC3'!$E$11</x:f>
        <x:v>-8.0936627558106e-9</x:v>
      </x:c>
      <x:c r="R145" s="240" t="n">
        <x:f>K145*L145/'Beta HC3'!$E$11</x:f>
        <x:v>-0.0013007497260416033</x:v>
      </x:c>
      <x:c r="S145" s="240" t="n">
        <x:f>(K145-K144)^2</x:f>
        <x:v>0.00008682113857767882</x:v>
      </x:c>
      <x:c r="T145" s="280" t="n">
        <x:f>E145/$E$9*100</x:f>
        <x:v>93.30132054374721</x:v>
      </x:c>
    </x:row>
    <x:row r="146" ht="24" customHeight="1">
      <x:c r="C146" s="274" t="d">
        <x:v>2022-04-25T00:00:00.000Z</x:v>
      </x:c>
      <x:c r="D146" s="191" t="n">
        <x:v>280.7200012207031</x:v>
      </x:c>
      <x:c r="E146" s="191" t="n">
        <x:v>270.4656677246094</x:v>
      </x:c>
      <x:c r="F146" s="191" t="n">
        <x:v>428.510009765625</x:v>
      </x:c>
      <x:c r="G146" s="191" t="n">
        <x:v>403.4439697265625</x:v>
      </x:c>
      <x:c r="H146" s="208" t="n">
        <x:f>E146/E145-1</x:f>
        <x:v>0.02441371957344285</x:v>
      </x:c>
      <x:c r="I146" s="208" t="n">
        <x:f>G146/G145-1</x:f>
        <x:v>0.005797540294510295</x:v>
      </x:c>
      <x:c r="J146" s="208" t="n">
        <x:f>'Beta HC3'!$E$13+'Beta HC3'!$E$12*I146</x:f>
        <x:v>0.006547665373968912</x:v>
      </x:c>
      <x:c r="K146" s="240" t="n">
        <x:f>H146-J146</x:f>
        <x:v>0.017866054199473937</x:v>
      </x:c>
      <x:c r="L146" s="240" t="n">
        <x:f>I146-'Beta HC3'!$E$9</x:f>
        <x:v>0.005233592676849855</x:v>
      </x:c>
      <x:c r="M146" s="240" t="n">
        <x:f>1/'Beta HC3'!$E$8+L146^2/'Beta HC3'!$E$11</x:f>
        <x:v>0.0009841211254918883</x:v>
      </x:c>
      <x:c r="N146" s="240" t="n">
        <x:f>K146^2/(1-M146)^2</x:f>
        <x:v>0.00031982507613752633</x:v>
      </x:c>
      <x:c r="O146" s="240" t="n">
        <x:f>N146*L146^2/'Beta HC3'!$E$11^2</x:f>
        <x:v>4.0966331306975907e-7</x:v>
      </x:c>
      <x:c r="P146" s="240" t="n">
        <x:f>N146*(1/'Beta HC3'!$E$8-'Beta HC3'!$E$9*L146/'Beta HC3'!$E$11)^2</x:f>
        <x:v>1.9290346105650742e-10</x:v>
      </x:c>
      <x:c r="Q146" s="240" t="n">
        <x:f>N146*(1/'Beta HC3'!$E$8-'Beta HC3'!$E$9*L146/'Beta HC3'!$E$11)*L146/'Beta HC3'!$E$11</x:f>
        <x:v>8.889627155231658e-9</x:v>
      </x:c>
      <x:c r="R146" s="240" t="n">
        <x:f>K146*L146/'Beta HC3'!$E$11</x:f>
        <x:v>0.0006394195752281264</x:v>
      </x:c>
      <x:c r="S146" s="240" t="n">
        <x:f>(K146-K145)^2</x:f>
        <x:v>0.00012262400431627116</x:v>
      </x:c>
      <x:c r="T146" s="280" t="n">
        <x:f>E146/$E$9*100</x:f>
        <x:v>95.57915281933415</x:v>
      </x:c>
    </x:row>
    <x:row r="147" ht="24" customHeight="1">
      <x:c r="C147" s="274" t="d">
        <x:v>2022-04-26T00:00:00.000Z</x:v>
      </x:c>
      <x:c r="D147" s="191" t="n">
        <x:v>270.2200012207031</x:v>
      </x:c>
      <x:c r="E147" s="191" t="n">
        <x:v>260.3492431640625</x:v>
      </x:c>
      <x:c r="F147" s="191" t="n">
        <x:v>416.1000061035156</x:v>
      </x:c>
      <x:c r="G147" s="191" t="n">
        <x:v>391.7598876953125</x:v>
      </x:c>
      <x:c r="H147" s="208" t="n">
        <x:f>E147/E146-1</x:f>
        <x:v>-0.03740372907827805</x:v>
      </x:c>
      <x:c r="I147" s="208" t="n">
        <x:f>G147/G146-1</x:f>
        <x:v>-0.028960854314340034</x:v>
      </x:c>
      <x:c r="J147" s="208" t="n">
        <x:f>'Beta HC3'!$E$13+'Beta HC3'!$E$12*I147</x:f>
        <x:v>-0.032653259924735174</x:v>
      </x:c>
      <x:c r="K147" s="240" t="n">
        <x:f>H147-J147</x:f>
        <x:v>-0.004750469153542873</x:v>
      </x:c>
      <x:c r="L147" s="240" t="n">
        <x:f>I147-'Beta HC3'!$E$9</x:f>
        <x:v>-0.029524801932000473</x:v>
      </x:c>
      <x:c r="M147" s="240" t="n">
        <x:f>1/'Beta HC3'!$E$8+L147^2/'Beta HC3'!$E$11</x:f>
        <x:v>0.006757980551135899</x:v>
      </x:c>
      <x:c r="N147" s="240" t="n">
        <x:f>K147^2/(1-M147)^2</x:f>
        <x:v>0.000022875091310821792</x:v>
      </x:c>
      <x:c r="O147" s="240" t="n">
        <x:f>N147*L147^2/'Beta HC3'!$E$11^2</x:f>
        <x:v>9.325058065758389e-7</x:v>
      </x:c>
      <x:c r="P147" s="240" t="n">
        <x:f>N147*(1/'Beta HC3'!$E$8-'Beta HC3'!$E$9*L147/'Beta HC3'!$E$11)^2</x:f>
        <x:v>1.897101223712405e-11</x:v>
      </x:c>
      <x:c r="Q147" s="240" t="n">
        <x:f>N147*(1/'Beta HC3'!$E$8-'Beta HC3'!$E$9*L147/'Beta HC3'!$E$11)*L147/'Beta HC3'!$E$11</x:f>
        <x:v>-4.206017007542822e-9</x:v>
      </x:c>
      <x:c r="R147" s="240" t="n">
        <x:f>K147*L147/'Beta HC3'!$E$11</x:f>
        <x:v>0.0009591374678259154</x:v>
      </x:c>
      <x:c r="S147" s="240" t="n">
        <x:f>(K147-K146)^2</x:f>
        <x:v>0.0005115071285775548</x:v>
      </x:c>
      <x:c r="T147" s="280" t="n">
        <x:f>E147/$E$9*100</x:f>
        <x:v>92.00413608174844</x:v>
      </x:c>
    </x:row>
    <x:row r="148" ht="24" customHeight="1">
      <x:c r="C148" s="274" t="d">
        <x:v>2022-04-27T00:00:00.000Z</x:v>
      </x:c>
      <x:c r="D148" s="191" t="n">
        <x:v>283.2200012207031</x:v>
      </x:c>
      <x:c r="E148" s="191" t="n">
        <x:v>272.8743591308594</x:v>
      </x:c>
      <x:c r="F148" s="191" t="n">
        <x:v>417.2699890136719</x:v>
      </x:c>
      <x:c r="G148" s="191" t="n">
        <x:v>392.8614807128906</x:v>
      </x:c>
      <x:c r="H148" s="208" t="n">
        <x:f>E148/E147-1</x:f>
        <x:v>0.04810890100765142</x:v>
      </x:c>
      <x:c r="I148" s="208" t="n">
        <x:f>G148/G147-1</x:f>
        <x:v>0.0028119086516456004</x:v>
      </x:c>
      <x:c r="J148" s="208" t="n">
        <x:f>'Beta HC3'!$E$13+'Beta HC3'!$E$12*I148</x:f>
        <x:v>0.0031804349734145384</x:v>
      </x:c>
      <x:c r="K148" s="240" t="n">
        <x:f>H148-J148</x:f>
        <x:v>0.04492846603423688</x:v>
      </x:c>
      <x:c r="L148" s="240" t="n">
        <x:f>I148-'Beta HC3'!$E$9</x:f>
        <x:v>0.002247961033985161</x:v>
      </x:c>
      <x:c r="M148" s="240" t="n">
        <x:f>1/'Beta HC3'!$E$8+L148^2/'Beta HC3'!$E$11</x:f>
        <x:v>0.000831369660384207</x:v>
      </x:c>
      <x:c r="N148" s="240" t="n">
        <x:f>K148^2/(1-M148)^2</x:f>
        <x:v>0.0020219276012090085</x:v>
      </x:c>
      <x:c r="O148" s="240" t="n">
        <x:f>N148*L148^2/'Beta HC3'!$E$11^2</x:f>
        <x:v>4.778129119336347e-7</x:v>
      </x:c>
      <x:c r="P148" s="240" t="n">
        <x:f>N148*(1/'Beta HC3'!$E$8-'Beta HC3'!$E$9*L148/'Beta HC3'!$E$11)^2</x:f>
        <x:v>1.255960906913524e-9</x:v>
      </x:c>
      <x:c r="Q148" s="240" t="n">
        <x:f>N148*(1/'Beta HC3'!$E$8-'Beta HC3'!$E$9*L148/'Beta HC3'!$E$11)*L148/'Beta HC3'!$E$11</x:f>
        <x:v>2.4497231235532713e-8</x:v>
      </x:c>
      <x:c r="R148" s="240" t="n">
        <x:f>K148*L148/'Beta HC3'!$E$11</x:f>
        <x:v>0.0006906654500332095</x:v>
      </x:c>
      <x:c r="S148" s="240" t="n">
        <x:f>(K148-K147)^2</x:f>
        <x:v>0.002467996601391621</x:v>
      </x:c>
      <x:c r="T148" s="280" t="n">
        <x:f>E148/$E$9*100</x:f>
        <x:v>96.43035395679978</x:v>
      </x:c>
    </x:row>
    <x:row r="149" ht="24" customHeight="1">
      <x:c r="C149" s="274" t="d">
        <x:v>2022-04-28T00:00:00.000Z</x:v>
      </x:c>
      <x:c r="D149" s="191" t="n">
        <x:v>289.6300048828125</x:v>
      </x:c>
      <x:c r="E149" s="191" t="n">
        <x:v>279.0502014160156</x:v>
      </x:c>
      <x:c r="F149" s="191" t="n">
        <x:v>427.80999755859375</x:v>
      </x:c>
      <x:c r="G149" s="191" t="n">
        <x:v>402.7848815917969</x:v>
      </x:c>
      <x:c r="H149" s="208" t="n">
        <x:f>E149/E148-1</x:f>
        <x:v>0.022632548931409646</x:v>
      </x:c>
      <x:c r="I149" s="208" t="n">
        <x:f>G149/G148-1</x:f>
        <x:v>0.025259286965215066</x:v>
      </x:c>
      <x:c r="J149" s="208" t="n">
        <x:f>'Beta HC3'!$E$13+'Beta HC3'!$E$12*I149</x:f>
        <x:v>0.028496851635475457</x:v>
      </x:c>
      <x:c r="K149" s="240" t="n">
        <x:f>H149-J149</x:f>
        <x:v>-0.005864302704065811</x:v>
      </x:c>
      <x:c r="L149" s="240" t="n">
        <x:f>I149-'Beta HC3'!$E$9</x:f>
        <x:v>0.024695339347554628</x:v>
      </x:c>
      <x:c r="M149" s="240" t="n">
        <x:f>1/'Beta HC3'!$E$8+L149^2/'Beta HC3'!$E$11</x:f>
        <x:v>0.004967305379237907</x:v>
      </x:c>
      <x:c r="N149" s="240" t="n">
        <x:f>K149^2/(1-M149)^2</x:f>
        <x:v>0.000034734260525813863</x:v>
      </x:c>
      <x:c r="O149" s="240" t="n">
        <x:f>N149*L149^2/'Beta HC3'!$E$11^2</x:f>
        <x:v>9.906101576538088e-7</x:v>
      </x:c>
      <x:c r="P149" s="240" t="n">
        <x:f>N149*(1/'Beta HC3'!$E$8-'Beta HC3'!$E$9*L149/'Beta HC3'!$E$11)^2</x:f>
        <x:v>1.709644144601781e-11</x:v>
      </x:c>
      <x:c r="Q149" s="240" t="n">
        <x:f>N149*(1/'Beta HC3'!$E$8-'Beta HC3'!$E$9*L149/'Beta HC3'!$E$11)*L149/'Beta HC3'!$E$11</x:f>
        <x:v>4.115326057089379e-9</x:v>
      </x:c>
      <x:c r="R149" s="240" t="n">
        <x:f>K149*L149/'Beta HC3'!$E$11</x:f>
        <x:v>-0.0009903500763673086</x:v>
      </x:c>
      <x:c r="S149" s="240" t="n">
        <x:f>(K149-K148)^2</x:f>
        <x:v>0.0025799053561026985</x:v>
      </x:c>
      <x:c r="T149" s="280" t="n">
        <x:f>E149/$E$9*100</x:f>
        <x:v>98.61281866120021</x:v>
      </x:c>
    </x:row>
    <x:row r="150" ht="24" customHeight="1">
      <x:c r="C150" s="274" t="d">
        <x:v>2022-04-29T00:00:00.000Z</x:v>
      </x:c>
      <x:c r="D150" s="191" t="n">
        <x:v>277.5199890136719</x:v>
      </x:c>
      <x:c r="E150" s="191" t="n">
        <x:v>267.3825378417969</x:v>
      </x:c>
      <x:c r="F150" s="191" t="n">
        <x:v>412</x:v>
      </x:c>
      <x:c r="G150" s="191" t="n">
        <x:v>387.8997497558594</x:v>
      </x:c>
      <x:c r="H150" s="208" t="n">
        <x:f>E150/E149-1</x:f>
        <x:v>-0.04181205931768628</x:v>
      </x:c>
      <x:c r="I150" s="208" t="n">
        <x:f>G150/G149-1</x:f>
        <x:v>-0.03695553759890835</x:v>
      </x:c>
      <x:c r="J150" s="208" t="n">
        <x:f>'Beta HC3'!$E$13+'Beta HC3'!$E$12*I150</x:f>
        <x:v>-0.041669757543568296</x:v>
      </x:c>
      <x:c r="K150" s="240" t="n">
        <x:f>H150-J150</x:f>
        <x:v>-0.00014230177411798245</x:v>
      </x:c>
      <x:c r="L150" s="240" t="n">
        <x:f>I150-'Beta HC3'!$E$9</x:f>
        <x:v>-0.03751948521656879</x:v>
      </x:c>
      <x:c r="M150" s="240" t="n">
        <x:f>1/'Beta HC3'!$E$8+L150^2/'Beta HC3'!$E$11</x:f>
        <x:v>0.010423372338229217</x:v>
      </x:c>
      <x:c r="N150" s="240" t="n">
        <x:f>K150^2/(1-M150)^2</x:f>
        <x:v>2.0678630380156093e-8</x:v>
      </x:c>
      <x:c r="O150" s="240" t="n">
        <x:f>N150*L150^2/'Beta HC3'!$E$11^2</x:f>
        <x:v>1.3612886872197582e-9</x:v>
      </x:c>
      <x:c r="P150" s="240" t="n">
        <x:f>N150*(1/'Beta HC3'!$E$8-'Beta HC3'!$E$9*L150/'Beta HC3'!$E$11)^2</x:f>
        <x:v>1.8330292984271556e-14</x:v>
      </x:c>
      <x:c r="Q150" s="240" t="n">
        <x:f>N150*(1/'Beta HC3'!$E$8-'Beta HC3'!$E$9*L150/'Beta HC3'!$E$11)*L150/'Beta HC3'!$E$11</x:f>
        <x:v>-4.995279819280655e-12</x:v>
      </x:c>
      <x:c r="R150" s="240" t="n">
        <x:f>K150*L150/'Beta HC3'!$E$11</x:f>
        <x:v>0.000036511068856410716</x:v>
      </x:c>
      <x:c r="S150" s="240" t="n">
        <x:f>(K150-K149)^2</x:f>
        <x:v>0.000032741294642323815</x:v>
      </x:c>
      <x:c r="T150" s="280" t="n">
        <x:f>E150/$E$9*100</x:f>
        <x:v>94.48961363785386</x:v>
      </x:c>
    </x:row>
    <x:row r="151" ht="24" customHeight="1">
      <x:c r="C151" s="274" t="d">
        <x:v>2022-05-02T00:00:00.000Z</x:v>
      </x:c>
      <x:c r="D151" s="191" t="n">
        <x:v>284.4700012207031</x:v>
      </x:c>
      <x:c r="E151" s="191" t="n">
        <x:v>274.07861328125</x:v>
      </x:c>
      <x:c r="F151" s="191" t="n">
        <x:v>414.4800109863281</x:v>
      </x:c>
      <x:c r="G151" s="191" t="n">
        <x:v>390.2347412109375</x:v>
      </x:c>
      <x:c r="H151" s="208" t="n">
        <x:f>E151/E150-1</x:f>
        <x:v>0.025043054395029296</x:v>
      </x:c>
      <x:c r="I151" s="208" t="n">
        <x:f>G151/G150-1</x:f>
        <x:v>0.0060195745332338735</x:v>
      </x:c>
      <x:c r="J151" s="208" t="n">
        <x:f>'Beta HC3'!$E$13+'Beta HC3'!$E$12*I151</x:f>
        <x:v>0.006798078193775653</x:v>
      </x:c>
      <x:c r="K151" s="240" t="n">
        <x:f>H151-J151</x:f>
        <x:v>0.018244976201253642</x:v>
      </x:c>
      <x:c r="L151" s="240" t="n">
        <x:f>I151-'Beta HC3'!$E$9</x:f>
        <x:v>0.005455626915573434</x:v>
      </x:c>
      <x:c r="M151" s="240" t="n">
        <x:f>1/'Beta HC3'!$E$8+L151^2/'Beta HC3'!$E$11</x:f>
        <x:v>0.001000351304517577</x:v>
      </x:c>
      <x:c r="N151" s="240" t="n">
        <x:f>K151^2/(1-M151)^2</x:f>
        <x:v>0.0003335461494552173</x:v>
      </x:c>
      <x:c r="O151" s="240" t="n">
        <x:f>N151*L151^2/'Beta HC3'!$E$11^2</x:f>
        <x:v>4.64258625070289e-7</x:v>
      </x:c>
      <x:c r="P151" s="240" t="n">
        <x:f>N151*(1/'Beta HC3'!$E$8-'Beta HC3'!$E$9*L151/'Beta HC3'!$E$11)^2</x:f>
        <x:v>2.0073598770837324e-10</x:v>
      </x:c>
      <x:c r="Q151" s="240" t="n">
        <x:f>N151*(1/'Beta HC3'!$E$8-'Beta HC3'!$E$9*L151/'Beta HC3'!$E$11)*L151/'Beta HC3'!$E$11</x:f>
        <x:v>9.653673583440441e-9</x:v>
      </x:c>
      <x:c r="R151" s="240" t="n">
        <x:f>K151*L151/'Beta HC3'!$E$11</x:f>
        <x:v>0.0006806836608974234</x:v>
      </x:c>
      <x:c r="S151" s="240" t="n">
        <x:f>(K151-K150)^2</x:f>
        <x:v>0.00033809199134358643</x:v>
      </x:c>
      <x:c r="T151" s="280" t="n">
        <x:f>E151/$E$9*100</x:f>
        <x:v>96.85592217195195</x:v>
      </x:c>
    </x:row>
    <x:row r="152" ht="24" customHeight="1">
      <x:c r="C152" s="274" t="d">
        <x:v>2022-05-03T00:00:00.000Z</x:v>
      </x:c>
      <x:c r="D152" s="191" t="n">
        <x:v>281.7799987792969</x:v>
      </x:c>
      <x:c r="E152" s="191" t="n">
        <x:v>271.4869384765625</x:v>
      </x:c>
      <x:c r="F152" s="191" t="n">
        <x:v>416.3800048828125</x:v>
      </x:c>
      <x:c r="G152" s="191" t="n">
        <x:v>392.0235900878906</x:v>
      </x:c>
      <x:c r="H152" s="208" t="n">
        <x:f>E152/E151-1</x:f>
        <x:v>-0.009455954164610425</x:v>
      </x:c>
      <x:c r="I152" s="208" t="n">
        <x:f>G152/G151-1</x:f>
        <x:v>0.00458403286032949</x:v>
      </x:c>
      <x:c r="J152" s="208" t="n">
        <x:f>'Beta HC3'!$E$13+'Beta HC3'!$E$12*I152</x:f>
        <x:v>0.005179057450269491</x:v>
      </x:c>
      <x:c r="K152" s="240" t="n">
        <x:f>H152-J152</x:f>
        <x:v>-0.014635011614879916</x:v>
      </x:c>
      <x:c r="L152" s="240" t="n">
        <x:f>I152-'Beta HC3'!$E$9</x:f>
        <x:v>0.00402008524266905</x:v>
      </x:c>
      <x:c r="M152" s="240" t="n">
        <x:f>1/'Beta HC3'!$E$8+L152^2/'Beta HC3'!$E$11</x:f>
        <x:v>0.0009073294431474212</x:v>
      </x:c>
      <x:c r="N152" s="240" t="n">
        <x:f>K152^2/(1-M152)^2</x:f>
        <x:v>0.0002145727646955573</x:v>
      </x:c>
      <x:c r="O152" s="240" t="n">
        <x:f>N152*L152^2/'Beta HC3'!$E$11^2</x:f>
        <x:v>1.621660147073662e-7</x:v>
      </x:c>
      <x:c r="P152" s="240" t="n">
        <x:f>N152*(1/'Beta HC3'!$E$8-'Beta HC3'!$E$9*L152/'Beta HC3'!$E$11)^2</x:f>
        <x:v>1.3098466778073606e-10</x:v>
      </x:c>
      <x:c r="Q152" s="240" t="n">
        <x:f>N152*(1/'Beta HC3'!$E$8-'Beta HC3'!$E$9*L152/'Beta HC3'!$E$11)*L152/'Beta HC3'!$E$11</x:f>
        <x:v>4.6088243144830685e-9</x:v>
      </x:c>
      <x:c r="R152" s="240" t="n">
        <x:f>K152*L152/'Beta HC3'!$E$11</x:f>
        <x:v>-0.0004023330364391693</x:v>
      </x:c>
      <x:c r="S152" s="240" t="n">
        <x:f>(K152-K151)^2</x:f>
        <x:v>0.001081093598789091</x:v>
      </x:c>
      <x:c r="T152" s="280" t="n">
        <x:f>E152/$E$9*100</x:f>
        <x:v>95.94005701132289</x:v>
      </x:c>
    </x:row>
    <x:row r="153" ht="24" customHeight="1">
      <x:c r="C153" s="274" t="d">
        <x:v>2022-05-04T00:00:00.000Z</x:v>
      </x:c>
      <x:c r="D153" s="191" t="n">
        <x:v>289.9800109863281</x:v>
      </x:c>
      <x:c r="E153" s="191" t="n">
        <x:v>279.38739013671875</x:v>
      </x:c>
      <x:c r="F153" s="191" t="n">
        <x:v>429.05999755859375</x:v>
      </x:c>
      <x:c r="G153" s="191" t="n">
        <x:v>403.9617919921875</x:v>
      </x:c>
      <x:c r="H153" s="208" t="n">
        <x:f>E153/E152-1</x:f>
        <x:v>0.02910066946310308</x:v>
      </x:c>
      <x:c r="I153" s="208" t="n">
        <x:f>G153/G152-1</x:f>
        <x:v>0.030452764083968464</x:v>
      </x:c>
      <x:c r="J153" s="208" t="n">
        <x:f>'Beta HC3'!$E$13+'Beta HC3'!$E$12*I153</x:f>
        <x:v>0.034354116070839866</x:v>
      </x:c>
      <x:c r="K153" s="240" t="n">
        <x:f>H153-J153</x:f>
        <x:v>-0.005253446607736786</x:v>
      </x:c>
      <x:c r="L153" s="240" t="n">
        <x:f>I153-'Beta HC3'!$E$9</x:f>
        <x:v>0.029888816466308026</x:v>
      </x:c>
      <x:c r="M153" s="240" t="n">
        <x:f>1/'Beta HC3'!$E$8+L153^2/'Beta HC3'!$E$11</x:f>
        <x:v>0.006905878478669204</x:v>
      </x:c>
      <x:c r="N153" s="240" t="n">
        <x:f>K153^2/(1-M153)^2</x:f>
        <x:v>0.00002798387313145509</x:v>
      </x:c>
      <x:c r="O153" s="240" t="n">
        <x:f>N153*L153^2/'Beta HC3'!$E$11^2</x:f>
        <x:v>0.0000011690685637920416</x:v>
      </x:c>
      <x:c r="P153" s="240" t="n">
        <x:f>N153*(1/'Beta HC3'!$E$8-'Beta HC3'!$E$9*L153/'Beta HC3'!$E$11)^2</x:f>
        <x:v>1.2998639477868646e-11</x:v>
      </x:c>
      <x:c r="Q153" s="240" t="n">
        <x:f>N153*(1/'Beta HC3'!$E$8-'Beta HC3'!$E$9*L153/'Beta HC3'!$E$11)*L153/'Beta HC3'!$E$11</x:f>
        <x:v>3.8982432948242765e-9</x:v>
      </x:c>
      <x:c r="R153" s="240" t="n">
        <x:f>K153*L153/'Beta HC3'!$E$11</x:f>
        <x:v>-0.00107376786465025</x:v>
      </x:c>
      <x:c r="S153" s="240" t="n">
        <x:f>(K153-K152)^2</x:f>
        <x:v>0.00008801376198325247</x:v>
      </x:c>
      <x:c r="T153" s="280" t="n">
        <x:f>E153/$E$9*100</x:f>
        <x:v>98.73197689868066</x:v>
      </x:c>
    </x:row>
    <x:row r="154" ht="24" customHeight="1">
      <x:c r="C154" s="274" t="d">
        <x:v>2022-05-05T00:00:00.000Z</x:v>
      </x:c>
      <x:c r="D154" s="191" t="n">
        <x:v>277.3500061035156</x:v>
      </x:c>
      <x:c r="E154" s="191" t="n">
        <x:v>267.2187194824219</x:v>
      </x:c>
      <x:c r="F154" s="191" t="n">
        <x:v>413.80999755859375</x:v>
      </x:c>
      <x:c r="G154" s="191" t="n">
        <x:v>389.6038513183594</x:v>
      </x:c>
      <x:c r="H154" s="208" t="n">
        <x:f>E154/E153-1</x:f>
        <x:v>-0.04355483133416338</x:v>
      </x:c>
      <x:c r="I154" s="208" t="n">
        <x:f>G154/G153-1</x:f>
        <x:v>-0.035542818549794464</x:v>
      </x:c>
      <x:c r="J154" s="208" t="n">
        <x:f>'Beta HC3'!$E$13+'Beta HC3'!$E$12*I154</x:f>
        <x:v>-0.040076476422976244</x:v>
      </x:c>
      <x:c r="K154" s="240" t="n">
        <x:f>H154-J154</x:f>
        <x:v>-0.0034783549111871356</x:v>
      </x:c>
      <x:c r="L154" s="240" t="n">
        <x:f>I154-'Beta HC3'!$E$9</x:f>
        <x:v>-0.0361067661674549</x:v>
      </x:c>
      <x:c r="M154" s="240" t="n">
        <x:f>1/'Beta HC3'!$E$8+L154^2/'Beta HC3'!$E$11</x:f>
        <x:v>0.009712083732085684</x:v>
      </x:c>
      <x:c r="N154" s="240" t="n">
        <x:f>K154^2/(1-M154)^2</x:f>
        <x:v>0.000012337433540224312</x:v>
      </x:c>
      <x:c r="O154" s="240" t="n">
        <x:f>N154*L154^2/'Beta HC3'!$E$11^2</x:f>
        <x:v>7.521712610378388e-7</x:v>
      </x:c>
      <x:c r="P154" s="240" t="n">
        <x:f>N154*(1/'Beta HC3'!$E$8-'Beta HC3'!$E$9*L154/'Beta HC3'!$E$11)^2</x:f>
        <x:v>1.0810147822990846e-11</x:v>
      </x:c>
      <x:c r="Q154" s="240" t="n">
        <x:f>N154*(1/'Beta HC3'!$E$8-'Beta HC3'!$E$9*L154/'Beta HC3'!$E$11)*L154/'Beta HC3'!$E$11</x:f>
        <x:v>-2.8515053077321233e-9</x:v>
      </x:c>
      <x:c r="R154" s="240" t="n">
        <x:f>K154*L154/'Beta HC3'!$E$11</x:f>
        <x:v>0.0008588549986655384</x:v>
      </x:c>
      <x:c r="S154" s="240" t="n">
        <x:f>(K154-K153)^2</x:f>
        <x:v>0.0000031509505311595173</x:v>
      </x:c>
      <x:c r="T154" s="280" t="n">
        <x:f>E154/$E$9*100</x:f>
        <x:v>94.43172229757012</x:v>
      </x:c>
    </x:row>
    <x:row r="155" ht="24" customHeight="1">
      <x:c r="C155" s="274" t="d">
        <x:v>2022-05-06T00:00:00.000Z</x:v>
      </x:c>
      <x:c r="D155" s="191" t="n">
        <x:v>274.7300109863281</x:v>
      </x:c>
      <x:c r="E155" s="191" t="n">
        <x:v>264.6944580078125</x:v>
      </x:c>
      <x:c r="F155" s="191" t="n">
        <x:v>411.3399963378906</x:v>
      </x:c>
      <x:c r="G155" s="191" t="n">
        <x:v>387.2782897949219</x:v>
      </x:c>
      <x:c r="H155" s="208" t="n">
        <x:f>E155/E154-1</x:f>
        <x:v>-0.00944642455999578</x:v>
      </x:c>
      <x:c r="I155" s="208" t="n">
        <x:f>G155/G154-1</x:f>
        <x:v>-0.005969041413651732</x:v>
      </x:c>
      <x:c r="J155" s="208" t="n">
        <x:f>'Beta HC3'!$E$13+'Beta HC3'!$E$12*I155</x:f>
        <x:v>-0.00672282354686604</x:v>
      </x:c>
      <x:c r="K155" s="240" t="n">
        <x:f>H155-J155</x:f>
        <x:v>-0.002723601013129741</x:v>
      </x:c>
      <x:c r="L155" s="240" t="n">
        <x:f>I155-'Beta HC3'!$E$9</x:f>
        <x:v>-0.006532989031312172</x:v>
      </x:c>
      <x:c r="M155" s="240" t="n">
        <x:f>1/'Beta HC3'!$E$8+L155^2/'Beta HC3'!$E$11</x:f>
        <x:v>0.0010886772122223412</x:v>
      </x:c>
      <x:c r="N155" s="240" t="n">
        <x:f>K155^2/(1-M155)^2</x:f>
        <x:v>0.0000074341805134292905</x:v>
      </x:c>
      <x:c r="O155" s="240" t="n">
        <x:f>N155*L155^2/'Beta HC3'!$E$11^2</x:f>
        <x:v>1.483787414591336e-8</x:v>
      </x:c>
      <x:c r="P155" s="240" t="n">
        <x:f>N155*(1/'Beta HC3'!$E$8-'Beta HC3'!$E$9*L155/'Beta HC3'!$E$11)^2</x:f>
        <x:v>5.023247062121952e-12</x:v>
      </x:c>
      <x:c r="Q155" s="240" t="n">
        <x:f>N155*(1/'Beta HC3'!$E$8-'Beta HC3'!$E$9*L155/'Beta HC3'!$E$11)*L155/'Beta HC3'!$E$11</x:f>
        <x:v>-2.7300972091043677e-10</x:v>
      </x:c>
      <x:c r="R155" s="240" t="n">
        <x:f>K155*L155/'Beta HC3'!$E$11</x:f>
        <x:v>0.00012167820027066885</x:v>
      </x:c>
      <x:c r="S155" s="240" t="n">
        <x:f>(K155-K154)^2</x:f>
        <x:v>5.696534466328318e-7</x:v>
      </x:c>
      <x:c r="T155" s="280" t="n">
        <x:f>E155/$E$9*100</x:f>
        <x:v>93.53968015681565</x:v>
      </x:c>
    </x:row>
    <x:row r="156" ht="24" customHeight="1">
      <x:c r="C156" s="274" t="d">
        <x:v>2022-05-09T00:00:00.000Z</x:v>
      </x:c>
      <x:c r="D156" s="191" t="n">
        <x:v>264.5799865722656</x:v>
      </x:c>
      <x:c r="E156" s="191" t="n">
        <x:v>254.91522216796875</x:v>
      </x:c>
      <x:c r="F156" s="191" t="n">
        <x:v>398.1700134277344</x:v>
      </x:c>
      <x:c r="G156" s="191" t="n">
        <x:v>374.87872314453125</x:v>
      </x:c>
      <x:c r="H156" s="208" t="n">
        <x:f>E156/E155-1</x:f>
        <x:v>-0.03694537435141587</x:v>
      </x:c>
      <x:c r="I156" s="208" t="n">
        <x:f>G156/G155-1</x:f>
        <x:v>-0.03201720049155521</x:v>
      </x:c>
      <x:c r="J156" s="208" t="n">
        <x:f>'Beta HC3'!$E$13+'Beta HC3'!$E$12*I156</x:f>
        <x:v>-0.036100243006902184</x:v>
      </x:c>
      <x:c r="K156" s="240" t="n">
        <x:f>H156-J156</x:f>
        <x:v>-0.0008451313445136874</x:v>
      </x:c>
      <x:c r="L156" s="240" t="n">
        <x:f>I156-'Beta HC3'!$E$9</x:f>
        <x:v>-0.03258114810921565</x:v>
      </x:c>
      <x:c r="M156" s="240" t="n">
        <x:f>1/'Beta HC3'!$E$8+L156^2/'Beta HC3'!$E$11</x:f>
        <x:v>0.008056035610081813</x:v>
      </x:c>
      <x:c r="N156" s="240" t="n">
        <x:f>K156^2/(1-M156)^2</x:f>
        <x:v>7.258955600299608e-7</x:v>
      </x:c>
      <x:c r="O156" s="240" t="n">
        <x:f>N156*L156^2/'Beta HC3'!$E$11^2</x:f>
        <x:v>3.60347597646715e-8</x:v>
      </x:c>
      <x:c r="P156" s="240" t="n">
        <x:f>N156*(1/'Beta HC3'!$E$8-'Beta HC3'!$E$9*L156/'Beta HC3'!$E$11)^2</x:f>
        <x:v>6.176917773695457e-13</x:v>
      </x:c>
      <x:c r="Q156" s="240" t="n">
        <x:f>N156*(1/'Beta HC3'!$E$8-'Beta HC3'!$E$9*L156/'Beta HC3'!$E$11)*L156/'Beta HC3'!$E$11</x:f>
        <x:v>-1.4919240867458548e-10</x:v>
      </x:c>
      <x:c r="R156" s="240" t="n">
        <x:f>K156*L156/'Beta HC3'!$E$11</x:f>
        <x:v>0.00018829897449107707</x:v>
      </x:c>
      <x:c r="S156" s="240" t="n">
        <x:f>(K156-K155)^2</x:f>
        <x:v>0.000003528648295910507</x:v>
      </x:c>
      <x:c r="T156" s="280" t="n">
        <x:f>E156/$E$9*100</x:f>
        <x:v>90.0838216567104</x:v>
      </x:c>
    </x:row>
    <x:row r="157" ht="24" customHeight="1">
      <x:c r="C157" s="274" t="d">
        <x:v>2022-05-10T00:00:00.000Z</x:v>
      </x:c>
      <x:c r="D157" s="191" t="n">
        <x:v>269.5</x:v>
      </x:c>
      <x:c r="E157" s="191" t="n">
        <x:v>259.6554870605469</x:v>
      </x:c>
      <x:c r="F157" s="191" t="n">
        <x:v>399.0899963378906</x:v>
      </x:c>
      <x:c r="G157" s="191" t="n">
        <x:v>375.7449035644531</x:v>
      </x:c>
      <x:c r="H157" s="208" t="n">
        <x:f>E157/E156-1</x:f>
        <x:v>0.01859545637276483</x:v>
      </x:c>
      <x:c r="I157" s="208" t="n">
        <x:f>G157/G156-1</x:f>
        <x:v>0.0023105617002112666</x:v>
      </x:c>
      <x:c r="J157" s="208" t="n">
        <x:f>'Beta HC3'!$E$13+'Beta HC3'!$E$12*I157</x:f>
        <x:v>0.0026150099987263765</x:v>
      </x:c>
      <x:c r="K157" s="240" t="n">
        <x:f>H157-J157</x:f>
        <x:v>0.015980446374038452</x:v>
      </x:c>
      <x:c r="L157" s="240" t="n">
        <x:f>I157-'Beta HC3'!$E$9</x:f>
        <x:v>0.0017466140825508274</x:v>
      </x:c>
      <x:c r="M157" s="240" t="n">
        <x:f>1/'Beta HC3'!$E$8+L157^2/'Beta HC3'!$E$11</x:f>
        <x:v>0.0008176745249268078</x:v>
      </x:c>
      <x:c r="N157" s="240" t="n">
        <x:f>K157^2/(1-M157)^2</x:f>
        <x:v>0.0002557928058145382</x:v>
      </x:c>
      <x:c r="O157" s="240" t="n">
        <x:f>N157*L157^2/'Beta HC3'!$E$11^2</x:f>
        <x:v>3.649194095465869e-8</x:v>
      </x:c>
      <x:c r="P157" s="240" t="n">
        <x:f>N157*(1/'Beta HC3'!$E$8-'Beta HC3'!$E$9*L157/'Beta HC3'!$E$11)^2</x:f>
        <x:v>1.5967136630675014e-10</x:v>
      </x:c>
      <x:c r="Q157" s="240" t="n">
        <x:f>N157*(1/'Beta HC3'!$E$8-'Beta HC3'!$E$9*L157/'Beta HC3'!$E$11)*L157/'Beta HC3'!$E$11</x:f>
        <x:v>2.413859579887696e-9</x:v>
      </x:c>
      <x:c r="R157" s="240" t="n">
        <x:f>K157*L157/'Beta HC3'!$E$11</x:f>
        <x:v>0.00019087243984372763</x:v>
      </x:c>
      <x:c r="S157" s="240" t="n">
        <x:f>(K157-K156)^2</x:f>
        <x:v>0.00028310006556303823</x:v>
      </x:c>
      <x:c r="T157" s="280" t="n">
        <x:f>E157/$E$9*100</x:f>
        <x:v>91.75897143221968</x:v>
      </x:c>
    </x:row>
    <x:row r="158" ht="24" customHeight="1">
      <x:c r="C158" s="274" t="d">
        <x:v>2022-05-11T00:00:00.000Z</x:v>
      </x:c>
      <x:c r="D158" s="191" t="n">
        <x:v>260.54998779296875</x:v>
      </x:c>
      <x:c r="E158" s="191" t="n">
        <x:v>251.03240966796875</x:v>
      </x:c>
      <x:c r="F158" s="191" t="n">
        <x:v>392.75</x:v>
      </x:c>
      <x:c r="G158" s="191" t="n">
        <x:v>369.77581787109375</x:v>
      </x:c>
      <x:c r="H158" s="208" t="n">
        <x:f>E158/E157-1</x:f>
        <x:v>-0.03320968676686342</x:v>
      </x:c>
      <x:c r="I158" s="208" t="n">
        <x:f>G158/G157-1</x:f>
        <x:v>-0.015886005736164277</x:v>
      </x:c>
      <x:c r="J158" s="208" t="n">
        <x:f>'Beta HC3'!$E$13+'Beta HC3'!$E$12*I158</x:f>
        <x:v>-0.017907292276550742</x:v>
      </x:c>
      <x:c r="K158" s="240" t="n">
        <x:f>H158-J158</x:f>
        <x:v>-0.01530239449031268</x:v>
      </x:c>
      <x:c r="L158" s="240" t="n">
        <x:f>I158-'Beta HC3'!$E$9</x:f>
        <x:v>-0.016449953353824716</x:v>
      </x:c>
      <x:c r="M158" s="240" t="n">
        <x:f>1/'Beta HC3'!$E$8+L158^2/'Beta HC3'!$E$11</x:f>
        <x:v>0.0026473025805131005</x:v>
      </x:c>
      <x:c r="N158" s="240" t="n">
        <x:f>K158^2/(1-M158)^2</x:f>
        <x:v>0.00023540801986501295</x:v>
      </x:c>
      <x:c r="O158" s="240" t="n">
        <x:f>N158*L158^2/'Beta HC3'!$E$11^2</x:f>
        <x:v>0.000002978964437290984</x:v>
      </x:c>
      <x:c r="P158" s="240" t="n">
        <x:f>N158*(1/'Beta HC3'!$E$8-'Beta HC3'!$E$9*L158/'Beta HC3'!$E$11)^2</x:f>
        <x:v>1.7420998449754893e-10</x:v>
      </x:c>
      <x:c r="Q158" s="240" t="n">
        <x:f>N158*(1/'Beta HC3'!$E$8-'Beta HC3'!$E$9*L158/'Beta HC3'!$E$11)*L158/'Beta HC3'!$E$11</x:f>
        <x:v>-2.2780810969744076e-8</x:v>
      </x:c>
      <x:c r="R158" s="240" t="n">
        <x:f>K158*L158/'Beta HC3'!$E$11</x:f>
        <x:v>0.0017213985227186607</x:v>
      </x:c>
      <x:c r="S158" s="240" t="n">
        <x:f>(K158-K157)^2</x:f>
        <x:v>0.000978616132544317</x:v>
      </x:c>
      <x:c r="T158" s="280" t="n">
        <x:f>E158/$E$9*100</x:f>
        <x:v>88.7116847329061</x:v>
      </x:c>
    </x:row>
    <x:row r="159" ht="24" customHeight="1">
      <x:c r="C159" s="274" t="d">
        <x:v>2022-05-12T00:00:00.000Z</x:v>
      </x:c>
      <x:c r="D159" s="191" t="n">
        <x:v>255.35000610351562</x:v>
      </x:c>
      <x:c r="E159" s="191" t="n">
        <x:v>246.02235412597656</x:v>
      </x:c>
      <x:c r="F159" s="191" t="n">
        <x:v>392.3399963378906</x:v>
      </x:c>
      <x:c r="G159" s="191" t="n">
        <x:v>369.3897705078125</x:v>
      </x:c>
      <x:c r="H159" s="208" t="n">
        <x:f>E159/E158-1</x:f>
        <x:v>-0.01995780365020916</x:v>
      </x:c>
      <x:c r="I159" s="208" t="n">
        <x:f>G159/G158-1</x:f>
        <x:v>-0.001044003811562999</x:v>
      </x:c>
      <x:c r="J159" s="208" t="n">
        <x:f>'Beta HC3'!$E$13+'Beta HC3'!$E$12*I159</x:f>
        <x:v>-0.0011683083482949912</x:v>
      </x:c>
      <x:c r="K159" s="240" t="n">
        <x:f>H159-J159</x:f>
        <x:v>-0.01878949530191417</x:v>
      </x:c>
      <x:c r="L159" s="240" t="n">
        <x:f>I159-'Beta HC3'!$E$9</x:f>
        <x:v>-0.0016079514292234383</x:v>
      </x:c>
      <x:c r="M159" s="240" t="n">
        <x:f>1/'Beta HC3'!$E$8+L159^2/'Beta HC3'!$E$11</x:f>
        <x:v>0.0008144936020075731</x:v>
      </x:c>
      <x:c r="N159" s="240" t="n">
        <x:f>K159^2/(1-M159)^2</x:f>
        <x:v>0.00035362094309996354</x:v>
      </x:c>
      <x:c r="O159" s="240" t="n">
        <x:f>N159*L159^2/'Beta HC3'!$E$11^2</x:f>
        <x:v>4.275614615573889e-8</x:v>
      </x:c>
      <x:c r="P159" s="240" t="n">
        <x:f>N159*(1/'Beta HC3'!$E$8-'Beta HC3'!$E$9*L159/'Beta HC3'!$E$11)^2</x:f>
        <x:v>2.280258344135656e-10</x:v>
      </x:c>
      <x:c r="Q159" s="240" t="n">
        <x:f>N159*(1/'Beta HC3'!$E$8-'Beta HC3'!$E$9*L159/'Beta HC3'!$E$11)*L159/'Beta HC3'!$E$11</x:f>
        <x:v>-3.1224198794317728e-9</x:v>
      </x:c>
      <x:c r="R159" s="240" t="n">
        <x:f>K159*L159/'Beta HC3'!$E$11</x:f>
        <x:v>0.0002066071763157761</x:v>
      </x:c>
      <x:c r="S159" s="240" t="n">
        <x:f>(K159-K158)^2</x:f>
        <x:v>0.000012159872070271776</x:v>
      </x:c>
      <x:c r="T159" s="280" t="n">
        <x:f>E159/$E$9*100</x:f>
        <x:v>86.9411943475275</x:v>
      </x:c>
    </x:row>
    <x:row r="160" ht="24" customHeight="1">
      <x:c r="C160" s="274" t="d">
        <x:v>2022-05-13T00:00:00.000Z</x:v>
      </x:c>
      <x:c r="D160" s="191" t="n">
        <x:v>261.1199951171875</x:v>
      </x:c>
      <x:c r="E160" s="191" t="n">
        <x:v>251.58160400390625</x:v>
      </x:c>
      <x:c r="F160" s="191" t="n">
        <x:v>401.7200012207031</x:v>
      </x:c>
      <x:c r="G160" s="191" t="n">
        <x:v>378.2210693359375</x:v>
      </x:c>
      <x:c r="H160" s="208" t="n">
        <x:f>E160/E159-1</x:f>
        <x:v>0.022596523383737077</x:v>
      </x:c>
      <x:c r="I160" s="208" t="n">
        <x:f>G160/G159-1</x:f>
        <x:v>0.02390780561135819</x:v>
      </x:c>
      <x:c r="J160" s="208" t="n">
        <x:f>'Beta HC3'!$E$13+'Beta HC3'!$E$12*I160</x:f>
        <x:v>0.026972635106164145</x:v>
      </x:c>
      <x:c r="K160" s="240" t="n">
        <x:f>H160-J160</x:f>
        <x:v>-0.004376111722427068</x:v>
      </x:c>
      <x:c r="L160" s="240" t="n">
        <x:f>I160-'Beta HC3'!$E$9</x:f>
        <x:v>0.02334385799369775</x:v>
      </x:c>
      <x:c r="M160" s="240" t="n">
        <x:f>1/'Beta HC3'!$E$8+L160^2/'Beta HC3'!$E$11</x:f>
        <x:v>0.0045233256295341496</x:v>
      </x:c>
      <x:c r="N160" s="240" t="n">
        <x:f>K160^2/(1-M160)^2</x:f>
        <x:v>0.00001932478298525404</x:v>
      </x:c>
      <x:c r="O160" s="240" t="n">
        <x:f>N160*L160^2/'Beta HC3'!$E$11^2</x:f>
        <x:v>4.924641421474411e-7</x:v>
      </x:c>
      <x:c r="P160" s="240" t="n">
        <x:f>N160*(1/'Beta HC3'!$E$8-'Beta HC3'!$E$9*L160/'Beta HC3'!$E$11)^2</x:f>
        <x:v>9.65364262845488e-12</x:v>
      </x:c>
      <x:c r="Q160" s="240" t="n">
        <x:f>N160*(1/'Beta HC3'!$E$8-'Beta HC3'!$E$9*L160/'Beta HC3'!$E$11)*L160/'Beta HC3'!$E$11</x:f>
        <x:v>2.180383644136967e-9</x:v>
      </x:c>
      <x:c r="R160" s="240" t="n">
        <x:f>K160*L160/'Beta HC3'!$E$11</x:f>
        <x:v>-0.0006985836147849325</x:v>
      </x:c>
      <x:c r="S160" s="240" t="n">
        <x:f>(K160-K159)^2</x:f>
        <x:v>0.00020774562620942845</x:v>
      </x:c>
      <x:c r="T160" s="280" t="n">
        <x:f>E160/$E$9*100</x:f>
        <x:v>88.90576307861143</x:v>
      </x:c>
    </x:row>
    <x:row r="161" ht="24" customHeight="1">
      <x:c r="C161" s="274" t="d">
        <x:v>2022-05-16T00:00:00.000Z</x:v>
      </x:c>
      <x:c r="D161" s="191" t="n">
        <x:v>261.5</x:v>
      </x:c>
      <x:c r="E161" s="191" t="n">
        <x:v>251.94773864746094</x:v>
      </x:c>
      <x:c r="F161" s="191" t="n">
        <x:v>400.0899963378906</x:v>
      </x:c>
      <x:c r="G161" s="191" t="n">
        <x:v>376.6864318847656</x:v>
      </x:c>
      <x:c r="H161" s="208" t="n">
        <x:f>E161/E160-1</x:f>
        <x:v>0.001455331541446947</x:v>
      </x:c>
      <x:c r="I161" s="208" t="n">
        <x:f>G161/G160-1</x:f>
        <x:v>-0.004057514442192045</x:v>
      </x:c>
      <x:c r="J161" s="208" t="n">
        <x:f>'Beta HC3'!$E$13+'Beta HC3'!$E$12*I161</x:f>
        <x:v>-0.004566980998385123</x:v>
      </x:c>
      <x:c r="K161" s="240" t="n">
        <x:f>H161-J161</x:f>
        <x:v>0.00602231253983207</x:v>
      </x:c>
      <x:c r="L161" s="240" t="n">
        <x:f>I161-'Beta HC3'!$E$9</x:f>
        <x:v>-0.004621462059852485</x:v>
      </x:c>
      <x:c r="M161" s="240" t="n">
        <x:f>1/'Beta HC3'!$E$8+L161^2/'Beta HC3'!$E$11</x:f>
        <x:v>0.0009428676536258934</x:v>
      </x:c>
      <x:c r="N161" s="240" t="n">
        <x:f>K161^2/(1-M161)^2</x:f>
        <x:v>0.00003633673749292107</x:v>
      </x:c>
      <x:c r="O161" s="240" t="n">
        <x:f>N161*L161^2/'Beta HC3'!$E$11^2</x:f>
        <x:v>3.6292713329386745e-8</x:v>
      </x:c>
      <x:c r="P161" s="240" t="n">
        <x:f>N161*(1/'Beta HC3'!$E$8-'Beta HC3'!$E$9*L161/'Beta HC3'!$E$11)^2</x:f>
        <x:v>2.4114187257069302e-11</x:v>
      </x:c>
      <x:c r="Q161" s="240" t="n">
        <x:f>N161*(1/'Beta HC3'!$E$8-'Beta HC3'!$E$9*L161/'Beta HC3'!$E$11)*L161/'Beta HC3'!$E$11</x:f>
        <x:v>-9.355048291120507e-10</x:v>
      </x:c>
      <x:c r="R161" s="240" t="n">
        <x:f>K161*L161/'Beta HC3'!$E$11</x:f>
        <x:v>-0.00019032684293779047</x:v>
      </x:c>
      <x:c r="S161" s="240" t="n">
        <x:f>(K161-K160)^2</x:f>
        <x:v>0.0001081272271379395</x:v>
      </x:c>
      <x:c r="T161" s="280" t="n">
        <x:f>E161/$E$9*100</x:f>
        <x:v>89.03515043983614</x:v>
      </x:c>
    </x:row>
    <x:row r="162" ht="24" customHeight="1">
      <x:c r="C162" s="274" t="d">
        <x:v>2022-05-17T00:00:00.000Z</x:v>
      </x:c>
      <x:c r="D162" s="191" t="n">
        <x:v>266.82000732421875</x:v>
      </x:c>
      <x:c r="E162" s="191" t="n">
        <x:v>257.0733947753906</x:v>
      </x:c>
      <x:c r="F162" s="191" t="n">
        <x:v>408.32000732421875</x:v>
      </x:c>
      <x:c r="G162" s="191" t="n">
        <x:v>384.4350280761719</x:v>
      </x:c>
      <x:c r="H162" s="208" t="n">
        <x:f>E162/E161-1</x:f>
        <x:v>0.020344124362639215</x:v>
      </x:c>
      <x:c r="I162" s="208" t="n">
        <x:f>G162/G161-1</x:f>
        <x:v>0.020570414900892064</x:v>
      </x:c>
      <x:c r="J162" s="208" t="n">
        <x:f>'Beta HC3'!$E$13+'Beta HC3'!$E$12*I162</x:f>
        <x:v>0.023208686701589116</x:v>
      </x:c>
      <x:c r="K162" s="240" t="n">
        <x:f>H162-J162</x:f>
        <x:v>-0.0028645623389499004</x:v>
      </x:c>
      <x:c r="L162" s="240" t="n">
        <x:f>I162-'Beta HC3'!$E$9</x:f>
        <x:v>0.020006467283231626</x:v>
      </x:c>
      <x:c r="M162" s="240" t="n">
        <x:f>1/'Beta HC3'!$E$8+L162^2/'Beta HC3'!$E$11</x:f>
        <x:v>0.003533960100777894</x:v>
      </x:c>
      <x:c r="N162" s="240" t="n">
        <x:f>K162^2/(1-M162)^2</x:f>
        <x:v>0.000008264023645047103</x:v>
      </x:c>
      <x:c r="O162" s="240" t="n">
        <x:f>N162*L162^2/'Beta HC3'!$E$11^2</x:f>
        <x:v>1.5468460420026964e-7</x:v>
      </x:c>
      <x:c r="P162" s="240" t="n">
        <x:f>N162*(1/'Beta HC3'!$E$8-'Beta HC3'!$E$9*L162/'Beta HC3'!$E$11)^2</x:f>
        <x:v>4.279992773146799e-12</x:v>
      </x:c>
      <x:c r="Q162" s="240" t="n">
        <x:f>N162*(1/'Beta HC3'!$E$8-'Beta HC3'!$E$9*L162/'Beta HC3'!$E$11)*L162/'Beta HC3'!$E$11</x:f>
        <x:v>8.136639282248091e-10</x:v>
      </x:c>
      <x:c r="R162" s="240" t="n">
        <x:f>K162*L162/'Beta HC3'!$E$11</x:f>
        <x:v>-0.000391909731440677</x:v>
      </x:c>
      <x:c r="S162" s="240" t="n">
        <x:f>(K162-K161)^2</x:f>
        <x:v>0.00007897654511112606</x:v>
      </x:c>
      <x:c r="T162" s="280" t="n">
        <x:f>E162/$E$9*100</x:f>
        <x:v>90.84649261303048</x:v>
      </x:c>
    </x:row>
    <x:row r="163" ht="24" customHeight="1">
      <x:c r="C163" s="274" t="d">
        <x:v>2022-05-18T00:00:00.000Z</x:v>
      </x:c>
      <x:c r="D163" s="191" t="n">
        <x:v>254.0800018310547</x:v>
      </x:c>
      <x:c r="E163" s="191" t="n">
        <x:v>245.36892700195312</x:v>
      </x:c>
      <x:c r="F163" s="191" t="n">
        <x:v>391.8599853515625</x:v>
      </x:c>
      <x:c r="G163" s="191" t="n">
        <x:v>368.9378967285156</x:v>
      </x:c>
      <x:c r="H163" s="208" t="n">
        <x:f>E163/E162-1</x:f>
        <x:v>-0.04552967367029126</x:v>
      </x:c>
      <x:c r="I163" s="208" t="n">
        <x:f>G163/G162-1</x:f>
        <x:v>-0.040311444628780446</x:v>
      </x:c>
      <x:c r="J163" s="208" t="n">
        <x:f>'Beta HC3'!$E$13+'Beta HC3'!$E$12*I163</x:f>
        <x:v>-0.04545458887044192</x:v>
      </x:c>
      <x:c r="K163" s="240" t="n">
        <x:f>H163-J163</x:f>
        <x:v>-0.00007508479984934258</x:v>
      </x:c>
      <x:c r="L163" s="240" t="n">
        <x:f>I163-'Beta HC3'!$E$9</x:f>
        <x:v>-0.040875392246440885</x:v>
      </x:c>
      <x:c r="M163" s="240" t="n">
        <x:f>1/'Beta HC3'!$E$8+L163^2/'Beta HC3'!$E$11</x:f>
        <x:v>0.012222470947751331</x:v>
      </x:c>
      <x:c r="N163" s="240" t="n">
        <x:f>K163^2/(1-M163)^2</x:f>
        <x:v>5.7781095354486745e-9</x:v>
      </x:c>
      <x:c r="O163" s="240" t="n">
        <x:f>N163*L163^2/'Beta HC3'!$E$11^2</x:f>
        <x:v>4.5146528347641296e-10</x:v>
      </x:c>
      <x:c r="P163" s="240" t="n">
        <x:f>N163*(1/'Beta HC3'!$E$8-'Beta HC3'!$E$9*L163/'Beta HC3'!$E$11)^2</x:f>
        <x:v>5.263709023407275e-15</x:v>
      </x:c>
      <x:c r="Q163" s="240" t="n">
        <x:f>N163*(1/'Beta HC3'!$E$8-'Beta HC3'!$E$9*L163/'Beta HC3'!$E$11)*L163/'Beta HC3'!$E$11</x:f>
        <x:v>-1.54155177869247e-12</x:v>
      </x:c>
      <x:c r="R163" s="240" t="n">
        <x:f>K163*L163/'Beta HC3'!$E$11</x:f>
        <x:v>0.000020988012881384476</x:v>
      </x:c>
      <x:c r="S163" s="240" t="n">
        <x:f>(K163-K162)^2</x:f>
        <x:v>0.000007781184941146504</x:v>
      </x:c>
      <x:c r="T163" s="280" t="n">
        <x:f>E163/$E$9*100</x:f>
        <x:v>86.71028145026867</x:v>
      </x:c>
    </x:row>
    <x:row r="164" ht="24" customHeight="1">
      <x:c r="C164" s="274" t="d">
        <x:v>2022-05-19T00:00:00.000Z</x:v>
      </x:c>
      <x:c r="D164" s="191" t="n">
        <x:v>253.13999938964844</x:v>
      </x:c>
      <x:c r="E164" s="191" t="n">
        <x:v>244.46116638183594</x:v>
      </x:c>
      <x:c r="F164" s="191" t="n">
        <x:v>389.4599914550781</x:v>
      </x:c>
      <x:c r="G164" s="191" t="n">
        <x:v>366.6782531738281</x:v>
      </x:c>
      <x:c r="H164" s="208" t="n">
        <x:f>E164/E163-1</x:f>
        <x:v>-0.003699574478352563</x:v>
      </x:c>
      <x:c r="I164" s="208" t="n">
        <x:f>G164/G163-1</x:f>
        <x:v>-0.006124726071039199</x:v>
      </x:c>
      <x:c r="J164" s="208" t="n">
        <x:f>'Beta HC3'!$E$13+'Beta HC3'!$E$12*I164</x:f>
        <x:v>-0.006898406530288596</x:v>
      </x:c>
      <x:c r="K164" s="240" t="n">
        <x:f>H164-J164</x:f>
        <x:v>0.003198832051936033</x:v>
      </x:c>
      <x:c r="L164" s="240" t="n">
        <x:f>I164-'Beta HC3'!$E$9</x:f>
        <x:v>-0.006688673688699639</x:v>
      </x:c>
      <x:c r="M164" s="240" t="n">
        <x:f>1/'Beta HC3'!$E$8+L164^2/'Beta HC3'!$E$11</x:f>
        <x:v>0.0011027535361038177</x:v>
      </x:c>
      <x:c r="N164" s="240" t="n">
        <x:f>K164^2/(1-M164)^2</x:f>
        <x:v>0.00001025513179127482</x:v>
      </x:c>
      <x:c r="O164" s="240" t="n">
        <x:f>N164*L164^2/'Beta HC3'!$E$11^2</x:f>
        <x:v>2.145536894588237e-8</x:v>
      </x:c>
      <x:c r="P164" s="240" t="n">
        <x:f>N164*(1/'Beta HC3'!$E$8-'Beta HC3'!$E$9*L164/'Beta HC3'!$E$11)^2</x:f>
        <x:v>6.939479168890719e-12</x:v>
      </x:c>
      <x:c r="Q164" s="240" t="n">
        <x:f>N164*(1/'Beta HC3'!$E$8-'Beta HC3'!$E$9*L164/'Beta HC3'!$E$11)*L164/'Beta HC3'!$E$11</x:f>
        <x:v>-3.8586148532966533e-10</x:v>
      </x:c>
      <x:c r="R164" s="240" t="n">
        <x:f>K164*L164/'Beta HC3'!$E$11</x:f>
        <x:v>-0.00014631498579799132</x:v>
      </x:c>
      <x:c r="S164" s="240" t="n">
        <x:f>(K164-K163)^2</x:f>
        <x:v>0.000010718531552404265</x:v>
      </x:c>
      <x:c r="T164" s="280" t="n">
        <x:f>E164/$E$9*100</x:f>
        <x:v>86.38949030600448</x:v>
      </x:c>
    </x:row>
    <x:row r="165" ht="24" customHeight="1">
      <x:c r="C165" s="274" t="d">
        <x:v>2022-05-20T00:00:00.000Z</x:v>
      </x:c>
      <x:c r="D165" s="191" t="n">
        <x:v>252.55999755859375</x:v>
      </x:c>
      <x:c r="E165" s="191" t="n">
        <x:v>243.90103149414062</x:v>
      </x:c>
      <x:c r="F165" s="191" t="n">
        <x:v>389.6300048828125</x:v>
      </x:c>
      <x:c r="G165" s="191" t="n">
        <x:v>366.8382568359375</x:v>
      </x:c>
      <x:c r="H165" s="208" t="n">
        <x:f>E165/E164-1</x:f>
        <x:v>-0.0022913041608433327</x:v>
      </x:c>
      <x:c r="I165" s="208" t="n">
        <x:f>G165/G164-1</x:f>
        <x:v>0.00043635983515377674</x:v>
      </x:c>
      <x:c r="J165" s="208" t="n">
        <x:f>'Beta HC3'!$E$13+'Beta HC3'!$E$12*I165</x:f>
        <x:v>0.00050126314322278</x:v>
      </x:c>
      <x:c r="K165" s="240" t="n">
        <x:f>H165-J165</x:f>
        <x:v>-0.0027925673040661127</x:v>
      </x:c>
      <x:c r="L165" s="240" t="n">
        <x:f>I165-'Beta HC3'!$E$9</x:f>
        <x:v>-0.00012758778250666263</x:v>
      </x:c>
      <x:c r="M165" s="240" t="n">
        <x:f>1/'Beta HC3'!$E$8+L165^2/'Beta HC3'!$E$11</x:f>
        <x:v>0.0007969240696044369</x:v>
      </x:c>
      <x:c r="N165" s="240" t="n">
        <x:f>K165^2/(1-M165)^2</x:f>
        <x:v>0.000007810876538181302</x:v>
      </x:c>
      <x:c r="O165" s="240" t="n">
        <x:f>N165*L165^2/'Beta HC3'!$E$11^2</x:f>
        <x:v>5.946106381091612e-12</x:v>
      </x:c>
      <x:c r="P165" s="240" t="n">
        <x:f>N165*(1/'Beta HC3'!$E$8-'Beta HC3'!$E$9*L165/'Beta HC3'!$E$11)^2</x:f>
        <x:v>4.965334655215051e-12</x:v>
      </x:c>
      <x:c r="Q165" s="240" t="n">
        <x:f>N165*(1/'Beta HC3'!$E$8-'Beta HC3'!$E$9*L165/'Beta HC3'!$E$11)*L165/'Beta HC3'!$E$11</x:f>
        <x:v>-5.43363672668955e-12</x:v>
      </x:c>
      <x:c r="R165" s="240" t="n">
        <x:f>K165*L165/'Beta HC3'!$E$11</x:f>
        <x:v>0.0000024365206682483152</x:v>
      </x:c>
      <x:c r="S165" s="240" t="n">
        <x:f>(K165-K164)^2</x:f>
        <x:v>0.00003589686624310293</x:v>
      </x:c>
      <x:c r="T165" s="280" t="n">
        <x:f>E165/$E$9*100</x:f>
        <x:v>86.1915457074132</x:v>
      </x:c>
    </x:row>
    <x:row r="166" ht="24" customHeight="1">
      <x:c r="C166" s="274" t="d">
        <x:v>2022-05-23T00:00:00.000Z</x:v>
      </x:c>
      <x:c r="D166" s="191" t="n">
        <x:v>260.6499938964844</x:v>
      </x:c>
      <x:c r="E166" s="191" t="n">
        <x:v>251.7136688232422</x:v>
      </x:c>
      <x:c r="F166" s="191" t="n">
        <x:v>396.9200134277344</x:v>
      </x:c>
      <x:c r="G166" s="191" t="n">
        <x:v>373.7018737792969</x:v>
      </x:c>
      <x:c r="H166" s="208" t="n">
        <x:f>E166/E165-1</x:f>
        <x:v>0.032031997901941</x:v>
      </x:c>
      <x:c r="I166" s="208" t="n">
        <x:f>G166/G165-1</x:f>
        <x:v>0.01871019942837915</x:v>
      </x:c>
      <x:c r="J166" s="208" t="n">
        <x:f>'Beta HC3'!$E$13+'Beta HC3'!$E$12*I166</x:f>
        <x:v>0.021110713863715165</x:v>
      </x:c>
      <x:c r="K166" s="240" t="n">
        <x:f>H166-J166</x:f>
        <x:v>0.010921284038225836</x:v>
      </x:c>
      <x:c r="L166" s="240" t="n">
        <x:f>I166-'Beta HC3'!$E$9</x:f>
        <x:v>0.01814625181071871</x:v>
      </x:c>
      <x:c r="M166" s="240" t="n">
        <x:f>1/'Beta HC3'!$E$8+L166^2/'Beta HC3'!$E$11</x:f>
        <x:v>0.0030486200751456615</x:v>
      </x:c>
      <x:c r="N166" s="240" t="n">
        <x:f>K166^2/(1-M166)^2</x:f>
        <x:v>0.00012000502918894893</x:v>
      </x:c>
      <x:c r="O166" s="240" t="n">
        <x:f>N166*L166^2/'Beta HC3'!$E$11^2</x:f>
        <x:v>0.000001847940722875384</x:v>
      </x:c>
      <x:c r="P166" s="240" t="n">
        <x:f>N166*(1/'Beta HC3'!$E$8-'Beta HC3'!$E$9*L166/'Beta HC3'!$E$11)^2</x:f>
        <x:v>6.339670181229569e-11</x:v>
      </x:c>
      <x:c r="Q166" s="240" t="n">
        <x:f>N166*(1/'Beta HC3'!$E$8-'Beta HC3'!$E$9*L166/'Beta HC3'!$E$11)*L166/'Beta HC3'!$E$11</x:f>
        <x:v>1.0823739971697808e-8</x:v>
      </x:c>
      <x:c r="R166" s="240" t="n">
        <x:f>K166*L166/'Beta HC3'!$E$11</x:f>
        <x:v>0.0013552455716295425</x:v>
      </x:c>
      <x:c r="S166" s="240" t="n">
        <x:f>(K166-K165)^2</x:f>
        <x:v>0.00018806971863848264</x:v>
      </x:c>
      <x:c r="T166" s="280" t="n">
        <x:f>E166/$E$9*100</x:f>
        <x:v>88.95243311867812</x:v>
      </x:c>
    </x:row>
    <x:row r="167" ht="24" customHeight="1">
      <x:c r="C167" s="274" t="d">
        <x:v>2022-05-24T00:00:00.000Z</x:v>
      </x:c>
      <x:c r="D167" s="191" t="n">
        <x:v>259.6199951171875</x:v>
      </x:c>
      <x:c r="E167" s="191" t="n">
        <x:v>250.71893310546875</x:v>
      </x:c>
      <x:c r="F167" s="191" t="n">
        <x:v>393.8900146484375</x:v>
      </x:c>
      <x:c r="G167" s="191" t="n">
        <x:v>370.84912109375</x:v>
      </x:c>
      <x:c r="H167" s="208" t="n">
        <x:f>E167/E166-1</x:f>
        <x:v>-0.003951854193790183</x:v>
      </x:c>
      <x:c r="I167" s="208" t="n">
        <x:f>G167/G166-1</x:f>
        <x:v>-0.0076337660731978785</x:v>
      </x:c>
      <x:c r="J167" s="208" t="n">
        <x:f>'Beta HC3'!$E$13+'Beta HC3'!$E$12*I167</x:f>
        <x:v>-0.008600319551965269</x:v>
      </x:c>
      <x:c r="K167" s="240" t="n">
        <x:f>H167-J167</x:f>
        <x:v>0.004648465358175086</x:v>
      </x:c>
      <x:c r="L167" s="240" t="n">
        <x:f>I167-'Beta HC3'!$E$9</x:f>
        <x:v>-0.008197713690858317</x:v>
      </x:c>
      <x:c r="M167" s="240" t="n">
        <x:f>1/'Beta HC3'!$E$8+L167^2/'Beta HC3'!$E$11</x:f>
        <x:v>0.0012563734190855424</x:v>
      </x:c>
      <x:c r="N167" s="240" t="n">
        <x:f>K167^2/(1-M167)^2</x:f>
        <x:v>0.000021662628694011375</x:v>
      </x:c>
      <x:c r="O167" s="240" t="n">
        <x:f>N167*L167^2/'Beta HC3'!$E$11^2</x:f>
        <x:v>6.807871836441359e-8</x:v>
      </x:c>
      <x:c r="P167" s="240" t="n">
        <x:f>N167*(1/'Beta HC3'!$E$8-'Beta HC3'!$E$9*L167/'Beta HC3'!$E$11)^2</x:f>
        <x:v>1.4866889101607374e-11</x:v>
      </x:c>
      <x:c r="Q167" s="240" t="n">
        <x:f>N167*(1/'Beta HC3'!$E$8-'Beta HC3'!$E$9*L167/'Beta HC3'!$E$11)*L167/'Beta HC3'!$E$11</x:f>
        <x:v>-1.0060411304232539e-9</x:v>
      </x:c>
      <x:c r="R167" s="240" t="n">
        <x:f>K167*L167/'Beta HC3'!$E$11</x:f>
        <x:v>-0.00026059117644424383</x:v>
      </x:c>
      <x:c r="S167" s="240" t="n">
        <x:f>(K167-K166)^2</x:f>
        <x:v>0.00003934825419279363</x:v>
      </x:c>
      <x:c r="T167" s="280" t="n">
        <x:f>E167/$E$9*100</x:f>
        <x:v>88.60090607281023</x:v>
      </x:c>
    </x:row>
    <x:row r="168" ht="24" customHeight="1">
      <x:c r="C168" s="274" t="d">
        <x:v>2022-05-25T00:00:00.000Z</x:v>
      </x:c>
      <x:c r="D168" s="191" t="n">
        <x:v>262.5199890136719</x:v>
      </x:c>
      <x:c r="E168" s="191" t="n">
        <x:v>253.51953125</x:v>
      </x:c>
      <x:c r="F168" s="191" t="n">
        <x:v>397.3699951171875</x:v>
      </x:c>
      <x:c r="G168" s="191" t="n">
        <x:v>374.12548828125</x:v>
      </x:c>
      <x:c r="H168" s="208" t="n">
        <x:f>E168/E167-1</x:f>
        <x:v>0.011170269870896199</x:v>
      </x:c>
      <x:c r="I168" s="208" t="n">
        <x:f>G168/G167-1</x:f>
        <x:v>0.00883477134268773</x:v>
      </x:c>
      <x:c r="J168" s="208" t="n">
        <x:f>'Beta HC3'!$E$13+'Beta HC3'!$E$12*I168</x:f>
        <x:v>0.009973090189308118</x:v>
      </x:c>
      <x:c r="K168" s="240" t="n">
        <x:f>H168-J168</x:f>
        <x:v>0.0011971796815880807</x:v>
      </x:c>
      <x:c r="L168" s="240" t="n">
        <x:f>I168-'Beta HC3'!$E$9</x:f>
        <x:v>0.008270823725027292</x:v>
      </x:c>
      <x:c r="M168" s="240" t="n">
        <x:f>1/'Beta HC3'!$E$8+L168^2/'Beta HC3'!$E$11</x:f>
        <x:v>0.0012646070117788353</x:v>
      </x:c>
      <x:c r="N168" s="240" t="n">
        <x:f>K168^2/(1-M168)^2</x:f>
        <x:v>0.0000014368710465196712</x:v>
      </x:c>
      <x:c r="O168" s="240" t="n">
        <x:f>N168*L168^2/'Beta HC3'!$E$11^2</x:f>
        <x:v>4.596529441859766e-9</x:v>
      </x:c>
      <x:c r="P168" s="240" t="n">
        <x:f>N168*(1/'Beta HC3'!$E$8-'Beta HC3'!$E$9*L168/'Beta HC3'!$E$11)^2</x:f>
        <x:v>8.407084484069365e-13</x:v>
      </x:c>
      <x:c r="Q168" s="240" t="n">
        <x:f>N168*(1/'Beta HC3'!$E$8-'Beta HC3'!$E$9*L168/'Beta HC3'!$E$11)*L168/'Beta HC3'!$E$11</x:f>
        <x:v>6.216382497178505e-11</x:v>
      </x:c>
      <x:c r="R168" s="240" t="n">
        <x:f>K168*L168/'Beta HC3'!$E$11</x:f>
        <x:v>0.00006771197225046402</x:v>
      </x:c>
      <x:c r="S168" s="240" t="n">
        <x:f>(K168-K167)^2</x:f>
        <x:v>0.000011911372821414623</x:v>
      </x:c>
      <x:c r="T168" s="280" t="n">
        <x:f>E168/$E$9*100</x:f>
        <x:v>89.59060210444943</x:v>
      </x:c>
    </x:row>
    <x:row r="169" ht="24" customHeight="1">
      <x:c r="C169" s="274" t="d">
        <x:v>2022-05-26T00:00:00.000Z</x:v>
      </x:c>
      <x:c r="D169" s="191" t="n">
        <x:v>265.8999938964844</x:v>
      </x:c>
      <x:c r="E169" s="191" t="n">
        <x:v>256.7836608886719</x:v>
      </x:c>
      <x:c r="F169" s="191" t="n">
        <x:v>405.30999755859375</x:v>
      </x:c>
      <x:c r="G169" s="191" t="n">
        <x:v>381.60113525390625</x:v>
      </x:c>
      <x:c r="H169" s="208" t="n">
        <x:f>E169/E168-1</x:f>
        <x:v>0.012875259048396703</x:v>
      </x:c>
      <x:c r="I169" s="208" t="n">
        <x:f>G169/G168-1</x:f>
        <x:v>0.019981656440997142</x:v>
      </x:c>
      <x:c r="J169" s="208" t="n">
        <x:f>'Beta HC3'!$E$13+'Beta HC3'!$E$12*I169</x:f>
        <x:v>0.022544678001962803</x:v>
      </x:c>
      <x:c r="K169" s="240" t="n">
        <x:f>H169-J169</x:f>
        <x:v>-0.0096694189535661</x:v>
      </x:c>
      <x:c r="L169" s="240" t="n">
        <x:f>I169-'Beta HC3'!$E$9</x:f>
        <x:v>0.019417708823336703</x:v>
      </x:c>
      <x:c r="M169" s="240" t="n">
        <x:f>1/'Beta HC3'!$E$8+L169^2/'Beta HC3'!$E$11</x:f>
        <x:v>0.0033752307835587924</x:v>
      </x:c>
      <x:c r="N169" s="240" t="n">
        <x:f>K169^2/(1-M169)^2</x:f>
        <x:v>0.00009413202514834036</x:v>
      </x:c>
      <x:c r="O169" s="240" t="n">
        <x:f>N169*L169^2/'Beta HC3'!$E$11^2</x:f>
        <x:v>0.0000016597707001046505</x:v>
      </x:c>
      <x:c r="P169" s="240" t="n">
        <x:f>N169*(1/'Beta HC3'!$E$8-'Beta HC3'!$E$9*L169/'Beta HC3'!$E$11)^2</x:f>
        <x:v>4.9059715173231027e-11</x:v>
      </x:c>
      <x:c r="Q169" s="240" t="n">
        <x:f>N169*(1/'Beta HC3'!$E$8-'Beta HC3'!$E$9*L169/'Beta HC3'!$E$11)*L169/'Beta HC3'!$E$11</x:f>
        <x:v>9.023739679313028e-9</x:v>
      </x:c>
      <x:c r="R169" s="240" t="n">
        <x:f>K169*L169/'Beta HC3'!$E$11</x:f>
        <x:v>-0.0012839725036754713</x:v>
      </x:c>
      <x:c r="S169" s="240" t="n">
        <x:f>(K169-K168)^2</x:f>
        <x:v>0.00011808296589753471</x:v>
      </x:c>
      <x:c r="T169" s="280" t="n">
        <x:f>E169/$E$9*100</x:f>
        <x:v>90.74410431484607</x:v>
      </x:c>
    </x:row>
    <x:row r="170" ht="24" customHeight="1">
      <x:c r="C170" s="274" t="d">
        <x:v>2022-05-27T00:00:00.000Z</x:v>
      </x:c>
      <x:c r="D170" s="191" t="n">
        <x:v>273.239990234375</x:v>
      </x:c>
      <x:c r="E170" s="191" t="n">
        <x:v>263.8720703125</x:v>
      </x:c>
      <x:c r="F170" s="191" t="n">
        <x:v>415.260009765625</x:v>
      </x:c>
      <x:c r="G170" s="191" t="n">
        <x:v>390.9690246582031</x:v>
      </x:c>
      <x:c r="H170" s="208" t="n">
        <x:f>E170/E169-1</x:f>
        <x:v>0.027604596800655745</x:v>
      </x:c>
      <x:c r="I170" s="208" t="n">
        <x:f>G170/G169-1</x:f>
        <x:v>0.024548903393758925</x:v>
      </x:c>
      <x:c r="J170" s="208" t="n">
        <x:f>'Beta HC3'!$E$13+'Beta HC3'!$E$12*I170</x:f>
        <x:v>0.027695672707867908</x:v>
      </x:c>
      <x:c r="K170" s="240" t="n">
        <x:f>H170-J170</x:f>
        <x:v>-0.00009107590721216252</x:v>
      </x:c>
      <x:c r="L170" s="240" t="n">
        <x:f>I170-'Beta HC3'!$E$9</x:f>
        <x:v>0.023984955776098486</x:v>
      </x:c>
      <x:c r="M170" s="240" t="n">
        <x:f>1/'Beta HC3'!$E$8+L170^2/'Beta HC3'!$E$11</x:f>
        <x:v>0.004730820447822904</x:v>
      </x:c>
      <x:c r="N170" s="240" t="n">
        <x:f>K170^2/(1-M170)^2</x:f>
        <x:v>8.373863955555151e-9</x:v>
      </x:c>
      <x:c r="O170" s="240" t="n">
        <x:f>N170*L170^2/'Beta HC3'!$E$11^2</x:f>
        <x:v>2.2527783711292707e-10</x:v>
      </x:c>
      <x:c r="P170" s="240" t="n">
        <x:f>N170*(1/'Beta HC3'!$E$8-'Beta HC3'!$E$9*L170/'Beta HC3'!$E$11)^2</x:f>
        <x:v>4.153926002938211e-15</x:v>
      </x:c>
      <x:c r="Q170" s="240" t="n">
        <x:f>N170*(1/'Beta HC3'!$E$8-'Beta HC3'!$E$9*L170/'Beta HC3'!$E$11)*L170/'Beta HC3'!$E$11</x:f>
        <x:v>9.673610832926176e-13</x:v>
      </x:c>
      <x:c r="R170" s="240" t="n">
        <x:f>K170*L170/'Beta HC3'!$E$11</x:f>
        <x:v>-0.0000149382522733943</x:v>
      </x:c>
      <x:c r="S170" s="240" t="n">
        <x:f>(K170-K169)^2</x:f>
        <x:v>0.00009174465551363683</x:v>
      </x:c>
      <x:c r="T170" s="280" t="n">
        <x:f>E170/$E$9*100</x:f>
        <x:v>93.24905872649406</x:v>
      </x:c>
    </x:row>
    <x:row r="171" ht="24" customHeight="1">
      <x:c r="C171" s="274" t="d">
        <x:v>2022-05-31T00:00:00.000Z</x:v>
      </x:c>
      <x:c r="D171" s="191" t="n">
        <x:v>271.8699951171875</x:v>
      </x:c>
      <x:c r="E171" s="191" t="n">
        <x:v>262.5489196777344</x:v>
      </x:c>
      <x:c r="F171" s="191" t="n">
        <x:v>412.92999267578125</x:v>
      </x:c>
      <x:c r="G171" s="191" t="n">
        <x:v>388.77532958984375</x:v>
      </x:c>
      <x:c r="H171" s="208" t="n">
        <x:f>E171/E170-1</x:f>
        <x:v>-0.005014364093928636</x:v>
      </x:c>
      <x:c r="I171" s="208" t="n">
        <x:f>G171/G170-1</x:f>
        <x:v>-0.00561091782213996</x:v>
      </x:c>
      <x:c r="J171" s="208" t="n">
        <x:f>'Beta HC3'!$E$13+'Beta HC3'!$E$12*I171</x:f>
        <x:v>-0.006318927558097273</x:v>
      </x:c>
      <x:c r="K171" s="240" t="n">
        <x:f>H171-J171</x:f>
        <x:v>0.0013045634641686366</x:v>
      </x:c>
      <x:c r="L171" s="240" t="n">
        <x:f>I171-'Beta HC3'!$E$9</x:f>
        <x:v>-0.0061748654398004</x:v>
      </x:c>
      <x:c r="M171" s="240" t="n">
        <x:f>1/'Beta HC3'!$E$8+L171^2/'Beta HC3'!$E$11</x:f>
        <x:v>0.0010575555685925415</x:v>
      </x:c>
      <x:c r="N171" s="240" t="n">
        <x:f>K171^2/(1-M171)^2</x:f>
        <x:v>0.000001705491228072594</x:v>
      </x:c>
      <x:c r="O171" s="240" t="n">
        <x:f>N171*L171^2/'Beta HC3'!$E$11^2</x:f>
        <x:v>3.041019527862798e-9</x:v>
      </x:c>
      <x:c r="P171" s="240" t="n">
        <x:f>N171*(1/'Beta HC3'!$E$8-'Beta HC3'!$E$9*L171/'Beta HC3'!$E$11)^2</x:f>
        <x:v>1.1485246532521752e-12</x:v>
      </x:c>
      <x:c r="Q171" s="240" t="n">
        <x:f>N171*(1/'Beta HC3'!$E$8-'Beta HC3'!$E$9*L171/'Beta HC3'!$E$11)*L171/'Beta HC3'!$E$11</x:f>
        <x:v>-5.909895006488451e-11</x:v>
      </x:c>
      <x:c r="R171" s="240" t="n">
        <x:f>K171*L171/'Beta HC3'!$E$11</x:f>
        <x:v>-0.000055087120407038665</x:v>
      </x:c>
      <x:c r="S171" s="240" t="n">
        <x:f>(K171-K170)^2</x:f>
        <x:v>0.000001947809254948192</x:v>
      </x:c>
      <x:c r="T171" s="280" t="n">
        <x:f>E171/$E$9*100</x:f>
        <x:v>92.78147399462327</x:v>
      </x:c>
    </x:row>
    <x:row r="172" ht="24" customHeight="1">
      <x:c r="C172" s="274" t="d">
        <x:v>2022-06-01T00:00:00.000Z</x:v>
      </x:c>
      <x:c r="D172" s="191" t="n">
        <x:v>272.4200134277344</x:v>
      </x:c>
      <x:c r="E172" s="191" t="n">
        <x:v>263.08013916015625</x:v>
      </x:c>
      <x:c r="F172" s="191" t="n">
        <x:v>409.5899963378906</x:v>
      </x:c>
      <x:c r="G172" s="191" t="n">
        <x:v>385.6307678222656</x:v>
      </x:c>
      <x:c r="H172" s="208" t="n">
        <x:f>E172/E171-1</x:f>
        <x:v>0.0020233161997920135</x:v>
      </x:c>
      <x:c r="I172" s="208" t="n">
        <x:f>G172/G171-1</x:f>
        <x:v>-0.008088377857966567</x:v>
      </x:c>
      <x:c r="J172" s="208" t="n">
        <x:f>'Beta HC3'!$E$13+'Beta HC3'!$E$12*I172</x:f>
        <x:v>-0.009113036057292306</x:v>
      </x:c>
      <x:c r="K172" s="240" t="n">
        <x:f>H172-J172</x:f>
        <x:v>0.01113635225708432</x:v>
      </x:c>
      <x:c r="L172" s="240" t="n">
        <x:f>I172-'Beta HC3'!$E$9</x:f>
        <x:v>-0.008652325475627005</x:v>
      </x:c>
      <x:c r="M172" s="240" t="n">
        <x:f>1/'Beta HC3'!$E$8+L172^2/'Beta HC3'!$E$11</x:f>
        <x:v>0.0013087574562350062</x:v>
      </x:c>
      <x:c r="N172" s="240" t="n">
        <x:f>K172^2/(1-M172)^2</x:f>
        <x:v>0.00012434359983926903</x:v>
      </x:c>
      <x:c r="O172" s="240" t="n">
        <x:f>N172*L172^2/'Beta HC3'!$E$11^2</x:f>
        <x:v>4.3531522342371356e-7</x:v>
      </x:c>
      <x:c r="P172" s="240" t="n">
        <x:f>N172*(1/'Beta HC3'!$E$8-'Beta HC3'!$E$9*L172/'Beta HC3'!$E$11)^2</x:f>
        <x:v>8.569759940931906e-11</x:v>
      </x:c>
      <x:c r="Q172" s="240" t="n">
        <x:f>N172*(1/'Beta HC3'!$E$8-'Beta HC3'!$E$9*L172/'Beta HC3'!$E$11)*L172/'Beta HC3'!$E$11</x:f>
        <x:v>-6.107820366852944e-9</x:v>
      </x:c>
      <x:c r="R172" s="240" t="n">
        <x:f>K172*L172/'Beta HC3'!$E$11</x:f>
        <x:v>-0.000658920727373749</x:v>
      </x:c>
      <x:c r="S172" s="240" t="n">
        <x:f>(K172-K171)^2</x:f>
        <x:v>0.0000966640708685024</x:v>
      </x:c>
      <x:c r="T172" s="280" t="n">
        <x:f>E172/$E$9*100</x:f>
        <x:v>92.96920025399717</x:v>
      </x:c>
    </x:row>
    <x:row r="173" ht="24" customHeight="1">
      <x:c r="C173" s="274" t="d">
        <x:v>2022-06-02T00:00:00.000Z</x:v>
      </x:c>
      <x:c r="D173" s="191" t="n">
        <x:v>274.5799865722656</x:v>
      </x:c>
      <x:c r="E173" s="191" t="n">
        <x:v>265.1660461425781</x:v>
      </x:c>
      <x:c r="F173" s="191" t="n">
        <x:v>417.3900146484375</x:v>
      </x:c>
      <x:c r="G173" s="191" t="n">
        <x:v>392.9744873046875</x:v>
      </x:c>
      <x:c r="H173" s="208" t="n">
        <x:f>E173/E172-1</x:f>
        <x:v>0.007928789262012792</x:v>
      </x:c>
      <x:c r="I173" s="208" t="n">
        <x:f>G173/G172-1</x:f>
        <x:v>0.019043396158178183</x:v>
      </x:c>
      <x:c r="J173" s="208" t="n">
        <x:f>'Beta HC3'!$E$13+'Beta HC3'!$E$12*I173</x:f>
        <x:v>0.021486497045349755</x:v>
      </x:c>
      <x:c r="K173" s="240" t="n">
        <x:f>H173-J173</x:f>
        <x:v>-0.013557707783336963</x:v>
      </x:c>
      <x:c r="L173" s="240" t="n">
        <x:f>I173-'Beta HC3'!$E$9</x:f>
        <x:v>0.018479448540517744</x:v>
      </x:c>
      <x:c r="M173" s="240" t="n">
        <x:f>1/'Beta HC3'!$E$8+L173^2/'Beta HC3'!$E$11</x:f>
        <x:v>0.0031320734741054892</x:v>
      </x:c>
      <x:c r="N173" s="240" t="n">
        <x:f>K173^2/(1-M173)^2</x:f>
        <x:v>0.00018496829439766516</x:v>
      </x:c>
      <x:c r="O173" s="240" t="n">
        <x:f>N173*L173^2/'Beta HC3'!$E$11^2</x:f>
        <x:v>0.0000029538608220018408</x:v>
      </x:c>
      <x:c r="P173" s="240" t="n">
        <x:f>N173*(1/'Beta HC3'!$E$8-'Beta HC3'!$E$9*L173/'Beta HC3'!$E$11)^2</x:f>
        <x:v>9.737053414437238e-11</x:v>
      </x:c>
      <x:c r="Q173" s="240" t="n">
        <x:f>N173*(1/'Beta HC3'!$E$8-'Beta HC3'!$E$9*L173/'Beta HC3'!$E$11)*L173/'Beta HC3'!$E$11</x:f>
        <x:v>1.6959333891000972e-8</x:v>
      </x:c>
      <x:c r="R173" s="240" t="n">
        <x:f>K173*L173/'Beta HC3'!$E$11</x:f>
        <x:v>-0.0017132969330448835</x:v>
      </x:c>
      <x:c r="S173" s="240" t="n">
        <x:f>(K173-K172)^2</x:f>
        <x:v>0.0006097966012799311</x:v>
      </x:c>
      <x:c r="T173" s="280" t="n">
        <x:f>E173/$E$9*100</x:f>
        <x:v>93.70633345066899</x:v>
      </x:c>
    </x:row>
    <x:row r="174" ht="24" customHeight="1">
      <x:c r="C174" s="274" t="d">
        <x:v>2022-06-03T00:00:00.000Z</x:v>
      </x:c>
      <x:c r="D174" s="191" t="n">
        <x:v>270.0199890136719</x:v>
      </x:c>
      <x:c r="E174" s="191" t="n">
        <x:v>260.7623596191406</x:v>
      </x:c>
      <x:c r="F174" s="191" t="n">
        <x:v>410.5400085449219</x:v>
      </x:c>
      <x:c r="G174" s="191" t="n">
        <x:v>386.5251770019531</x:v>
      </x:c>
      <x:c r="H174" s="208" t="n">
        <x:f>E174/E173-1</x:f>
        <x:v>-0.01660727905212145</x:v>
      </x:c>
      <x:c r="I174" s="208" t="n">
        <x:f>G174/G173-1</x:f>
        <x:v>-0.01641152418562475</x:v>
      </x:c>
      <x:c r="J174" s="208" t="n">
        <x:f>'Beta HC3'!$E$13+'Beta HC3'!$E$12*I174</x:f>
        <x:v>-0.01849997815034381</x:v>
      </x:c>
      <x:c r="K174" s="240" t="n">
        <x:f>H174-J174</x:f>
        <x:v>0.001892699098222362</x:v>
      </x:c>
      <x:c r="L174" s="240" t="n">
        <x:f>I174-'Beta HC3'!$E$9</x:f>
        <x:v>-0.016975471803285187</x:v>
      </x:c>
      <x:c r="M174" s="240" t="n">
        <x:f>1/'Beta HC3'!$E$8+L174^2/'Beta HC3'!$E$11</x:f>
        <x:v>0.0027674245015241357</x:v>
      </x:c>
      <x:c r="N174" s="240" t="n">
        <x:f>K174^2/(1-M174)^2</x:f>
        <x:v>0.000003602220032265525</x:v>
      </x:c>
      <x:c r="O174" s="240" t="n">
        <x:f>N174*L174^2/'Beta HC3'!$E$11^2</x:f>
        <x:v>4.8543229629568385e-8</x:v>
      </x:c>
      <x:c r="P174" s="240" t="n">
        <x:f>N174*(1/'Beta HC3'!$E$8-'Beta HC3'!$E$9*L174/'Beta HC3'!$E$11)^2</x:f>
        <x:v>2.6783413931676837e-12</x:v>
      </x:c>
      <x:c r="Q174" s="240" t="n">
        <x:f>N174*(1/'Beta HC3'!$E$8-'Beta HC3'!$E$9*L174/'Beta HC3'!$E$11)*L174/'Beta HC3'!$E$11</x:f>
        <x:v>-3.605764014393024e-10</x:v>
      </x:c>
      <x:c r="R174" s="240" t="n">
        <x:f>K174*L174/'Beta HC3'!$E$11</x:f>
        <x:v>-0.00021971554783057468</x:v>
      </x:c>
      <x:c r="S174" s="240" t="n">
        <x:f>(K174-K173)^2</x:f>
        <x:v>0.00023871507280573574</x:v>
      </x:c>
      <x:c r="T174" s="280" t="n">
        <x:f>E174/$E$9*100</x:f>
        <x:v>92.15012622210259</x:v>
      </x:c>
    </x:row>
    <x:row r="175" ht="24" customHeight="1">
      <x:c r="C175" s="274" t="d">
        <x:v>2022-06-06T00:00:00.000Z</x:v>
      </x:c>
      <x:c r="D175" s="191" t="n">
        <x:v>268.75</x:v>
      </x:c>
      <x:c r="E175" s="191" t="n">
        <x:v>259.535888671875</x:v>
      </x:c>
      <x:c r="F175" s="191" t="n">
        <x:v>411.7900085449219</x:v>
      </x:c>
      <x:c r="G175" s="191" t="n">
        <x:v>387.70208740234375</x:v>
      </x:c>
      <x:c r="H175" s="208" t="n">
        <x:f>E175/E174-1</x:f>
        <x:v>-0.004703404851286619</x:v>
      </x:c>
      <x:c r="I175" s="208" t="n">
        <x:f>G175/G174-1</x:f>
        <x:v>0.003044847969592146</x:v>
      </x:c>
      <x:c r="J175" s="208" t="n">
        <x:f>'Beta HC3'!$E$13+'Beta HC3'!$E$12*I175</x:f>
        <x:v>0.0034431466695303463</x:v>
      </x:c>
      <x:c r="K175" s="240" t="n">
        <x:f>H175-J175</x:f>
        <x:v>-0.008146551520816964</x:v>
      </x:c>
      <x:c r="L175" s="240" t="n">
        <x:f>I175-'Beta HC3'!$E$9</x:f>
        <x:v>0.0024809003519317067</x:v>
      </x:c>
      <x:c r="M175" s="240" t="n">
        <x:f>1/'Beta HC3'!$E$8+L175^2/'Beta HC3'!$E$11</x:f>
        <x:v>0.0008389024657281428</x:v>
      </x:c>
      <x:c r="N175" s="240" t="n">
        <x:f>K175^2/(1-M175)^2</x:f>
        <x:v>0.00006647779166377671</x:v>
      </x:c>
      <x:c r="O175" s="240" t="n">
        <x:f>N175*L175^2/'Beta HC3'!$E$11^2</x:f>
        <x:v>1.9134184106125463e-8</x:v>
      </x:c>
      <x:c r="P175" s="240" t="n">
        <x:f>N175*(1/'Beta HC3'!$E$8-'Beta HC3'!$E$9*L175/'Beta HC3'!$E$11)^2</x:f>
        <x:v>4.119993313964895e-11</x:v>
      </x:c>
      <x:c r="Q175" s="240" t="n">
        <x:f>N175*(1/'Beta HC3'!$E$8-'Beta HC3'!$E$9*L175/'Beta HC3'!$E$11)*L175/'Beta HC3'!$E$11</x:f>
        <x:v>8.878778665188715e-10</x:v>
      </x:c>
      <x:c r="R175" s="240" t="n">
        <x:f>K175*L175/'Beta HC3'!$E$11</x:f>
        <x:v>-0.00013821032574846013</x:v>
      </x:c>
      <x:c r="S175" s="240" t="n">
        <x:f>(K175-K174)^2</x:f>
        <x:v>0.0001007865529918815</x:v>
      </x:c>
      <x:c r="T175" s="280" t="n">
        <x:f>E175/$E$9*100</x:f>
        <x:v>91.71670687138287</x:v>
      </x:c>
    </x:row>
    <x:row r="176" ht="24" customHeight="1">
      <x:c r="C176" s="274" t="d">
        <x:v>2022-06-07T00:00:00.000Z</x:v>
      </x:c>
      <x:c r="D176" s="191" t="n">
        <x:v>272.5</x:v>
      </x:c>
      <x:c r="E176" s="191" t="n">
        <x:v>263.1573791503906</x:v>
      </x:c>
      <x:c r="F176" s="191" t="n">
        <x:v>415.739990234375</x:v>
      </x:c>
      <x:c r="G176" s="191" t="n">
        <x:v>391.4210205078125</x:v>
      </x:c>
      <x:c r="H176" s="208" t="n">
        <x:f>E176/E175-1</x:f>
        <x:v>0.013953717526496545</x:v>
      </x:c>
      <x:c r="I176" s="208" t="n">
        <x:f>G176/G175-1</x:f>
        <x:v>0.00959224421613536</x:v>
      </x:c>
      <x:c r="J176" s="208" t="n">
        <x:f>'Beta HC3'!$E$13+'Beta HC3'!$E$12*I176</x:f>
        <x:v>0.010827376984252741</x:v>
      </x:c>
      <x:c r="K176" s="240" t="n">
        <x:f>H176-J176</x:f>
        <x:v>0.0031263405422438037</x:v>
      </x:c>
      <x:c r="L176" s="240" t="n">
        <x:f>I176-'Beta HC3'!$E$9</x:f>
        <x:v>0.00902829659847492</x:v>
      </x:c>
      <x:c r="M176" s="240" t="n">
        <x:f>1/'Beta HC3'!$E$8+L176^2/'Beta HC3'!$E$11</x:f>
        <x:v>0.001354215358647277</x:v>
      </x:c>
      <x:c r="N176" s="240" t="n">
        <x:f>K176^2/(1-M176)^2</x:f>
        <x:v>0.000009800531272835606</x:v>
      </x:c>
      <x:c r="O176" s="240" t="n">
        <x:f>N176*L176^2/'Beta HC3'!$E$11^2</x:f>
        <x:v>3.735734282328531e-8</x:v>
      </x:c>
      <x:c r="P176" s="240" t="n">
        <x:f>N176*(1/'Beta HC3'!$E$8-'Beta HC3'!$E$9*L176/'Beta HC3'!$E$11)^2</x:f>
        <x:v>5.6905434969693715e-12</x:v>
      </x:c>
      <x:c r="Q176" s="240" t="n">
        <x:f>N176*(1/'Beta HC3'!$E$8-'Beta HC3'!$E$9*L176/'Beta HC3'!$E$11)*L176/'Beta HC3'!$E$11</x:f>
        <x:v>4.610678738180547e-10</x:v>
      </x:c>
      <x:c r="R176" s="240" t="n">
        <x:f>K176*L176/'Beta HC3'!$E$11</x:f>
        <x:v>0.00019301873369719514</x:v>
      </x:c>
      <x:c r="S176" s="240" t="n">
        <x:f>(K176-K175)^2</x:f>
        <x:v>0.00012707809546541845</x:v>
      </x:c>
      <x:c r="T176" s="280" t="n">
        <x:f>E176/$E$9*100</x:f>
        <x:v>92.99649589152665</x:v>
      </x:c>
    </x:row>
    <x:row r="177" ht="24" customHeight="1">
      <x:c r="C177" s="274" t="d">
        <x:v>2022-06-08T00:00:00.000Z</x:v>
      </x:c>
      <x:c r="D177" s="191" t="n">
        <x:v>270.4100036621094</x:v>
      </x:c>
      <x:c r="E177" s="191" t="n">
        <x:v>261.1390686035156</x:v>
      </x:c>
      <x:c r="F177" s="191" t="n">
        <x:v>411.2200012207031</x:v>
      </x:c>
      <x:c r="G177" s="191" t="n">
        <x:v>387.1653747558594</x:v>
      </x:c>
      <x:c r="H177" s="208" t="n">
        <x:f>E177/E176-1</x:f>
        <x:v>-0.007669595104614402</x:v>
      </x:c>
      <x:c r="I177" s="208" t="n">
        <x:f>G177/G176-1</x:f>
        <x:v>-0.010872297421410937</x:v>
      </x:c>
      <x:c r="J177" s="208" t="n">
        <x:f>'Beta HC3'!$E$13+'Beta HC3'!$E$12*I177</x:f>
        <x:v>-0.012252773207764613</x:v>
      </x:c>
      <x:c r="K177" s="240" t="n">
        <x:f>H177-J177</x:f>
        <x:v>0.004583178103150211</x:v>
      </x:c>
      <x:c r="L177" s="240" t="n">
        <x:f>I177-'Beta HC3'!$E$9</x:f>
        <x:v>-0.011436245039071376</x:v>
      </x:c>
      <x:c r="M177" s="240" t="n">
        <x:f>1/'Beta HC3'!$E$8+L177^2/'Beta HC3'!$E$11</x:f>
        <x:v>0.001691197252504518</x:v>
      </x:c>
      <x:c r="N177" s="240" t="n">
        <x:f>K177^2/(1-M177)^2</x:f>
        <x:v>0.000021076751129769656</x:v>
      </x:c>
      <x:c r="O177" s="240" t="n">
        <x:f>N177*L177^2/'Beta HC3'!$E$11^2</x:f>
        <x:v>1.2890961006819022e-7</x:v>
      </x:c>
      <x:c r="P177" s="240" t="n">
        <x:f>N177*(1/'Beta HC3'!$E$8-'Beta HC3'!$E$9*L177/'Beta HC3'!$E$11)^2</x:f>
        <x:v>1.490424018445144e-11</x:v>
      </x:c>
      <x:c r="Q177" s="240" t="n">
        <x:f>N177*(1/'Beta HC3'!$E$8-'Beta HC3'!$E$9*L177/'Beta HC3'!$E$11)*L177/'Beta HC3'!$E$11</x:f>
        <x:v>-1.386109588214542e-9</x:v>
      </x:c>
      <x:c r="R177" s="240" t="n">
        <x:f>K177*L177/'Beta HC3'!$E$11</x:f>
        <x:v>-0.0003584326374816265</x:v>
      </x:c>
      <x:c r="S177" s="240" t="n">
        <x:f>(K177-K176)^2</x:f>
        <x:v>0.0000021223756788677296</x:v>
      </x:c>
      <x:c r="T177" s="280" t="n">
        <x:f>E177/$E$9*100</x:f>
        <x:v>92.2832504218907</x:v>
      </x:c>
    </x:row>
    <x:row r="178" ht="24" customHeight="1">
      <x:c r="C178" s="274" t="d">
        <x:v>2022-06-09T00:00:00.000Z</x:v>
      </x:c>
      <x:c r="D178" s="191" t="n">
        <x:v>264.7900085449219</x:v>
      </x:c>
      <x:c r="E178" s="191" t="n">
        <x:v>255.7117156982422</x:v>
      </x:c>
      <x:c r="F178" s="191" t="n">
        <x:v>401.44000244140625</x:v>
      </x:c>
      <x:c r="G178" s="191" t="n">
        <x:v>377.9573974609375</x:v>
      </x:c>
      <x:c r="H178" s="208" t="n">
        <x:f>E178/E177-1</x:f>
        <x:v>-0.02078338156866799</x:v>
      </x:c>
      <x:c r="I178" s="208" t="n">
        <x:f>G178/G177-1</x:f>
        <x:v>-0.023783059889403324</x:v>
      </x:c>
      <x:c r="J178" s="208" t="n">
        <x:f>'Beta HC3'!$E$13+'Beta HC3'!$E$12*I178</x:f>
        <x:v>-0.026813682615479693</x:v>
      </x:c>
      <x:c r="K178" s="240" t="n">
        <x:f>H178-J178</x:f>
        <x:v>0.006030301046811702</x:v>
      </x:c>
      <x:c r="L178" s="240" t="n">
        <x:f>I178-'Beta HC3'!$E$9</x:f>
        <x:v>-0.024347007507063763</x:v>
      </x:c>
      <x:c r="M178" s="240" t="n">
        <x:f>1/'Beta HC3'!$E$8+L178^2/'Beta HC3'!$E$11</x:f>
        <x:v>0.0048504841476528626</x:v>
      </x:c>
      <x:c r="N178" s="240" t="n">
        <x:f>K178^2/(1-M178)^2</x:f>
        <x:v>0.000036719885241761593</x:v>
      </x:c>
      <x:c r="O178" s="240" t="n">
        <x:f>N178*L178^2/'Beta HC3'!$E$11^2</x:f>
        <x:v>0.0000010179049290869547</x:v>
      </x:c>
      <x:c r="P178" s="240" t="n">
        <x:f>N178*(1/'Beta HC3'!$E$8-'Beta HC3'!$E$9*L178/'Beta HC3'!$E$11)^2</x:f>
        <x:v>2.913208836547919e-11</x:v>
      </x:c>
      <x:c r="Q178" s="240" t="n">
        <x:f>N178*(1/'Beta HC3'!$E$8-'Beta HC3'!$E$9*L178/'Beta HC3'!$E$11)*L178/'Beta HC3'!$E$11</x:f>
        <x:v>-5.445520759469933e-9</x:v>
      </x:c>
      <x:c r="R178" s="240" t="n">
        <x:f>K178*L178/'Beta HC3'!$E$11</x:f>
        <x:v>-0.0010040190307416975</x:v>
      </x:c>
      <x:c r="S178" s="240" t="n">
        <x:f>(K178-K177)^2</x:f>
        <x:v>0.0000020941648140714996</x:v>
      </x:c>
      <x:c r="T178" s="280" t="n">
        <x:f>E178/$E$9*100</x:f>
        <x:v>90.3652924159756</x:v>
      </x:c>
    </x:row>
    <x:row r="179" ht="24" customHeight="1">
      <x:c r="C179" s="274" t="d">
        <x:v>2022-06-10T00:00:00.000Z</x:v>
      </x:c>
      <x:c r="D179" s="191" t="n">
        <x:v>252.99000549316406</x:v>
      </x:c>
      <x:c r="E179" s="191" t="n">
        <x:v>244.31629943847656</x:v>
      </x:c>
      <x:c r="F179" s="191" t="n">
        <x:v>389.79998779296875</x:v>
      </x:c>
      <x:c r="G179" s="191" t="n">
        <x:v>366.9984130859375</x:v>
      </x:c>
      <x:c r="H179" s="208" t="n">
        <x:f>E179/E178-1</x:f>
        <x:v>-0.04456352822415466</x:v>
      </x:c>
      <x:c r="I179" s="208" t="n">
        <x:f>G179/G178-1</x:f>
        <x:v>-0.02899529007401591</x:v>
      </x:c>
      <x:c r="J179" s="208" t="n">
        <x:f>'Beta HC3'!$E$13+'Beta HC3'!$E$12*I179</x:f>
        <x:v>-0.03269209697857064</x:v>
      </x:c>
      <x:c r="K179" s="240" t="n">
        <x:f>H179-J179</x:f>
        <x:v>-0.01187143124558402</x:v>
      </x:c>
      <x:c r="L179" s="240" t="n">
        <x:f>I179-'Beta HC3'!$E$9</x:f>
        <x:v>-0.02955923769167635</x:v>
      </x:c>
      <x:c r="M179" s="240" t="n">
        <x:f>1/'Beta HC3'!$E$8+L179^2/'Beta HC3'!$E$11</x:f>
        <x:v>0.006771894077343094</x:v>
      </x:c>
      <x:c r="N179" s="240" t="n">
        <x:f>K179^2/(1-M179)^2</x:f>
        <x:v>0.00014285918301442676</x:v>
      </x:c>
      <x:c r="O179" s="240" t="n">
        <x:f>N179*L179^2/'Beta HC3'!$E$11^2</x:f>
        <x:v>0.000005837264121773385</x:v>
      </x:c>
      <x:c r="P179" s="240" t="n">
        <x:f>N179*(1/'Beta HC3'!$E$8-'Beta HC3'!$E$9*L179/'Beta HC3'!$E$11)^2</x:f>
        <x:v>1.1851204321203708e-10</x:v>
      </x:c>
      <x:c r="Q179" s="240" t="n">
        <x:f>N179*(1/'Beta HC3'!$E$8-'Beta HC3'!$E$9*L179/'Beta HC3'!$E$11)*L179/'Beta HC3'!$E$11</x:f>
        <x:v>-2.6301826891675812e-8</x:v>
      </x:c>
      <x:c r="R179" s="240" t="n">
        <x:f>K179*L179/'Beta HC3'!$E$11</x:f>
        <x:v>0.0023996818834108396</x:v>
      </x:c>
      <x:c r="S179" s="240" t="n">
        <x:f>(K179-K178)^2</x:f>
        <x:v>0.0003204720190686038</x:v>
      </x:c>
      <x:c r="T179" s="280" t="n">
        <x:f>E179/$E$9*100</x:f>
        <x:v>86.33829615691228</x:v>
      </x:c>
    </x:row>
    <x:row r="180" ht="24" customHeight="1">
      <x:c r="C180" s="274" t="d">
        <x:v>2022-06-13T00:00:00.000Z</x:v>
      </x:c>
      <x:c r="D180" s="191" t="n">
        <x:v>242.25999450683594</x:v>
      </x:c>
      <x:c r="E180" s="191" t="n">
        <x:v>233.95413208007812</x:v>
      </x:c>
      <x:c r="F180" s="191" t="n">
        <x:v>375</x:v>
      </x:c>
      <x:c r="G180" s="191" t="n">
        <x:v>353.0640563964844</x:v>
      </x:c>
      <x:c r="H180" s="208" t="n">
        <x:f>E180/E179-1</x:f>
        <x:v>-0.04241291875414899</x:v>
      </x:c>
      <x:c r="I180" s="208" t="n">
        <x:f>G180/G179-1</x:f>
        <x:v>-0.03796843853433829</x:v>
      </x:c>
      <x:c r="J180" s="208" t="n">
        <x:f>'Beta HC3'!$E$13+'Beta HC3'!$E$12*I180</x:f>
        <x:v>-0.04281211910403767</x:v>
      </x:c>
      <x:c r="K180" s="240" t="n">
        <x:f>H180-J180</x:f>
        <x:v>0.00039920034988868286</x:v>
      </x:c>
      <x:c r="L180" s="240" t="n">
        <x:f>I180-'Beta HC3'!$E$9</x:f>
        <x:v>-0.03853238615199873</x:v>
      </x:c>
      <x:c r="M180" s="240" t="n">
        <x:f>1/'Beta HC3'!$E$8+L180^2/'Beta HC3'!$E$11</x:f>
        <x:v>0.01095015835530396</x:v>
      </x:c>
      <x:c r="N180" s="240" t="n">
        <x:f>K180^2/(1-M180)^2</x:f>
        <x:v>1.6290914749746877e-7</x:v>
      </x:c>
      <x:c r="O180" s="240" t="n">
        <x:f>N180*L180^2/'Beta HC3'!$E$11^2</x:f>
        <x:v>1.1311286475002832e-8</x:v>
      </x:c>
      <x:c r="P180" s="240" t="n">
        <x:f>N180*(1/'Beta HC3'!$E$8-'Beta HC3'!$E$9*L180/'Beta HC3'!$E$11)^2</x:f>
        <x:v>1.4560939353025322e-13</x:v>
      </x:c>
      <x:c r="Q180" s="240" t="n">
        <x:f>N180*(1/'Beta HC3'!$E$8-'Beta HC3'!$E$9*L180/'Beta HC3'!$E$11)*L180/'Beta HC3'!$E$11</x:f>
        <x:v>-4.058361200869284e-11</x:v>
      </x:c>
      <x:c r="R180" s="240" t="n">
        <x:f>K180*L180/'Beta HC3'!$E$11</x:f>
        <x:v>-0.00010518993302379291</x:v>
      </x:c>
      <x:c r="S180" s="240" t="n">
        <x:f>(K180-K179)^2</x:f>
        <x:v>0.00015056839975181296</x:v>
      </x:c>
      <x:c r="T180" s="280" t="n">
        <x:f>E180/$E$9*100</x:f>
        <x:v>82.67643701663751</x:v>
      </x:c>
    </x:row>
    <x:row r="181" ht="24" customHeight="1">
      <x:c r="C181" s="274" t="d">
        <x:v>2022-06-14T00:00:00.000Z</x:v>
      </x:c>
      <x:c r="D181" s="191" t="n">
        <x:v>244.49000549316406</x:v>
      </x:c>
      <x:c r="E181" s="191" t="n">
        <x:v>236.10769653320312</x:v>
      </x:c>
      <x:c r="F181" s="191" t="n">
        <x:v>373.8699951171875</x:v>
      </x:c>
      <x:c r="G181" s="191" t="n">
        <x:v>352.0001220703125</x:v>
      </x:c>
      <x:c r="H181" s="208" t="n">
        <x:f>E181/E180-1</x:f>
        <x:v>0.009205071241861429</x:v>
      </x:c>
      <x:c r="I181" s="208" t="n">
        <x:f>G181/G180-1</x:f>
        <x:v>-0.0030134314351645264</x:v>
      </x:c>
      <x:c r="J181" s="208" t="n">
        <x:f>'Beta HC3'!$E$13+'Beta HC3'!$E$12*I181</x:f>
        <x:v>-0.0033894519316741254</x:v>
      </x:c>
      <x:c r="K181" s="240" t="n">
        <x:f>H181-J181</x:f>
        <x:v>0.012594523173535554</x:v>
      </x:c>
      <x:c r="L181" s="240" t="n">
        <x:f>I181-'Beta HC3'!$E$9</x:f>
        <x:v>-0.0035773790528249656</x:v>
      </x:c>
      <x:c r="M181" s="240" t="n">
        <x:f>1/'Beta HC3'!$E$8+L181^2/'Beta HC3'!$E$11</x:f>
        <x:v>0.0008843287129613684</x:v>
      </x:c>
      <x:c r="N181" s="240" t="n">
        <x:f>K181^2/(1-M181)^2</x:f>
        <x:v>0.00015890293455590976</x:v>
      </x:c>
      <x:c r="O181" s="240" t="n">
        <x:f>N181*L181^2/'Beta HC3'!$E$11^2</x:f>
        <x:v>9.509913349053877e-8</x:v>
      </x:c>
      <x:c r="P181" s="240" t="n">
        <x:f>N181*(1/'Beta HC3'!$E$8-'Beta HC3'!$E$9*L181/'Beta HC3'!$E$11)^2</x:f>
        <x:v>1.0441304475773256e-10</x:v>
      </x:c>
      <x:c r="Q181" s="240" t="n">
        <x:f>N181*(1/'Beta HC3'!$E$8-'Beta HC3'!$E$9*L181/'Beta HC3'!$E$11)*L181/'Beta HC3'!$E$11</x:f>
        <x:v>-3.1511252088054528e-9</x:v>
      </x:c>
      <x:c r="R181" s="240" t="n">
        <x:f>K181*L181/'Beta HC3'!$E$11</x:f>
        <x:v>-0.0003081087633822818</x:v>
      </x:c>
      <x:c r="S181" s="240" t="n">
        <x:f>(K181-K180)^2</x:f>
        <x:v>0.0001487258987729623</x:v>
      </x:c>
      <x:c r="T181" s="280" t="n">
        <x:f>E181/$E$9*100</x:f>
        <x:v>83.43747950939893</x:v>
      </x:c>
    </x:row>
    <x:row r="182" ht="24" customHeight="1">
      <x:c r="C182" s="274" t="d">
        <x:v>2022-06-15T00:00:00.000Z</x:v>
      </x:c>
      <x:c r="D182" s="191" t="n">
        <x:v>251.75999450683594</x:v>
      </x:c>
      <x:c r="E182" s="191" t="n">
        <x:v>243.1284637451172</x:v>
      </x:c>
      <x:c r="F182" s="191" t="n">
        <x:v>379.20001220703125</x:v>
      </x:c>
      <x:c r="G182" s="191" t="n">
        <x:v>357.0184020996094</x:v>
      </x:c>
      <x:c r="H182" s="208" t="n">
        <x:f>E182/E181-1</x:f>
        <x:v>0.02973544410030171</x:v>
      </x:c>
      <x:c r="I182" s="208" t="n">
        <x:f>G182/G181-1</x:f>
        <x:v>0.014256472411945609</x:v>
      </x:c>
      <x:c r="J182" s="208" t="n">
        <x:f>'Beta HC3'!$E$13+'Beta HC3'!$E$12*I182</x:f>
        <x:v>0.016087748274056526</x:v>
      </x:c>
      <x:c r="K182" s="240" t="n">
        <x:f>H182-J182</x:f>
        <x:v>0.013647695826245185</x:v>
      </x:c>
      <x:c r="L182" s="240" t="n">
        <x:f>I182-'Beta HC3'!$E$9</x:f>
        <x:v>0.01369252479428517</x:v>
      </x:c>
      <x:c r="M182" s="240" t="n">
        <x:f>1/'Beta HC3'!$E$8+L182^2/'Beta HC3'!$E$11</x:f>
        <x:v>0.002078920227570635</x:v>
      </x:c>
      <x:c r="N182" s="240" t="n">
        <x:f>K182^2/(1-M182)^2</x:f>
        <x:v>0.00018703646077428238</x:v>
      </x:c>
      <x:c r="O182" s="240" t="n">
        <x:f>N182*L182^2/'Beta HC3'!$E$11^2</x:f>
        <x:v>0.0000016398649019065942</x:v>
      </x:c>
      <x:c r="P182" s="240" t="n">
        <x:f>N182*(1/'Beta HC3'!$E$8-'Beta HC3'!$E$9*L182/'Beta HC3'!$E$11)^2</x:f>
        <x:v>1.0353341475737379e-10</x:v>
      </x:c>
      <x:c r="Q182" s="240" t="n">
        <x:f>N182*(1/'Beta HC3'!$E$8-'Beta HC3'!$E$9*L182/'Beta HC3'!$E$11)*L182/'Beta HC3'!$E$11</x:f>
        <x:v>1.3029996662898862e-8</x:v>
      </x:c>
      <x:c r="R182" s="240" t="n">
        <x:f>K182*L182/'Beta HC3'!$E$11</x:f>
        <x:v>0.001277909892216142</x:v>
      </x:c>
      <x:c r="S182" s="240" t="n">
        <x:f>(K182-K181)^2</x:f>
        <x:v>0.0000011091726364154408</x:v>
      </x:c>
      <x:c r="T182" s="280" t="n">
        <x:f>E182/$E$9*100</x:f>
        <x:v>85.91853001722073</x:v>
      </x:c>
    </x:row>
    <x:row r="183" ht="24" customHeight="1">
      <x:c r="C183" s="274" t="d">
        <x:v>2022-06-16T00:00:00.000Z</x:v>
      </x:c>
      <x:c r="D183" s="191" t="n">
        <x:v>244.97000122070312</x:v>
      </x:c>
      <x:c r="E183" s="191" t="n">
        <x:v>236.57125854492188</x:v>
      </x:c>
      <x:c r="F183" s="191" t="n">
        <x:v>366.6499938964844</x:v>
      </x:c>
      <x:c r="G183" s="191" t="n">
        <x:v>345.2025451660156</x:v>
      </x:c>
      <x:c r="H183" s="208" t="n">
        <x:f>E183/E182-1</x:f>
        <x:v>-0.026970125583771765</x:v>
      </x:c>
      <x:c r="I183" s="208" t="n">
        <x:f>G183/G182-1</x:f>
        <x:v>-0.03309593249004872</x:v>
      </x:c>
      <x:c r="J183" s="208" t="n">
        <x:f>'Beta HC3'!$E$13+'Beta HC3'!$E$12*I183</x:f>
        <x:v>-0.03731684961276362</x:v>
      </x:c>
      <x:c r="K183" s="240" t="n">
        <x:f>H183-J183</x:f>
        <x:v>0.010346724028991852</x:v>
      </x:c>
      <x:c r="L183" s="240" t="n">
        <x:f>I183-'Beta HC3'!$E$9</x:f>
        <x:v>-0.03365988010770916</x:v>
      </x:c>
      <x:c r="M183" s="240" t="n">
        <x:f>1/'Beta HC3'!$E$8+L183^2/'Beta HC3'!$E$11</x:f>
        <x:v>0.008544685705533869</x:v>
      </x:c>
      <x:c r="N183" s="240" t="n">
        <x:f>K183^2/(1-M183)^2</x:f>
        <x:v>0.00010890791438368317</x:v>
      </x:c>
      <x:c r="O183" s="240" t="n">
        <x:f>N183*L183^2/'Beta HC3'!$E$11^2</x:f>
        <x:v>0.000005770311967153557</x:v>
      </x:c>
      <x:c r="P183" s="240" t="n">
        <x:f>N183*(1/'Beta HC3'!$E$8-'Beta HC3'!$E$9*L183/'Beta HC3'!$E$11)^2</x:f>
        <x:v>9.351160465452931e-11</x:v>
      </x:c>
      <x:c r="Q183" s="240" t="n">
        <x:f>N183*(1/'Beta HC3'!$E$8-'Beta HC3'!$E$9*L183/'Beta HC3'!$E$11)*L183/'Beta HC3'!$E$11</x:f>
        <x:v>-2.322910095991153e-8</x:v>
      </x:c>
      <x:c r="R183" s="240" t="n">
        <x:f>K183*L183/'Beta HC3'!$E$11</x:f>
        <x:v>-0.00238162177156845</x:v>
      </x:c>
      <x:c r="S183" s="240" t="n">
        <x:f>(K183-K182)^2</x:f>
        <x:v>0.000010896414806261897</x:v>
      </x:c>
      <x:c r="T183" s="280" t="n">
        <x:f>E183/$E$9*100</x:f>
        <x:v>83.60129647268323</x:v>
      </x:c>
    </x:row>
    <x:row r="184" ht="24" customHeight="1">
      <x:c r="C184" s="274" t="d">
        <x:v>2022-06-17T00:00:00.000Z</x:v>
      </x:c>
      <x:c r="D184" s="191" t="n">
        <x:v>247.64999389648438</x:v>
      </x:c>
      <x:c r="E184" s="191" t="n">
        <x:v>239.15936279296875</x:v>
      </x:c>
      <x:c r="F184" s="191" t="n">
        <x:v>365.8599853515625</x:v>
      </x:c>
      <x:c r="G184" s="191" t="n">
        <x:v>345.9466857910156</x:v>
      </x:c>
      <x:c r="H184" s="208" t="n">
        <x:f>E184/E183-1</x:f>
        <x:v>0.010940062051347788</x:v>
      </x:c>
      <x:c r="I184" s="208" t="n">
        <x:f>G184/G183-1</x:f>
        <x:v>0.002155663784698225</x:v>
      </x:c>
      <x:c r="J184" s="208" t="n">
        <x:f>'Beta HC3'!$E$13+'Beta HC3'!$E$12*I184</x:f>
        <x:v>0.0024403143120215135</x:v>
      </x:c>
      <x:c r="K184" s="240" t="n">
        <x:f>H184-J184</x:f>
        <x:v>0.008499747739326274</x:v>
      </x:c>
      <x:c r="L184" s="240" t="n">
        <x:f>I184-'Beta HC3'!$E$9</x:f>
        <x:v>0.001591716167037786</x:v>
      </x:c>
      <x:c r="M184" s="240" t="n">
        <x:f>1/'Beta HC3'!$E$8+L184^2/'Beta HC3'!$E$11</x:f>
        <x:v>0.0008141383622777855</x:v>
      </x:c>
      <x:c r="N184" s="240" t="n">
        <x:f>K184^2/(1-M184)^2</x:f>
        <x:v>0.00007236349145696754</x:v>
      </x:c>
      <x:c r="O184" s="240" t="n">
        <x:f>N184*L184^2/'Beta HC3'!$E$11^2</x:f>
        <x:v>8.57364486990118e-9</x:v>
      </x:c>
      <x:c r="P184" s="240" t="n">
        <x:f>N184*(1/'Beta HC3'!$E$8-'Beta HC3'!$E$9*L184/'Beta HC3'!$E$11)^2</x:f>
        <x:v>4.5239178531380956e-11</x:v>
      </x:c>
      <x:c r="Q184" s="240" t="n">
        <x:f>N184*(1/'Beta HC3'!$E$8-'Beta HC3'!$E$9*L184/'Beta HC3'!$E$11)*L184/'Beta HC3'!$E$11</x:f>
        <x:v>6.227878057044132e-10</x:v>
      </x:c>
      <x:c r="R184" s="240" t="n">
        <x:f>K184*L184/'Beta HC3'!$E$11</x:f>
        <x:v>0.00009251859427330876</x:v>
      </x:c>
      <x:c r="S184" s="240" t="n">
        <x:f>(K184-K183)^2</x:f>
        <x:v>0.0000034113214145868255</x:v>
      </x:c>
      <x:c r="T184" s="280" t="n">
        <x:f>E184/$E$9*100</x:f>
        <x:v>84.5158998436675</x:v>
      </x:c>
    </x:row>
    <x:row r="185" ht="24" customHeight="1">
      <x:c r="C185" s="274" t="d">
        <x:v>2022-06-21T00:00:00.000Z</x:v>
      </x:c>
      <x:c r="D185" s="191" t="n">
        <x:v>253.74000549316406</x:v>
      </x:c>
      <x:c r="E185" s="191" t="n">
        <x:v>245.0405731201172</x:v>
      </x:c>
      <x:c r="F185" s="191" t="n">
        <x:v>375.07000732421875</x:v>
      </x:c>
      <x:c r="G185" s="191" t="n">
        <x:v>354.6553649902344</x:v>
      </x:c>
      <x:c r="H185" s="208" t="n">
        <x:f>E185/E184-1</x:f>
        <x:v>0.0245911774411256</x:v>
      </x:c>
      <x:c r="I185" s="208" t="n">
        <x:f>G185/G184-1</x:f>
        <x:v>0.02517347197388564</x:v>
      </x:c>
      <x:c r="J185" s="208" t="n">
        <x:f>'Beta HC3'!$E$13+'Beta HC3'!$E$12*I185</x:f>
        <x:v>0.028400068481291542</x:v>
      </x:c>
      <x:c r="K185" s="240" t="n">
        <x:f>H185-J185</x:f>
        <x:v>-0.0038088910401659418</x:v>
      </x:c>
      <x:c r="L185" s="240" t="n">
        <x:f>I185-'Beta HC3'!$E$9</x:f>
        <x:v>0.024609524356225203</x:v>
      </x:c>
      <x:c r="M185" s="240" t="n">
        <x:f>1/'Beta HC3'!$E$8+L185^2/'Beta HC3'!$E$11</x:f>
        <x:v>0.004938371258662149</x:v>
      </x:c>
      <x:c r="N185" s="240" t="n">
        <x:f>K185^2/(1-M185)^2</x:f>
        <x:v>0.00001465200773764767</x:v>
      </x:c>
      <x:c r="O185" s="240" t="n">
        <x:f>N185*L185^2/'Beta HC3'!$E$11^2</x:f>
        <x:v>4.1497152992382353e-7</x:v>
      </x:c>
      <x:c r="P185" s="240" t="n">
        <x:f>N185*(1/'Beta HC3'!$E$8-'Beta HC3'!$E$9*L185/'Beta HC3'!$E$11)^2</x:f>
        <x:v>7.218624320922161e-12</x:v>
      </x:c>
      <x:c r="Q185" s="240" t="n">
        <x:f>N185*(1/'Beta HC3'!$E$8-'Beta HC3'!$E$9*L185/'Beta HC3'!$E$11)*L185/'Beta HC3'!$E$11</x:f>
        <x:v>1.7307580935527617e-9</x:v>
      </x:c>
      <x:c r="R185" s="240" t="n">
        <x:f>K185*L185/'Beta HC3'!$E$11</x:f>
        <x:v>-0.000641001624875762</x:v>
      </x:c>
      <x:c r="S185" s="240" t="n">
        <x:f>(K185-K184)^2</x:f>
        <x:v>0.0001515025886040196</x:v>
      </x:c>
      <x:c r="T185" s="280" t="n">
        <x:f>E185/$E$9*100</x:f>
        <x:v>86.59424533331953</x:v>
      </x:c>
    </x:row>
    <x:row r="186" ht="24" customHeight="1">
      <x:c r="C186" s="274" t="d">
        <x:v>2022-06-22T00:00:00.000Z</x:v>
      </x:c>
      <x:c r="D186" s="191" t="n">
        <x:v>253.1300048828125</x:v>
      </x:c>
      <x:c r="E186" s="191" t="n">
        <x:v>244.45152282714844</x:v>
      </x:c>
      <x:c r="F186" s="191" t="n">
        <x:v>374.3900146484375</x:v>
      </x:c>
      <x:c r="G186" s="191" t="n">
        <x:v>354.0124206542969</x:v>
      </x:c>
      <x:c r="H186" s="208" t="n">
        <x:f>E186/E185-1</x:f>
        <x:v>-0.002403888815098343</x:v>
      </x:c>
      <x:c r="I186" s="208" t="n">
        <x:f>G186/G185-1</x:f>
        <x:v>-0.0018128707455340454</x:v>
      </x:c>
      <x:c r="J186" s="208" t="n">
        <x:f>'Beta HC3'!$E$13+'Beta HC3'!$E$12*I186</x:f>
        <x:v>-0.0020354454983970904</x:v>
      </x:c>
      <x:c r="K186" s="240" t="n">
        <x:f>H186-J186</x:f>
        <x:v>-0.00036844331670125244</x:v>
      </x:c>
      <x:c r="L186" s="240" t="n">
        <x:f>I186-'Beta HC3'!$E$9</x:f>
        <x:v>-0.0023768183631944846</x:v>
      </x:c>
      <x:c r="M186" s="240" t="n">
        <x:f>1/'Beta HC3'!$E$8+L186^2/'Beta HC3'!$E$11</x:f>
        <x:v>0.0008354449409050876</x:v>
      </x:c>
      <x:c r="N186" s="240" t="n">
        <x:f>K186^2/(1-M186)^2</x:f>
        <x:v>1.3597758628686122e-7</x:v>
      </x:c>
      <x:c r="O186" s="240" t="n">
        <x:f>N186*L186^2/'Beta HC3'!$E$11^2</x:f>
        <x:v>3.592311916467717e-11</x:v>
      </x:c>
      <x:c r="P186" s="240" t="n">
        <x:f>N186*(1/'Beta HC3'!$E$8-'Beta HC3'!$E$9*L186/'Beta HC3'!$E$11)^2</x:f>
        <x:v>8.833133393459957e-14</x:v>
      </x:c>
      <x:c r="Q186" s="240" t="n">
        <x:f>N186*(1/'Beta HC3'!$E$8-'Beta HC3'!$E$9*L186/'Beta HC3'!$E$11)*L186/'Beta HC3'!$E$11</x:f>
        <x:v>-1.781330130803247e-12</x:v>
      </x:c>
      <x:c r="R186" s="240" t="n">
        <x:f>K186*L186/'Beta HC3'!$E$11</x:f>
        <x:v>0.000005988582525234036</x:v>
      </x:c>
      <x:c r="S186" s="240" t="n">
        <x:f>(K186-K185)^2</x:f>
        <x:v>0.000011836680537893364</x:v>
      </x:c>
      <x:c r="T186" s="280" t="n">
        <x:f>E186/$E$9*100</x:f>
        <x:v>86.38608239551088</x:v>
      </x:c>
    </x:row>
    <x:row r="187" ht="24" customHeight="1">
      <x:c r="C187" s="274" t="d">
        <x:v>2022-06-23T00:00:00.000Z</x:v>
      </x:c>
      <x:c r="D187" s="191" t="n">
        <x:v>258.8599853515625</x:v>
      </x:c>
      <x:c r="E187" s="191" t="n">
        <x:v>249.98501586914062</x:v>
      </x:c>
      <x:c r="F187" s="191" t="n">
        <x:v>378.05999755859375</x:v>
      </x:c>
      <x:c r="G187" s="191" t="n">
        <x:v>357.482666015625</x:v>
      </x:c>
      <x:c r="H187" s="208" t="n">
        <x:f>E187/E186-1</x:f>
        <x:v>0.022636361508391767</x:v>
      </x:c>
      <x:c r="I187" s="208" t="n">
        <x:f>G187/G186-1</x:f>
        <x:v>0.009802609057937284</x:v>
      </x:c>
      <x:c r="J187" s="208" t="n">
        <x:f>'Beta HC3'!$E$13+'Beta HC3'!$E$12*I187</x:f>
        <x:v>0.011064628921281247</x:v>
      </x:c>
      <x:c r="K187" s="240" t="n">
        <x:f>H187-J187</x:f>
        <x:v>0.01157173258711052</x:v>
      </x:c>
      <x:c r="L187" s="240" t="n">
        <x:f>I187-'Beta HC3'!$E$9</x:f>
        <x:v>0.009238661440276845</x:v>
      </x:c>
      <x:c r="M187" s="240" t="n">
        <x:f>1/'Beta HC3'!$E$8+L187^2/'Beta HC3'!$E$11</x:f>
        <x:v>0.0013804936274423598</x:v>
      </x:c>
      <x:c r="N187" s="240" t="n">
        <x:f>K187^2/(1-M187)^2</x:f>
        <x:v>0.00013427547203735416</x:v>
      </x:c>
      <x:c r="O187" s="240" t="n">
        <x:f>N187*L187^2/'Beta HC3'!$E$11^2</x:f>
        <x:v>5.359564663991189e-7</x:v>
      </x:c>
      <x:c r="P187" s="240" t="n">
        <x:f>N187*(1/'Beta HC3'!$E$8-'Beta HC3'!$E$9*L187/'Beta HC3'!$E$11)^2</x:f>
        <x:v>7.779927651632883e-11</x:v>
      </x:c>
      <x:c r="Q187" s="240" t="n">
        <x:f>N187*(1/'Beta HC3'!$E$8-'Beta HC3'!$E$9*L187/'Beta HC3'!$E$11)*L187/'Beta HC3'!$E$11</x:f>
        <x:v>6.4573233874492895e-9</x:v>
      </x:c>
      <x:c r="R187" s="240" t="n">
        <x:f>K187*L187/'Beta HC3'!$E$11</x:f>
        <x:v>0.0007310798306833779</x:v>
      </x:c>
      <x:c r="S187" s="240" t="n">
        <x:f>(K187-K186)^2</x:f>
        <x:v>0.00014256780061396729</x:v>
      </x:c>
      <x:c r="T187" s="280" t="n">
        <x:f>E187/$E$9*100</x:f>
        <x:v>88.34154898590937</x:v>
      </x:c>
    </x:row>
    <x:row r="188" ht="24" customHeight="1">
      <x:c r="C188" s="274" t="d">
        <x:v>2022-06-24T00:00:00.000Z</x:v>
      </x:c>
      <x:c r="D188" s="191" t="n">
        <x:v>267.70001220703125</x:v>
      </x:c>
      <x:c r="E188" s="191" t="n">
        <x:v>258.5220031738281</x:v>
      </x:c>
      <x:c r="F188" s="191" t="n">
        <x:v>390.0799865722656</x:v>
      </x:c>
      <x:c r="G188" s="191" t="n">
        <x:v>368.8484191894531</x:v>
      </x:c>
      <x:c r="H188" s="208" t="n">
        <x:f>E188/E187-1</x:f>
        <x:v>0.03414999605078872</x:v>
      </x:c>
      <x:c r="I188" s="208" t="n">
        <x:f>G188/G187-1</x:f>
        <x:v>0.03179385814844338</x:v>
      </x:c>
      <x:c r="J188" s="208" t="n">
        <x:f>'Beta HC3'!$E$13+'Beta HC3'!$E$12*I188</x:f>
        <x:v>0.035866617693300594</x:v>
      </x:c>
      <x:c r="K188" s="240" t="n">
        <x:f>H188-J188</x:f>
        <x:v>-0.0017166216425118716</x:v>
      </x:c>
      <x:c r="L188" s="240" t="n">
        <x:f>I188-'Beta HC3'!$E$9</x:f>
        <x:v>0.031229910530782938</x:v>
      </x:c>
      <x:c r="M188" s="240" t="n">
        <x:f>1/'Beta HC3'!$E$8+L188^2/'Beta HC3'!$E$11</x:f>
        <x:v>0.0074663982056632095</x:v>
      </x:c>
      <x:c r="N188" s="240" t="n">
        <x:f>K188^2/(1-M188)^2</x:f>
        <x:v>0.0000029912914539993763</x:v>
      </x:c>
      <x:c r="O188" s="240" t="n">
        <x:f>N188*L188^2/'Beta HC3'!$E$11^2</x:f>
        <x:v>1.3643158767618743e-7</x:v>
      </x:c>
      <x:c r="P188" s="240" t="n">
        <x:f>N188*(1/'Beta HC3'!$E$8-'Beta HC3'!$E$9*L188/'Beta HC3'!$E$11)^2</x:f>
        <x:v>1.3684606532665714e-12</x:v>
      </x:c>
      <x:c r="Q188" s="240" t="n">
        <x:f>N188*(1/'Beta HC3'!$E$8-'Beta HC3'!$E$9*L188/'Beta HC3'!$E$11)*L188/'Beta HC3'!$E$11</x:f>
        <x:v>4.320894115776861e-10</x:v>
      </x:c>
      <x:c r="R188" s="240" t="n">
        <x:f>K188*L188/'Beta HC3'!$E$11</x:f>
        <x:v>-0.0003666086308572149</x:v>
      </x:c>
      <x:c r="S188" s="240" t="n">
        <x:f>(K188-K187)^2</x:f>
        <x:v>0.00017658035813192328</x:v>
      </x:c>
      <x:c r="T188" s="280" t="n">
        <x:f>E188/$E$9*100</x:f>
        <x:v>91.35841253489872</x:v>
      </x:c>
    </x:row>
    <x:row r="189" ht="24" customHeight="1">
      <x:c r="C189" s="274" t="d">
        <x:v>2022-06-27T00:00:00.000Z</x:v>
      </x:c>
      <x:c r="D189" s="191" t="n">
        <x:v>264.8900146484375</x:v>
      </x:c>
      <x:c r="E189" s="191" t="n">
        <x:v>255.80833435058594</x:v>
      </x:c>
      <x:c r="F189" s="191" t="n">
        <x:v>388.5899963378906</x:v>
      </x:c>
      <x:c r="G189" s="191" t="n">
        <x:v>367.43951416015625</x:v>
      </x:c>
      <x:c r="H189" s="208" t="n">
        <x:f>E189/E188-1</x:f>
        <x:v>-0.010496858255494512</x:v>
      </x:c>
      <x:c r="I189" s="208" t="n">
        <x:f>G189/G188-1</x:f>
        <x:v>-0.0038197399148217626</x:v>
      </x:c>
      <x:c r="J189" s="208" t="n">
        <x:f>'Beta HC3'!$E$13+'Beta HC3'!$E$12*I189</x:f>
        <x:v>-0.004298816096344343</x:v>
      </x:c>
      <x:c r="K189" s="240" t="n">
        <x:f>H189-J189</x:f>
        <x:v>-0.00619804215915017</x:v>
      </x:c>
      <x:c r="L189" s="240" t="n">
        <x:f>I189-'Beta HC3'!$E$9</x:f>
        <x:v>-0.004383687532482202</x:v>
      </x:c>
      <x:c r="M189" s="240" t="n">
        <x:f>1/'Beta HC3'!$E$8+L189^2/'Beta HC3'!$E$11</x:f>
        <x:v>0.0009282252079936407</x:v>
      </x:c>
      <x:c r="N189" s="240" t="n">
        <x:f>K189^2/(1-M189)^2</x:f>
        <x:v>0.000038487142918483356</x:v>
      </x:c>
      <x:c r="O189" s="240" t="n">
        <x:f>N189*L189^2/'Beta HC3'!$E$11^2</x:f>
        <x:v>3.458673575444909e-8</x:v>
      </x:c>
      <x:c r="P189" s="240" t="n">
        <x:f>N189*(1/'Beta HC3'!$E$8-'Beta HC3'!$E$9*L189/'Beta HC3'!$E$11)^2</x:f>
        <x:v>2.5483795082022308e-11</x:v>
      </x:c>
      <x:c r="Q189" s="240" t="n">
        <x:f>N189*(1/'Beta HC3'!$E$8-'Beta HC3'!$E$9*L189/'Beta HC3'!$E$11)*L189/'Beta HC3'!$E$11</x:f>
        <x:v>-9.388297430963906e-10</x:v>
      </x:c>
      <x:c r="R189" s="240" t="n">
        <x:f>K189*L189/'Beta HC3'!$E$11</x:f>
        <x:v>0.000185802467675949</x:v>
      </x:c>
      <x:c r="S189" s="240" t="n">
        <x:f>(K189-K188)^2</x:f>
        <x:v>0.00002008312984694667</x:v>
      </x:c>
      <x:c r="T189" s="280" t="n">
        <x:f>E189/$E$9*100</x:f>
        <x:v>90.3994362280729</x:v>
      </x:c>
    </x:row>
    <x:row r="190" ht="24" customHeight="1">
      <x:c r="C190" s="274" t="d">
        <x:v>2022-06-28T00:00:00.000Z</x:v>
      </x:c>
      <x:c r="D190" s="191" t="n">
        <x:v>256.4800109863281</x:v>
      </x:c>
      <x:c r="E190" s="191" t="n">
        <x:v>247.6866455078125</x:v>
      </x:c>
      <x:c r="F190" s="191" t="n">
        <x:v>380.6499938964844</x:v>
      </x:c>
      <x:c r="G190" s="191" t="n">
        <x:v>359.931640625</x:v>
      </x:c>
      <x:c r="H190" s="208" t="n">
        <x:f>E190/E189-1</x:f>
        <x:v>-0.03174911741398789</x:v>
      </x:c>
      <x:c r="I190" s="208" t="n">
        <x:f>G190/G189-1</x:f>
        <x:v>-0.020432950855372</x:v>
      </x:c>
      <x:c r="J190" s="208" t="n">
        <x:f>'Beta HC3'!$E$13+'Beta HC3'!$E$12*I190</x:f>
        <x:v>-0.02303539033634962</x:v>
      </x:c>
      <x:c r="K190" s="240" t="n">
        <x:f>H190-J190</x:f>
        <x:v>-0.008713727077638272</x:v>
      </x:c>
      <x:c r="L190" s="240" t="n">
        <x:f>I190-'Beta HC3'!$E$9</x:f>
        <x:v>-0.02099689847303244</x:v>
      </x:c>
      <x:c r="M190" s="240" t="n">
        <x:f>1/'Beta HC3'!$E$8+L190^2/'Beta HC3'!$E$11</x:f>
        <x:v>0.003811676276963943</x:v>
      </x:c>
      <x:c r="N190" s="240" t="n">
        <x:f>K190^2/(1-M190)^2</x:f>
        <x:v>0.000076511199812322</x:v>
      </x:c>
      <x:c r="O190" s="240" t="n">
        <x:f>N190*L190^2/'Beta HC3'!$E$11^2</x:f>
        <x:v>0.0000015774297664374348</x:v>
      </x:c>
      <x:c r="P190" s="240" t="n">
        <x:f>N190*(1/'Beta HC3'!$E$8-'Beta HC3'!$E$9*L190/'Beta HC3'!$E$11)^2</x:f>
        <x:v>5.89527545018539e-11</x:v>
      </x:c>
      <x:c r="Q190" s="240" t="n">
        <x:f>N190*(1/'Beta HC3'!$E$8-'Beta HC3'!$E$9*L190/'Beta HC3'!$E$11)*L190/'Beta HC3'!$E$11</x:f>
        <x:v>-9.643330843889098e-9</x:v>
      </x:c>
      <x:c r="R190" s="240" t="n">
        <x:f>K190*L190/'Beta HC3'!$E$11</x:f>
        <x:v>0.0012511704046533235</x:v>
      </x:c>
      <x:c r="S190" s="240" t="n">
        <x:f>(K190-K189)^2</x:f>
        <x:v>0.000006328670609108489</x:v>
      </x:c>
      <x:c r="T190" s="280" t="n">
        <x:f>E190/$E$9*100</x:f>
        <x:v>87.5293339131095</x:v>
      </x:c>
    </x:row>
    <x:row r="191" ht="24" customHeight="1">
      <x:c r="C191" s="274" t="d">
        <x:v>2022-06-29T00:00:00.000Z</x:v>
      </x:c>
      <x:c r="D191" s="191" t="n">
        <x:v>260.260009765625</x:v>
      </x:c>
      <x:c r="E191" s="191" t="n">
        <x:v>251.3370819091797</x:v>
      </x:c>
      <x:c r="F191" s="191" t="n">
        <x:v>380.3399963378906</x:v>
      </x:c>
      <x:c r="G191" s="191" t="n">
        <x:v>359.6385803222656</x:v>
      </x:c>
      <x:c r="H191" s="208" t="n">
        <x:f>E191/E190-1</x:f>
        <x:v>0.01473812362343141</x:v>
      </x:c>
      <x:c r="I191" s="208" t="n">
        <x:f>G191/G190-1</x:f>
        <x:v>-0.00081421100469381</x:v>
      </x:c>
      <x:c r="J191" s="208" t="n">
        <x:f>'Beta HC3'!$E$13+'Beta HC3'!$E$12*I191</x:f>
        <x:v>-0.0009091453242937349</x:v>
      </x:c>
      <x:c r="K191" s="240" t="n">
        <x:f>H191-J191</x:f>
        <x:v>0.015647268947725144</x:v>
      </x:c>
      <x:c r="L191" s="240" t="n">
        <x:f>I191-'Beta HC3'!$E$9</x:f>
        <x:v>-0.0013781586223542493</x:v>
      </x:c>
      <x:c r="M191" s="240" t="n">
        <x:f>1/'Beta HC3'!$E$8+L191^2/'Beta HC3'!$E$11</x:f>
        <x:v>0.0008098011525796778</x:v>
      </x:c>
      <x:c r="N191" s="240" t="n">
        <x:f>K191^2/(1-M191)^2</x:f>
        <x:v>0.0002452340463301137</x:v>
      </x:c>
      <x:c r="O191" s="240" t="n">
        <x:f>N191*L191^2/'Beta HC3'!$E$11^2</x:f>
        <x:v>2.1781806717069794e-8</x:v>
      </x:c>
      <x:c r="P191" s="240" t="n">
        <x:f>N191*(1/'Beta HC3'!$E$8-'Beta HC3'!$E$9*L191/'Beta HC3'!$E$11)^2</x:f>
        <x:v>1.577857360974796e-10</x:v>
      </x:c>
      <x:c r="Q191" s="240" t="n">
        <x:f>N191*(1/'Beta HC3'!$E$8-'Beta HC3'!$E$9*L191/'Beta HC3'!$E$11)*L191/'Beta HC3'!$E$11</x:f>
        <x:v>-1.8538765887690267e-9</x:v>
      </x:c>
      <x:c r="R191" s="240" t="n">
        <x:f>K191*L191/'Beta HC3'!$E$11</x:f>
        <x:v>-0.00014746709170770242</x:v>
      </x:c>
      <x:c r="S191" s="240" t="n">
        <x:f>(K191-K190)^2</x:f>
        <x:v>0.0005934581273477721</x:v>
      </x:c>
      <x:c r="T191" s="280" t="n">
        <x:f>E191/$E$9*100</x:f>
        <x:v>88.81935205699752</x:v>
      </x:c>
    </x:row>
    <x:row r="192" ht="24" customHeight="1">
      <x:c r="C192" s="274" t="d">
        <x:v>2022-06-30T00:00:00.000Z</x:v>
      </x:c>
      <x:c r="D192" s="191" t="n">
        <x:v>256.8299865722656</x:v>
      </x:c>
      <x:c r="E192" s="191" t="n">
        <x:v>248.02462768554688</x:v>
      </x:c>
      <x:c r="F192" s="191" t="n">
        <x:v>377.25</x:v>
      </x:c>
      <x:c r="G192" s="191" t="n">
        <x:v>356.716796875</x:v>
      </x:c>
      <x:c r="H192" s="208" t="n">
        <x:f>E192/E191-1</x:f>
        <x:v>-0.013179329522214123</x:v>
      </x:c>
      <x:c r="I192" s="208" t="n">
        <x:f>G192/G191-1</x:f>
        <x:v>-0.008124221390951591</x:v>
      </x:c>
      <x:c r="J192" s="208" t="n">
        <x:f>'Beta HC3'!$E$13+'Beta HC3'!$E$12*I192</x:f>
        <x:v>-0.009153460814384794</x:v>
      </x:c>
      <x:c r="K192" s="240" t="n">
        <x:f>H192-J192</x:f>
        <x:v>-0.004025868707829328</x:v>
      </x:c>
      <x:c r="L192" s="240" t="n">
        <x:f>I192-'Beta HC3'!$E$9</x:f>
        <x:v>-0.00868816900861203</x:v>
      </x:c>
      <x:c r="M192" s="240" t="n">
        <x:f>1/'Beta HC3'!$E$8+L192^2/'Beta HC3'!$E$11</x:f>
        <x:v>0.0013130078547315756</x:v>
      </x:c>
      <x:c r="N192" s="240" t="n">
        <x:f>K192^2/(1-M192)^2</x:f>
        <x:v>0.00001625026428669211</x:v>
      </x:c>
      <x:c r="O192" s="240" t="n">
        <x:f>N192*L192^2/'Beta HC3'!$E$11^2</x:f>
        <x:v>5.736297572609444e-8</x:v>
      </x:c>
      <x:c r="P192" s="240" t="n">
        <x:f>N192*(1/'Beta HC3'!$E$8-'Beta HC3'!$E$9*L192/'Beta HC3'!$E$11)^2</x:f>
        <x:v>1.1203410868564694e-11</x:v>
      </x:c>
      <x:c r="Q192" s="240" t="n">
        <x:f>N192*(1/'Beta HC3'!$E$8-'Beta HC3'!$E$9*L192/'Beta HC3'!$E$11)*L192/'Beta HC3'!$E$11</x:f>
        <x:v>-8.016613909269545e-10</x:v>
      </x:c>
      <x:c r="R192" s="240" t="n">
        <x:f>K192*L192/'Beta HC3'!$E$11</x:f>
        <x:v>0.00023919121753081002</x:v>
      </x:c>
      <x:c r="S192" s="240" t="n">
        <x:f>(K192-K191)^2</x:f>
        <x:v>0.0003870323452143953</x:v>
      </x:c>
      <x:c r="T192" s="280" t="n">
        <x:f>E192/$E$9*100</x:f>
        <x:v>87.6487725482888</x:v>
      </x:c>
    </x:row>
    <x:row r="193" ht="24" customHeight="1">
      <x:c r="C193" s="274" t="d">
        <x:v>2022-07-01T00:00:00.000Z</x:v>
      </x:c>
      <x:c r="D193" s="191" t="n">
        <x:v>259.5799865722656</x:v>
      </x:c>
      <x:c r="E193" s="191" t="n">
        <x:v>250.68038940429688</x:v>
      </x:c>
      <x:c r="F193" s="191" t="n">
        <x:v>381.239990234375</x:v>
      </x:c>
      <x:c r="G193" s="191" t="n">
        <x:v>360.48956298828125</x:v>
      </x:c>
      <x:c r="H193" s="208" t="n">
        <x:f>E193/E192-1</x:f>
        <x:v>0.010707653282387097</x:v>
      </x:c>
      <x:c r="I193" s="208" t="n">
        <x:f>G193/G192-1</x:f>
        <x:v>0.01057636238700388</x:v>
      </x:c>
      <x:c r="J193" s="208" t="n">
        <x:f>'Beta HC3'!$E$13+'Beta HC3'!$E$12*I193</x:f>
        <x:v>0.011937277005109607</x:v>
      </x:c>
      <x:c r="K193" s="240" t="n">
        <x:f>H193-J193</x:f>
        <x:v>-0.0012296237227225094</x:v>
      </x:c>
      <x:c r="L193" s="240" t="n">
        <x:f>I193-'Beta HC3'!$E$9</x:f>
        <x:v>0.01001241476934344</x:v>
      </x:c>
      <x:c r="M193" s="240" t="n">
        <x:f>1/'Beta HC3'!$E$8+L193^2/'Beta HC3'!$E$11</x:f>
        <x:v>0.0014823562621762022</x:v>
      </x:c>
      <x:c r="N193" s="240" t="n">
        <x:f>K193^2/(1-M193)^2</x:f>
        <x:v>0.0000015164670561014414</x:v>
      </x:c>
      <x:c r="O193" s="240" t="n">
        <x:f>N193*L193^2/'Beta HC3'!$E$11^2</x:f>
        <x:v>7.109275873959629e-9</x:v>
      </x:c>
      <x:c r="P193" s="240" t="n">
        <x:f>N193*(1/'Beta HC3'!$E$8-'Beta HC3'!$E$9*L193/'Beta HC3'!$E$11)^2</x:f>
        <x:v>8.717663646218321e-13</x:v>
      </x:c>
      <x:c r="Q193" s="240" t="n">
        <x:f>N193*(1/'Beta HC3'!$E$8-'Beta HC3'!$E$9*L193/'Beta HC3'!$E$11)*L193/'Beta HC3'!$E$11</x:f>
        <x:v>7.872501244036411e-11</x:v>
      </x:c>
      <x:c r="R193" s="240" t="n">
        <x:f>K193*L193/'Beta HC3'!$E$11</x:f>
        <x:v>-0.00008419153482695436</x:v>
      </x:c>
      <x:c r="S193" s="240" t="n">
        <x:f>(K193-K192)^2</x:f>
        <x:v>0.000007818986016735034</x:v>
      </x:c>
      <x:c r="T193" s="280" t="n">
        <x:f>E193/$E$9*100</x:f>
        <x:v>88.58728521536268</x:v>
      </x:c>
    </x:row>
    <x:row r="194" ht="24" customHeight="1">
      <x:c r="C194" s="274" t="d">
        <x:v>2022-07-05T00:00:00.000Z</x:v>
      </x:c>
      <x:c r="D194" s="191" t="n">
        <x:v>262.8500061035156</x:v>
      </x:c>
      <x:c r="E194" s="191" t="n">
        <x:v>253.83822631835938</x:v>
      </x:c>
      <x:c r="F194" s="191" t="n">
        <x:v>381.9599914550781</x:v>
      </x:c>
      <x:c r="G194" s="191" t="n">
        <x:v>361.1703186035156</x:v>
      </x:c>
      <x:c r="H194" s="208" t="n">
        <x:f>E194/E193-1</x:f>
        <x:v>0.012597064020710258</x:v>
      </x:c>
      <x:c r="I194" s="208" t="n">
        <x:f>G194/G193-1</x:f>
        <x:v>0.0018884197633664002</x:v>
      </x:c>
      <x:c r="J194" s="208" t="n">
        <x:f>'Beta HC3'!$E$13+'Beta HC3'!$E$12*I194</x:f>
        <x:v>0.002138913368892608</x:v>
      </x:c>
      <x:c r="K194" s="240" t="n">
        <x:f>H194-J194</x:f>
        <x:v>0.01045815065181765</x:v>
      </x:c>
      <x:c r="L194" s="240" t="n">
        <x:f>I194-'Beta HC3'!$E$9</x:f>
        <x:v>0.001324472145705961</x:v>
      </x:c>
      <x:c r="M194" s="240" t="n">
        <x:f>1/'Beta HC3'!$E$8+L194^2/'Beta HC3'!$E$11</x:f>
        <x:v>0.0008088089302854183</x:v>
      </x:c>
      <x:c r="N194" s="240" t="n">
        <x:f>K194^2/(1-M194)^2</x:f>
        <x:v>0.00010955005351474078</x:v>
      </x:c>
      <x:c r="O194" s="240" t="n">
        <x:f>N194*L194^2/'Beta HC3'!$E$11^2</x:f>
        <x:v>8.986963451226276e-9</x:v>
      </x:c>
      <x:c r="P194" s="240" t="n">
        <x:f>N194*(1/'Beta HC3'!$E$8-'Beta HC3'!$E$9*L194/'Beta HC3'!$E$11)^2</x:f>
        <x:v>6.866560455635296e-11</x:v>
      </x:c>
      <x:c r="Q194" s="240" t="n">
        <x:f>N194*(1/'Beta HC3'!$E$8-'Beta HC3'!$E$9*L194/'Beta HC3'!$E$11)*L194/'Beta HC3'!$E$11</x:f>
        <x:v>7.855541219446948e-10</x:v>
      </x:c>
      <x:c r="R194" s="240" t="n">
        <x:f>K194*L194/'Beta HC3'!$E$11</x:f>
        <x:v>0.00009472292150083898</x:v>
      </x:c>
      <x:c r="S194" s="240" t="n">
        <x:f>(K194-K193)^2</x:f>
        <x:v>0.0001366040698301576</x:v>
      </x:c>
      <x:c r="T194" s="280" t="n">
        <x:f>E194/$E$9*100</x:f>
        <x:v>89.70322491864154</x:v>
      </x:c>
    </x:row>
    <x:row r="195" ht="24" customHeight="1">
      <x:c r="C195" s="274" t="d">
        <x:v>2022-07-06T00:00:00.000Z</x:v>
      </x:c>
      <x:c r="D195" s="191" t="n">
        <x:v>266.2099914550781</x:v>
      </x:c>
      <x:c r="E195" s="191" t="n">
        <x:v>257.0830383300781</x:v>
      </x:c>
      <x:c r="F195" s="191" t="n">
        <x:v>383.25</x:v>
      </x:c>
      <x:c r="G195" s="191" t="n">
        <x:v>362.3901672363281</x:v>
      </x:c>
      <x:c r="H195" s="208" t="n">
        <x:f>E195/E194-1</x:f>
        <x:v>0.012782991981866276</x:v>
      </x:c>
      <x:c r="I195" s="208" t="n">
        <x:f>G195/G194-1</x:f>
        <x:v>0.0033774885974271474</x:v>
      </x:c>
      <x:c r="J195" s="208" t="n">
        <x:f>'Beta HC3'!$E$13+'Beta HC3'!$E$12*I195</x:f>
        <x:v>0.00381830267284454</x:v>
      </x:c>
      <x:c r="K195" s="240" t="n">
        <x:f>H195-J195</x:f>
        <x:v>0.008964689309021737</x:v>
      </x:c>
      <x:c r="L195" s="240" t="n">
        <x:f>I195-'Beta HC3'!$E$9</x:f>
        <x:v>0.002813540979766708</x:v>
      </x:c>
      <x:c r="M195" s="240" t="n">
        <x:f>1/'Beta HC3'!$E$8+L195^2/'Beta HC3'!$E$11</x:f>
        <x:v>0.0008509459678447928</x:v>
      </x:c>
      <x:c r="N195" s="240" t="n">
        <x:f>K195^2/(1-M195)^2</x:f>
        <x:v>0.00008050260284521042</x:v>
      </x:c>
      <x:c r="O195" s="240" t="n">
        <x:f>N195*L195^2/'Beta HC3'!$E$11^2</x:f>
        <x:v>2.9801020447076427e-8</x:v>
      </x:c>
      <x:c r="P195" s="240" t="n">
        <x:f>N195*(1/'Beta HC3'!$E$8-'Beta HC3'!$E$9*L195/'Beta HC3'!$E$11)^2</x:f>
        <x:v>4.9729409946435436e-11</x:v>
      </x:c>
      <x:c r="Q195" s="240" t="n">
        <x:f>N195*(1/'Beta HC3'!$E$8-'Beta HC3'!$E$9*L195/'Beta HC3'!$E$11)*L195/'Beta HC3'!$E$11</x:f>
        <x:v>1.217368950907969e-9</x:v>
      </x:c>
      <x:c r="R195" s="240" t="n">
        <x:f>K195*L195/'Beta HC3'!$E$11</x:f>
        <x:v>0.00017248282207191112</x:v>
      </x:c>
      <x:c r="S195" s="240" t="n">
        <x:f>(K195-K194)^2</x:f>
        <x:v>0.0000022304267824257715</x:v>
      </x:c>
      <x:c r="T195" s="280" t="n">
        <x:f>E195/$E$9*100</x:f>
        <x:v>90.84990052352407</x:v>
      </x:c>
    </x:row>
    <x:row r="196" ht="24" customHeight="1">
      <x:c r="C196" s="274" t="d">
        <x:v>2022-07-07T00:00:00.000Z</x:v>
      </x:c>
      <x:c r="D196" s="191" t="n">
        <x:v>268.3999938964844</x:v>
      </x:c>
      <x:c r="E196" s="191" t="n">
        <x:v>259.1979064941406</x:v>
      </x:c>
      <x:c r="F196" s="191" t="n">
        <x:v>388.989990234375</x:v>
      </x:c>
      <x:c r="G196" s="191" t="n">
        <x:v>367.8177490234375</x:v>
      </x:c>
      <x:c r="H196" s="208" t="n">
        <x:f>E196/E195-1</x:f>
        <x:v>0.008226401001792727</x:v>
      </x:c>
      <x:c r="I196" s="208" t="n">
        <x:f>G196/G195-1</x:f>
        <x:v>0.014977177301750189</x:v>
      </x:c>
      <x:c r="J196" s="208" t="n">
        <x:f>'Beta HC3'!$E$13+'Beta HC3'!$E$12*I196</x:f>
        <x:v>0.016900567705608938</x:v>
      </x:c>
      <x:c r="K196" s="240" t="n">
        <x:f>H196-J196</x:f>
        <x:v>-0.00867416670381621</x:v>
      </x:c>
      <x:c r="L196" s="240" t="n">
        <x:f>I196-'Beta HC3'!$E$9</x:f>
        <x:v>0.01441322968408975</x:v>
      </x:c>
      <x:c r="M196" s="240" t="n">
        <x:f>1/'Beta HC3'!$E$8+L196^2/'Beta HC3'!$E$11</x:f>
        <x:v>0.002217439460579024</x:v>
      </x:c>
      <x:c r="N196" s="240" t="n">
        <x:f>K196^2/(1-M196)^2</x:f>
        <x:v>0.000075575966657186</x:v>
      </x:c>
      <x:c r="O196" s="240" t="n">
        <x:f>N196*L196^2/'Beta HC3'!$E$11^2</x:f>
        <x:v>7.342112732261658e-7</x:v>
      </x:c>
      <x:c r="P196" s="240" t="n">
        <x:f>N196*(1/'Beta HC3'!$E$8-'Beta HC3'!$E$9*L196/'Beta HC3'!$E$11)^2</x:f>
        <x:v>4.152284247876882e-11</x:v>
      </x:c>
      <x:c r="Q196" s="240" t="n">
        <x:f>N196*(1/'Beta HC3'!$E$8-'Beta HC3'!$E$9*L196/'Beta HC3'!$E$11)*L196/'Beta HC3'!$E$11</x:f>
        <x:v>5.521461676431919e-9</x:v>
      </x:c>
      <x:c r="R196" s="240" t="n">
        <x:f>K196*L196/'Beta HC3'!$E$11</x:f>
        <x:v>-0.0008549612536667456</x:v>
      </x:c>
      <x:c r="S196" s="240" t="n">
        <x:f>(K196-K195)^2</x:f>
        <x:v>0.00031112924144162943</x:v>
      </x:c>
      <x:c r="T196" s="280" t="n">
        <x:f>E196/$E$9*100</x:f>
        <x:v>91.59726823620356</x:v>
      </x:c>
    </x:row>
    <x:row r="197" ht="24" customHeight="1">
      <x:c r="C197" s="274" t="d">
        <x:v>2022-07-08T00:00:00.000Z</x:v>
      </x:c>
      <x:c r="D197" s="191" t="n">
        <x:v>267.6600036621094</x:v>
      </x:c>
      <x:c r="E197" s="191" t="n">
        <x:v>258.4833068847656</x:v>
      </x:c>
      <x:c r="F197" s="191" t="n">
        <x:v>388.6700134277344</x:v>
      </x:c>
      <x:c r="G197" s="191" t="n">
        <x:v>367.51519775390625</x:v>
      </x:c>
      <x:c r="H197" s="208" t="n">
        <x:f>E197/E196-1</x:f>
        <x:v>-0.0027569652048526905</x:v>
      </x:c>
      <x:c r="I197" s="208" t="n">
        <x:f>G197/G196-1</x:f>
        <x:v>-0.0008225575582867517</x:v>
      </x:c>
      <x:c r="J197" s="208" t="n">
        <x:f>'Beta HC3'!$E$13+'Beta HC3'!$E$12*I197</x:f>
        <x:v>-0.0009185586653752366</x:v>
      </x:c>
      <x:c r="K197" s="240" t="n">
        <x:f>H197-J197</x:f>
        <x:v>-0.001838406539477454</x:v>
      </x:c>
      <x:c r="L197" s="240" t="n">
        <x:f>I197-'Beta HC3'!$E$9</x:f>
        <x:v>-0.001386505175947191</x:v>
      </x:c>
      <x:c r="M197" s="240" t="n">
        <x:f>1/'Beta HC3'!$E$8+L197^2/'Beta HC3'!$E$11</x:f>
        <x:v>0.0008099589525341057</x:v>
      </x:c>
      <x:c r="N197" s="240" t="n">
        <x:f>K197^2/(1-M197)^2</x:f>
        <x:v>0.000003385220162329175</x:v>
      </x:c>
      <x:c r="O197" s="240" t="n">
        <x:f>N197*L197^2/'Beta HC3'!$E$11^2</x:f>
        <x:v>3.043299061230344e-10</x:v>
      </x:c>
      <x:c r="P197" s="240" t="n">
        <x:f>N197*(1/'Beta HC3'!$E$8-'Beta HC3'!$E$9*L197/'Beta HC3'!$E$11)^2</x:f>
        <x:v>2.178255153110123e-12</x:v>
      </x:c>
      <x:c r="Q197" s="240" t="n">
        <x:f>N197*(1/'Beta HC3'!$E$8-'Beta HC3'!$E$9*L197/'Beta HC3'!$E$11)*L197/'Beta HC3'!$E$11</x:f>
        <x:v>-2.574700344230411e-11</x:v>
      </x:c>
      <x:c r="R197" s="240" t="n">
        <x:f>K197*L197/'Beta HC3'!$E$11</x:f>
        <x:v>0.00001743092413814233</x:v>
      </x:c>
      <x:c r="S197" s="240" t="n">
        <x:f>(K197-K196)^2</x:f>
        <x:v>0.00004672761702436063</x:v>
      </x:c>
      <x:c r="T197" s="280" t="n">
        <x:f>E197/$E$9*100</x:f>
        <x:v>91.34473775481679</x:v>
      </x:c>
    </x:row>
    <x:row r="198" ht="24" customHeight="1">
      <x:c r="C198" s="274" t="d">
        <x:v>2022-07-11T00:00:00.000Z</x:v>
      </x:c>
      <x:c r="D198" s="191" t="n">
        <x:v>264.510009765625</x:v>
      </x:c>
      <x:c r="E198" s="191" t="n">
        <x:v>255.44131469726562</x:v>
      </x:c>
      <x:c r="F198" s="191" t="n">
        <x:v>384.2300109863281</x:v>
      </x:c>
      <x:c r="G198" s="191" t="n">
        <x:v>363.3168640136719</x:v>
      </x:c>
      <x:c r="H198" s="208" t="n">
        <x:f>E198/E197-1</x:f>
        <x:v>-0.011768621440827354</x:v>
      </x:c>
      <x:c r="I198" s="208" t="n">
        <x:f>G198/G197-1</x:f>
        <x:v>-0.0114235649733474</x:v>
      </x:c>
      <x:c r="J198" s="208" t="n">
        <x:f>'Beta HC3'!$E$13+'Beta HC3'!$E$12*I198</x:f>
        <x:v>-0.012874499221472917</x:v>
      </x:c>
      <x:c r="K198" s="240" t="n">
        <x:f>H198-J198</x:f>
        <x:v>0.0011058777806455637</x:v>
      </x:c>
      <x:c r="L198" s="240" t="n">
        <x:f>I198-'Beta HC3'!$E$9</x:f>
        <x:v>-0.011987512591007839</x:v>
      </x:c>
      <x:c r="M198" s="240" t="n">
        <x:f>1/'Beta HC3'!$E$8+L198^2/'Beta HC3'!$E$11</x:f>
        <x:v>0.0017795004352670317</x:v>
      </x:c>
      <x:c r="N198" s="240" t="n">
        <x:f>K198^2/(1-M198)^2</x:f>
        <x:v>0.0000012273298472308354</x:v>
      </x:c>
      <x:c r="O198" s="240" t="n">
        <x:f>N198*L198^2/'Beta HC3'!$E$11^2</x:f>
        <x:v>8.24772498737012e-9</x:v>
      </x:c>
      <x:c r="P198" s="240" t="n">
        <x:f>N198*(1/'Beta HC3'!$E$8-'Beta HC3'!$E$9*L198/'Beta HC3'!$E$11)^2</x:f>
        <x:v>8.722894791453728e-13</x:v>
      </x:c>
      <x:c r="Q198" s="240" t="n">
        <x:f>N198*(1/'Beta HC3'!$E$8-'Beta HC3'!$E$9*L198/'Beta HC3'!$E$11)*L198/'Beta HC3'!$E$11</x:f>
        <x:v>-8.481983101473004e-11</x:v>
      </x:c>
      <x:c r="R198" s="240" t="n">
        <x:f>K198*L198/'Beta HC3'!$E$11</x:f>
        <x:v>-0.00009065537736056193</x:v>
      </x:c>
      <x:c r="S198" s="240" t="n">
        <x:f>(K198-K197)^2</x:f>
        <x:v>0.000008668810157722261</x:v>
      </x:c>
      <x:c r="T198" s="280" t="n">
        <x:f>E198/$E$9*100</x:f>
        <x:v>90.2697361155687</x:v>
      </x:c>
    </x:row>
    <x:row r="199" ht="24" customHeight="1">
      <x:c r="C199" s="274" t="d">
        <x:v>2022-07-12T00:00:00.000Z</x:v>
      </x:c>
      <x:c r="D199" s="191" t="n">
        <x:v>253.6699981689453</x:v>
      </x:c>
      <x:c r="E199" s="191" t="n">
        <x:v>244.97299194335938</x:v>
      </x:c>
      <x:c r="F199" s="191" t="n">
        <x:v>380.8299865722656</x:v>
      </x:c>
      <x:c r="G199" s="191" t="n">
        <x:v>360.1018371582031</x:v>
      </x:c>
      <x:c r="H199" s="208" t="n">
        <x:f>E199/E198-1</x:f>
        <x:v>-0.04098132193812387</x:v>
      </x:c>
      <x:c r="I199" s="208" t="n">
        <x:f>G199/G198-1</x:f>
        <x:v>-0.008849098882863227</x:v>
      </x:c>
      <x:c r="J199" s="208" t="n">
        <x:f>'Beta HC3'!$E$13+'Beta HC3'!$E$12*I199</x:f>
        <x:v>-0.009970986155555316</x:v>
      </x:c>
      <x:c r="K199" s="240" t="n">
        <x:f>H199-J199</x:f>
        <x:v>-0.031010335782568555</x:v>
      </x:c>
      <x:c r="L199" s="240" t="n">
        <x:f>I199-'Beta HC3'!$E$9</x:f>
        <x:v>-0.009413046500523665</x:v>
      </x:c>
      <x:c r="M199" s="240" t="n">
        <x:f>1/'Beta HC3'!$E$8+L199^2/'Beta HC3'!$E$11</x:f>
        <x:v>0.0014027362116553756</x:v>
      </x:c>
      <x:c r="N199" s="240" t="n">
        <x:f>K199^2/(1-M199)^2</x:f>
        <x:v>0.0009643444696532342</x:v>
      </x:c>
      <x:c r="O199" s="240" t="n">
        <x:f>N199*L199^2/'Beta HC3'!$E$11^2</x:f>
        <x:v>0.000003995832963506101</x:v>
      </x:c>
      <x:c r="P199" s="240" t="n">
        <x:f>N199*(1/'Beta HC3'!$E$8-'Beta HC3'!$E$9*L199/'Beta HC3'!$E$11)^2</x:f>
        <x:v>6.69331821041006e-10</x:v>
      </x:c>
      <x:c r="Q199" s="240" t="n">
        <x:f>N199*(1/'Beta HC3'!$E$8-'Beta HC3'!$E$9*L199/'Beta HC3'!$E$11)*L199/'Beta HC3'!$E$11</x:f>
        <x:v>-5.171593713778392e-8</x:v>
      </x:c>
      <x:c r="R199" s="240" t="n">
        <x:f>K199*L199/'Beta HC3'!$E$11</x:f>
        <x:v>0.0019961539586903104</x:v>
      </x:c>
      <x:c r="S199" s="240" t="n">
        <x:f>(K199-K198)^2</x:f>
        <x:v>0.0010314511736379786</x:v>
      </x:c>
      <x:c r="T199" s="280" t="n">
        <x:f>E199/$E$9*100</x:f>
        <x:v>86.57036299854711</x:v>
      </x:c>
    </x:row>
    <x:row r="200" ht="24" customHeight="1">
      <x:c r="C200" s="274" t="d">
        <x:v>2022-07-13T00:00:00.000Z</x:v>
      </x:c>
      <x:c r="D200" s="191" t="n">
        <x:v>252.72000122070312</x:v>
      </x:c>
      <x:c r="E200" s="191" t="n">
        <x:v>244.05555725097656</x:v>
      </x:c>
      <x:c r="F200" s="191" t="n">
        <x:v>378.8299865722656</x:v>
      </x:c>
      <x:c r="G200" s="191" t="n">
        <x:v>358.2107849121094</x:v>
      </x:c>
      <x:c r="H200" s="208" t="n">
        <x:f>E200/E199-1</x:f>
        <x:v>-0.003745044239794937</x:v>
      </x:c>
      <x:c r="I200" s="208" t="n">
        <x:f>G200/G199-1</x:f>
        <x:v>-0.005251437373986367</x:v>
      </x:c>
      <x:c r="J200" s="208" t="n">
        <x:f>'Beta HC3'!$E$13+'Beta HC3'!$E$12*I200</x:f>
        <x:v>-0.005913501290486354</x:v>
      </x:c>
      <x:c r="K200" s="240" t="n">
        <x:f>H200-J200</x:f>
        <x:v>0.0021684570506914176</x:v>
      </x:c>
      <x:c r="L200" s="240" t="n">
        <x:f>I200-'Beta HC3'!$E$9</x:f>
        <x:v>-0.005815384991646807</x:v>
      </x:c>
      <x:c r="M200" s="240" t="n">
        <x:f>1/'Beta HC3'!$E$8+L200^2/'Beta HC3'!$E$11</x:f>
        <x:v>0.00102808008834546</x:v>
      </x:c>
      <x:c r="N200" s="240" t="n">
        <x:f>K200^2/(1-M200)^2</x:f>
        <x:v>0.0000047118893998089545</x:v>
      </x:c>
      <x:c r="O200" s="240" t="n">
        <x:f>N200*L200^2/'Beta HC3'!$E$11^2</x:f>
        <x:v>7.451895452978132e-9</x:v>
      </x:c>
      <x:c r="P200" s="240" t="n">
        <x:f>N200*(1/'Beta HC3'!$E$8-'Beta HC3'!$E$9*L200/'Beta HC3'!$E$11)^2</x:f>
        <x:v>3.162403679194775e-12</x:v>
      </x:c>
      <x:c r="Q200" s="240" t="n">
        <x:f>N200*(1/'Beta HC3'!$E$8-'Beta HC3'!$E$9*L200/'Beta HC3'!$E$11)*L200/'Beta HC3'!$E$11</x:f>
        <x:v>-1.5351189399350417e-10</x:v>
      </x:c>
      <x:c r="R200" s="240" t="n">
        <x:f>K200*L200/'Beta HC3'!$E$11</x:f>
        <x:v>-0.00008623561351656187</x:v>
      </x:c>
      <x:c r="S200" s="240" t="n">
        <x:f>(K200-K199)^2</x:f>
        <x:v>0.0011008322938723834</x:v>
      </x:c>
      <x:c r="T200" s="280" t="n">
        <x:f>E200/$E$9*100</x:f>
        <x:v>86.24615315926243</x:v>
      </x:c>
    </x:row>
    <x:row r="201" ht="24" customHeight="1">
      <x:c r="C201" s="274" t="d">
        <x:v>2022-07-14T00:00:00.000Z</x:v>
      </x:c>
      <x:c r="D201" s="191" t="n">
        <x:v>254.0800018310547</x:v>
      </x:c>
      <x:c r="E201" s="191" t="n">
        <x:v>245.36892700195312</x:v>
      </x:c>
      <x:c r="F201" s="191" t="n">
        <x:v>377.9100036621094</x:v>
      </x:c>
      <x:c r="G201" s="191" t="n">
        <x:v>357.3408203125</x:v>
      </x:c>
      <x:c r="H201" s="208" t="n">
        <x:f>E201/E200-1</x:f>
        <x:v>0.00538143759466192</x:v>
      </x:c>
      <x:c r="I201" s="208" t="n">
        <x:f>G201/G200-1</x:f>
        <x:v>-0.002428638768715019</x:v>
      </x:c>
      <x:c r="J201" s="208" t="n">
        <x:f>'Beta HC3'!$E$13+'Beta HC3'!$E$12*I201</x:f>
        <x:v>-0.002729915900430611</x:v>
      </x:c>
      <x:c r="K201" s="240" t="n">
        <x:f>H201-J201</x:f>
        <x:v>0.008111353495092531</x:v>
      </x:c>
      <x:c r="L201" s="240" t="n">
        <x:f>I201-'Beta HC3'!$E$9</x:f>
        <x:v>-0.0029925863863754583</x:v>
      </x:c>
      <x:c r="M201" s="240" t="n">
        <x:f>1/'Beta HC3'!$E$8+L201^2/'Beta HC3'!$E$11</x:f>
        <x:v>0.0008580549447545409</x:v>
      </x:c>
      <x:c r="N201" s="240" t="n">
        <x:f>K201^2/(1-M201)^2</x:f>
        <x:v>0.00006590711084239882</x:v>
      </x:c>
      <x:c r="O201" s="240" t="n">
        <x:f>N201*L201^2/'Beta HC3'!$E$11^2</x:f>
        <x:v>2.7601989649875035e-8</x:v>
      </x:c>
      <x:c r="P201" s="240" t="n">
        <x:f>N201*(1/'Beta HC3'!$E$8-'Beta HC3'!$E$9*L201/'Beta HC3'!$E$11)^2</x:f>
        <x:v>4.306606286550069e-11</x:v>
      </x:c>
      <x:c r="Q201" s="240" t="n">
        <x:f>N201*(1/'Beta HC3'!$E$8-'Beta HC3'!$E$9*L201/'Beta HC3'!$E$11)*L201/'Beta HC3'!$E$11</x:f>
        <x:v>-1.090279331856941e-9</x:v>
      </x:c>
      <x:c r="R201" s="240" t="n">
        <x:f>K201*L201/'Beta HC3'!$E$11</x:f>
        <x:v>-0.00016599590936122616</x:v>
      </x:c>
      <x:c r="S201" s="240" t="n">
        <x:f>(K201-K200)^2</x:f>
        <x:v>0.0000353180181488754</x:v>
      </x:c>
      <x:c r="T201" s="280" t="n">
        <x:f>E201/$E$9*100</x:f>
        <x:v>86.71028145026867</x:v>
      </x:c>
    </x:row>
    <x:row r="202" ht="24" customHeight="1">
      <x:c r="C202" s="274" t="d">
        <x:v>2022-07-15T00:00:00.000Z</x:v>
      </x:c>
      <x:c r="D202" s="191" t="n">
        <x:v>256.7200012207031</x:v>
      </x:c>
      <x:c r="E202" s="191" t="n">
        <x:v>247.91842651367188</x:v>
      </x:c>
      <x:c r="F202" s="191" t="n">
        <x:v>385.1300048828125</x:v>
      </x:c>
      <x:c r="G202" s="191" t="n">
        <x:v>364.16790771484375</x:v>
      </x:c>
      <x:c r="H202" s="208" t="n">
        <x:f>E202/E201-1</x:f>
        <x:v>0.010390474225362878</x:v>
      </x:c>
      <x:c r="I202" s="208" t="n">
        <x:f>G202/G201-1</x:f>
        <x:v>0.019105254743562172</x:v>
      </x:c>
      <x:c r="J202" s="208" t="n">
        <x:f>'Beta HC3'!$E$13+'Beta HC3'!$E$12*I202</x:f>
        <x:v>0.021556261883801296</x:v>
      </x:c>
      <x:c r="K202" s="240" t="n">
        <x:f>H202-J202</x:f>
        <x:v>-0.011165787658438418</x:v>
      </x:c>
      <x:c r="L202" s="240" t="n">
        <x:f>I202-'Beta HC3'!$E$9</x:f>
        <x:v>0.018541307125901733</x:v>
      </x:c>
      <x:c r="M202" s="240" t="n">
        <x:f>1/'Beta HC3'!$E$8+L202^2/'Beta HC3'!$E$11</x:f>
        <x:v>0.0031477338659613866</x:v>
      </x:c>
      <x:c r="N202" s="240" t="n">
        <x:f>K202^2/(1-M202)^2</x:f>
        <x:v>0.00012546342183679502</x:v>
      </x:c>
      <x:c r="O202" s="240" t="n">
        <x:f>N202*L202^2/'Beta HC3'!$E$11^2</x:f>
        <x:v>0.000002017030877189348</x:v>
      </x:c>
      <x:c r="P202" s="240" t="n">
        <x:f>N202*(1/'Beta HC3'!$E$8-'Beta HC3'!$E$9*L202/'Beta HC3'!$E$11)^2</x:f>
        <x:v>6.60027073525654e-11</x:v>
      </x:c>
      <x:c r="Q202" s="240" t="n">
        <x:f>N202*(1/'Beta HC3'!$E$8-'Beta HC3'!$E$9*L202/'Beta HC3'!$E$11)*L202/'Beta HC3'!$E$11</x:f>
        <x:v>1.1538175709713248e-8</x:v>
      </x:c>
      <x:c r="R202" s="240" t="n">
        <x:f>K202*L202/'Beta HC3'!$E$11</x:f>
        <x:v>-0.0014157516412106029</x:v>
      </x:c>
      <x:c r="S202" s="240" t="n">
        <x:f>(K202-K201)^2</x:f>
        <x:v>0.00037160817105315655</x:v>
      </x:c>
      <x:c r="T202" s="280" t="n">
        <x:f>E202/$E$9*100</x:f>
        <x:v>87.61124239475164</x:v>
      </x:c>
    </x:row>
    <x:row r="203" ht="24" customHeight="1">
      <x:c r="C203" s="274" t="d">
        <x:v>2022-07-18T00:00:00.000Z</x:v>
      </x:c>
      <x:c r="D203" s="191" t="n">
        <x:v>254.25</x:v>
      </x:c>
      <x:c r="E203" s="191" t="n">
        <x:v>245.53311157226562</x:v>
      </x:c>
      <x:c r="F203" s="191" t="n">
        <x:v>381.95001220703125</x:v>
      </x:c>
      <x:c r="G203" s="191" t="n">
        <x:v>361.160888671875</x:v>
      </x:c>
      <x:c r="H203" s="208" t="n">
        <x:f>E203/E202-1</x:f>
        <x:v>-0.00962137012141251</x:v>
      </x:c>
      <x:c r="I203" s="208" t="n">
        <x:f>G203/G202-1</x:f>
        <x:v>-0.008257232389964897</x:v>
      </x:c>
      <x:c r="J203" s="208" t="n">
        <x:f>'Beta HC3'!$E$13+'Beta HC3'!$E$12*I203</x:f>
        <x:v>-0.009303472179837758</x:v>
      </x:c>
      <x:c r="K203" s="240" t="n">
        <x:f>H203-J203</x:f>
        <x:v>-0.00031789794157475147</x:v>
      </x:c>
      <x:c r="L203" s="240" t="n">
        <x:f>I203-'Beta HC3'!$E$9</x:f>
        <x:v>-0.008821180007625336</x:v>
      </x:c>
      <x:c r="M203" s="240" t="n">
        <x:f>1/'Beta HC3'!$E$8+L203^2/'Beta HC3'!$E$11</x:f>
        <x:v>0.0013289341556208252</x:v>
      </x:c>
      <x:c r="N203" s="240" t="n">
        <x:f>K203^2/(1-M203)^2</x:f>
        <x:v>1.0132823942169947e-7</x:v>
      </x:c>
      <x:c r="O203" s="240" t="n">
        <x:f>N203*L203^2/'Beta HC3'!$E$11^2</x:f>
        <x:v>3.6872160766527045e-10</x:v>
      </x:c>
      <x:c r="P203" s="240" t="n">
        <x:f>N203*(1/'Beta HC3'!$E$8-'Beta HC3'!$E$9*L203/'Beta HC3'!$E$11)^2</x:f>
        <x:v>6.994501521393282e-14</x:v>
      </x:c>
      <x:c r="Q203" s="240" t="n">
        <x:f>N203*(1/'Beta HC3'!$E$8-'Beta HC3'!$E$9*L203/'Beta HC3'!$E$11)*L203/'Beta HC3'!$E$11</x:f>
        <x:v>-5.078409047905959e-12</x:v>
      </x:c>
      <x:c r="R203" s="240" t="n">
        <x:f>K203*L203/'Beta HC3'!$E$11</x:f>
        <x:v>0.00001917660672213095</x:v>
      </x:c>
      <x:c r="S203" s="240" t="n">
        <x:f>(K203-K202)^2</x:f>
        <x:v>0.00011767671130923649</x:v>
      </x:c>
      <x:c r="T203" s="280" t="n">
        <x:f>E203/$E$9*100</x:f>
        <x:v>86.76830220487494</x:v>
      </x:c>
    </x:row>
    <x:row r="204" ht="24" customHeight="1">
      <x:c r="C204" s="274" t="d">
        <x:v>2022-07-19T00:00:00.000Z</x:v>
      </x:c>
      <x:c r="D204" s="191" t="n">
        <x:v>259.5299987792969</x:v>
      </x:c>
      <x:c r="E204" s="191" t="n">
        <x:v>250.63209533691406</x:v>
      </x:c>
      <x:c r="F204" s="191" t="n">
        <x:v>392.2699890136719</x:v>
      </x:c>
      <x:c r="G204" s="191" t="n">
        <x:v>370.9192199707031</x:v>
      </x:c>
      <x:c r="H204" s="208" t="n">
        <x:f>E204/E203-1</x:f>
        <x:v>0.02076699037452512</x:v>
      </x:c>
      <x:c r="I204" s="208" t="n">
        <x:f>G204/G203-1</x:f>
        <x:v>0.027019346792265253</x:v>
      </x:c>
      <x:c r="J204" s="208" t="n">
        <x:f>'Beta HC3'!$E$13+'Beta HC3'!$E$12*I204</x:f>
        <x:v>0.03048186776115913</x:v>
      </x:c>
      <x:c r="K204" s="240" t="n">
        <x:f>H204-J204</x:f>
        <x:v>-0.009714877386634013</x:v>
      </x:c>
      <x:c r="L204" s="240" t="n">
        <x:f>I204-'Beta HC3'!$E$9</x:f>
        <x:v>0.026455399174604814</x:v>
      </x:c>
      <x:c r="M204" s="240" t="n">
        <x:f>1/'Beta HC3'!$E$8+L204^2/'Beta HC3'!$E$11</x:f>
        <x:v>0.005582959371862611</x:v>
      </x:c>
      <x:c r="N204" s="240" t="n">
        <x:f>K204^2/(1-M204)^2</x:f>
        <x:v>0.0000954415604869555</x:v>
      </x:c>
      <x:c r="O204" s="240" t="n">
        <x:f>N204*L204^2/'Beta HC3'!$E$11^2</x:f>
        <x:v>0.0000031237832506981653</x:v>
      </x:c>
      <x:c r="P204" s="240" t="n">
        <x:f>N204*(1/'Beta HC3'!$E$8-'Beta HC3'!$E$9*L204/'Beta HC3'!$E$11)^2</x:f>
        <x:v>4.607238629951315e-11</x:v>
      </x:c>
      <x:c r="Q204" s="240" t="n">
        <x:f>N204*(1/'Beta HC3'!$E$8-'Beta HC3'!$E$9*L204/'Beta HC3'!$E$11)*L204/'Beta HC3'!$E$11</x:f>
        <x:v>1.1996672398716022e-8</x:v>
      </x:c>
      <x:c r="R204" s="240" t="n">
        <x:f>K204*L204/'Beta HC3'!$E$11</x:f>
        <x:v>-0.001757555321265289</x:v>
      </x:c>
      <x:c r="S204" s="240" t="n">
        <x:f>(K204-K203)^2</x:f>
        <x:v>0.00008830322269086627</x:v>
      </x:c>
      <x:c r="T204" s="280" t="n">
        <x:f>E204/$E$9*100</x:f>
        <x:v>88.57021870157747</x:v>
      </x:c>
    </x:row>
    <x:row r="205" ht="24" customHeight="1">
      <x:c r="C205" s="274" t="d">
        <x:v>2022-07-20T00:00:00.000Z</x:v>
      </x:c>
      <x:c r="D205" s="191" t="n">
        <x:v>262.2699890136719</x:v>
      </x:c>
      <x:c r="E205" s="191" t="n">
        <x:v>253.27816772460938</x:v>
      </x:c>
      <x:c r="F205" s="191" t="n">
        <x:v>394.7699890136719</x:v>
      </x:c>
      <x:c r="G205" s="191" t="n">
        <x:v>373.28326416015625</x:v>
      </x:c>
      <x:c r="H205" s="208" t="n">
        <x:f>E205/E204-1</x:f>
        <x:v>0.010557595922175533</x:v>
      </x:c>
      <x:c r="I205" s="208" t="n">
        <x:f>G205/G204-1</x:f>
        <x:v>0.006373474498409193</x:v>
      </x:c>
      <x:c r="J205" s="208" t="n">
        <x:f>'Beta HC3'!$E$13+'Beta HC3'!$E$12*I205</x:f>
        <x:v>0.00719721072720167</x:v>
      </x:c>
      <x:c r="K205" s="240" t="n">
        <x:f>H205-J205</x:f>
        <x:v>0.003360385194973863</x:v>
      </x:c>
      <x:c r="L205" s="240" t="n">
        <x:f>I205-'Beta HC3'!$E$9</x:f>
        <x:v>0.005809526880748753</x:v>
      </x:c>
      <x:c r="M205" s="240" t="n">
        <x:f>1/'Beta HC3'!$E$8+L205^2/'Beta HC3'!$E$11</x:f>
        <x:v>0.0010276143900808765</x:v>
      </x:c>
      <x:c r="N205" s="240" t="n">
        <x:f>K205^2/(1-M205)^2</x:f>
        <x:v>0.000011315432512159816</x:v>
      </x:c>
      <x:c r="O205" s="240" t="n">
        <x:f>N205*L205^2/'Beta HC3'!$E$11^2</x:f>
        <x:v>1.7859422546552886e-8</x:v>
      </x:c>
      <x:c r="P205" s="240" t="n">
        <x:f>N205*(1/'Beta HC3'!$E$8-'Beta HC3'!$E$9*L205/'Beta HC3'!$E$11)^2</x:f>
        <x:v>6.785955461219654e-12</x:v>
      </x:c>
      <x:c r="Q205" s="240" t="n">
        <x:f>N205*(1/'Beta HC3'!$E$8-'Beta HC3'!$E$9*L205/'Beta HC3'!$E$11)*L205/'Beta HC3'!$E$11</x:f>
        <x:v>3.481282033447017e-10</x:v>
      </x:c>
      <x:c r="R205" s="240" t="n">
        <x:f>K205*L205/'Beta HC3'!$E$11</x:f>
        <x:v>0.00013350182098658276</x:v>
      </x:c>
      <x:c r="S205" s="240" t="n">
        <x:f>(K205-K204)^2</x:f>
        <x:v>0.0001709624915779951</x:v>
      </x:c>
      <x:c r="T205" s="280" t="n">
        <x:f>E205/$E$9*100</x:f>
        <x:v>89.50530728136744</x:v>
      </x:c>
    </x:row>
    <x:row r="206" ht="24" customHeight="1">
      <x:c r="C206" s="274" t="d">
        <x:v>2022-07-21T00:00:00.000Z</x:v>
      </x:c>
      <x:c r="D206" s="191" t="n">
        <x:v>264.8399963378906</x:v>
      </x:c>
      <x:c r="E206" s="191" t="n">
        <x:v>255.7600555419922</x:v>
      </x:c>
      <x:c r="F206" s="191" t="n">
        <x:v>398.7900085449219</x:v>
      </x:c>
      <x:c r="G206" s="191" t="n">
        <x:v>377.0843505859375</x:v>
      </x:c>
      <x:c r="H206" s="208" t="n">
        <x:f>E206/E205-1</x:f>
        <x:v>0.009799059428135859</x:v>
      </x:c>
      <x:c r="I206" s="208" t="n">
        <x:f>G206/G205-1</x:f>
        <x:v>0.010182847158533237</x:v>
      </x:c>
      <x:c r="J206" s="208" t="n">
        <x:f>'Beta HC3'!$E$13+'Beta HC3'!$E$12*I206</x:f>
        <x:v>0.011493465912889248</x:v>
      </x:c>
      <x:c r="K206" s="240" t="n">
        <x:f>H206-J206</x:f>
        <x:v>-0.0016944064847533892</x:v>
      </x:c>
      <x:c r="L206" s="240" t="n">
        <x:f>I206-'Beta HC3'!$E$9</x:f>
        <x:v>0.009618899540872798</x:v>
      </x:c>
      <x:c r="M206" s="240" t="n">
        <x:f>1/'Beta HC3'!$E$8+L206^2/'Beta HC3'!$E$11</x:f>
        <x:v>0.0014295277619521193</x:v>
      </x:c>
      <x:c r="N206" s="240" t="n">
        <x:f>K206^2/(1-M206)^2</x:f>
        <x:v>0.0000028792393568938073</x:v>
      </x:c>
      <x:c r="O206" s="240" t="n">
        <x:f>N206*L206^2/'Beta HC3'!$E$11^2</x:f>
        <x:v>1.2457854979539477e-8</x:v>
      </x:c>
      <x:c r="P206" s="240" t="n">
        <x:f>N206*(1/'Beta HC3'!$E$8-'Beta HC3'!$E$9*L206/'Beta HC3'!$E$11)^2</x:f>
        <x:v>1.6618113314129585e-12</x:v>
      </x:c>
      <x:c r="Q206" s="240" t="n">
        <x:f>N206*(1/'Beta HC3'!$E$8-'Beta HC3'!$E$9*L206/'Beta HC3'!$E$11)*L206/'Beta HC3'!$E$11</x:f>
        <x:v>1.4388399692147163e-10</x:v>
      </x:c>
      <x:c r="R206" s="240" t="n">
        <x:f>K206*L206/'Beta HC3'!$E$11</x:f>
        <x:v>-0.00011145520507669915</x:v>
      </x:c>
      <x:c r="S206" s="240" t="n">
        <x:f>(K206-K205)^2</x:f>
        <x:v>0.000025550918925439855</x:v>
      </x:c>
      <x:c r="T206" s="280" t="n">
        <x:f>E206/$E$9*100</x:f>
        <x:v>90.38237510655112</x:v>
      </x:c>
    </x:row>
    <x:row r="207" ht="24" customHeight="1">
      <x:c r="C207" s="274" t="d">
        <x:v>2022-07-22T00:00:00.000Z</x:v>
      </x:c>
      <x:c r="D207" s="191" t="n">
        <x:v>260.3599853515625</x:v>
      </x:c>
      <x:c r="E207" s="191" t="n">
        <x:v>251.43362426757812</x:v>
      </x:c>
      <x:c r="F207" s="191" t="n">
        <x:v>395.0899963378906</x:v>
      </x:c>
      <x:c r="G207" s="191" t="n">
        <x:v>373.58575439453125</x:v>
      </x:c>
      <x:c r="H207" s="208" t="n">
        <x:f>E207/E206-1</x:f>
        <x:v>-0.01691597722422189</x:v>
      </x:c>
      <x:c r="I207" s="208" t="n">
        <x:f>G207/G206-1</x:f>
        <x:v>-0.009278020119291353</x:v>
      </x:c>
      <x:c r="J207" s="208" t="n">
        <x:f>'Beta HC3'!$E$13+'Beta HC3'!$E$12*I207</x:f>
        <x:v>-0.010454728559008135</x:v>
      </x:c>
      <x:c r="K207" s="240" t="n">
        <x:f>H207-J207</x:f>
        <x:v>-0.006461248665213755</x:v>
      </x:c>
      <x:c r="L207" s="240" t="n">
        <x:f>I207-'Beta HC3'!$E$9</x:f>
        <x:v>-0.009841967736951791</x:v>
      </x:c>
      <x:c r="M207" s="240" t="n">
        <x:f>1/'Beta HC3'!$E$8+L207^2/'Beta HC3'!$E$11</x:f>
        <x:v>0.0014592141395656628</x:v>
      </x:c>
      <x:c r="N207" s="240" t="n">
        <x:f>K207^2/(1-M207)^2</x:f>
        <x:v>0.00004186983928303679</x:v>
      </x:c>
      <x:c r="O207" s="240" t="n">
        <x:f>N207*L207^2/'Beta HC3'!$E$11^2</x:f>
        <x:v>1.896618099576919e-7</x:v>
      </x:c>
      <x:c r="P207" s="240" t="n">
        <x:f>N207*(1/'Beta HC3'!$E$8-'Beta HC3'!$E$9*L207/'Beta HC3'!$E$11)^2</x:f>
        <x:v>2.917651675664402e-11</x:v>
      </x:c>
      <x:c r="Q207" s="240" t="n">
        <x:f>N207*(1/'Beta HC3'!$E$8-'Beta HC3'!$E$9*L207/'Beta HC3'!$E$11)*L207/'Beta HC3'!$E$11</x:f>
        <x:v>-2.3523756027314248e-9</x:v>
      </x:c>
      <x:c r="R207" s="240" t="n">
        <x:f>K207*L207/'Beta HC3'!$E$11</x:f>
        <x:v>0.00043486630062129685</x:v>
      </x:c>
      <x:c r="S207" s="240" t="n">
        <x:f>(K207-K206)^2</x:f>
        <x:v>0.000022722784373416133</x:v>
      </x:c>
      <x:c r="T207" s="280" t="n">
        <x:f>E207/$E$9*100</x:f>
        <x:v>88.85346890777764</x:v>
      </x:c>
    </x:row>
    <x:row r="208" ht="24" customHeight="1">
      <x:c r="C208" s="274" t="d">
        <x:v>2022-07-25T00:00:00.000Z</x:v>
      </x:c>
      <x:c r="D208" s="191" t="n">
        <x:v>258.8299865722656</x:v>
      </x:c>
      <x:c r="E208" s="191" t="n">
        <x:v>249.95608520507812</x:v>
      </x:c>
      <x:c r="F208" s="191" t="n">
        <x:v>395.57000732421875</x:v>
      </x:c>
      <x:c r="G208" s="191" t="n">
        <x:v>374.0396423339844</x:v>
      </x:c>
      <x:c r="H208" s="208" t="n">
        <x:f>E208/E207-1</x:f>
        <x:v>-0.005876457720418449</x:v>
      </x:c>
      <x:c r="I208" s="208" t="n">
        <x:f>G208/G207-1</x:f>
        <x:v>0.0012149498050018082</x:v>
      </x:c>
      <x:c r="J208" s="208" t="n">
        <x:f>'Beta HC3'!$E$13+'Beta HC3'!$E$12*I208</x:f>
        <x:v>0.0013793660472781201</x:v>
      </x:c>
      <x:c r="K208" s="240" t="n">
        <x:f>H208-J208</x:f>
        <x:v>-0.007255823767696569</x:v>
      </x:c>
      <x:c r="L208" s="240" t="n">
        <x:f>I208-'Beta HC3'!$E$9</x:f>
        <x:v>0.0006510021873413688</x:v>
      </x:c>
      <x:c r="M208" s="240" t="n">
        <x:f>1/'Beta HC3'!$E$8+L208^2/'Beta HC3'!$E$11</x:f>
        <x:v>0.0007997109083292559</x:v>
      </x:c>
      <x:c r="N208" s="240" t="n">
        <x:f>K208^2/(1-M208)^2</x:f>
        <x:v>0.00005273128439090995</x:v>
      </x:c>
      <x:c r="O208" s="240" t="n">
        <x:f>N208*L208^2/'Beta HC3'!$E$11^2</x:f>
        <x:v>1.0450762255440873e-9</x:v>
      </x:c>
      <x:c r="P208" s="240" t="n">
        <x:f>N208*(1/'Beta HC3'!$E$8-'Beta HC3'!$E$9*L208/'Beta HC3'!$E$11)^2</x:f>
        <x:v>3.32690054469611e-11</x:v>
      </x:c>
      <x:c r="Q208" s="240" t="n">
        <x:f>N208*(1/'Beta HC3'!$E$8-'Beta HC3'!$E$9*L208/'Beta HC3'!$E$11)*L208/'Beta HC3'!$E$11</x:f>
        <x:v>1.8646352629969162e-10</x:v>
      </x:c>
      <x:c r="R208" s="240" t="n">
        <x:f>K208*L208/'Beta HC3'!$E$11</x:f>
        <x:v>-0.00003230178595982514</x:v>
      </x:c>
      <x:c r="S208" s="240" t="n">
        <x:f>(K208-K207)^2</x:f>
        <x:v>6.31349593485575e-7</x:v>
      </x:c>
      <x:c r="T208" s="280" t="n">
        <x:f>E208/$E$9*100</x:f>
        <x:v>88.33132525442856</x:v>
      </x:c>
    </x:row>
    <x:row r="209" ht="24" customHeight="1">
      <x:c r="C209" s="274" t="d">
        <x:v>2022-07-26T00:00:00.000Z</x:v>
      </x:c>
      <x:c r="D209" s="191" t="n">
        <x:v>251.89999389648438</x:v>
      </x:c>
      <x:c r="E209" s="191" t="n">
        <x:v>243.26364135742188</x:v>
      </x:c>
      <x:c r="F209" s="191" t="n">
        <x:v>390.8900146484375</x:v>
      </x:c>
      <x:c r="G209" s="191" t="n">
        <x:v>369.6144104003906</x:v>
      </x:c>
      <x:c r="H209" s="208" t="n">
        <x:f>E209/E208-1</x:f>
        <x:v>-0.02677447857356774</x:v>
      </x:c>
      <x:c r="I209" s="208" t="n">
        <x:f>G209/G208-1</x:f>
        <x:v>-0.011830916920946066</x:v>
      </x:c>
      <x:c r="J209" s="208" t="n">
        <x:f>'Beta HC3'!$E$13+'Beta HC3'!$E$12*I209</x:f>
        <x:v>-0.013333915527887453</x:v>
      </x:c>
      <x:c r="K209" s="240" t="n">
        <x:f>H209-J209</x:f>
        <x:v>-0.013440563045680287</x:v>
      </x:c>
      <x:c r="L209" s="240" t="n">
        <x:f>I209-'Beta HC3'!$E$9</x:f>
        <x:v>-0.012394864538606505</x:v>
      </x:c>
      <x:c r="M209" s="240" t="n">
        <x:f>1/'Beta HC3'!$E$8+L209^2/'Beta HC3'!$E$11</x:f>
        <x:v>0.0018474212994279387</x:v>
      </x:c>
      <x:c r="N209" s="240" t="n">
        <x:f>K209^2/(1-M209)^2</x:f>
        <x:v>0.00018131805783667507</x:v>
      </x:c>
      <x:c r="O209" s="240" t="n">
        <x:f>N209*L209^2/'Beta HC3'!$E$11^2</x:f>
        <x:v>0.000001302684815618009</x:v>
      </x:c>
      <x:c r="P209" s="240" t="n">
        <x:f>N209*(1/'Beta HC3'!$E$8-'Beta HC3'!$E$9*L209/'Beta HC3'!$E$11)^2</x:f>
        <x:v>1.2934732672905664e-10</x:v>
      </x:c>
      <x:c r="Q209" s="240" t="n">
        <x:f>N209*(1/'Beta HC3'!$E$8-'Beta HC3'!$E$9*L209/'Beta HC3'!$E$11)*L209/'Beta HC3'!$E$11</x:f>
        <x:v>-1.2980708704486188e-8</x:v>
      </x:c>
      <x:c r="R209" s="240" t="n">
        <x:f>K209*L209/'Beta HC3'!$E$11</x:f>
        <x:v>0.0011392436290305328</x:v>
      </x:c>
      <x:c r="S209" s="240" t="n">
        <x:f>(K209-K208)^2</x:f>
        <x:v>0.00003825099993663455</x:v>
      </x:c>
      <x:c r="T209" s="280" t="n">
        <x:f>E209/$E$9*100</x:f>
        <x:v>85.96630007902901</x:v>
      </x:c>
    </x:row>
    <x:row r="210" ht="24" customHeight="1">
      <x:c r="C210" s="274" t="d">
        <x:v>2022-07-27T00:00:00.000Z</x:v>
      </x:c>
      <x:c r="D210" s="191" t="n">
        <x:v>268.739990234375</x:v>
      </x:c>
      <x:c r="E210" s="191" t="n">
        <x:v>259.5263366699219</x:v>
      </x:c>
      <x:c r="F210" s="191" t="n">
        <x:v>401.0400085449219</x:v>
      </x:c>
      <x:c r="G210" s="191" t="n">
        <x:v>379.2118225097656</x:v>
      </x:c>
      <x:c r="H210" s="208" t="n">
        <x:f>E210/E209-1</x:f>
        <x:v>0.06685214124787997</x:v>
      </x:c>
      <x:c r="I210" s="208" t="n">
        <x:f>G210/G209-1</x:f>
        <x:v>0.025966011711985093</x:v>
      </x:c>
      <x:c r="J210" s="208" t="n">
        <x:f>'Beta HC3'!$E$13+'Beta HC3'!$E$12*I210</x:f>
        <x:v>0.029293904097668955</x:v>
      </x:c>
      <x:c r="K210" s="240" t="n">
        <x:f>H210-J210</x:f>
        <x:v>0.03755823715021102</x:v>
      </x:c>
      <x:c r="L210" s="240" t="n">
        <x:f>I210-'Beta HC3'!$E$9</x:f>
        <x:v>0.025402064094324654</x:v>
      </x:c>
      <x:c r="M210" s="240" t="n">
        <x:f>1/'Beta HC3'!$E$8+L210^2/'Beta HC3'!$E$11</x:f>
        <x:v>0.0052094210374232135</x:v>
      </x:c>
      <x:c r="N210" s="240" t="n">
        <x:f>K210^2/(1-M210)^2</x:f>
        <x:v>0.0014254338646347588</x:v>
      </x:c>
      <x:c r="O210" s="240" t="n">
        <x:f>N210*L210^2/'Beta HC3'!$E$11^2</x:f>
        <x:v>0.00004301300753231956</x:v>
      </x:c>
      <x:c r="P210" s="240" t="n">
        <x:f>N210*(1/'Beta HC3'!$E$8-'Beta HC3'!$E$9*L210/'Beta HC3'!$E$11)^2</x:f>
        <x:v>6.961676555422682e-10</x:v>
      </x:c>
      <x:c r="Q210" s="240" t="n">
        <x:f>N210*(1/'Beta HC3'!$E$8-'Beta HC3'!$E$9*L210/'Beta HC3'!$E$11)*L210/'Beta HC3'!$E$11</x:f>
        <x:v>1.7304411175072335e-7</x:v>
      </x:c>
      <x:c r="R210" s="240" t="n">
        <x:f>K210*L210/'Beta HC3'!$E$11</x:f>
        <x:v>0.00652426463975672</x:v>
      </x:c>
      <x:c r="S210" s="240" t="n">
        <x:f>(K210-K209)^2</x:f>
        <x:v>0.002600877621420443</x:v>
      </x:c>
      <x:c r="T210" s="280" t="n">
        <x:f>E210/$E$9*100</x:f>
        <x:v>91.7133313144699</x:v>
      </x:c>
    </x:row>
    <x:row r="211" ht="24" customHeight="1">
      <x:c r="C211" s="274" t="d">
        <x:v>2022-07-28T00:00:00.000Z</x:v>
      </x:c>
      <x:c r="D211" s="191" t="n">
        <x:v>276.4100036621094</x:v>
      </x:c>
      <x:c r="E211" s="191" t="n">
        <x:v>266.933349609375</x:v>
      </x:c>
      <x:c r="F211" s="191" t="n">
        <x:v>406.07000732421875</x:v>
      </x:c>
      <x:c r="G211" s="191" t="n">
        <x:v>383.9681701660156</x:v>
      </x:c>
      <x:c r="H211" s="208" t="n">
        <x:f>E211/E210-1</x:f>
        <x:v>0.028540505886590406</x:v>
      </x:c>
      <x:c r="I211" s="208" t="n">
        <x:f>G211/G210-1</x:f>
        <x:v>0.012542719857125517</x:v>
      </x:c>
      <x:c r="J211" s="208" t="n">
        <x:f>'Beta HC3'!$E$13+'Beta HC3'!$E$12*I211</x:f>
        <x:v>0.014154958033368602</x:v>
      </x:c>
      <x:c r="K211" s="240" t="n">
        <x:f>H211-J211</x:f>
        <x:v>0.014385547853221804</x:v>
      </x:c>
      <x:c r="L211" s="240" t="n">
        <x:f>I211-'Beta HC3'!$E$9</x:f>
        <x:v>0.011978772239465078</x:v>
      </x:c>
      <x:c r="M211" s="240" t="n">
        <x:f>1/'Beta HC3'!$E$8+L211^2/'Beta HC3'!$E$11</x:f>
        <x:v>0.001778067960507196</x:v>
      </x:c>
      <x:c r="N211" s="240" t="n">
        <x:f>K211^2/(1-M211)^2</x:f>
        <x:v>0.00020768187542308933</x:v>
      </x:c>
      <x:c r="O211" s="240" t="n">
        <x:f>N211*L211^2/'Beta HC3'!$E$11^2</x:f>
        <x:v>0.0000013935993486045495</x:v>
      </x:c>
      <x:c r="P211" s="240" t="n">
        <x:f>N211*(1/'Beta HC3'!$E$8-'Beta HC3'!$E$9*L211/'Beta HC3'!$E$11)^2</x:f>
        <x:v>1.1701313057692586e-10</x:v>
      </x:c>
      <x:c r="Q211" s="240" t="n">
        <x:f>N211*(1/'Beta HC3'!$E$8-'Beta HC3'!$E$9*L211/'Beta HC3'!$E$11)*L211/'Beta HC3'!$E$11</x:f>
        <x:v>1.2769863842272672e-8</x:v>
      </x:c>
      <x:c r="R211" s="240" t="n">
        <x:f>K211*L211/'Beta HC3'!$E$11</x:f>
        <x:v>0.0011784090655632248</x:v>
      </x:c>
      <x:c r="S211" s="240" t="n">
        <x:f>(K211-K210)^2</x:f>
        <x:v>0.0005369735292547985</x:v>
      </x:c>
      <x:c r="T211" s="280" t="n">
        <x:f>E211/$E$9*100</x:f>
        <x:v>94.33087618672934</x:v>
      </x:c>
    </x:row>
    <x:row r="212" ht="24" customHeight="1">
      <x:c r="C212" s="274" t="d">
        <x:v>2022-07-29T00:00:00.000Z</x:v>
      </x:c>
      <x:c r="D212" s="191" t="n">
        <x:v>280.739990234375</x:v>
      </x:c>
      <x:c r="E212" s="191" t="n">
        <x:v>271.1148681640625</x:v>
      </x:c>
      <x:c r="F212" s="191" t="n">
        <x:v>411.989990234375</x:v>
      </x:c>
      <x:c r="G212" s="191" t="n">
        <x:v>389.5658874511719</x:v>
      </x:c>
      <x:c r="H212" s="208" t="n">
        <x:f>E212/E211-1</x:f>
        <x:v>0.015665028595365227</x:v>
      </x:c>
      <x:c r="I212" s="208" t="n">
        <x:f>G212/G211-1</x:f>
        <x:v>0.014578597186157394</x:v>
      </x:c>
      <x:c r="J212" s="208" t="n">
        <x:f>'Beta HC3'!$E$13+'Beta HC3'!$E$12*I212</x:f>
        <x:v>0.01645104437426027</x:v>
      </x:c>
      <x:c r="K212" s="240" t="n">
        <x:f>H212-J212</x:f>
        <x:v>-0.0007860157788950432</x:v>
      </x:c>
      <x:c r="L212" s="240" t="n">
        <x:f>I212-'Beta HC3'!$E$9</x:f>
        <x:v>0.014014649568496955</x:v>
      </x:c>
      <x:c r="M212" s="240" t="n">
        <x:f>1/'Beta HC3'!$E$8+L212^2/'Beta HC3'!$E$11</x:f>
        <x:v>0.002139954493600293</x:v>
      </x:c>
      <x:c r="N212" s="240" t="n">
        <x:f>K212^2/(1-M212)^2</x:f>
        <x:v>6.204735335246865e-7</x:v>
      </x:c>
      <x:c r="O212" s="240" t="n">
        <x:f>N212*L212^2/'Beta HC3'!$E$11^2</x:f>
        <x:v>5.699050033635053e-9</x:v>
      </x:c>
      <x:c r="P212" s="240" t="n">
        <x:f>N212*(1/'Beta HC3'!$E$8-'Beta HC3'!$E$9*L212/'Beta HC3'!$E$11)^2</x:f>
        <x:v>3.4231506528152984e-13</x:v>
      </x:c>
      <x:c r="Q212" s="240" t="n">
        <x:f>N212*(1/'Beta HC3'!$E$8-'Beta HC3'!$E$9*L212/'Beta HC3'!$E$11)*L212/'Beta HC3'!$E$11</x:f>
        <x:v>4.416866178985376e-11</x:v>
      </x:c>
      <x:c r="R212" s="240" t="n">
        <x:f>K212*L212/'Beta HC3'!$E$11</x:f>
        <x:v>-0.00007533050322702716</x:v>
      </x:c>
      <x:c r="S212" s="240" t="n">
        <x:f>(K212-K211)^2</x:f>
        <x:v>0.00023017634304337055</x:v>
      </x:c>
      <x:c r="T212" s="280" t="n">
        <x:f>E212/$E$9*100</x:f>
        <x:v>95.80857205962032</x:v>
      </x:c>
    </x:row>
    <x:row r="213" ht="24" customHeight="1">
      <x:c r="C213" s="274" t="d">
        <x:v>2022-08-01T00:00:00.000Z</x:v>
      </x:c>
      <x:c r="D213" s="191" t="n">
        <x:v>278.010009765625</x:v>
      </x:c>
      <x:c r="E213" s="191" t="n">
        <x:v>268.4785461425781</x:v>
      </x:c>
      <x:c r="F213" s="191" t="n">
        <x:v>410.7699890136719</x:v>
      </x:c>
      <x:c r="G213" s="191" t="n">
        <x:v>388.41229248046875</x:v>
      </x:c>
      <x:c r="H213" s="208" t="n">
        <x:f>E213/E212-1</x:f>
        <x:v>-0.009724003848763596</x:v>
      </x:c>
      <x:c r="I213" s="208" t="n">
        <x:f>G213/G212-1</x:f>
        <x:v>-0.0029612319965970357</x:v>
      </x:c>
      <x:c r="J213" s="208" t="n">
        <x:f>'Beta HC3'!$E$13+'Beta HC3'!$E$12*I213</x:f>
        <x:v>-0.0033305807923437298</x:v>
      </x:c>
      <x:c r="K213" s="240" t="n">
        <x:f>H213-J213</x:f>
        <x:v>-0.006393423056419866</x:v>
      </x:c>
      <x:c r="L213" s="240" t="n">
        <x:f>I213-'Beta HC3'!$E$9</x:f>
        <x:v>-0.003525179614257475</x:v>
      </x:c>
      <x:c r="M213" s="240" t="n">
        <x:f>1/'Beta HC3'!$E$8+L213^2/'Beta HC3'!$E$11</x:f>
        <x:v>0.000881793362367328</x:v>
      </x:c>
      <x:c r="N213" s="240" t="n">
        <x:f>K213^2/(1-M213)^2</x:f>
        <x:v>0.00004094804196202883</x:v>
      </x:c>
      <x:c r="O213" s="240" t="n">
        <x:f>N213*L213^2/'Beta HC3'!$E$11^2</x:f>
        <x:v>2.379635079319352e-8</x:v>
      </x:c>
      <x:c r="P213" s="240" t="n">
        <x:f>N213*(1/'Beta HC3'!$E$8-'Beta HC3'!$E$9*L213/'Beta HC3'!$E$11)^2</x:f>
        <x:v>2.6893061696399393e-11</x:v>
      </x:c>
      <x:c r="Q213" s="240" t="n">
        <x:f>N213*(1/'Beta HC3'!$E$8-'Beta HC3'!$E$9*L213/'Beta HC3'!$E$11)*L213/'Beta HC3'!$E$11</x:f>
        <x:v>-7.99972955811955e-10</x:v>
      </x:c>
      <x:c r="R213" s="240" t="n">
        <x:f>K213*L213/'Beta HC3'!$E$11</x:f>
        <x:v>0.00015412463257999013</x:v>
      </x:c>
      <x:c r="S213" s="240" t="n">
        <x:f>(K213-K212)^2</x:f>
        <x:v>0.00003144301637603834</x:v>
      </x:c>
      <x:c r="T213" s="280" t="n">
        <x:f>E213/$E$9*100</x:f>
        <x:v>94.87692913616802</x:v>
      </x:c>
    </x:row>
    <x:row r="214" ht="24" customHeight="1">
      <x:c r="C214" s="274" t="d">
        <x:v>2022-08-02T00:00:00.000Z</x:v>
      </x:c>
      <x:c r="D214" s="191" t="n">
        <x:v>274.82000732421875</x:v>
      </x:c>
      <x:c r="E214" s="191" t="n">
        <x:v>265.3978271484375</x:v>
      </x:c>
      <x:c r="F214" s="191" t="n">
        <x:v>408.05999755859375</x:v>
      </x:c>
      <x:c r="G214" s="191" t="n">
        <x:v>385.849853515625</x:v>
      </x:c>
      <x:c r="H214" s="208" t="n">
        <x:f>E214/E213-1</x:f>
        <x:v>-0.011474730619647322</x:v>
      </x:c>
      <x:c r="I214" s="208" t="n">
        <x:f>G214/G213-1</x:f>
        <x:v>-0.006597213874153018</x:v>
      </x:c>
      <x:c r="J214" s="208" t="n">
        <x:f>'Beta HC3'!$E$13+'Beta HC3'!$E$12*I214</x:f>
        <x:v>-0.007431283818864447</x:v>
      </x:c>
      <x:c r="K214" s="240" t="n">
        <x:f>H214-J214</x:f>
        <x:v>-0.004043446800782875</x:v>
      </x:c>
      <x:c r="L214" s="240" t="n">
        <x:f>I214-'Beta HC3'!$E$9</x:f>
        <x:v>-0.007161161491813458</x:v>
      </x:c>
      <x:c r="M214" s="240" t="n">
        <x:f>1/'Beta HC3'!$E$8+L214^2/'Beta HC3'!$E$11</x:f>
        <x:v>0.0011475034875629798</x:v>
      </x:c>
      <x:c r="N214" s="240" t="n">
        <x:f>K214^2/(1-M214)^2</x:f>
        <x:v>0.000016387048844280472</x:v>
      </x:c>
      <x:c r="O214" s="240" t="n">
        <x:f>N214*L214^2/'Beta HC3'!$E$11^2</x:f>
        <x:v>3.929908205690619e-8</x:v>
      </x:c>
      <x:c r="P214" s="240" t="n">
        <x:f>N214*(1/'Beta HC3'!$E$8-'Beta HC3'!$E$9*L214/'Beta HC3'!$E$11)^2</x:f>
        <x:v>1.1138026961148373e-11</x:v>
      </x:c>
      <x:c r="Q214" s="240" t="n">
        <x:f>N214*(1/'Beta HC3'!$E$8-'Beta HC3'!$E$9*L214/'Beta HC3'!$E$11)*L214/'Beta HC3'!$E$11</x:f>
        <x:v>-6.615997547597817e-10</x:v>
      </x:c>
      <x:c r="R214" s="240" t="n">
        <x:f>K214*L214/'Beta HC3'!$E$11</x:f>
        <x:v>0.00019801247975088844</x:v>
      </x:c>
      <x:c r="S214" s="240" t="n">
        <x:f>(K214-K213)^2</x:f>
        <x:v>0.000005522388402057652</x:v>
      </x:c>
      <x:c r="T214" s="280" t="n">
        <x:f>E214/$E$9*100</x:f>
        <x:v>93.78824193231114</x:v>
      </x:c>
    </x:row>
    <x:row r="215" ht="24" customHeight="1">
      <x:c r="C215" s="274" t="d">
        <x:v>2022-08-03T00:00:00.000Z</x:v>
      </x:c>
      <x:c r="D215" s="191" t="n">
        <x:v>282.4700012207031</x:v>
      </x:c>
      <x:c r="E215" s="191" t="n">
        <x:v>272.78558349609375</x:v>
      </x:c>
      <x:c r="F215" s="191" t="n">
        <x:v>414.45001220703125</x:v>
      </x:c>
      <x:c r="G215" s="191" t="n">
        <x:v>391.89202880859375</x:v>
      </x:c>
      <x:c r="H215" s="208" t="n">
        <x:f>E215/E214-1</x:f>
        <x:v>0.027836536670378553</x:v>
      </x:c>
      <x:c r="I215" s="208" t="n">
        <x:f>G215/G214-1</x:f>
        <x:v>0.015659395067579185</x:v>
      </x:c>
      <x:c r="J215" s="208" t="n">
        <x:f>'Beta HC3'!$E$13+'Beta HC3'!$E$12*I215</x:f>
        <x:v>0.017669980907129523</x:v>
      </x:c>
      <x:c r="K215" s="240" t="n">
        <x:f>H215-J215</x:f>
        <x:v>0.01016655576324903</x:v>
      </x:c>
      <x:c r="L215" s="240" t="n">
        <x:f>I215-'Beta HC3'!$E$9</x:f>
        <x:v>0.015095447449918746</x:v>
      </x:c>
      <x:c r="M215" s="240" t="n">
        <x:f>1/'Beta HC3'!$E$8+L215^2/'Beta HC3'!$E$11</x:f>
        <x:v>0.002355106548813952</x:v>
      </x:c>
      <x:c r="N215" s="240" t="n">
        <x:f>K215^2/(1-M215)^2</x:f>
        <x:v>0.00010384742358947426</x:v>
      </x:c>
      <x:c r="O215" s="240" t="n">
        <x:f>N215*L215^2/'Beta HC3'!$E$11^2</x:f>
        <x:v>0.0000011066299769854091</x:v>
      </x:c>
      <x:c r="P215" s="240" t="n">
        <x:f>N215*(1/'Beta HC3'!$E$8-'Beta HC3'!$E$9*L215/'Beta HC3'!$E$11)^2</x:f>
        <x:v>5.665138713125768e-11</x:v>
      </x:c>
      <x:c r="Q215" s="240" t="n">
        <x:f>N215*(1/'Beta HC3'!$E$8-'Beta HC3'!$E$9*L215/'Beta HC3'!$E$11)*L215/'Beta HC3'!$E$11</x:f>
        <x:v>7.91783576725706e-9</x:v>
      </x:c>
      <x:c r="R215" s="240" t="n">
        <x:f>K215*L215/'Beta HC3'!$E$11</x:f>
        <x:v>0.001049487328140017</x:v>
      </x:c>
      <x:c r="S215" s="240" t="n">
        <x:f>(K215-K214)^2</x:f>
        <x:v>0.00020192417286979332</x:v>
      </x:c>
      <x:c r="T215" s="280" t="n">
        <x:f>E215/$E$9*100</x:f>
        <x:v>96.39898176811023</x:v>
      </x:c>
    </x:row>
    <x:row r="216" ht="24" customHeight="1">
      <x:c r="C216" s="274" t="d">
        <x:v>2022-08-04T00:00:00.000Z</x:v>
      </x:c>
      <x:c r="D216" s="191" t="n">
        <x:v>283.6499938964844</x:v>
      </x:c>
      <x:c r="E216" s="191" t="n">
        <x:v>273.92510986328125</x:v>
      </x:c>
      <x:c r="F216" s="191" t="n">
        <x:v>414.1700134277344</x:v>
      </x:c>
      <x:c r="G216" s="191" t="n">
        <x:v>391.6272888183594</x:v>
      </x:c>
      <x:c r="H216" s="208" t="n">
        <x:f>E216/E215-1</x:f>
        <x:v>0.004177370198904962</x:v>
      </x:c>
      <x:c r="I216" s="208" t="n">
        <x:f>G216/G215-1</x:f>
        <x:v>-0.0006755431873396445</x:v>
      </x:c>
      <x:c r="J216" s="208" t="n">
        <x:f>'Beta HC3'!$E$13+'Beta HC3'!$E$12*I216</x:f>
        <x:v>-0.0007527541327382171</x:v>
      </x:c>
      <x:c r="K216" s="240" t="n">
        <x:f>H216-J216</x:f>
        <x:v>0.004930124331643179</x:v>
      </x:c>
      <x:c r="L216" s="240" t="n">
        <x:f>I216-'Beta HC3'!$E$9</x:f>
        <x:v>-0.0012394908050000837</x:v>
      </x:c>
      <x:c r="M216" s="240" t="n">
        <x:f>1/'Beta HC3'!$E$8+L216^2/'Beta HC3'!$E$11</x:f>
        <x:v>0.0008073189082702612</x:v>
      </x:c>
      <x:c r="N216" s="240" t="n">
        <x:f>K216^2/(1-M216)^2</x:f>
        <x:v>0.000024345419092322754</x:v>
      </x:c>
      <x:c r="O216" s="240" t="n">
        <x:f>N216*L216^2/'Beta HC3'!$E$11^2</x:f>
        <x:v>1.749115936001338e-9</x:v>
      </x:c>
      <x:c r="P216" s="240" t="n">
        <x:f>N216*(1/'Beta HC3'!$E$8-'Beta HC3'!$E$9*L216/'Beta HC3'!$E$11)^2</x:f>
        <x:v>1.5643176764614912e-11</x:v>
      </x:c>
      <x:c r="Q216" s="240" t="n">
        <x:f>N216*(1/'Beta HC3'!$E$8-'Beta HC3'!$E$9*L216/'Beta HC3'!$E$11)*L216/'Beta HC3'!$E$11</x:f>
        <x:v>-1.6541381371782043e-10</x:v>
      </x:c>
      <x:c r="R216" s="240" t="n">
        <x:f>K216*L216/'Beta HC3'!$E$11</x:f>
        <x:v>-0.00004178866936474576</x:v>
      </x:c>
      <x:c r="S216" s="240" t="n">
        <x:f>(K216-K215)^2</x:f>
        <x:v>0.000027420214137909707</x:v>
      </x:c>
      <x:c r="T216" s="280" t="n">
        <x:f>E216/$E$9*100</x:f>
        <x:v>96.80167600175314</x:v>
      </x:c>
    </x:row>
    <x:row r="217" ht="24" customHeight="1">
      <x:c r="C217" s="274" t="d">
        <x:v>2022-08-05T00:00:00.000Z</x:v>
      </x:c>
      <x:c r="D217" s="191" t="n">
        <x:v>282.9100036621094</x:v>
      </x:c>
      <x:c r="E217" s="191" t="n">
        <x:v>273.21051025390625</x:v>
      </x:c>
      <x:c r="F217" s="191" t="n">
        <x:v>413.4700012207031</x:v>
      </x:c>
      <x:c r="G217" s="191" t="n">
        <x:v>390.96533203125</x:v>
      </x:c>
      <x:c r="H217" s="208" t="n">
        <x:f>E217/E216-1</x:f>
        <x:v>-0.0026087407968246046</x:v>
      </x:c>
      <x:c r="I217" s="208" t="n">
        <x:f>G217/G216-1</x:f>
        <x:v>-0.0016902723737833858</x:v>
      </x:c>
      <x:c r="J217" s="208" t="n">
        <x:f>'Beta HC3'!$E$13+'Beta HC3'!$E$12*I217</x:f>
        <x:v>-0.0018971776161538566</x:v>
      </x:c>
      <x:c r="K217" s="240" t="n">
        <x:f>H217-J217</x:f>
        <x:v>-0.000711563180670748</x:v>
      </x:c>
      <x:c r="L217" s="240" t="n">
        <x:f>I217-'Beta HC3'!$E$9</x:f>
        <x:v>-0.002254219991443825</x:v>
      </x:c>
      <x:c r="M217" s="240" t="n">
        <x:f>1/'Beta HC3'!$E$8+L217^2/'Beta HC3'!$E$11</x:f>
        <x:v>0.0008315623606503295</x:v>
      </x:c>
      <x:c r="N217" s="240" t="n">
        <x:f>K217^2/(1-M217)^2</x:f>
        <x:v>5.071652885126347e-7</x:v>
      </x:c>
      <x:c r="O217" s="240" t="n">
        <x:f>N217*L217^2/'Beta HC3'!$E$11^2</x:f>
        <x:v>1.2051936607042432e-10</x:v>
      </x:c>
      <x:c r="P217" s="240" t="n">
        <x:f>N217*(1/'Beta HC3'!$E$8-'Beta HC3'!$E$9*L217/'Beta HC3'!$E$11)^2</x:f>
        <x:v>3.2906925013071675e-13</x:v>
      </x:c>
      <x:c r="Q217" s="240" t="n">
        <x:f>N217*(1/'Beta HC3'!$E$8-'Beta HC3'!$E$9*L217/'Beta HC3'!$E$11)*L217/'Beta HC3'!$E$11</x:f>
        <x:v>-6.297556464139396e-12</x:v>
      </x:c>
      <x:c r="R217" s="240" t="n">
        <x:f>K217*L217/'Beta HC3'!$E$11</x:f>
        <x:v>0.00001096900226419759</x:v>
      </x:c>
      <x:c r="S217" s="240" t="n">
        <x:f>(K217-K216)^2</x:f>
        <x:v>0.0000318286379865989</x:v>
      </x:c>
      <x:c r="T217" s="280" t="n">
        <x:f>E217/$E$9*100</x:f>
        <x:v>96.54914552036637</x:v>
      </x:c>
    </x:row>
    <x:row r="218" ht="24" customHeight="1">
      <x:c r="C218" s="274" t="d">
        <x:v>2022-08-08T00:00:00.000Z</x:v>
      </x:c>
      <x:c r="D218" s="191" t="n">
        <x:v>280.32000732421875</x:v>
      </x:c>
      <x:c r="E218" s="191" t="n">
        <x:v>270.7093505859375</x:v>
      </x:c>
      <x:c r="F218" s="191" t="n">
        <x:v>412.989990234375</x:v>
      </x:c>
      <x:c r="G218" s="191" t="n">
        <x:v>390.51141357421875</x:v>
      </x:c>
      <x:c r="H218" s="208" t="n">
        <x:f>E218/E217-1</x:f>
        <x:v>-0.009154697839568127</x:v>
      </x:c>
      <x:c r="I218" s="208" t="n">
        <x:f>G218/G217-1</x:f>
        <x:v>-0.0011610197115763388</x:v>
      </x:c>
      <x:c r="J218" s="208" t="n">
        <x:f>'Beta HC3'!$E$13+'Beta HC3'!$E$12*I218</x:f>
        <x:v>-0.0013002802534075354</x:v>
      </x:c>
      <x:c r="K218" s="240" t="n">
        <x:f>H218-J218</x:f>
        <x:v>-0.007854417586160591</x:v>
      </x:c>
      <x:c r="L218" s="240" t="n">
        <x:f>I218-'Beta HC3'!$E$9</x:f>
        <x:v>-0.001724967329236778</x:v>
      </x:c>
      <x:c r="M218" s="240" t="n">
        <x:f>1/'Beta HC3'!$E$8+L218^2/'Beta HC3'!$E$11</x:f>
        <x:v>0.0008171606262686597</x:v>
      </x:c>
      <x:c r="N218" s="240" t="n">
        <x:f>K218^2/(1-M218)^2</x:f>
        <x:v>0.00006179282368053413</x:v>
      </x:c>
      <x:c r="O218" s="240" t="n">
        <x:f>N218*L218^2/'Beta HC3'!$E$11^2</x:f>
        <x:v>8.59833797500111e-9</x:v>
      </x:c>
      <x:c r="P218" s="240" t="n">
        <x:f>N218*(1/'Beta HC3'!$E$8-'Beta HC3'!$E$9*L218/'Beta HC3'!$E$11)^2</x:f>
        <x:v>3.9890741206072894e-11</x:v>
      </x:c>
      <x:c r="Q218" s="240" t="n">
        <x:f>N218*(1/'Beta HC3'!$E$8-'Beta HC3'!$E$9*L218/'Beta HC3'!$E$11)*L218/'Beta HC3'!$E$11</x:f>
        <x:v>-5.856569601422988e-10</x:v>
      </x:c>
      <x:c r="R218" s="240" t="n">
        <x:f>K218*L218/'Beta HC3'!$E$11</x:f>
        <x:v>0.00009265145044771319</x:v>
      </x:c>
      <x:c r="S218" s="240" t="n">
        <x:f>(K218-K217)^2</x:f>
        <x:v>0.000051020369058025666</x:v>
      </x:c>
      <x:c r="T218" s="280" t="n">
        <x:f>E218/$E$9*100</x:f>
        <x:v>95.66526726645891</x:v>
      </x:c>
    </x:row>
    <x:row r="219" ht="24" customHeight="1">
      <x:c r="C219" s="274" t="d">
        <x:v>2022-08-09T00:00:00.000Z</x:v>
      </x:c>
      <x:c r="D219" s="191" t="n">
        <x:v>282.29998779296875</x:v>
      </x:c>
      <x:c r="E219" s="191" t="n">
        <x:v>272.62139892578125</x:v>
      </x:c>
      <x:c r="F219" s="191" t="n">
        <x:v>411.3500061035156</x:v>
      </x:c>
      <x:c r="G219" s="191" t="n">
        <x:v>388.9607238769531</x:v>
      </x:c>
      <x:c r="H219" s="208" t="n">
        <x:f>E219/E218-1</x:f>
        <x:v>0.00706310415840905</x:v>
      </x:c>
      <x:c r="I219" s="208" t="n">
        <x:f>G219/G218-1</x:f>
        <x:v>-0.003970920294166791</x:v>
      </x:c>
      <x:c r="J219" s="208" t="n">
        <x:f>'Beta HC3'!$E$13+'Beta HC3'!$E$12*I219</x:f>
        <x:v>-0.004469319102136941</x:v>
      </x:c>
      <x:c r="K219" s="240" t="n">
        <x:f>H219-J219</x:f>
        <x:v>0.011532423260545991</x:v>
      </x:c>
      <x:c r="L219" s="240" t="n">
        <x:f>I219-'Beta HC3'!$E$9</x:f>
        <x:v>-0.004534867911827231</x:v>
      </x:c>
      <x:c r="M219" s="240" t="n">
        <x:f>1/'Beta HC3'!$E$8+L219^2/'Beta HC3'!$E$11</x:f>
        <x:v>0.0009374455559074764</x:v>
      </x:c>
      <x:c r="N219" s="240" t="n">
        <x:f>K219^2/(1-M219)^2</x:f>
        <x:v>0.00013324649182601465</x:v>
      </x:c>
      <x:c r="O219" s="240" t="n">
        <x:f>N219*L219^2/'Beta HC3'!$E$11^2</x:f>
        <x:v>1.281444466107533e-7</x:v>
      </x:c>
      <x:c r="P219" s="240" t="n">
        <x:f>N219*(1/'Beta HC3'!$E$8-'Beta HC3'!$E$9*L219/'Beta HC3'!$E$11)^2</x:f>
        <x:v>8.83540248457634e-11</x:v>
      </x:c>
      <x:c r="Q219" s="240" t="n">
        <x:f>N219*(1/'Beta HC3'!$E$8-'Beta HC3'!$E$9*L219/'Beta HC3'!$E$11)*L219/'Beta HC3'!$E$11</x:f>
        <x:v>-3.36482950826533e-9</x:v>
      </x:c>
      <x:c r="R219" s="240" t="n">
        <x:f>K219*L219/'Beta HC3'!$E$11</x:f>
        <x:v>-0.00035763710984830483</x:v>
      </x:c>
      <x:c r="S219" s="240" t="n">
        <x:f>(K219-K218)^2</x:f>
        <x:v>0.0003758495980155308</x:v>
      </x:c>
      <x:c r="T219" s="280" t="n">
        <x:f>E219/$E$9*100</x:f>
        <x:v>96.34096101350396</x:v>
      </x:c>
    </x:row>
    <x:row r="220" ht="24" customHeight="1">
      <x:c r="C220" s="274" t="d">
        <x:v>2022-08-10T00:00:00.000Z</x:v>
      </x:c>
      <x:c r="D220" s="191" t="n">
        <x:v>289.1600036621094</x:v>
      </x:c>
      <x:c r="E220" s="191" t="n">
        <x:v>279.2461853027344</x:v>
      </x:c>
      <x:c r="F220" s="191" t="n">
        <x:v>419.989990234375</x:v>
      </x:c>
      <x:c r="G220" s="191" t="n">
        <x:v>397.1304931640625</x:v>
      </x:c>
      <x:c r="H220" s="208" t="n">
        <x:f>E220/E219-1</x:f>
        <x:v>0.024300316860881077</x:v>
      </x:c>
      <x:c r="I220" s="208" t="n">
        <x:f>G220/G219-1</x:f>
        <x:v>0.02100409832046135</x:v>
      </x:c>
      <x:c r="J220" s="208" t="n">
        <x:f>'Beta HC3'!$E$13+'Beta HC3'!$E$12*I220</x:f>
        <x:v>0.023697799951068518</x:v>
      </x:c>
      <x:c r="K220" s="240" t="n">
        <x:f>H220-J220</x:f>
        <x:v>0.0006025169098125595</x:v>
      </x:c>
      <x:c r="L220" s="240" t="n">
        <x:f>I220-'Beta HC3'!$E$9</x:f>
        <x:v>0.020440150702800912</x:v>
      </x:c>
      <x:c r="M220" s="240" t="n">
        <x:f>1/'Beta HC3'!$E$8+L220^2/'Beta HC3'!$E$11</x:f>
        <x:v>0.0036539134540984775</x:v>
      </x:c>
      <x:c r="N220" s="240" t="n">
        <x:f>K220^2/(1-M220)^2</x:f>
        <x:v>3.656941739209639e-7</x:v>
      </x:c>
      <x:c r="O220" s="240" t="n">
        <x:f>N220*L220^2/'Beta HC3'!$E$11^2</x:f>
        <x:v>7.1449789094035666e-9</x:v>
      </x:c>
      <x:c r="P220" s="240" t="n">
        <x:f>N220*(1/'Beta HC3'!$E$8-'Beta HC3'!$E$9*L220/'Beta HC3'!$E$11)^2</x:f>
        <x:v>1.885161418651847e-13</x:v>
      </x:c>
      <x:c r="Q220" s="240" t="n">
        <x:f>N220*(1/'Beta HC3'!$E$8-'Beta HC3'!$E$9*L220/'Beta HC3'!$E$11)*L220/'Beta HC3'!$E$11</x:f>
        <x:v>3.670073374891673e-11</x:v>
      </x:c>
      <x:c r="R220" s="240" t="n">
        <x:f>K220*L220/'Beta HC3'!$E$11</x:f>
        <x:v>0.00008421911916828131</x:v>
      </x:c>
      <x:c r="S220" s="240" t="n">
        <x:f>(K220-K219)^2</x:f>
        <x:v>0.000119462852835803</x:v>
      </x:c>
      <x:c r="T220" s="280" t="n">
        <x:f>E220/$E$9*100</x:f>
        <x:v>98.68207689281388</x:v>
      </x:c>
    </x:row>
    <x:row r="221" ht="24" customHeight="1">
      <x:c r="C221" s="274" t="d">
        <x:v>2022-08-11T00:00:00.000Z</x:v>
      </x:c>
      <x:c r="D221" s="191" t="n">
        <x:v>287.0199890136719</x:v>
      </x:c>
      <x:c r="E221" s="191" t="n">
        <x:v>277.1795654296875</x:v>
      </x:c>
      <x:c r="F221" s="191" t="n">
        <x:v>419.989990234375</x:v>
      </x:c>
      <x:c r="G221" s="191" t="n">
        <x:v>397.1304931640625</x:v>
      </x:c>
      <x:c r="H221" s="208" t="n">
        <x:f>E221/E220-1</x:f>
        <x:v>-0.007400709416339635</x:v>
      </x:c>
      <x:c r="I221" s="208" t="n">
        <x:f>G221/G220-1</x:f>
        <x:v>0</x:v>
      </x:c>
      <x:c r="J221" s="208" t="n">
        <x:f>'Beta HC3'!$E$13+'Beta HC3'!$E$12*I221</x:f>
        <x:v>0.000009131400841832821</x:v>
      </x:c>
      <x:c r="K221" s="240" t="n">
        <x:f>H221-J221</x:f>
        <x:v>-0.0074098408171814675</x:v>
      </x:c>
      <x:c r="L221" s="240" t="n">
        <x:f>I221-'Beta HC3'!$E$9</x:f>
        <x:v>-0.0005639476176604394</x:v>
      </x:c>
      <x:c r="M221" s="240" t="n">
        <x:f>1/'Beta HC3'!$E$8+L221^2/'Beta HC3'!$E$11</x:f>
        <x:v>0.0007989876269737145</x:v>
      </x:c>
      <x:c r="N221" s="240" t="n">
        <x:f>K221^2/(1-M221)^2</x:f>
        <x:v>0.00005499358421579941</x:v>
      </x:c>
      <x:c r="O221" s="240" t="n">
        <x:f>N221*L221^2/'Beta HC3'!$E$11^2</x:f>
        <x:v>8.179076709798529e-10</x:v>
      </x:c>
      <x:c r="P221" s="240" t="n">
        <x:f>N221*(1/'Beta HC3'!$E$8-'Beta HC3'!$E$9*L221/'Beta HC3'!$E$11)^2</x:f>
        <x:v>3.5106871826942894e-11</x:v>
      </x:c>
      <x:c r="Q221" s="240" t="n">
        <x:f>N221*(1/'Beta HC3'!$E$8-'Beta HC3'!$E$9*L221/'Beta HC3'!$E$11)*L221/'Beta HC3'!$E$11</x:f>
        <x:v>-1.694525885649525e-10</x:v>
      </x:c>
      <x:c r="R221" s="240" t="n">
        <x:f>K221*L221/'Beta HC3'!$E$11</x:f>
        <x:v>0.00002857623482718668</x:v>
      </x:c>
      <x:c r="S221" s="240" t="n">
        <x:f>(K221-K220)^2</x:f>
        <x:v>0.00006419787634532089</x:v>
      </x:c>
      <x:c r="T221" s="280" t="n">
        <x:f>E221/$E$9*100</x:f>
        <x:v>97.95175951712928</x:v>
      </x:c>
    </x:row>
    <x:row r="222" ht="24" customHeight="1">
      <x:c r="C222" s="274" t="d">
        <x:v>2022-08-12T00:00:00.000Z</x:v>
      </x:c>
      <x:c r="D222" s="191" t="n">
        <x:v>291.9100036621094</x:v>
      </x:c>
      <x:c r="E222" s="191" t="n">
        <x:v>281.90191650390625</x:v>
      </x:c>
      <x:c r="F222" s="191" t="n">
        <x:v>427.1000061035156</x:v>
      </x:c>
      <x:c r="G222" s="191" t="n">
        <x:v>403.8534851074219</x:v>
      </x:c>
      <x:c r="H222" s="208" t="n">
        <x:f>E222/E221-1</x:f>
        <x:v>0.017037154477452576</x:v>
      </x:c>
      <x:c r="I222" s="208" t="n">
        <x:f>G222/G221-1</x:f>
        <x:v>0.01692892401637347</x:v>
      </x:c>
      <x:c r="J222" s="208" t="n">
        <x:f>'Beta HC3'!$E$13+'Beta HC3'!$E$12*I222</x:f>
        <x:v>0.01910177055237267</x:v>
      </x:c>
      <x:c r="K222" s="240" t="n">
        <x:f>H222-J222</x:f>
        <x:v>-0.0020646160749200927</x:v>
      </x:c>
      <x:c r="L222" s="240" t="n">
        <x:f>I222-'Beta HC3'!$E$9</x:f>
        <x:v>0.01636497639871303</x:v>
      </x:c>
      <x:c r="M222" s="240" t="n">
        <x:f>1/'Beta HC3'!$E$8+L222^2/'Beta HC3'!$E$11</x:f>
        <x:v>0.002628233488877891</x:v>
      </x:c>
      <x:c r="N222" s="240" t="n">
        <x:f>K222^2/(1-M222)^2</x:f>
        <x:v>0.000004285134605322464</x:v>
      </x:c>
      <x:c r="O222" s="240" t="n">
        <x:f>N222*L222^2/'Beta HC3'!$E$11^2</x:f>
        <x:v>5.3667326141732274e-8</x:v>
      </x:c>
      <x:c r="P222" s="240" t="n">
        <x:f>N222*(1/'Beta HC3'!$E$8-'Beta HC3'!$E$9*L222/'Beta HC3'!$E$11)^2</x:f>
        <x:v>2.3067602962730993e-12</x:v>
      </x:c>
      <x:c r="Q222" s="240" t="n">
        <x:f>N222*(1/'Beta HC3'!$E$8-'Beta HC3'!$E$9*L222/'Beta HC3'!$E$11)*L222/'Beta HC3'!$E$11</x:f>
        <x:v>3.518489123912242e-10</x:v>
      </x:c>
      <x:c r="R222" s="240" t="n">
        <x:f>K222*L222/'Beta HC3'!$E$11</x:f>
        <x:v>-0.0002310532326696833</x:v>
      </x:c>
      <x:c r="S222" s="240" t="n">
        <x:f>(K222-K221)^2</x:f>
        <x:v>0.00002857142754528318</x:v>
      </x:c>
      <x:c r="T222" s="280" t="n">
        <x:f>E222/$E$9*100</x:f>
        <x:v>99.6205787753609</x:v>
      </x:c>
    </x:row>
    <x:row r="223" ht="24" customHeight="1">
      <x:c r="C223" s="274" t="d">
        <x:v>2022-08-15T00:00:00.000Z</x:v>
      </x:c>
      <x:c r="D223" s="191" t="n">
        <x:v>293.4700012207031</x:v>
      </x:c>
      <x:c r="E223" s="191" t="n">
        <x:v>283.4084167480469</x:v>
      </x:c>
      <x:c r="F223" s="191" t="n">
        <x:v>428.8599853515625</x:v>
      </x:c>
      <x:c r="G223" s="191" t="n">
        <x:v>405.5176696777344</x:v>
      </x:c>
      <x:c r="H223" s="208" t="n">
        <x:f>E223/E222-1</x:f>
        <x:v>0.00534405818457695</x:v>
      </x:c>
      <x:c r="I223" s="208" t="n">
        <x:f>G223/G222-1</x:f>
        <x:v>0.004120763176947317</x:v>
      </x:c>
      <x:c r="J223" s="208" t="n">
        <x:f>'Beta HC3'!$E$13+'Beta HC3'!$E$12*I223</x:f>
        <x:v>0.004656576465293426</x:v>
      </x:c>
      <x:c r="K223" s="240" t="n">
        <x:f>H223-J223</x:f>
        <x:v>0.0006874817192835236</x:v>
      </x:c>
      <x:c r="L223" s="240" t="n">
        <x:f>I223-'Beta HC3'!$E$9</x:f>
        <x:v>0.003556815559286878</x:v>
      </x:c>
      <x:c r="M223" s="240" t="n">
        <x:f>1/'Beta HC3'!$E$8+L223^2/'Beta HC3'!$E$11</x:f>
        <x:v>0.0008833254859596806</x:v>
      </x:c>
      <x:c r="N223" s="240" t="n">
        <x:f>K223^2/(1-M223)^2</x:f>
        <x:v>4.73467196202004e-7</x:v>
      </x:c>
      <x:c r="O223" s="240" t="n">
        <x:f>N223*L223^2/'Beta HC3'!$E$11^2</x:f>
        <x:v>2.801091578460174e-10</x:v>
      </x:c>
      <x:c r="P223" s="240" t="n">
        <x:f>N223*(1/'Beta HC3'!$E$8-'Beta HC3'!$E$9*L223/'Beta HC3'!$E$11)^2</x:f>
        <x:v>2.903485662687564e-13</x:v>
      </x:c>
      <x:c r="Q223" s="240" t="n">
        <x:f>N223*(1/'Beta HC3'!$E$8-'Beta HC3'!$E$9*L223/'Beta HC3'!$E$11)*L223/'Beta HC3'!$E$11</x:f>
        <x:v>9.018275465926949e-12</x:v>
      </x:c>
      <x:c r="R223" s="240" t="n">
        <x:f>K223*L223/'Beta HC3'!$E$11</x:f>
        <x:v>0.000016721678183996162</x:v>
      </x:c>
      <x:c r="S223" s="240" t="n">
        <x:f>(K223-K222)^2</x:f>
        <x:v>0.00000757404226886041</x:v>
      </x:c>
      <x:c r="T223" s="280" t="n">
        <x:f>E223/$E$9*100</x:f>
        <x:v>100.15295694471764</x:v>
      </x:c>
    </x:row>
    <x:row r="224" ht="24" customHeight="1">
      <x:c r="C224" s="274" t="d">
        <x:v>2022-08-16T00:00:00.000Z</x:v>
      </x:c>
      <x:c r="D224" s="191" t="n">
        <x:v>292.7099914550781</x:v>
      </x:c>
      <x:c r="E224" s="191" t="n">
        <x:v>282.6744689941406</x:v>
      </x:c>
      <x:c r="F224" s="191" t="n">
        <x:v>429.70001220703125</x:v>
      </x:c>
      <x:c r="G224" s="191" t="n">
        <x:v>406.3119812011719</x:v>
      </x:c>
      <x:c r="H224" s="208" t="n">
        <x:f>E224/E223-1</x:f>
        <x:v>-0.0025897175614185697</x:v>
      </x:c>
      <x:c r="I224" s="208" t="n">
        <x:f>G224/G223-1</x:f>
        <x:v>0.0019587593410386184</x:v>
      </x:c>
      <x:c r="J224" s="208" t="n">
        <x:f>'Beta HC3'!$E$13+'Beta HC3'!$E$12*I224</x:f>
        <x:v>0.0022182431699637115</x:v>
      </x:c>
      <x:c r="K224" s="240" t="n">
        <x:f>H224-J224</x:f>
        <x:v>-0.004807960731382281</x:v>
      </x:c>
      <x:c r="L224" s="240" t="n">
        <x:f>I224-'Beta HC3'!$E$9</x:f>
        <x:v>0.0013948117233781791</x:v>
      </x:c>
      <x:c r="M224" s="240" t="n">
        <x:f>1/'Beta HC3'!$E$8+L224^2/'Beta HC3'!$E$11</x:f>
        <x:v>0.0008101169420925321</x:v>
      </x:c>
      <x:c r="N224" s="240" t="n">
        <x:f>K224^2/(1-M224)^2</x:f>
        <x:v>0.000023153986071584154</x:v>
      </x:c>
      <x:c r="O224" s="240" t="n">
        <x:f>N224*L224^2/'Beta HC3'!$E$11^2</x:f>
        <x:v>2.106549498765778e-9</x:v>
      </x:c>
      <x:c r="P224" s="240" t="n">
        <x:f>N224*(1/'Beta HC3'!$E$8-'Beta HC3'!$E$9*L224/'Beta HC3'!$E$11)^2</x:f>
        <x:v>1.4502896952887353e-11</x:v>
      </x:c>
      <x:c r="Q224" s="240" t="n">
        <x:f>N224*(1/'Beta HC3'!$E$8-'Beta HC3'!$E$9*L224/'Beta HC3'!$E$11)*L224/'Beta HC3'!$E$11</x:f>
        <x:v>1.7478864467337857e-10</x:v>
      </x:c>
      <x:c r="R224" s="240" t="n">
        <x:f>K224*L224/'Beta HC3'!$E$11</x:f>
        <x:v>-0.0000458599801395007</x:v>
      </x:c>
      <x:c r="S224" s="240" t="n">
        <x:f>(K224-K223)^2</x:f>
        <x:v>0.000030199887728579784</x:v>
      </x:c>
      <x:c r="T224" s="280" t="n">
        <x:f>E224/$E$9*100</x:f>
        <x:v>99.89358907328992</x:v>
      </x:c>
    </x:row>
    <x:row r="225" ht="24" customHeight="1">
      <x:c r="C225" s="274" t="d">
        <x:v>2022-08-17T00:00:00.000Z</x:v>
      </x:c>
      <x:c r="D225" s="191" t="n">
        <x:v>291.32000732421875</x:v>
      </x:c>
      <x:c r="E225" s="191" t="n">
        <x:v>281.9292907714844</x:v>
      </x:c>
      <x:c r="F225" s="191" t="n">
        <x:v>426.6499938964844</x:v>
      </x:c>
      <x:c r="G225" s="191" t="n">
        <x:v>403.427978515625</x:v>
      </x:c>
      <x:c r="H225" s="208" t="n">
        <x:f>E225/E224-1</x:f>
        <x:v>-0.0026361709471246497</x:v>
      </x:c>
      <x:c r="I225" s="208" t="n">
        <x:f>G225/G224-1</x:f>
        <x:v>-0.007098000598015686</x:v>
      </x:c>
      <x:c r="J225" s="208" t="n">
        <x:f>'Beta HC3'!$E$13+'Beta HC3'!$E$12*I225</x:f>
        <x:v>-0.007996076962323512</x:v>
      </x:c>
      <x:c r="K225" s="240" t="n">
        <x:f>H225-J225</x:f>
        <x:v>0.005359906015198862</x:v>
      </x:c>
      <x:c r="L225" s="240" t="n">
        <x:f>I225-'Beta HC3'!$E$9</x:f>
        <x:v>-0.007661948215676125</x:v>
      </x:c>
      <x:c r="M225" s="240" t="n">
        <x:f>1/'Beta HC3'!$E$8+L225^2/'Beta HC3'!$E$11</x:f>
        <x:v>0.0011982667460070599</x:v>
      </x:c>
      <x:c r="N225" s="240" t="n">
        <x:f>K225^2/(1-M225)^2</x:f>
        <x:v>0.00002879756547312135</x:v>
      </x:c>
      <x:c r="O225" s="240" t="n">
        <x:f>N225*L225^2/'Beta HC3'!$E$11^2</x:f>
        <x:v>7.905856406200764e-8</x:v>
      </x:c>
      <x:c r="P225" s="240" t="n">
        <x:f>N225*(1/'Beta HC3'!$E$8-'Beta HC3'!$E$9*L225/'Beta HC3'!$E$11)^2</x:f>
        <x:v>1.9665077125791385e-11</x:v>
      </x:c>
      <x:c r="Q225" s="240" t="n">
        <x:f>N225*(1/'Beta HC3'!$E$8-'Beta HC3'!$E$9*L225/'Beta HC3'!$E$11)*L225/'Beta HC3'!$E$11</x:f>
        <x:v>-1.2468731931249864e-9</x:v>
      </x:c>
      <x:c r="R225" s="240" t="n">
        <x:f>K225*L225/'Beta HC3'!$E$11</x:f>
        <x:v>-0.0002808366270291389</x:v>
      </x:c>
      <x:c r="S225" s="240" t="n">
        <x:f>(K225-K224)^2</x:f>
        <x:v>0.0001033855141762306</x:v>
      </x:c>
      <x:c r="T225" s="280" t="n">
        <x:f>E225/$E$9*100</x:f>
        <x:v>99.63025249597091</x:v>
      </x:c>
    </x:row>
    <x:row r="226" ht="24" customHeight="1">
      <x:c r="C226" s="274" t="d">
        <x:v>2022-08-18T00:00:00.000Z</x:v>
      </x:c>
      <x:c r="D226" s="191" t="n">
        <x:v>290.1700134277344</x:v>
      </x:c>
      <x:c r="E226" s="191" t="n">
        <x:v>280.81634521484375</x:v>
      </x:c>
      <x:c r="F226" s="191" t="n">
        <x:v>427.8900146484375</x:v>
      </x:c>
      <x:c r="G226" s="191" t="n">
        <x:v>404.6004943847656</x:v>
      </x:c>
      <x:c r="H226" s="208" t="n">
        <x:f>E226/E225-1</x:f>
        <x:v>-0.0039476052793063765</x:v>
      </x:c>
      <x:c r="I226" s="208" t="n">
        <x:f>G226/G225-1</x:f>
        <x:v>0.0029063821340671314</x:v>
      </x:c>
      <x:c r="J226" s="208" t="n">
        <x:f>'Beta HC3'!$E$13+'Beta HC3'!$E$12*I226</x:f>
        <x:v>0.003286983275451822</x:v>
      </x:c>
      <x:c r="K226" s="240" t="n">
        <x:f>H226-J226</x:f>
        <x:v>-0.007234588554758199</x:v>
      </x:c>
      <x:c r="L226" s="240" t="n">
        <x:f>I226-'Beta HC3'!$E$9</x:f>
        <x:v>0.002342434516406692</x:v>
      </x:c>
      <x:c r="M226" s="240" t="n">
        <x:f>1/'Beta HC3'!$E$8+L226^2/'Beta HC3'!$E$11</x:f>
        <x:v>0.0008343352933161084</x:v>
      </x:c>
      <x:c r="N226" s="240" t="n">
        <x:f>K226^2/(1-M226)^2</x:f>
        <x:v>0.00005242671798384683</x:v>
      </x:c>
      <x:c r="O226" s="240" t="n">
        <x:f>N226*L226^2/'Beta HC3'!$E$11^2</x:f>
        <x:v>1.345247864911366e-8</x:v>
      </x:c>
      <x:c r="P226" s="240" t="n">
        <x:f>N226*(1/'Beta HC3'!$E$8-'Beta HC3'!$E$9*L226/'Beta HC3'!$E$11)^2</x:f>
        <x:v>3.253580613319812e-11</x:v>
      </x:c>
      <x:c r="Q226" s="240" t="n">
        <x:f>N226*(1/'Beta HC3'!$E$8-'Beta HC3'!$E$9*L226/'Beta HC3'!$E$11)*L226/'Beta HC3'!$E$11</x:f>
        <x:v>6.615793507498168e-10</x:v>
      </x:c>
      <x:c r="R226" s="240" t="n">
        <x:f>K226*L226/'Beta HC3'!$E$11</x:f>
        <x:v>-0.00011588805054082105</x:v>
      </x:c>
      <x:c r="S226" s="240" t="n">
        <x:f>(K226-K225)^2</x:f>
        <x:v>0.00015862129347267792</x:v>
      </x:c>
      <x:c r="T226" s="280" t="n">
        <x:f>E226/$E$9*100</x:f>
        <x:v>99.23695158523917</x:v>
      </x:c>
    </x:row>
    <x:row r="227" ht="24" customHeight="1">
      <x:c r="C227" s="274" t="d">
        <x:v>2022-08-19T00:00:00.000Z</x:v>
      </x:c>
      <x:c r="D227" s="191" t="n">
        <x:v>286.1499938964844</x:v>
      </x:c>
      <x:c r="E227" s="191" t="n">
        <x:v>276.9259338378906</x:v>
      </x:c>
      <x:c r="F227" s="191" t="n">
        <x:v>422.1400146484375</x:v>
      </x:c>
      <x:c r="G227" s="191" t="n">
        <x:v>399.16351318359375</x:v>
      </x:c>
      <x:c r="H227" s="208" t="n">
        <x:f>E227/E226-1</x:f>
        <x:v>-0.013853934940919133</x:v>
      </x:c>
      <x:c r="I227" s="208" t="n">
        <x:f>G227/G226-1</x:f>
        <x:v>-0.013437900538009306</x:v>
      </x:c>
      <x:c r="J227" s="208" t="n">
        <x:f>'Beta HC3'!$E$13+'Beta HC3'!$E$12*I227</x:f>
        <x:v>-0.015146290507734689</x:v>
      </x:c>
      <x:c r="K227" s="240" t="n">
        <x:f>H227-J227</x:f>
        <x:v>0.0012923555668155565</x:v>
      </x:c>
      <x:c r="L227" s="240" t="n">
        <x:f>I227-'Beta HC3'!$E$9</x:f>
        <x:v>-0.014001848155669745</x:v>
      </x:c>
      <x:c r="M227" s="240" t="n">
        <x:f>1/'Beta HC3'!$E$8+L227^2/'Beta HC3'!$E$11</x:f>
        <x:v>0.0021375018801320558</x:v>
      </x:c>
      <x:c r="N227" s="240" t="n">
        <x:f>K227^2/(1-M227)^2</x:f>
        <x:v>0.0000016773459074912653</x:v>
      </x:c>
      <x:c r="O227" s="240" t="n">
        <x:f>N227*L227^2/'Beta HC3'!$E$11^2</x:f>
        <x:v>1.5378291308297143e-8</x:v>
      </x:c>
      <x:c r="P227" s="240" t="n">
        <x:f>N227*(1/'Beta HC3'!$E$8-'Beta HC3'!$E$9*L227/'Beta HC3'!$E$11)^2</x:f>
        <x:v>1.2141967163086468e-12</x:v>
      </x:c>
      <x:c r="Q227" s="240" t="n">
        <x:f>N227*(1/'Beta HC3'!$E$8-'Beta HC3'!$E$9*L227/'Beta HC3'!$E$11)*L227/'Beta HC3'!$E$11</x:f>
        <x:v>-1.3664651773452626e-10</x:v>
      </x:c>
      <x:c r="R227" s="240" t="n">
        <x:f>K227*L227/'Beta HC3'!$E$11</x:f>
        <x:v>-0.00012374416882109077</x:v>
      </x:c>
      <x:c r="S227" s="240" t="n">
        <x:f>(K227-K226)^2</x:f>
        <x:v>0.00007270877605244123</x:v>
      </x:c>
      <x:c r="T227" s="280" t="n">
        <x:f>E227/$E$9*100</x:f>
        <x:v>97.86212931424213</x:v>
      </x:c>
    </x:row>
    <x:row r="228" ht="24" customHeight="1">
      <x:c r="C228" s="274" t="d">
        <x:v>2022-08-22T00:00:00.000Z</x:v>
      </x:c>
      <x:c r="D228" s="191" t="n">
        <x:v>277.75</x:v>
      </x:c>
      <x:c r="E228" s="191" t="n">
        <x:v>268.79669189453125</x:v>
      </x:c>
      <x:c r="F228" s="191" t="n">
        <x:v>413.3500061035156</x:v>
      </x:c>
      <x:c r="G228" s="191" t="n">
        <x:v>390.8519287109375</x:v>
      </x:c>
      <x:c r="H228" s="208" t="n">
        <x:f>E228/E227-1</x:f>
        <x:v>-0.029355293058678122</x:v>
      </x:c>
      <x:c r="I228" s="208" t="n">
        <x:f>G228/G227-1</x:f>
        <x:v>-0.020822505560104565</x:v>
      </x:c>
      <x:c r="J228" s="208" t="n">
        <x:f>'Beta HC3'!$E$13+'Beta HC3'!$E$12*I228</x:f>
        <x:v>-0.02347473470342495</x:v>
      </x:c>
      <x:c r="K228" s="240" t="n">
        <x:f>H228-J228</x:f>
        <x:v>-0.005880558355253172</x:v>
      </x:c>
      <x:c r="L228" s="240" t="n">
        <x:f>I228-'Beta HC3'!$E$9</x:f>
        <x:v>-0.021386453177765004</x:v>
      </x:c>
      <x:c r="M228" s="240" t="n">
        <x:f>1/'Beta HC3'!$E$8+L228^2/'Beta HC3'!$E$11</x:f>
        <x:v>0.0039245833405443685</x:v>
      </x:c>
      <x:c r="N228" s="240" t="n">
        <x:f>K228^2/(1-M228)^2</x:f>
        <x:v>0.00003485400462763218</x:v>
      </x:c>
      <x:c r="O228" s="240" t="n">
        <x:f>N228*L228^2/'Beta HC3'!$E$11^2</x:f>
        <x:v>7.45495348218403e-7</x:v>
      </x:c>
      <x:c r="P228" s="240" t="n">
        <x:f>N228*(1/'Beta HC3'!$E$8-'Beta HC3'!$E$9*L228/'Beta HC3'!$E$11)^2</x:f>
        <x:v>2.6947413520906878e-11</x:v>
      </x:c>
      <x:c r="Q228" s="240" t="n">
        <x:f>N228*(1/'Beta HC3'!$E$8-'Beta HC3'!$E$9*L228/'Beta HC3'!$E$11)*L228/'Beta HC3'!$E$11</x:f>
        <x:v>-4.482094535633288e-9</x:v>
      </x:c>
      <x:c r="R228" s="240" t="n">
        <x:f>K228*L228/'Beta HC3'!$E$11</x:f>
        <x:v>0.0008600321583253819</x:v>
      </x:c>
      <x:c r="S228" s="240" t="n">
        <x:f>(K228-K227)^2</x:f>
        <x:v>0.000051450694133407386</x:v>
      </x:c>
      <x:c r="T228" s="280" t="n">
        <x:f>E228/$E$9*100</x:f>
        <x:v>94.98935782887631</x:v>
      </x:c>
    </x:row>
    <x:row r="229" ht="24" customHeight="1">
      <x:c r="C229" s="274" t="d">
        <x:v>2022-08-23T00:00:00.000Z</x:v>
      </x:c>
      <x:c r="D229" s="191" t="n">
        <x:v>276.44000244140625</x:v>
      </x:c>
      <x:c r="E229" s="191" t="n">
        <x:v>267.5289611816406</x:v>
      </x:c>
      <x:c r="F229" s="191" t="n">
        <x:v>412.3500061035156</x:v>
      </x:c>
      <x:c r="G229" s="191" t="n">
        <x:v>389.9062805175781</x:v>
      </x:c>
      <x:c r="H229" s="208" t="n">
        <x:f>E229/E228-1</x:f>
        <x:v>-0.00471631813604334</x:v>
      </x:c>
      <x:c r="I229" s="208" t="n">
        <x:f>G229/G228-1</x:f>
        <x:v>-0.0024194538235443597</x:v>
      </x:c>
      <x:c r="J229" s="208" t="n">
        <x:f>'Beta HC3'!$E$13+'Beta HC3'!$E$12*I229</x:f>
        <x:v>-0.0027195570114899796</x:v>
      </x:c>
      <x:c r="K229" s="240" t="n">
        <x:f>H229-J229</x:f>
        <x:v>-0.001996761124553361</x:v>
      </x:c>
      <x:c r="L229" s="240" t="n">
        <x:f>I229-'Beta HC3'!$E$9</x:f>
        <x:v>-0.002983401441204799</x:v>
      </x:c>
      <x:c r="M229" s="240" t="n">
        <x:f>1/'Beta HC3'!$E$8+L229^2/'Beta HC3'!$E$11</x:f>
        <x:v>0.0008576795885200014</x:v>
      </x:c>
      <x:c r="N229" s="240" t="n">
        <x:f>K229^2/(1-M229)^2</x:f>
        <x:v>0.0000039939030287681195</x:v>
      </x:c>
      <x:c r="O229" s="240" t="n">
        <x:f>N229*L229^2/'Beta HC3'!$E$11^2</x:f>
        <x:v>1.6624003791709436e-9</x:v>
      </x:c>
      <x:c r="P229" s="240" t="n">
        <x:f>N229*(1/'Beta HC3'!$E$8-'Beta HC3'!$E$9*L229/'Beta HC3'!$E$11)^2</x:f>
        <x:v>2.609530335339703e-12</x:v>
      </x:c>
      <x:c r="Q229" s="240" t="n">
        <x:f>N229*(1/'Beta HC3'!$E$8-'Beta HC3'!$E$9*L229/'Beta HC3'!$E$11)*L229/'Beta HC3'!$E$11</x:f>
        <x:v>-6.58641345416973e-11</x:v>
      </x:c>
      <x:c r="R229" s="240" t="n">
        <x:f>K229*L229/'Beta HC3'!$E$11</x:f>
        <x:v>0.00004073757464933413</x:v>
      </x:c>
      <x:c r="S229" s="240" t="n">
        <x:f>(K229-K228)^2</x:f>
        <x:v>0.00001508388092919152</x:v>
      </x:c>
      <x:c r="T229" s="280" t="n">
        <x:f>E229/$E$9*100</x:f>
        <x:v>94.54135779781687</x:v>
      </x:c>
    </x:row>
    <x:row r="230" ht="24" customHeight="1">
      <x:c r="C230" s="274" t="d">
        <x:v>2022-08-24T00:00:00.000Z</x:v>
      </x:c>
      <x:c r="D230" s="191" t="n">
        <x:v>275.7900085449219</x:v>
      </x:c>
      <x:c r="E230" s="191" t="n">
        <x:v>266.89996337890625</x:v>
      </x:c>
      <x:c r="F230" s="191" t="n">
        <x:v>413.6700134277344</x:v>
      </x:c>
      <x:c r="G230" s="191" t="n">
        <x:v>391.15447998046875</x:v>
      </x:c>
      <x:c r="H230" s="208" t="n">
        <x:f>E230/E229-1</x:f>
        <x:v>-0.0023511391064211518</x:v>
      </x:c>
      <x:c r="I230" s="208" t="n">
        <x:f>G230/G229-1</x:f>
        <x:v>0.003201280731445877</x:v>
      </x:c>
      <x:c r="J230" s="208" t="n">
        <x:f>'Beta HC3'!$E$13+'Beta HC3'!$E$12*I230</x:f>
        <x:v>0.003619573373948295</x:v>
      </x:c>
      <x:c r="K230" s="240" t="n">
        <x:f>H230-J230</x:f>
        <x:v>-0.005970712480369447</x:v>
      </x:c>
      <x:c r="L230" s="240" t="n">
        <x:f>I230-'Beta HC3'!$E$9</x:f>
        <x:v>0.0026373331137854376</x:v>
      </x:c>
      <x:c r="M230" s="240" t="n">
        <x:f>1/'Beta HC3'!$E$8+L230^2/'Beta HC3'!$E$11</x:f>
        <x:v>0.0008443777310159185</x:v>
      </x:c>
      <x:c r="N230" s="240" t="n">
        <x:f>K230^2/(1-M230)^2</x:f>
        <x:v>0.00003570968699212533</x:v>
      </x:c>
      <x:c r="O230" s="240" t="n">
        <x:f>N230*L230^2/'Beta HC3'!$E$11^2</x:f>
        <x:v>1.1615308303804828e-8</x:v>
      </x:c>
      <x:c r="P230" s="240" t="n">
        <x:f>N230*(1/'Beta HC3'!$E$8-'Beta HC3'!$E$9*L230/'Beta HC3'!$E$11)^2</x:f>
        <x:v>2.209734481549312e-11</x:v>
      </x:c>
      <x:c r="Q230" s="240" t="n">
        <x:f>N230*(1/'Beta HC3'!$E$8-'Beta HC3'!$E$9*L230/'Beta HC3'!$E$11)*L230/'Beta HC3'!$E$11</x:f>
        <x:v>5.066236006419715e-10</x:v>
      </x:c>
      <x:c r="R230" s="240" t="n">
        <x:f>K230*L230/'Beta HC3'!$E$11</x:f>
        <x:v>-0.00010768333747555165</x:v>
      </x:c>
      <x:c r="S230" s="240" t="n">
        <x:f>(K230-K229)^2</x:f>
        <x:v>0.000015792289378392512</x:v>
      </x:c>
      <x:c r="T230" s="280" t="n">
        <x:f>E230/$E$9*100</x:f>
        <x:v>94.31907791432427</x:v>
      </x:c>
    </x:row>
    <x:row r="231" ht="24" customHeight="1">
      <x:c r="C231" s="274" t="d">
        <x:v>2022-08-25T00:00:00.000Z</x:v>
      </x:c>
      <x:c r="D231" s="191" t="n">
        <x:v>278.8500061035156</x:v>
      </x:c>
      <x:c r="E231" s="191" t="n">
        <x:v>269.8612976074219</x:v>
      </x:c>
      <x:c r="F231" s="191" t="n">
        <x:v>419.510009765625</x:v>
      </x:c>
      <x:c r="G231" s="191" t="n">
        <x:v>396.67657470703125</x:v>
      </x:c>
      <x:c r="H231" s="208" t="n">
        <x:f>E231/E230-1</x:f>
        <x:v>0.011095296496206553</x:v>
      </x:c>
      <x:c r="I231" s="208" t="n">
        <x:f>G231/G230-1</x:f>
        <x:v>0.014117426769183927</x:v>
      </x:c>
      <x:c r="J231" s="208" t="n">
        <x:f>'Beta HC3'!$E$13+'Beta HC3'!$E$12*I231</x:f>
        <x:v>0.01593093096657297</x:v>
      </x:c>
      <x:c r="K231" s="240" t="n">
        <x:f>H231-J231</x:f>
        <x:v>-0.004835634470366418</x:v>
      </x:c>
      <x:c r="L231" s="240" t="n">
        <x:f>I231-'Beta HC3'!$E$9</x:f>
        <x:v>0.013553479151523488</x:v>
      </x:c>
      <x:c r="M231" s="240" t="n">
        <x:f>1/'Beta HC3'!$E$8+L231^2/'Beta HC3'!$E$11</x:f>
        <x:v>0.0020530132015907183</x:v>
      </x:c>
      <x:c r="N231" s="240" t="n">
        <x:f>K231^2/(1-M231)^2</x:f>
        <x:v>0.000023479669911995746</x:v>
      </x:c>
      <x:c r="O231" s="240" t="n">
        <x:f>N231*L231^2/'Beta HC3'!$E$11^2</x:f>
        <x:v>2.0170111270659867e-7</x:v>
      </x:c>
      <x:c r="P231" s="240" t="n">
        <x:f>N231*(1/'Beta HC3'!$E$8-'Beta HC3'!$E$9*L231/'Beta HC3'!$E$11)^2</x:f>
        <x:v>1.3015835391161894e-11</x:v>
      </x:c>
      <x:c r="Q231" s="240" t="n">
        <x:f>N231*(1/'Beta HC3'!$E$8-'Beta HC3'!$E$9*L231/'Beta HC3'!$E$11)*L231/'Beta HC3'!$E$11</x:f>
        <x:v>1.620280371171385e-9</x:v>
      </x:c>
      <x:c r="R231" s="240" t="n">
        <x:f>K231*L231/'Beta HC3'!$E$11</x:f>
        <x:v>-0.0004481894384686824</x:v>
      </x:c>
      <x:c r="S231" s="240" t="n">
        <x:f>(K231-K230)^2</x:f>
        <x:v>0.0000012884020887924366</x:v>
      </x:c>
      <x:c r="T231" s="280" t="n">
        <x:f>E231/$E$9*100</x:f>
        <x:v>95.3655760490325</x:v>
      </x:c>
    </x:row>
    <x:row r="232" ht="24" customHeight="1">
      <x:c r="C232" s="274" t="d">
        <x:v>2022-08-26T00:00:00.000Z</x:v>
      </x:c>
      <x:c r="D232" s="191" t="n">
        <x:v>268.0899963378906</x:v>
      </x:c>
      <x:c r="E232" s="191" t="n">
        <x:v>259.4481506347656</x:v>
      </x:c>
      <x:c r="F232" s="191" t="n">
        <x:v>405.30999755859375</x:v>
      </x:c>
      <x:c r="G232" s="191" t="n">
        <x:v>383.24951171875</x:v>
      </x:c>
      <x:c r="H232" s="208" t="n">
        <x:f>E232/E231-1</x:f>
        <x:v>-0.03858703365387606</x:v>
      </x:c>
      <x:c r="I232" s="208" t="n">
        <x:f>G232/G231-1</x:f>
        <x:v>-0.03384889313970185</x:v>
      </x:c>
      <x:c r="J232" s="208" t="n">
        <x:f>'Beta HC3'!$E$13+'Beta HC3'!$E$12*I232</x:f>
        <x:v>-0.038166047468765875</x:v>
      </x:c>
      <x:c r="K232" s="240" t="n">
        <x:f>H232-J232</x:f>
        <x:v>-0.0004209861851101823</x:v>
      </x:c>
      <x:c r="L232" s="240" t="n">
        <x:f>I232-'Beta HC3'!$E$9</x:f>
        <x:v>-0.03441284075736229</x:v>
      </x:c>
      <x:c r="M232" s="240" t="n">
        <x:f>1/'Beta HC3'!$E$8+L232^2/'Beta HC3'!$E$11</x:f>
        <x:v>0.008895197592867159</x:v>
      </x:c>
      <x:c r="N232" s="240" t="n">
        <x:f>K232^2/(1-M232)^2</x:f>
        <x:v>1.804249226905945e-7</x:v>
      </x:c>
      <x:c r="O232" s="240" t="n">
        <x:f>N232*L232^2/'Beta HC3'!$E$11^2</x:f>
        <x:v>9.99199712368617e-9</x:v>
      </x:c>
      <x:c r="P232" s="240" t="n">
        <x:f>N232*(1/'Beta HC3'!$E$8-'Beta HC3'!$E$9*L232/'Beta HC3'!$E$11)^2</x:f>
        <x:v>1.5589072871708065e-13</x:v>
      </x:c>
      <x:c r="Q232" s="240" t="n">
        <x:f>N232*(1/'Beta HC3'!$E$8-'Beta HC3'!$E$9*L232/'Beta HC3'!$E$11)*L232/'Beta HC3'!$E$11</x:f>
        <x:v>-3.946719793639284e-11</x:v>
      </x:c>
      <x:c r="R232" s="240" t="n">
        <x:f>K232*L232/'Beta HC3'!$E$11</x:f>
        <x:v>0.0000990708138572573</x:v>
      </x:c>
      <x:c r="S232" s="240" t="n">
        <x:f>(K232-K231)^2</x:f>
        <x:v>0.00001948911948251582</x:v>
      </x:c>
      <x:c r="T232" s="280" t="n">
        <x:f>E232/$E$9*100</x:f>
        <x:v>91.68570135660721</x:v>
      </x:c>
    </x:row>
    <x:row r="233" ht="24" customHeight="1">
      <x:c r="C233" s="274" t="d">
        <x:v>2022-08-29T00:00:00.000Z</x:v>
      </x:c>
      <x:c r="D233" s="191" t="n">
        <x:v>265.2300109863281</x:v>
      </x:c>
      <x:c r="E233" s="191" t="n">
        <x:v>256.6803283691406</x:v>
      </x:c>
      <x:c r="F233" s="191" t="n">
        <x:v>402.6300048828125</x:v>
      </x:c>
      <x:c r="G233" s="191" t="n">
        <x:v>380.7153625488281</x:v>
      </x:c>
      <x:c r="H233" s="208" t="n">
        <x:f>E233/E232-1</x:f>
        <x:v>-0.01066811329683115</x:v>
      </x:c>
      <x:c r="I233" s="208" t="n">
        <x:f>G233/G232-1</x:f>
        <x:v>-0.006612269794048831</x:v>
      </x:c>
      <x:c r="J233" s="208" t="n">
        <x:f>'Beta HC3'!$E$13+'Beta HC3'!$E$12*I233</x:f>
        <x:v>-0.0074482640619907715</x:v>
      </x:c>
      <x:c r="K233" s="240" t="n">
        <x:f>H233-J233</x:f>
        <x:v>-0.0032198492348403784</x:v>
      </x:c>
      <x:c r="L233" s="240" t="n">
        <x:f>I233-'Beta HC3'!$E$9</x:f>
        <x:v>-0.00717621741170927</x:v>
      </x:c>
      <x:c r="M233" s="240" t="n">
        <x:f>1/'Beta HC3'!$E$8+L233^2/'Beta HC3'!$E$11</x:f>
        <x:v>0.0011489796509168105</x:v>
      </x:c>
      <x:c r="N233" s="240" t="n">
        <x:f>K233^2/(1-M233)^2</x:f>
        <x:v>0.00001039129414803673</x:v>
      </x:c>
      <x:c r="O233" s="240" t="n">
        <x:f>N233*L233^2/'Beta HC3'!$E$11^2</x:f>
        <x:v>2.5025083591164537e-8</x:v>
      </x:c>
      <x:c r="P233" s="240" t="n">
        <x:f>N233*(1/'Beta HC3'!$E$8-'Beta HC3'!$E$9*L233/'Beta HC3'!$E$11)^2</x:f>
        <x:v>7.06379889887803e-12</x:v>
      </x:c>
      <x:c r="Q233" s="240" t="n">
        <x:f>N233*(1/'Beta HC3'!$E$8-'Beta HC3'!$E$9*L233/'Beta HC3'!$E$11)*L233/'Beta HC3'!$E$11</x:f>
        <x:v>-4.204428117064183e-10</x:v>
      </x:c>
      <x:c r="R233" s="240" t="n">
        <x:f>K233*L233/'Beta HC3'!$E$11</x:f>
        <x:v>0.0001580114236519538</x:v>
      </x:c>
      <x:c r="S233" s="240" t="n">
        <x:f>(K233-K232)^2</x:f>
        <x:v>0.000007833634371145015</x:v>
      </x:c>
      <x:c r="T233" s="280" t="n">
        <x:f>E233/$E$9*100</x:f>
        <x:v>90.7075879068355</x:v>
      </x:c>
    </x:row>
    <x:row r="234" ht="24" customHeight="1">
      <x:c r="C234" s="274" t="d">
        <x:v>2022-08-30T00:00:00.000Z</x:v>
      </x:c>
      <x:c r="D234" s="191" t="n">
        <x:v>262.9700012207031</x:v>
      </x:c>
      <x:c r="E234" s="191" t="n">
        <x:v>254.4932098388672</x:v>
      </x:c>
      <x:c r="F234" s="191" t="n">
        <x:v>398.2099914550781</x:v>
      </x:c>
      <x:c r="G234" s="191" t="n">
        <x:v>376.5359191894531</x:v>
      </x:c>
      <x:c r="H234" s="208" t="n">
        <x:f>E234/E233-1</x:f>
        <x:v>-0.008520787487571235</x:v>
      </x:c>
      <x:c r="I234" s="208" t="n">
        <x:f>G234/G233-1</x:f>
        <x:v>-0.010977868955416747</x:v>
      </x:c>
      <x:c r="J234" s="208" t="n">
        <x:f>'Beta HC3'!$E$13+'Beta HC3'!$E$12*I234</x:f>
        <x:v>-0.01237183802260441</x:v>
      </x:c>
      <x:c r="K234" s="240" t="n">
        <x:f>H234-J234</x:f>
        <x:v>0.003851050535033174</x:v>
      </x:c>
      <x:c r="L234" s="240" t="n">
        <x:f>I234-'Beta HC3'!$E$9</x:f>
        <x:v>-0.011541816573077186</x:v>
      </x:c>
      <x:c r="M234" s="240" t="n">
        <x:f>1/'Beta HC3'!$E$8+L234^2/'Beta HC3'!$E$11</x:f>
        <x:v>0.0017077861522732678</x:v>
      </x:c>
      <x:c r="N234" s="240" t="n">
        <x:f>K234^2/(1-M234)^2</x:f>
        <x:v>0.00001488137523445364</x:v>
      </x:c>
      <x:c r="O234" s="240" t="n">
        <x:f>N234*L234^2/'Beta HC3'!$E$11^2</x:f>
        <x:v>9.27056336111567e-8</x:v>
      </x:c>
      <x:c r="P234" s="240" t="n">
        <x:f>N234*(1/'Beta HC3'!$E$8-'Beta HC3'!$E$9*L234/'Beta HC3'!$E$11)^2</x:f>
        <x:v>1.0533426664218589e-11</x:v>
      </x:c>
      <x:c r="Q234" s="240" t="n">
        <x:f>N234*(1/'Beta HC3'!$E$8-'Beta HC3'!$E$9*L234/'Beta HC3'!$E$11)*L234/'Beta HC3'!$E$11</x:f>
        <x:v>-9.88184189816371e-10</x:v>
      </x:c>
      <x:c r="R234" s="240" t="n">
        <x:f>K234*L234/'Beta HC3'!$E$11</x:f>
        <x:v>-0.00030395601852177393</x:v>
      </x:c>
      <x:c r="S234" s="240" t="n">
        <x:f>(K234-K233)^2</x:f>
        <x:v>0.00004999762355559786</x:v>
      </x:c>
      <x:c r="T234" s="280" t="n">
        <x:f>E234/$E$9*100</x:f>
        <x:v>89.93468782677117</x:v>
      </x:c>
    </x:row>
    <x:row r="235" ht="24" customHeight="1">
      <x:c r="C235" s="274" t="d">
        <x:v>2022-08-31T00:00:00.000Z</x:v>
      </x:c>
      <x:c r="D235" s="191" t="n">
        <x:v>261.4700012207031</x:v>
      </x:c>
      <x:c r="E235" s="191" t="n">
        <x:v>253.04153442382812</x:v>
      </x:c>
      <x:c r="F235" s="191" t="n">
        <x:v>395.17999267578125</x:v>
      </x:c>
      <x:c r="G235" s="191" t="n">
        <x:v>373.67083740234375</x:v>
      </x:c>
      <x:c r="H235" s="208" t="n">
        <x:f>E235/E234-1</x:f>
        <x:v>-0.005704181325537849</x:v>
      </x:c>
      <x:c r="I235" s="208" t="n">
        <x:f>G235/G234-1</x:f>
        <x:v>-0.007609053057346715</x:v>
      </x:c>
      <x:c r="J235" s="208" t="n">
        <x:f>'Beta HC3'!$E$13+'Beta HC3'!$E$12*I235</x:f>
        <x:v>-0.008572447922703069</x:v>
      </x:c>
      <x:c r="K235" s="240" t="n">
        <x:f>H235-J235</x:f>
        <x:v>0.0028682665971652196</x:v>
      </x:c>
      <x:c r="L235" s="240" t="n">
        <x:f>I235-'Beta HC3'!$E$9</x:f>
        <x:v>-0.008173000675007154</x:v>
      </x:c>
      <x:c r="M235" s="240" t="n">
        <x:f>1/'Beta HC3'!$E$8+L235^2/'Beta HC3'!$E$11</x:f>
        <x:v>0.0012536067912623803</x:v>
      </x:c>
      <x:c r="N235" s="240" t="n">
        <x:f>K235^2/(1-M235)^2</x:f>
        <x:v>0.000008247618853045241</x:v>
      </x:c>
      <x:c r="O235" s="240" t="n">
        <x:f>N235*L235^2/'Beta HC3'!$E$11^2</x:f>
        <x:v>2.5763589756120702e-8</x:v>
      </x:c>
      <x:c r="P235" s="240" t="n">
        <x:f>N235*(1/'Beta HC3'!$E$8-'Beta HC3'!$E$9*L235/'Beta HC3'!$E$11)^2</x:f>
        <x:v>5.658972666797812e-12</x:v>
      </x:c>
      <x:c r="Q235" s="240" t="n">
        <x:f>N235*(1/'Beta HC3'!$E$8-'Beta HC3'!$E$9*L235/'Beta HC3'!$E$11)*L235/'Beta HC3'!$E$11</x:f>
        <x:v>-3.8183170406408004e-10</x:v>
      </x:c>
      <x:c r="R235" s="240" t="n">
        <x:f>K235*L235/'Beta HC3'!$E$11</x:f>
        <x:v>-0.0001603091869550945</x:v>
      </x:c>
      <x:c r="S235" s="240" t="n">
        <x:f>(K235-K234)^2</x:f>
        <x:v>9.658642685312433e-7</x:v>
      </x:c>
      <x:c r="T235" s="280" t="n">
        <x:f>E235/$E$9*100</x:f>
        <x:v>89.42168405995162</x:v>
      </x:c>
    </x:row>
    <x:row r="236" ht="24" customHeight="1">
      <x:c r="C236" s="274" t="d">
        <x:v>2022-09-01T00:00:00.000Z</x:v>
      </x:c>
      <x:c r="D236" s="191" t="n">
        <x:v>260.3999938964844</x:v>
      </x:c>
      <x:c r="E236" s="191" t="n">
        <x:v>252.0060272216797</x:v>
      </x:c>
      <x:c r="F236" s="191" t="n">
        <x:v>396.4200134277344</x:v>
      </x:c>
      <x:c r="G236" s="191" t="n">
        <x:v>374.8433532714844</x:v>
      </x:c>
      <x:c r="H236" s="208" t="n">
        <x:f>E236/E235-1</x:f>
        <x:v>-0.004092242028591375</x:v>
      </x:c>
      <x:c r="I236" s="208" t="n">
        <x:f>G236/G235-1</x:f>
        <x:v>0.0031378308173355407</x:v>
      </x:c>
      <x:c r="J236" s="208" t="n">
        <x:f>'Beta HC3'!$E$13+'Beta HC3'!$E$12*I236</x:f>
        <x:v>0.0035480138162863554</x:v>
      </x:c>
      <x:c r="K236" s="240" t="n">
        <x:f>H236-J236</x:f>
        <x:v>-0.007640255844877731</x:v>
      </x:c>
      <x:c r="L236" s="240" t="n">
        <x:f>I236-'Beta HC3'!$E$9</x:f>
        <x:v>0.0025738831996751014</x:v>
      </x:c>
      <x:c r="M236" s="240" t="n">
        <x:f>1/'Beta HC3'!$E$8+L236^2/'Beta HC3'!$E$11</x:f>
        <x:v>0.0008421165907665178</x:v>
      </x:c>
      <x:c r="N236" s="240" t="n">
        <x:f>K236^2/(1-M236)^2</x:f>
        <x:v>0.00005847194830472455</x:v>
      </x:c>
      <x:c r="O236" s="240" t="n">
        <x:f>N236*L236^2/'Beta HC3'!$E$11^2</x:f>
        <x:v>1.811506755867681e-8</x:v>
      </x:c>
      <x:c r="P236" s="240" t="n">
        <x:f>N236*(1/'Beta HC3'!$E$8-'Beta HC3'!$E$9*L236/'Beta HC3'!$E$11)^2</x:f>
        <x:v>3.6205267373667033e-11</x:v>
      </x:c>
      <x:c r="Q236" s="240" t="n">
        <x:f>N236*(1/'Beta HC3'!$E$8-'Beta HC3'!$E$9*L236/'Beta HC3'!$E$11)*L236/'Beta HC3'!$E$11</x:f>
        <x:v>8.09852372012292e-10</x:v>
      </x:c>
      <x:c r="R236" s="240" t="n">
        <x:f>K236*L236/'Beta HC3'!$E$11</x:f>
        <x:v>-0.0001344788846150074</x:v>
      </x:c>
      <x:c r="S236" s="240" t="n">
        <x:f>(K236-K235)^2</x:f>
        <x:v>0.00011042904391492033</x:v>
      </x:c>
      <x:c r="T236" s="280" t="n">
        <x:f>E236/$E$9*100</x:f>
        <x:v>89.05574888617407</x:v>
      </x:c>
    </x:row>
    <x:row r="237" ht="24" customHeight="1">
      <x:c r="C237" s="274" t="d">
        <x:v>2022-09-02T00:00:00.000Z</x:v>
      </x:c>
      <x:c r="D237" s="191" t="n">
        <x:v>256.05999755859375</x:v>
      </x:c>
      <x:c r="E237" s="191" t="n">
        <x:v>247.80592346191406</x:v>
      </x:c>
      <x:c r="F237" s="191" t="n">
        <x:v>392.239990234375</x:v>
      </x:c>
      <x:c r="G237" s="191" t="n">
        <x:v>370.89093017578125</x:v>
      </x:c>
      <x:c r="H237" s="208" t="n">
        <x:f>E237/E236-1</x:f>
        <x:v>-0.016666679785682148</x:v>
      </x:c>
      <x:c r="I237" s="208" t="n">
        <x:f>G237/G236-1</x:f>
        <x:v>-0.010544199493489614</x:v>
      </x:c>
      <x:c r="J237" s="208" t="n">
        <x:f>'Beta HC3'!$E$13+'Beta HC3'!$E$12*I237</x:f>
        <x:v>-0.011882740514717608</x:v>
      </x:c>
      <x:c r="K237" s="240" t="n">
        <x:f>H237-J237</x:f>
        <x:v>-0.00478393927096454</x:v>
      </x:c>
      <x:c r="L237" s="240" t="n">
        <x:f>I237-'Beta HC3'!$E$9</x:f>
        <x:v>-0.011108147111150053</x:v>
      </x:c>
      <x:c r="M237" s="240" t="n">
        <x:f>1/'Beta HC3'!$E$8+L237^2/'Beta HC3'!$E$11</x:f>
        <x:v>0.0016406148586031867</x:v>
      </x:c>
      <x:c r="N237" s="240" t="n">
        <x:f>K237^2/(1-M237)^2</x:f>
        <x:v>0.00002296135462424204</x:v>
      </x:c>
      <x:c r="O237" s="240" t="n">
        <x:f>N237*L237^2/'Beta HC3'!$E$11^2</x:f>
        <x:v>1.3249377504294396e-7</x:v>
      </x:c>
      <x:c r="P237" s="240" t="n">
        <x:f>N237*(1/'Beta HC3'!$E$8-'Beta HC3'!$E$9*L237/'Beta HC3'!$E$11)^2</x:f>
        <x:v>1.6188094812493878e-11</x:v>
      </x:c>
      <x:c r="Q237" s="240" t="n">
        <x:f>N237*(1/'Beta HC3'!$E$8-'Beta HC3'!$E$9*L237/'Beta HC3'!$E$11)*L237/'Beta HC3'!$E$11</x:f>
        <x:v>-1.4645210112731097e-9</x:v>
      </x:c>
      <x:c r="R237" s="240" t="n">
        <x:f>K237*L237/'Beta HC3'!$E$11</x:f>
        <x:v>0.0003633997649331114</x:v>
      </x:c>
      <x:c r="S237" s="240" t="n">
        <x:f>(K237-K236)^2</x:f>
        <x:v>0.000008158544370411188</x:v>
      </x:c>
      <x:c r="T237" s="280" t="n">
        <x:f>E237/$E$9*100</x:f>
        <x:v>87.57148523641408</x:v>
      </x:c>
    </x:row>
    <x:row r="238" ht="24" customHeight="1">
      <x:c r="C238" s="274" t="d">
        <x:v>2022-09-06T00:00:00.000Z</x:v>
      </x:c>
      <x:c r="D238" s="191" t="n">
        <x:v>253.25</x:v>
      </x:c>
      <x:c r="E238" s="191" t="n">
        <x:v>245.08651733398438</x:v>
      </x:c>
      <x:c r="F238" s="191" t="n">
        <x:v>390.760009765625</x:v>
      </x:c>
      <x:c r="G238" s="191" t="n">
        <x:v>369.491455078125</x:v>
      </x:c>
      <x:c r="H238" s="208" t="n">
        <x:f>E238/E237-1</x:f>
        <x:v>-0.010973935126081247</x:v>
      </x:c>
      <x:c r="I238" s="208" t="n">
        <x:f>G238/G237-1</x:f>
        <x:v>-0.0037732793762117467</x:v>
      </x:c>
      <x:c r="J238" s="208" t="n">
        <x:f>'Beta HC3'!$E$13+'Beta HC3'!$E$12*I238</x:f>
        <x:v>-0.004246417355726874</x:v>
      </x:c>
      <x:c r="K238" s="240" t="n">
        <x:f>H238-J238</x:f>
        <x:v>-0.006727517770354373</x:v>
      </x:c>
      <x:c r="L238" s="240" t="n">
        <x:f>I238-'Beta HC3'!$E$9</x:f>
        <x:v>-0.004337226993872186</x:v>
      </x:c>
      <x:c r="M238" s="240" t="n">
        <x:f>1/'Beta HC3'!$E$8+L238^2/'Beta HC3'!$E$11</x:f>
        <x:v>0.0009254544178657762</x:v>
      </x:c>
      <x:c r="N238" s="240" t="n">
        <x:f>K238^2/(1-M238)^2</x:f>
        <x:v>0.00004534338298357974</x:v>
      </x:c>
      <x:c r="O238" s="240" t="n">
        <x:f>N238*L238^2/'Beta HC3'!$E$11^2</x:f>
        <x:v>3.988898134976782e-8</x:v>
      </x:c>
      <x:c r="P238" s="240" t="n">
        <x:f>N238*(1/'Beta HC3'!$E$8-'Beta HC3'!$E$9*L238/'Beta HC3'!$E$11)^2</x:f>
        <x:v>3.001035073378594e-11</x:v>
      </x:c>
      <x:c r="Q238" s="240" t="n">
        <x:f>N238*(1/'Beta HC3'!$E$8-'Beta HC3'!$E$9*L238/'Beta HC3'!$E$11)*L238/'Beta HC3'!$E$11</x:f>
        <x:v>-1.0941125722337617e-9</x:v>
      </x:c>
      <x:c r="R238" s="240" t="n">
        <x:f>K238*L238/'Beta HC3'!$E$11</x:f>
        <x:v>0.0001995374266780313</x:v>
      </x:c>
      <x:c r="S238" s="240" t="n">
        <x:f>(K238-K237)^2</x:f>
        <x:v>0.0000037774973832904347</x:v>
      </x:c>
      <x:c r="T238" s="280" t="n">
        <x:f>E238/$E$9*100</x:f>
        <x:v>86.6104814385351</x:v>
      </x:c>
    </x:row>
    <x:row r="239" ht="24" customHeight="1">
      <x:c r="C239" s="274" t="d">
        <x:v>2022-09-07T00:00:00.000Z</x:v>
      </x:c>
      <x:c r="D239" s="191" t="n">
        <x:v>258.0899963378906</x:v>
      </x:c>
      <x:c r="E239" s="191" t="n">
        <x:v>249.77047729492188</x:v>
      </x:c>
      <x:c r="F239" s="191" t="n">
        <x:v>397.7799987792969</x:v>
      </x:c>
      <x:c r="G239" s="191" t="n">
        <x:v>376.12933349609375</x:v>
      </x:c>
      <x:c r="H239" s="208" t="n">
        <x:f>E239/E238-1</x:f>
        <x:v>0.019111455056316284</x:v>
      </x:c>
      <x:c r="I239" s="208" t="n">
        <x:f>G239/G238-1</x:f>
        <x:v>0.017964903725758097</x:v>
      </x:c>
      <x:c r="J239" s="208" t="n">
        <x:f>'Beta HC3'!$E$13+'Beta HC3'!$E$12*I239</x:f>
        <x:v>0.020270160624917023</x:v>
      </x:c>
      <x:c r="K239" s="240" t="n">
        <x:f>H239-J239</x:f>
        <x:v>-0.0011587055686007389</x:v>
      </x:c>
      <x:c r="L239" s="240" t="n">
        <x:f>I239-'Beta HC3'!$E$9</x:f>
        <x:v>0.017400956108097658</x:v>
      </x:c>
      <x:c r="M239" s="240" t="n">
        <x:f>1/'Beta HC3'!$E$8+L239^2/'Beta HC3'!$E$11</x:f>
        <x:v>0.0028674479106573867</x:v>
      </x:c>
      <x:c r="N239" s="240" t="n">
        <x:f>K239^2/(1-M239)^2</x:f>
        <x:v>0.00000135033150242365</x:v>
      </x:c>
      <x:c r="O239" s="240" t="n">
        <x:f>N239*L239^2/'Beta HC3'!$E$11^2</x:f>
        <x:v>1.912059248617767e-8</x:v>
      </x:c>
      <x:c r="P239" s="240" t="n">
        <x:f>N239*(1/'Beta HC3'!$E$8-'Beta HC3'!$E$9*L239/'Beta HC3'!$E$11)^2</x:f>
        <x:v>7.190112325164261e-13</x:v>
      </x:c>
      <x:c r="Q239" s="240" t="n">
        <x:f>N239*(1/'Beta HC3'!$E$8-'Beta HC3'!$E$9*L239/'Beta HC3'!$E$11)*L239/'Beta HC3'!$E$11</x:f>
        <x:v>1.1725152779358963e-10</x:v>
      </x:c>
      <x:c r="R239" s="240" t="n">
        <x:f>K239*L239/'Beta HC3'!$E$11</x:f>
        <x:v>-0.0001378807277855139</x:v>
      </x:c>
      <x:c r="S239" s="240" t="n">
        <x:f>(K239-K238)^2</x:f>
        <x:v>0.000031011669338400154</x:v>
      </x:c>
      <x:c r="T239" s="280" t="n">
        <x:f>E239/$E$9*100</x:f>
        <x:v>88.26573376195357</x:v>
      </x:c>
    </x:row>
    <x:row r="240" ht="24" customHeight="1">
      <x:c r="C240" s="274" t="d">
        <x:v>2022-09-08T00:00:00.000Z</x:v>
      </x:c>
      <x:c r="D240" s="191" t="n">
        <x:v>258.5199890136719</x:v>
      </x:c>
      <x:c r="E240" s="191" t="n">
        <x:v>250.1866455078125</x:v>
      </x:c>
      <x:c r="F240" s="191" t="n">
        <x:v>400.3800048828125</x:v>
      </x:c>
      <x:c r="G240" s="191" t="n">
        <x:v>378.5878601074219</x:v>
      </x:c>
      <x:c r="H240" s="208" t="n">
        <x:f>E240/E239-1</x:f>
        <x:v>0.0016662025768530153</x:v>
      </x:c>
      <x:c r="I240" s="208" t="n">
        <x:f>G240/G239-1</x:f>
        <x:v>0.006536386270319161</x:v>
      </x:c>
      <x:c r="J240" s="208" t="n">
        <x:f>'Beta HC3'!$E$13+'Beta HC3'!$E$12*I240</x:f>
        <x:v>0.007380944535186464</x:v>
      </x:c>
      <x:c r="K240" s="240" t="n">
        <x:f>H240-J240</x:f>
        <x:v>-0.005714741958333449</x:v>
      </x:c>
      <x:c r="L240" s="240" t="n">
        <x:f>I240-'Beta HC3'!$E$9</x:f>
        <x:v>0.005972438652658721</x:v>
      </x:c>
      <x:c r="M240" s="240" t="n">
        <x:f>1/'Beta HC3'!$E$8+L240^2/'Beta HC3'!$E$11</x:f>
        <x:v>0.0010407402443044175</x:v>
      </x:c>
      <x:c r="N240" s="240" t="n">
        <x:f>K240^2/(1-M240)^2</x:f>
        <x:v>0.00003272635948182405</x:v>
      </x:c>
      <x:c r="O240" s="240" t="n">
        <x:f>N240*L240^2/'Beta HC3'!$E$11^2</x:f>
        <x:v>5.4590341906936124e-8</x:v>
      </x:c>
      <x:c r="P240" s="240" t="n">
        <x:f>N240*(1/'Beta HC3'!$E$8-'Beta HC3'!$E$9*L240/'Beta HC3'!$E$11)^2</x:f>
        <x:v>1.9594427320783236e-11</x:v>
      </x:c>
      <x:c r="Q240" s="240" t="n">
        <x:f>N240*(1/'Beta HC3'!$E$8-'Beta HC3'!$E$9*L240/'Beta HC3'!$E$11)*L240/'Beta HC3'!$E$11</x:f>
        <x:v>1.0342468210790725e-9</x:v>
      </x:c>
      <x:c r="R240" s="240" t="n">
        <x:f>K240*L240/'Beta HC3'!$E$11</x:f>
        <x:v>-0.0002334025970386518</x:v>
      </x:c>
      <x:c r="S240" s="240" t="n">
        <x:f>(K240-K239)^2</x:f>
        <x:v>0.000020757467584568664</x:v>
      </x:c>
      <x:c r="T240" s="280" t="n">
        <x:f>E240/$E$9*100</x:f>
        <x:v>88.41280235499556</x:v>
      </x:c>
    </x:row>
    <x:row r="241" ht="24" customHeight="1">
      <x:c r="C241" s="274" t="d">
        <x:v>2022-09-09T00:00:00.000Z</x:v>
      </x:c>
      <x:c r="D241" s="191" t="n">
        <x:v>264.4599914550781</x:v>
      </x:c>
      <x:c r="E241" s="191" t="n">
        <x:v>255.9351806640625</x:v>
      </x:c>
      <x:c r="F241" s="191" t="n">
        <x:v>406.6000061035156</x:v>
      </x:c>
      <x:c r="G241" s="191" t="n">
        <x:v>384.4692687988281</x:v>
      </x:c>
      <x:c r="H241" s="208" t="n">
        <x:f>E241/E240-1</x:f>
        <x:v>0.02297698641980661</x:v>
      </x:c>
      <x:c r="I241" s="208" t="n">
        <x:f>G241/G240-1</x:f>
        <x:v>0.015535122256000067</x:v>
      </x:c>
      <x:c r="J241" s="208" t="n">
        <x:f>'Beta HC3'!$E$13+'Beta HC3'!$E$12*I241</x:f>
        <x:v>0.01752982457199969</x:v>
      </x:c>
      <x:c r="K241" s="240" t="n">
        <x:f>H241-J241</x:f>
        <x:v>0.005447161847806921</x:v>
      </x:c>
      <x:c r="L241" s="240" t="n">
        <x:f>I241-'Beta HC3'!$E$9</x:f>
        <x:v>0.014971174638339628</x:v>
      </x:c>
      <x:c r="M241" s="240" t="n">
        <x:f>1/'Beta HC3'!$E$8+L241^2/'Beta HC3'!$E$11</x:f>
        <x:v>0.0023295549473892497</x:v>
      </x:c>
      <x:c r="N241" s="240" t="n">
        <x:f>K241^2/(1-M241)^2</x:f>
        <x:v>0.000029810299884041344</x:v>
      </x:c>
      <x:c r="O241" s="240" t="n">
        <x:f>N241*L241^2/'Beta HC3'!$E$11^2</x:f>
        <x:v>3.124588432351899e-7</x:v>
      </x:c>
      <x:c r="P241" s="240" t="n">
        <x:f>N241*(1/'Beta HC3'!$E$8-'Beta HC3'!$E$9*L241/'Beta HC3'!$E$11)^2</x:f>
        <x:v>1.6283381373513988e-11</x:v>
      </x:c>
      <x:c r="Q241" s="240" t="n">
        <x:f>N241*(1/'Beta HC3'!$E$8-'Beta HC3'!$E$9*L241/'Beta HC3'!$E$11)*L241/'Beta HC3'!$E$11</x:f>
        <x:v>2.2556343914574495e-9</x:v>
      </x:c>
      <x:c r="R241" s="240" t="n">
        <x:f>K241*L241/'Beta HC3'!$E$11</x:f>
        <x:v>0.000557678006386136</x:v>
      </x:c>
      <x:c r="S241" s="240" t="n">
        <x:f>(K241-K240)^2</x:f>
        <x:v>0.00012458809657753088</x:v>
      </x:c>
      <x:c r="T241" s="280" t="n">
        <x:f>E241/$E$9*100</x:f>
        <x:v>90.44426211404335</x:v>
      </x:c>
    </x:row>
    <x:row r="242" ht="24" customHeight="1">
      <x:c r="C242" s="274" t="d">
        <x:v>2022-09-12T00:00:00.000Z</x:v>
      </x:c>
      <x:c r="D242" s="191" t="n">
        <x:v>266.6499938964844</x:v>
      </x:c>
      <x:c r="E242" s="191" t="n">
        <x:v>258.0545349121094</x:v>
      </x:c>
      <x:c r="F242" s="191" t="n">
        <x:v>410.9700012207031</x:v>
      </x:c>
      <x:c r="G242" s="191" t="n">
        <x:v>388.6014404296875</x:v>
      </x:c>
      <x:c r="H242" s="208" t="n">
        <x:f>E242/E241-1</x:f>
        <x:v>0.008280824240527895</x:v>
      </x:c>
      <x:c r="I242" s="208" t="n">
        <x:f>G242/G241-1</x:f>
        <x:v>0.010747729314671162</x:v>
      </x:c>
      <x:c r="J242" s="208" t="n">
        <x:f>'Beta HC3'!$E$13+'Beta HC3'!$E$12*I242</x:f>
        <x:v>0.012130546636971232</x:v>
      </x:c>
      <x:c r="K242" s="240" t="n">
        <x:f>H242-J242</x:f>
        <x:v>-0.0038497223964433364</x:v>
      </x:c>
      <x:c r="L242" s="240" t="n">
        <x:f>I242-'Beta HC3'!$E$9</x:f>
        <x:v>0.010183781697010723</x:v>
      </x:c>
      <x:c r="M242" s="240" t="n">
        <x:f>1/'Beta HC3'!$E$8+L242^2/'Beta HC3'!$E$11</x:f>
        <x:v>0.001506023847901061</x:v>
      </x:c>
      <x:c r="N242" s="240" t="n">
        <x:f>K242^2/(1-M242)^2</x:f>
        <x:v>0.000014865103213903725</x:v>
      </x:c>
      <x:c r="O242" s="240" t="n">
        <x:f>N242*L242^2/'Beta HC3'!$E$11^2</x:f>
        <x:v>7.209428083657064e-8</x:v>
      </x:c>
      <x:c r="P242" s="240" t="n">
        <x:f>N242*(1/'Beta HC3'!$E$8-'Beta HC3'!$E$9*L242/'Beta HC3'!$E$11)^2</x:f>
        <x:v>8.530561656610982e-12</x:v>
      </x:c>
      <x:c r="Q242" s="240" t="n">
        <x:f>N242*(1/'Beta HC3'!$E$8-'Beta HC3'!$E$9*L242/'Beta HC3'!$E$11)*L242/'Beta HC3'!$E$11</x:f>
        <x:v>7.842223586237473e-10</x:v>
      </x:c>
      <x:c r="R242" s="240" t="n">
        <x:f>K242*L242/'Beta HC3'!$E$11</x:f>
        <x:v>-0.00026809940869330397</x:v>
      </x:c>
      <x:c r="S242" s="240" t="n">
        <x:f>(K242-K241)^2</x:f>
        <x:v>0.00008643205665098867</x:v>
      </x:c>
      <x:c r="T242" s="280" t="n">
        <x:f>E242/$E$9*100</x:f>
        <x:v>91.19321515217399</x:v>
      </x:c>
    </x:row>
    <x:row r="243" ht="24" customHeight="1">
      <x:c r="C243" s="274" t="d">
        <x:v>2022-09-13T00:00:00.000Z</x:v>
      </x:c>
      <x:c r="D243" s="191" t="n">
        <x:v>251.99000549316406</x:v>
      </x:c>
      <x:c r="E243" s="191" t="n">
        <x:v>243.86712646484375</x:v>
      </x:c>
      <x:c r="F243" s="191" t="n">
        <x:v>393.1000061035156</x:v>
      </x:c>
      <x:c r="G243" s="191" t="n">
        <x:v>371.7041015625</x:v>
      </x:c>
      <x:c r="H243" s="208" t="n">
        <x:f>E243/E242-1</x:f>
        <x:v>-0.0549783341420359</x:v>
      </x:c>
      <x:c r="I243" s="208" t="n">
        <x:f>G243/G242-1</x:f>
        <x:v>-0.04348244012812619</x:v>
      </x:c>
      <x:c r="J243" s="208" t="n">
        <x:f>'Beta HC3'!$E$13+'Beta HC3'!$E$12*I243</x:f>
        <x:v>-0.049030874803415586</x:v>
      </x:c>
      <x:c r="K243" s="240" t="n">
        <x:f>H243-J243</x:f>
        <x:v>-0.0059474593386203145</x:v>
      </x:c>
      <x:c r="L243" s="240" t="n">
        <x:f>I243-'Beta HC3'!$E$9</x:f>
        <x:v>-0.044046387745786626</x:v>
      </x:c>
      <x:c r="M243" s="240" t="n">
        <x:f>1/'Beta HC3'!$E$8+L243^2/'Beta HC3'!$E$11</x:f>
        <x:v>0.014063972442034865</x:v>
      </x:c>
      <x:c r="N243" s="240" t="n">
        <x:f>K243^2/(1-M243)^2</x:f>
        <x:v>0.000036388611958953514</x:v>
      </x:c>
      <x:c r="O243" s="240" t="n">
        <x:f>N243*L243^2/'Beta HC3'!$E$11^2</x:f>
        <x:v>0.0000033014202274060024</x:v>
      </x:c>
      <x:c r="P243" s="240" t="n">
        <x:f>N243*(1/'Beta HC3'!$E$8-'Beta HC3'!$E$9*L243/'Beta HC3'!$E$11)^2</x:f>
        <x:v>3.400398534328331e-11</x:v>
      </x:c>
      <x:c r="Q243" s="240" t="n">
        <x:f>N243*(1/'Beta HC3'!$E$8-'Beta HC3'!$E$9*L243/'Beta HC3'!$E$11)*L243/'Beta HC3'!$E$11</x:f>
        <x:v>-1.0595350160553107e-8</x:v>
      </x:c>
      <x:c r="R243" s="240" t="n">
        <x:f>K243*L243/'Beta HC3'!$E$11</x:f>
        <x:v>0.001791427103368573</x:v>
      </x:c>
      <x:c r="S243" s="240" t="n">
        <x:f>(K243-K242)^2</x:f>
        <x:v>0.000004400500278574019</x:v>
      </x:c>
      <x:c r="T243" s="280" t="n">
        <x:f>E243/$E$9*100</x:f>
        <x:v>86.1795640980512</x:v>
      </x:c>
    </x:row>
    <x:row r="244" ht="24" customHeight="1">
      <x:c r="C244" s="274" t="d">
        <x:v>2022-09-14T00:00:00.000Z</x:v>
      </x:c>
      <x:c r="D244" s="191" t="n">
        <x:v>252.22000122070312</x:v>
      </x:c>
      <x:c r="E244" s="191" t="n">
        <x:v>244.0896759033203</x:v>
      </x:c>
      <x:c r="F244" s="191" t="n">
        <x:v>394.6000061035156</x:v>
      </x:c>
      <x:c r="G244" s="191" t="n">
        <x:v>373.12237548828125</x:v>
      </x:c>
      <x:c r="H244" s="208" t="n">
        <x:f>E244/E243-1</x:f>
        <x:v>0.0009125848231481548</x:v>
      </x:c>
      <x:c r="I244" s="208" t="n">
        <x:f>G244/G243-1</x:f>
        <x:v>0.0038155993431856494</x:v>
      </x:c>
      <x:c r="J244" s="208" t="n">
        <x:f>'Beta HC3'!$E$13+'Beta HC3'!$E$12*I244</x:f>
        <x:v>0.004312409112750875</x:v>
      </x:c>
      <x:c r="K244" s="240" t="n">
        <x:f>H244-J244</x:f>
        <x:v>-0.0033998242896027204</x:v>
      </x:c>
      <x:c r="L244" s="240" t="n">
        <x:f>I244-'Beta HC3'!$E$9</x:f>
        <x:v>0.00325165172552521</x:v>
      </x:c>
      <x:c r="M244" s="240" t="n">
        <x:f>1/'Beta HC3'!$E$8+L244^2/'Beta HC3'!$E$11</x:f>
        <x:v>0.0008691172625055994</x:v>
      </x:c>
      <x:c r="N244" s="240" t="n">
        <x:f>K244^2/(1-M244)^2</x:f>
        <x:v>0.000011578923338170211</x:v>
      </x:c>
      <x:c r="O244" s="240" t="n">
        <x:f>N244*L244^2/'Beta HC3'!$E$11^2</x:f>
        <x:v>5.7252037661854145e-9</x:v>
      </x:c>
      <x:c r="P244" s="240" t="n">
        <x:f>N244*(1/'Beta HC3'!$E$8-'Beta HC3'!$E$9*L244/'Beta HC3'!$E$11)^2</x:f>
        <x:v>7.12200615672196e-12</x:v>
      </x:c>
      <x:c r="Q244" s="240" t="n">
        <x:f>N244*(1/'Beta HC3'!$E$8-'Beta HC3'!$E$9*L244/'Beta HC3'!$E$11)*L244/'Beta HC3'!$E$11</x:f>
        <x:v>2.0192804775776016e-10</x:v>
      </x:c>
      <x:c r="R244" s="240" t="n">
        <x:f>K244*L244/'Beta HC3'!$E$11</x:f>
        <x:v>-0.00007559931444103046</x:v>
      </x:c>
      <x:c r="S244" s="240" t="n">
        <x:f>(K244-K243)^2</x:f>
        <x:v>0.000006490444342982879</x:v>
      </x:c>
      <x:c r="T244" s="280" t="n">
        <x:f>E244/$E$9*100</x:f>
        <x:v>86.2582102603126</x:v>
      </x:c>
    </x:row>
    <x:row r="245" ht="24" customHeight="1">
      <x:c r="C245" s="274" t="d">
        <x:v>2022-09-15T00:00:00.000Z</x:v>
      </x:c>
      <x:c r="D245" s="191" t="n">
        <x:v>245.3800048828125</x:v>
      </x:c>
      <x:c r="E245" s="191" t="n">
        <x:v>237.4701690673828</x:v>
      </x:c>
      <x:c r="F245" s="191" t="n">
        <x:v>390.1199951171875</x:v>
      </x:c>
      <x:c r="G245" s="191" t="n">
        <x:v>368.88629150390625</x:v>
      </x:c>
      <x:c r="H245" s="208" t="n">
        <x:f>E245/E244-1</x:f>
        <x:v>-0.027119159429583428</x:v>
      </x:c>
      <x:c r="I245" s="208" t="n">
        <x:f>G245/G244-1</x:f>
        <x:v>-0.011353068758826135</x:v>
      </x:c>
      <x:c r="J245" s="208" t="n">
        <x:f>'Beta HC3'!$E$13+'Beta HC3'!$E$12*I245</x:f>
        <x:v>-0.012794992763525465</x:v>
      </x:c>
      <x:c r="K245" s="240" t="n">
        <x:f>H245-J245</x:f>
        <x:v>-0.014324166666057963</x:v>
      </x:c>
      <x:c r="L245" s="240" t="n">
        <x:f>I245-'Beta HC3'!$E$9</x:f>
        <x:v>-0.011917016376486574</x:v>
      </x:c>
      <x:c r="M245" s="240" t="n">
        <x:f>1/'Beta HC3'!$E$8+L245^2/'Beta HC3'!$E$11</x:f>
        <x:v>0.0017679764326321958</x:v>
      </x:c>
      <x:c r="N245" s="240" t="n">
        <x:f>K245^2/(1-M245)^2</x:f>
        <x:v>0.00020590919225661433</x:v>
      </x:c>
      <x:c r="O245" s="240" t="n">
        <x:f>N245*L245^2/'Beta HC3'!$E$11^2</x:f>
        <x:v>0.0000013674943166963328</x:v>
      </x:c>
      <x:c r="P245" s="240" t="n">
        <x:f>N245*(1/'Beta HC3'!$E$8-'Beta HC3'!$E$9*L245/'Beta HC3'!$E$11)^2</x:f>
        <x:v>1.4624967835271658e-10</x:v>
      </x:c>
      <x:c r="Q245" s="240" t="n">
        <x:f>N245*(1/'Beta HC3'!$E$8-'Beta HC3'!$E$9*L245/'Beta HC3'!$E$11)*L245/'Beta HC3'!$E$11</x:f>
        <x:v>-1.4141980199604532e-8</x:v>
      </x:c>
      <x:c r="R245" s="240" t="n">
        <x:f>K245*L245/'Beta HC3'!$E$11</x:f>
        <x:v>0.0011673316562492318</x:v>
      </x:c>
      <x:c r="S245" s="240" t="n">
        <x:f>(K245-K244)^2</x:f>
        <x:v>0.00011934125635801577</x:v>
      </x:c>
      <x:c r="T245" s="280" t="n">
        <x:f>E245/$E$9*100</x:f>
        <x:v>83.91896010415265</x:v>
      </x:c>
    </x:row>
    <x:row r="246" ht="24" customHeight="1">
      <x:c r="C246" s="274" t="d">
        <x:v>2022-09-16T00:00:00.000Z</x:v>
      </x:c>
      <x:c r="D246" s="191" t="n">
        <x:v>244.74000549316406</x:v>
      </x:c>
      <x:c r="E246" s="191" t="n">
        <x:v>236.85081481933594</x:v>
      </x:c>
      <x:c r="F246" s="191" t="n">
        <x:v>385.55999755859375</x:v>
      </x:c>
      <x:c r="G246" s="191" t="n">
        <x:v>366.0720520019531</x:v>
      </x:c>
      <x:c r="H246" s="208" t="n">
        <x:f>E246/E245-1</x:f>
        <x:v>-0.002608134952189034</x:v>
      </x:c>
      <x:c r="I246" s="208" t="n">
        <x:f>G246/G245-1</x:f>
        <x:v>-0.0076290162219903035</x:v>
      </x:c>
      <x:c r="J246" s="208" t="n">
        <x:f>'Beta HC3'!$E$13+'Beta HC3'!$E$12*I246</x:f>
        <x:v>-0.008594962614038087</x:v>
      </x:c>
      <x:c r="K246" s="240" t="n">
        <x:f>H246-J246</x:f>
        <x:v>0.005986827661849053</x:v>
      </x:c>
      <x:c r="L246" s="240" t="n">
        <x:f>I246-'Beta HC3'!$E$9</x:f>
        <x:v>-0.008192963839650742</x:v>
      </x:c>
      <x:c r="M246" s="240" t="n">
        <x:f>1/'Beta HC3'!$E$8+L246^2/'Beta HC3'!$E$11</x:f>
        <x:v>0.0012558410237121184</x:v>
      </x:c>
      <x:c r="N246" s="240" t="n">
        <x:f>K246^2/(1-M246)^2</x:f>
        <x:v>0.00003593229929359229</x:v>
      </x:c>
      <x:c r="O246" s="240" t="n">
        <x:f>N246*L246^2/'Beta HC3'!$E$11^2</x:f>
        <x:v>1.1279291155856421e-7</x:v>
      </x:c>
      <x:c r="P246" s="240" t="n">
        <x:f>N246*(1/'Beta HC3'!$E$8-'Beta HC3'!$E$9*L246/'Beta HC3'!$E$11)^2</x:f>
        <x:v>2.465895955605847e-11</x:v>
      </x:c>
      <x:c r="Q246" s="240" t="n">
        <x:f>N246*(1/'Beta HC3'!$E$8-'Beta HC3'!$E$9*L246/'Beta HC3'!$E$11)*L246/'Beta HC3'!$E$11</x:f>
        <x:v>-1.6677397411864702e-9</x:v>
      </x:c>
      <x:c r="R246" s="240" t="n">
        <x:f>K246*L246/'Beta HC3'!$E$11</x:f>
        <x:v>-0.00033542478965837267</x:v>
      </x:c>
      <x:c r="S246" s="240" t="n">
        <x:f>(K246-K245)^2</x:f>
        <x:v>0.000412536490588271</x:v>
      </x:c>
      <x:c r="T246" s="280" t="n">
        <x:f>E246/$E$9*100</x:f>
        <x:v>83.70008813115365</x:v>
      </x:c>
    </x:row>
    <x:row r="247" ht="24" customHeight="1">
      <x:c r="C247" s="274" t="d">
        <x:v>2022-09-19T00:00:00.000Z</x:v>
      </x:c>
      <x:c r="D247" s="191" t="n">
        <x:v>244.52000427246094</x:v>
      </x:c>
      <x:c r="E247" s="191" t="n">
        <x:v>236.6378936767578</x:v>
      </x:c>
      <x:c r="F247" s="191" t="n">
        <x:v>388.54998779296875</x:v>
      </x:c>
      <x:c r="G247" s="191" t="n">
        <x:v>368.910888671875</x:v>
      </x:c>
      <x:c r="H247" s="208" t="n">
        <x:f>E247/E246-1</x:f>
        <x:v>-0.0008989673214362393</x:v>
      </x:c>
      <x:c r="I247" s="208" t="n">
        <x:f>G247/G246-1</x:f>
        <x:v>0.007754857696448125</x:v>
      </x:c>
      <x:c r="J247" s="208" t="n">
        <x:f>'Beta HC3'!$E$13+'Beta HC3'!$E$12*I247</x:f>
        <x:v>0.008755150907253048</x:v>
      </x:c>
      <x:c r="K247" s="240" t="n">
        <x:f>H247-J247</x:f>
        <x:v>-0.009654118228689288</x:v>
      </x:c>
      <x:c r="L247" s="240" t="n">
        <x:f>I247-'Beta HC3'!$E$9</x:f>
        <x:v>0.007190910078787686</x:v>
      </x:c>
      <x:c r="M247" s="240" t="n">
        <x:f>1/'Beta HC3'!$E$8+L247^2/'Beta HC3'!$E$11</x:f>
        <x:v>0.0011504231880001044</x:v>
      </x:c>
      <x:c r="N247" s="240" t="n">
        <x:f>K247^2/(1-M247)^2</x:f>
        <x:v>0.00009341681287419249</x:v>
      </x:c>
      <x:c r="O247" s="240" t="n">
        <x:f>N247*L247^2/'Beta HC3'!$E$11^2</x:f>
        <x:v>2.2589545086746607e-7</x:v>
      </x:c>
      <x:c r="P247" s="240" t="n">
        <x:f>N247*(1/'Beta HC3'!$E$8-'Beta HC3'!$E$9*L247/'Beta HC3'!$E$11)^2</x:f>
        <x:v>5.525467316826286e-11</x:v>
      </x:c>
      <x:c r="Q247" s="240" t="n">
        <x:f>N247*(1/'Beta HC3'!$E$8-'Beta HC3'!$E$9*L247/'Beta HC3'!$E$11)*L247/'Beta HC3'!$E$11</x:f>
        <x:v>3.5329561712366634e-9</x:v>
      </x:c>
      <x:c r="R247" s="240" t="n">
        <x:f>K247*L247/'Beta HC3'!$E$11</x:f>
        <x:v>-0.0004747378214389795</x:v>
      </x:c>
      <x:c r="S247" s="240" t="n">
        <x:f>(K247-K246)^2</x:f>
        <x:v>0.0002446391883507482</x:v>
      </x:c>
      <x:c r="T247" s="280" t="n">
        <x:f>E247/$E$9*100</x:f>
        <x:v>83.6248444871224</x:v>
      </x:c>
    </x:row>
    <x:row r="248" ht="24" customHeight="1">
      <x:c r="C248" s="274" t="d">
        <x:v>2022-09-20T00:00:00.000Z</x:v>
      </x:c>
      <x:c r="D248" s="191" t="n">
        <x:v>242.4499969482422</x:v>
      </x:c>
      <x:c r="E248" s="191" t="n">
        <x:v>234.63462829589844</x:v>
      </x:c>
      <x:c r="F248" s="191" t="n">
        <x:v>384.0899963378906</x:v>
      </x:c>
      <x:c r="G248" s="191" t="n">
        <x:v>364.67633056640625</x:v>
      </x:c>
      <x:c r="H248" s="208" t="n">
        <x:f>E248/E247-1</x:f>
        <x:v>-0.008465530814755318</x:v>
      </x:c>
      <x:c r="I248" s="208" t="n">
        <x:f>G248/G247-1</x:f>
        <x:v>-0.011478539223154116</x:v>
      </x:c>
      <x:c r="J248" s="208" t="n">
        <x:f>'Beta HC3'!$E$13+'Beta HC3'!$E$12*I248</x:f>
        <x:v>-0.012936499825478853</x:v>
      </x:c>
      <x:c r="K248" s="240" t="n">
        <x:f>H248-J248</x:f>
        <x:v>0.004470969010723535</x:v>
      </x:c>
      <x:c r="L248" s="240" t="n">
        <x:f>I248-'Beta HC3'!$E$9</x:f>
        <x:v>-0.012042486840814555</x:v>
      </x:c>
      <x:c r="M248" s="240" t="n">
        <x:f>1/'Beta HC3'!$E$8+L248^2/'Beta HC3'!$E$11</x:f>
        <x:v>0.0017885342344779879</x:v>
      </x:c>
      <x:c r="N248" s="240" t="n">
        <x:f>K248^2/(1-M248)^2</x:f>
        <x:v>0.00002006126022318535</x:v>
      </x:c>
      <x:c r="O248" s="240" t="n">
        <x:f>N248*L248^2/'Beta HC3'!$E$11^2</x:f>
        <x:v>1.3605211422814305e-7</x:v>
      </x:c>
      <x:c r="P248" s="240" t="n">
        <x:f>N248*(1/'Beta HC3'!$E$8-'Beta HC3'!$E$9*L248/'Beta HC3'!$E$11)^2</x:f>
        <x:v>1.4265137310150256e-11</x:v>
      </x:c>
      <x:c r="Q248" s="240" t="n">
        <x:f>N248*(1/'Beta HC3'!$E$8-'Beta HC3'!$E$9*L248/'Beta HC3'!$E$11)*L248/'Beta HC3'!$E$11</x:f>
        <x:v>-1.3931267317802455e-9</x:v>
      </x:c>
      <x:c r="R248" s="240" t="n">
        <x:f>K248*L248/'Beta HC3'!$E$11</x:f>
        <x:v>-0.0003681927235988632</x:v>
      </x:c>
      <x:c r="S248" s="240" t="n">
        <x:f>(K248-K247)^2</x:f>
        <x:v>0.00019951808952102296</x:v>
      </x:c>
      <x:c r="T248" s="280" t="n">
        <x:f>E248/$E$9*100</x:f>
        <x:v>82.91691578923755</x:v>
      </x:c>
    </x:row>
    <x:row r="249" ht="24" customHeight="1">
      <x:c r="C249" s="274" t="d">
        <x:v>2022-09-21T00:00:00.000Z</x:v>
      </x:c>
      <x:c r="D249" s="191" t="n">
        <x:v>238.9499969482422</x:v>
      </x:c>
      <x:c r="E249" s="191" t="n">
        <x:v>231.2474365234375</x:v>
      </x:c>
      <x:c r="F249" s="191" t="n">
        <x:v>377.3900146484375</x:v>
      </x:c>
      <x:c r="G249" s="191" t="n">
        <x:v>358.3150329589844</x:v>
      </x:c>
      <x:c r="H249" s="208" t="n">
        <x:f>E249/E248-1</x:f>
        <x:v>-0.01443602675811917</x:v>
      </x:c>
      <x:c r="I249" s="208" t="n">
        <x:f>G249/G248-1</x:f>
        <x:v>-0.01744368107889449</x:v>
      </x:c>
      <x:c r="J249" s="208" t="n">
        <x:f>'Beta HC3'!$E$13+'Beta HC3'!$E$12*I249</x:f>
        <x:v>-0.01966405680601645</x:v>
      </x:c>
      <x:c r="K249" s="240" t="n">
        <x:f>H249-J249</x:f>
        <x:v>0.0052280300478972815</x:v>
      </x:c>
      <x:c r="L249" s="240" t="n">
        <x:f>I249-'Beta HC3'!$E$9</x:f>
        <x:v>-0.01800762869655493</x:v>
      </x:c>
      <x:c r="M249" s="240" t="n">
        <x:f>1/'Beta HC3'!$E$8+L249^2/'Beta HC3'!$E$11</x:f>
        <x:v>0.003014347405821594</x:v>
      </x:c>
      <x:c r="N249" s="240" t="n">
        <x:f>K249^2/(1-M249)^2</x:f>
        <x:v>0.000027497824319308228</x:v>
      </x:c>
      <x:c r="O249" s="240" t="n">
        <x:f>N249*L249^2/'Beta HC3'!$E$11^2</x:f>
        <x:v>4.1699045148003647e-7</x:v>
      </x:c>
      <x:c r="P249" s="240" t="n">
        <x:f>N249*(1/'Beta HC3'!$E$8-'Beta HC3'!$E$9*L249/'Beta HC3'!$E$11)^2</x:f>
        <x:v>2.0634524698627596e-11</x:v>
      </x:c>
      <x:c r="Q249" s="240" t="n">
        <x:f>N249*(1/'Beta HC3'!$E$8-'Beta HC3'!$E$9*L249/'Beta HC3'!$E$11)*L249/'Beta HC3'!$E$11</x:f>
        <x:v>-2.9333257183880357e-9</x:v>
      </x:c>
      <x:c r="R249" s="240" t="n">
        <x:f>K249*L249/'Beta HC3'!$E$11</x:f>
        <x:v>-0.0006438014695579541</x:v>
      </x:c>
      <x:c r="S249" s="240" t="n">
        <x:f>(K249-K248)^2</x:f>
        <x:v>5.731414140065889e-7</x:v>
      </x:c>
      <x:c r="T249" s="280" t="n">
        <x:f>E249/$E$9*100</x:f>
        <x:v>81.71992497420341</x:v>
      </x:c>
    </x:row>
    <x:row r="250" ht="24" customHeight="1">
      <x:c r="C250" s="274" t="d">
        <x:v>2022-09-22T00:00:00.000Z</x:v>
      </x:c>
      <x:c r="D250" s="191" t="n">
        <x:v>240.97999572753906</x:v>
      </x:c>
      <x:c r="E250" s="191" t="n">
        <x:v>233.21202087402344</x:v>
      </x:c>
      <x:c r="F250" s="191" t="n">
        <x:v>374.2200012207031</x:v>
      </x:c>
      <x:c r="G250" s="191" t="n">
        <x:v>355.3052062988281</x:v>
      </x:c>
      <x:c r="H250" s="208" t="n">
        <x:f>E250/E249-1</x:f>
        <x:v>0.008495594070669021</x:v>
      </x:c>
      <x:c r="I250" s="208" t="n">
        <x:f>G250/G249-1</x:f>
        <x:v>-0.008399945252927088</x:v>
      </x:c>
      <x:c r="J250" s="208" t="n">
        <x:f>'Beta HC3'!$E$13+'Beta HC3'!$E$12*I250</x:f>
        <x:v>-0.00946442542129502</x:v>
      </x:c>
      <x:c r="K250" s="240" t="n">
        <x:f>H250-J250</x:f>
        <x:v>0.01796001949196404</x:v>
      </x:c>
      <x:c r="L250" s="240" t="n">
        <x:f>I250-'Beta HC3'!$E$9</x:f>
        <x:v>-0.008963892870587527</x:v>
      </x:c>
      <x:c r="M250" s="240" t="n">
        <x:f>1/'Beta HC3'!$E$8+L250^2/'Beta HC3'!$E$11</x:f>
        <x:v>0.001346291214198769</x:v>
      </x:c>
      <x:c r="N250" s="240" t="n">
        <x:f>K250^2/(1-M250)^2</x:f>
        <x:v>0.0003234325828194319</x:v>
      </x:c>
      <x:c r="O250" s="240" t="n">
        <x:f>N250*L250^2/'Beta HC3'!$E$11^2</x:f>
        <x:v>0.0000012153232513019403</x:v>
      </x:c>
      <x:c r="P250" s="240" t="n">
        <x:f>N250*(1/'Beta HC3'!$E$8-'Beta HC3'!$E$9*L250/'Beta HC3'!$E$11)^2</x:f>
        <x:v>2.2355543771502324e-10</x:v>
      </x:c>
      <x:c r="Q250" s="240" t="n">
        <x:f>N250*(1/'Beta HC3'!$E$8-'Beta HC3'!$E$9*L250/'Beta HC3'!$E$11)*L250/'Beta HC3'!$E$11</x:f>
        <x:v>-1.64830859189064e-8</x:v>
      </x:c>
      <x:c r="R250" s="240" t="n">
        <x:f>K250*L250/'Beta HC3'!$E$11</x:f>
        <x:v>-0.0011009328299419975</x:v>
      </x:c>
      <x:c r="S250" s="240" t="n">
        <x:f>(K250-K249)^2</x:f>
        <x:v>0.00016210355520382736</x:v>
      </x:c>
      <x:c r="T250" s="280" t="n">
        <x:f>E250/$E$9*100</x:f>
        <x:v>82.41418428426978</x:v>
      </x:c>
    </x:row>
    <x:row r="251" ht="24" customHeight="1">
      <x:c r="C251" s="274" t="d">
        <x:v>2022-09-23T00:00:00.000Z</x:v>
      </x:c>
      <x:c r="D251" s="191" t="n">
        <x:v>237.9199981689453</x:v>
      </x:c>
      <x:c r="E251" s="191" t="n">
        <x:v>230.2506561279297</x:v>
      </x:c>
      <x:c r="F251" s="191" t="n">
        <x:v>367.95001220703125</x:v>
      </x:c>
      <x:c r="G251" s="191" t="n">
        <x:v>349.3522033691406</x:v>
      </x:c>
      <x:c r="H251" s="208" t="n">
        <x:f>E251/E250-1</x:f>
        <x:v>-0.012698165107421389</x:v>
      </x:c>
      <x:c r="I251" s="208" t="n">
        <x:f>G251/G250-1</x:f>
        <x:v>-0.016754617788180548</x:v>
      </x:c>
      <x:c r="J251" s="208" t="n">
        <x:f>'Beta HC3'!$E$13+'Beta HC3'!$E$12*I251</x:f>
        <x:v>-0.018886923141204482</x:v>
      </x:c>
      <x:c r="K251" s="240" t="n">
        <x:f>H251-J251</x:f>
        <x:v>0.0061887580337830934</x:v>
      </x:c>
      <x:c r="L251" s="240" t="n">
        <x:f>I251-'Beta HC3'!$E$9</x:f>
        <x:v>-0.017318565405840987</x:v>
      </x:c>
      <x:c r="M251" s="240" t="n">
        <x:f>1/'Beta HC3'!$E$8+L251^2/'Beta HC3'!$E$11</x:f>
        <x:v>0.0028478860889037255</x:v>
      </x:c>
      <x:c r="N251" s="240" t="n">
        <x:f>K251^2/(1-M251)^2</x:f>
        <x:v>0.00003851981367049136</x:v>
      </x:c>
      <x:c r="O251" s="240" t="n">
        <x:f>N251*L251^2/'Beta HC3'!$E$11^2</x:f>
        <x:v>5.402847740687758e-7</x:v>
      </x:c>
      <x:c r="P251" s="240" t="n">
        <x:f>N251*(1/'Beta HC3'!$E$8-'Beta HC3'!$E$9*L251/'Beta HC3'!$E$11)^2</x:f>
        <x:v>2.8728416184820064e-11</x:v>
      </x:c>
      <x:c r="Q251" s="240" t="n">
        <x:f>N251*(1/'Beta HC3'!$E$8-'Beta HC3'!$E$9*L251/'Beta HC3'!$E$11)*L251/'Beta HC3'!$E$11</x:f>
        <x:v>-3.939736773918947e-9</x:v>
      </x:c>
      <x:c r="R251" s="240" t="n">
        <x:f>K251*L251/'Beta HC3'!$E$11</x:f>
        <x:v>-0.0007329473494324021</x:v>
      </x:c>
      <x:c r="S251" s="240" t="n">
        <x:f>(K251-K250)^2</x:f>
        <x:v>0.00013856259631685622</x:v>
      </x:c>
      <x:c r="T251" s="280" t="n">
        <x:f>E251/$E$9*100</x:f>
        <x:v>81.36767536503467</x:v>
      </x:c>
    </x:row>
    <x:row r="252" ht="24" customHeight="1">
      <x:c r="C252" s="274" t="d">
        <x:v>2022-09-26T00:00:00.000Z</x:v>
      </x:c>
      <x:c r="D252" s="191" t="n">
        <x:v>237.4499969482422</x:v>
      </x:c>
      <x:c r="E252" s="191" t="n">
        <x:v>229.7957763671875</x:v>
      </x:c>
      <x:c r="F252" s="191" t="n">
        <x:v>364.30999755859375</x:v>
      </x:c>
      <x:c r="G252" s="191" t="n">
        <x:v>345.8961486816406</x:v>
      </x:c>
      <x:c r="H252" s="208" t="n">
        <x:f>E252/E251-1</x:f>
        <x:v>-0.0019755850792861906</x:v>
      </x:c>
      <x:c r="I252" s="208" t="n">
        <x:f>G252/G251-1</x:f>
        <x:v>-0.009892751939646893</x:v>
      </x:c>
      <x:c r="J252" s="208" t="n">
        <x:f>'Beta HC3'!$E$13+'Beta HC3'!$E$12*I252</x:f>
        <x:v>-0.011148030319336213</x:v>
      </x:c>
      <x:c r="K252" s="240" t="n">
        <x:f>H252-J252</x:f>
        <x:v>0.009172445240050023</x:v>
      </x:c>
      <x:c r="L252" s="240" t="n">
        <x:f>I252-'Beta HC3'!$E$9</x:f>
        <x:v>-0.010456699557307332</x:v>
      </x:c>
      <x:c r="M252" s="240" t="n">
        <x:f>1/'Beta HC3'!$E$8+L252^2/'Beta HC3'!$E$11</x:f>
        <x:v>0.0015445458755147076</x:v>
      </x:c>
      <x:c r="N252" s="240" t="n">
        <x:f>K252^2/(1-M252)^2</x:f>
        <x:v>0.00008439425193642657</x:v>
      </x:c>
      <x:c r="O252" s="240" t="n">
        <x:f>N252*L252^2/'Beta HC3'!$E$11^2</x:f>
        <x:v>4.3153582030108606e-7</x:v>
      </x:c>
      <x:c r="P252" s="240" t="n">
        <x:f>N252*(1/'Beta HC3'!$E$8-'Beta HC3'!$E$9*L252/'Beta HC3'!$E$11)^2</x:f>
        <x:v>5.914367384198551e-11</x:v>
      </x:c>
      <x:c r="Q252" s="240" t="n">
        <x:f>N252*(1/'Beta HC3'!$E$8-'Beta HC3'!$E$9*L252/'Beta HC3'!$E$11)*L252/'Beta HC3'!$E$11</x:f>
        <x:v>-5.051991073529436e-9</x:v>
      </x:c>
      <x:c r="R252" s="240" t="n">
        <x:f>K252*L252/'Beta HC3'!$E$11</x:f>
        <x:v>-0.000655899227046084</x:v>
      </x:c>
      <x:c r="S252" s="240" t="n">
        <x:f>(K252-K251)^2</x:f>
        <x:v>0.000008902389344840955</x:v>
      </x:c>
      <x:c r="T252" s="280" t="n">
        <x:f>E252/$E$9*100</x:f>
        <x:v>81.2069265996473</x:v>
      </x:c>
    </x:row>
    <x:row r="253" ht="24" customHeight="1">
      <x:c r="C253" s="274" t="d">
        <x:v>2022-09-27T00:00:00.000Z</x:v>
      </x:c>
      <x:c r="D253" s="191" t="n">
        <x:v>236.41000366210938</x:v>
      </x:c>
      <x:c r="E253" s="191" t="n">
        <x:v>228.78933715820312</x:v>
      </x:c>
      <x:c r="F253" s="191" t="n">
        <x:v>363.3800048828125</x:v>
      </x:c>
      <x:c r="G253" s="191" t="n">
        <x:v>345.0131530761719</x:v>
      </x:c>
      <x:c r="H253" s="208" t="n">
        <x:f>E253/E252-1</x:f>
        <x:v>-0.004379711519920226</x:v>
      </x:c>
      <x:c r="I253" s="208" t="n">
        <x:f>G253/G252-1</x:f>
        <x:v>-0.002552776632044673</x:v>
      </x:c>
      <x:c r="J253" s="208" t="n">
        <x:f>'Beta HC3'!$E$13+'Beta HC3'!$E$12*I253</x:f>
        <x:v>-0.0028699200393411985</x:v>
      </x:c>
      <x:c r="K253" s="240" t="n">
        <x:f>H253-J253</x:f>
        <x:v>-0.0015097914805790279</x:v>
      </x:c>
      <x:c r="L253" s="240" t="n">
        <x:f>I253-'Beta HC3'!$E$9</x:f>
        <x:v>-0.0031167242497051125</x:v>
      </x:c>
      <x:c r="M253" s="240" t="n">
        <x:f>1/'Beta HC3'!$E$8+L253^2/'Beta HC3'!$E$11</x:f>
        <x:v>0.0008632411993826357</x:v>
      </x:c>
      <x:c r="N253" s="240" t="n">
        <x:f>K253^2/(1-M253)^2</x:f>
        <x:v>0.0000022834108819614895</x:v>
      </x:c>
      <x:c r="O253" s="240" t="n">
        <x:f>N253*L253^2/'Beta HC3'!$E$11^2</x:f>
        <x:v>1.0372789133942309e-9</x:v>
      </x:c>
      <x:c r="P253" s="240" t="n">
        <x:f>N253*(1/'Beta HC3'!$E$8-'Beta HC3'!$E$9*L253/'Beta HC3'!$E$11)^2</x:f>
        <x:v>1.4938301644516244e-12</x:v>
      </x:c>
      <x:c r="Q253" s="240" t="n">
        <x:f>N253*(1/'Beta HC3'!$E$8-'Beta HC3'!$E$9*L253/'Beta HC3'!$E$11)*L253/'Beta HC3'!$E$11</x:f>
        <x:v>-3.936392421720561e-11</x:v>
      </x:c>
      <x:c r="R253" s="240" t="n">
        <x:f>K253*L253/'Beta HC3'!$E$11</x:f>
        <x:v>0.00003217901245490164</x:v>
      </x:c>
      <x:c r="S253" s="240" t="n">
        <x:f>(K253-K252)^2</x:f>
        <x:v>0.0001141101813555557</x:v>
      </x:c>
      <x:c r="T253" s="280" t="n">
        <x:f>E253/$E$9*100</x:f>
        <x:v>80.85126368772151</x:v>
      </x:c>
    </x:row>
    <x:row r="254" ht="24" customHeight="1">
      <x:c r="C254" s="274" t="d">
        <x:v>2022-09-28T00:00:00.000Z</x:v>
      </x:c>
      <x:c r="D254" s="191" t="n">
        <x:v>241.07000732421875</x:v>
      </x:c>
      <x:c r="E254" s="191" t="n">
        <x:v>233.2991180419922</x:v>
      </x:c>
      <x:c r="F254" s="191" t="n">
        <x:v>370.5299987792969</x:v>
      </x:c>
      <x:c r="G254" s="191" t="n">
        <x:v>351.80169677734375</x:v>
      </x:c>
      <x:c r="H254" s="208" t="n">
        <x:f>E254/E253-1</x:f>
        <x:v>0.019711499407293775</x:v>
      </x:c>
      <x:c r="I254" s="208" t="n">
        <x:f>G254/G253-1</x:f>
        <x:v>0.019676188112379256</x:v>
      </x:c>
      <x:c r="J254" s="208" t="n">
        <x:f>'Beta HC3'!$E$13+'Beta HC3'!$E$12*I254</x:f>
        <x:v>0.022200167236548433</x:v>
      </x:c>
      <x:c r="K254" s="240" t="n">
        <x:f>H254-J254</x:f>
        <x:v>-0.002488667829254658</x:v>
      </x:c>
      <x:c r="L254" s="240" t="n">
        <x:f>I254-'Beta HC3'!$E$9</x:f>
        <x:v>0.019112240494718817</x:v>
      </x:c>
      <x:c r="M254" s="240" t="n">
        <x:f>1/'Beta HC3'!$E$8+L254^2/'Beta HC3'!$E$11</x:f>
        <x:v>0.003294744478977523</x:v>
      </x:c>
      <x:c r="N254" s="240" t="n">
        <x:f>K254^2/(1-M254)^2</x:f>
        <x:v>0.000006234481936819819</x:v>
      </x:c>
      <x:c r="O254" s="240" t="n">
        <x:f>N254*L254^2/'Beta HC3'!$E$11^2</x:f>
        <x:v>1.06497226363923e-7</x:v>
      </x:c>
      <x:c r="P254" s="240" t="n">
        <x:f>N254*(1/'Beta HC3'!$E$8-'Beta HC3'!$E$9*L254/'Beta HC3'!$E$11)^2</x:f>
        <x:v>3.259899450634674e-12</x:v>
      </x:c>
      <x:c r="Q254" s="240" t="n">
        <x:f>N254*(1/'Beta HC3'!$E$8-'Beta HC3'!$E$9*L254/'Beta HC3'!$E$11)*L254/'Beta HC3'!$E$11</x:f>
        <x:v>5.892115492061143e-10</x:v>
      </x:c>
      <x:c r="R254" s="240" t="n">
        <x:f>K254*L254/'Beta HC3'!$E$11</x:f>
        <x:v>-0.0003252639238072249</x:v>
      </x:c>
      <x:c r="S254" s="240" t="n">
        <x:f>(K254-K253)^2</x:f>
        <x:v>9.581989059965338e-7</x:v>
      </x:c>
      <x:c r="T254" s="280" t="n">
        <x:f>E254/$E$9*100</x:f>
        <x:v>82.44496332398099</x:v>
      </x:c>
    </x:row>
    <x:row r="255" ht="24" customHeight="1">
      <x:c r="C255" s="274" t="d">
        <x:v>2022-09-29T00:00:00.000Z</x:v>
      </x:c>
      <x:c r="D255" s="191" t="n">
        <x:v>237.5</x:v>
      </x:c>
      <x:c r="E255" s="191" t="n">
        <x:v>229.8441925048828</x:v>
      </x:c>
      <x:c r="F255" s="191" t="n">
        <x:v>362.7900085449219</x:v>
      </x:c>
      <x:c r="G255" s="191" t="n">
        <x:v>344.4529724121094</x:v>
      </x:c>
      <x:c r="H255" s="208" t="n">
        <x:f>E255/E254-1</x:f>
        <x:v>-0.014808995276559545</x:v>
      </x:c>
      <x:c r="I255" s="208" t="n">
        <x:f>G255/G254-1</x:f>
        <x:v>-0.020888825814519563</x:v>
      </x:c>
      <x:c r="J255" s="208" t="n">
        <x:f>'Beta HC3'!$E$13+'Beta HC3'!$E$12*I255</x:f>
        <x:v>-0.02354953146456338</x:v>
      </x:c>
      <x:c r="K255" s="240" t="n">
        <x:f>H255-J255</x:f>
        <x:v>0.008740536188003835</x:v>
      </x:c>
      <x:c r="L255" s="240" t="n">
        <x:f>I255-'Beta HC3'!$E$9</x:f>
        <x:v>-0.02145277343218</x:v>
      </x:c>
      <x:c r="M255" s="240" t="n">
        <x:f>1/'Beta HC3'!$E$8+L255^2/'Beta HC3'!$E$11</x:f>
        <x:v>0.003944012104266716</x:v>
      </x:c>
      <x:c r="N255" s="240" t="n">
        <x:f>K255^2/(1-M255)^2</x:f>
        <x:v>0.00007700317798361527</x:v>
      </x:c>
      <x:c r="O255" s="240" t="n">
        <x:f>N255*L255^2/'Beta HC3'!$E$11^2</x:f>
        <x:v>0.000001657258534618346</x:v>
      </x:c>
      <x:c r="P255" s="240" t="n">
        <x:f>N255*(1/'Beta HC3'!$E$8-'Beta HC3'!$E$9*L255/'Beta HC3'!$E$11)^2</x:f>
        <x:v>5.956973495853807e-11</x:v>
      </x:c>
      <x:c r="Q255" s="240" t="n">
        <x:f>N255*(1/'Beta HC3'!$E$8-'Beta HC3'!$E$9*L255/'Beta HC3'!$E$11)*L255/'Beta HC3'!$E$11</x:f>
        <x:v>-9.935917253328455e-9</x:v>
      </x:c>
      <x:c r="R255" s="240" t="n">
        <x:f>K255*L255/'Beta HC3'!$E$11</x:f>
        <x:v>-0.0012822682317743053</x:v>
      </x:c>
      <x:c r="S255" s="240" t="n">
        <x:f>(K255-K254)^2</x:f>
        <x:v>0.00012609502286121428</x:v>
      </x:c>
      <x:c r="T255" s="280" t="n">
        <x:f>E255/$E$9*100</x:f>
        <x:v>81.22403625154003</x:v>
      </x:c>
    </x:row>
    <x:row r="256" ht="24" customHeight="1">
      <x:c r="C256" s="274" t="d">
        <x:v>2022-09-30T00:00:00.000Z</x:v>
      </x:c>
      <x:c r="D256" s="191" t="n">
        <x:v>232.89999389648438</x:v>
      </x:c>
      <x:c r="E256" s="191" t="n">
        <x:v>225.39247131347656</x:v>
      </x:c>
      <x:c r="F256" s="191" t="n">
        <x:v>357.17999267578125</x:v>
      </x:c>
      <x:c r="G256" s="191" t="n">
        <x:v>339.12646484375</x:v>
      </x:c>
      <x:c r="H256" s="208" t="n">
        <x:f>E256/E255-1</x:f>
        <x:v>-0.019368430165194073</x:v>
      </x:c>
      <x:c r="I256" s="208" t="n">
        <x:f>G256/G255-1</x:f>
        <x:v>-0.015463671371622412</x:v>
      </x:c>
      <x:c r="J256" s="208" t="n">
        <x:f>'Beta HC3'!$E$13+'Beta HC3'!$E$12*I256</x:f>
        <x:v>-0.01743097862450233</x:v>
      </x:c>
      <x:c r="K256" s="240" t="n">
        <x:f>H256-J256</x:f>
        <x:v>-0.0019374515406917411</x:v>
      </x:c>
      <x:c r="L256" s="240" t="n">
        <x:f>I256-'Beta HC3'!$E$9</x:f>
        <x:v>-0.01602761898928285</x:v>
      </x:c>
      <x:c r="M256" s="240" t="n">
        <x:f>1/'Beta HC3'!$E$8+L256^2/'Beta HC3'!$E$11</x:f>
        <x:v>0.0025535037678835974</x:v>
      </x:c>
      <x:c r="N256" s="240" t="n">
        <x:f>K256^2/(1-M256)^2</x:f>
        <x:v>0.000003772962418879859</x:v>
      </x:c>
      <x:c r="O256" s="240" t="n">
        <x:f>N256*L256^2/'Beta HC3'!$E$11^2</x:f>
        <x:v>4.532472958946813e-8</x:v>
      </x:c>
      <x:c r="P256" s="240" t="n">
        <x:f>N256*(1/'Beta HC3'!$E$8-'Beta HC3'!$E$9*L256/'Beta HC3'!$E$11)^2</x:f>
        <x:v>2.7815583937546026e-12</x:v>
      </x:c>
      <x:c r="Q256" s="240" t="n">
        <x:f>N256*(1/'Beta HC3'!$E$8-'Beta HC3'!$E$9*L256/'Beta HC3'!$E$11)*L256/'Beta HC3'!$E$11</x:f>
        <x:v>-3.550681371712233e-10</x:v>
      </x:c>
      <x:c r="R256" s="240" t="n">
        <x:f>K256*L256/'Beta HC3'!$E$11</x:f>
        <x:v>0.000212352422610212</x:v>
      </x:c>
      <x:c r="S256" s="240" t="n">
        <x:f>(K256-K255)^2</x:f>
        <x:v>0.0001140194219341733</x:v>
      </x:c>
      <x:c r="T256" s="280" t="n">
        <x:f>E256/$E$9*100</x:f>
        <x:v>79.65085417766689</x:v>
      </x:c>
    </x:row>
    <x:row r="257" ht="24" customHeight="1">
      <x:c r="C257" s="274" t="d">
        <x:v>2022-10-03T00:00:00.000Z</x:v>
      </x:c>
      <x:c r="D257" s="191" t="n">
        <x:v>240.74000549316406</x:v>
      </x:c>
      <x:c r="E257" s="191" t="n">
        <x:v>232.9797821044922</x:v>
      </x:c>
      <x:c r="F257" s="191" t="n">
        <x:v>366.6099853515625</x:v>
      </x:c>
      <x:c r="G257" s="191" t="n">
        <x:v>348.0799255371094</x:v>
      </x:c>
      <x:c r="H257" s="208" t="n">
        <x:f>E257/E256-1</x:f>
        <x:v>0.033662662939895505</x:v>
      </x:c>
      <x:c r="I257" s="208" t="n">
        <x:f>G257/G256-1</x:f>
        <x:v>0.026401539312140176</x:v>
      </x:c>
      <x:c r="J257" s="208" t="n">
        <x:f>'Beta HC3'!$E$13+'Beta HC3'!$E$12*I257</x:f>
        <x:v>0.02978509723565284</x:v>
      </x:c>
      <x:c r="K257" s="240" t="n">
        <x:f>H257-J257</x:f>
        <x:v>0.0038775657042426637</x:v>
      </x:c>
      <x:c r="L257" s="240" t="n">
        <x:f>I257-'Beta HC3'!$E$9</x:f>
        <x:v>0.025837591694479738</x:v>
      </x:c>
      <x:c r="M257" s="240" t="n">
        <x:f>1/'Beta HC3'!$E$8+L257^2/'Beta HC3'!$E$11</x:f>
        <x:v>0.005362029721416819</x:v>
      </x:c>
      <x:c r="N257" s="240" t="n">
        <x:f>K257^2/(1-M257)^2</x:f>
        <x:v>0.00001519806376490558</x:v>
      </x:c>
      <x:c r="O257" s="240" t="n">
        <x:f>N257*L257^2/'Beta HC3'!$E$11^2</x:f>
        <x:v>4.744681307743807e-7</x:v>
      </x:c>
      <x:c r="P257" s="240" t="n">
        <x:f>N257*(1/'Beta HC3'!$E$8-'Beta HC3'!$E$9*L257/'Beta HC3'!$E$11)^2</x:f>
        <x:v>7.38694628471506e-12</x:v>
      </x:c>
      <x:c r="Q257" s="240" t="n">
        <x:f>N257*(1/'Beta HC3'!$E$8-'Beta HC3'!$E$9*L257/'Beta HC3'!$E$11)*L257/'Beta HC3'!$E$11</x:f>
        <x:v>1.8721299623262036e-9</x:v>
      </x:c>
      <x:c r="R257" s="240" t="n">
        <x:f>K257*L257/'Beta HC3'!$E$11</x:f>
        <x:v>0.0006851230166485136</x:v>
      </x:c>
      <x:c r="S257" s="240" t="n">
        <x:f>(K257-K256)^2</x:f>
        <x:v>0.00003381442555888452</x:v>
      </x:c>
      <x:c r="T257" s="280" t="n">
        <x:f>E257/$E$9*100</x:f>
        <x:v>82.33211403472444</x:v>
      </x:c>
    </x:row>
    <x:row r="258" ht="24" customHeight="1">
      <x:c r="C258" s="274" t="d">
        <x:v>2022-10-04T00:00:00.000Z</x:v>
      </x:c>
      <x:c r="D258" s="191" t="n">
        <x:v>248.8800048828125</x:v>
      </x:c>
      <x:c r="E258" s="191" t="n">
        <x:v>240.8573455810547</x:v>
      </x:c>
      <x:c r="F258" s="191" t="n">
        <x:v>377.9700012207031</x:v>
      </x:c>
      <x:c r="G258" s="191" t="n">
        <x:v>358.86572265625</x:v>
      </x:c>
      <x:c r="H258" s="208" t="n">
        <x:f>E258/E257-1</x:f>
        <x:v>0.033812219263856136</x:v>
      </x:c>
      <x:c r="I258" s="208" t="n">
        <x:f>G258/G257-1</x:f>
        <x:v>0.030986553167343445</x:v>
      </x:c>
      <x:c r="J258" s="208" t="n">
        <x:f>'Beta HC3'!$E$13+'Beta HC3'!$E$12*I258</x:f>
        <x:v>0.03495612966261025</x:v>
      </x:c>
      <x:c r="K258" s="240" t="n">
        <x:f>H258-J258</x:f>
        <x:v>-0.001143910398754111</x:v>
      </x:c>
      <x:c r="L258" s="240" t="n">
        <x:f>I258-'Beta HC3'!$E$9</x:f>
        <x:v>0.030422605549683006</x:v>
      </x:c>
      <x:c r="M258" s="240" t="n">
        <x:f>1/'Beta HC3'!$E$8+L258^2/'Beta HC3'!$E$11</x:f>
        <x:v>0.007126032497345311</x:v>
      </x:c>
      <x:c r="N258" s="240" t="n">
        <x:f>K258^2/(1-M258)^2</x:f>
        <x:v>0.0000013273815232357612</x:v>
      </x:c>
      <x:c r="O258" s="240" t="n">
        <x:f>N258*L258^2/'Beta HC3'!$E$11^2</x:f>
        <x:v>5.7451755557715214e-8</x:v>
      </x:c>
      <x:c r="P258" s="240" t="n">
        <x:f>N258*(1/'Beta HC3'!$E$8-'Beta HC3'!$E$9*L258/'Beta HC3'!$E$11)^2</x:f>
        <x:v>6.128558685228349e-13</x:v>
      </x:c>
      <x:c r="Q258" s="240" t="n">
        <x:f>N258*(1/'Beta HC3'!$E$8-'Beta HC3'!$E$9*L258/'Beta HC3'!$E$11)*L258/'Beta HC3'!$E$11</x:f>
        <x:v>1.8764233411062964e-10</x:v>
      </x:c>
      <x:c r="R258" s="240" t="n">
        <x:f>K258*L258/'Beta HC3'!$E$11</x:f>
        <x:v>-0.00023798291288048342</x:v>
      </x:c>
      <x:c r="S258" s="240" t="n">
        <x:f>(K258-K257)^2</x:f>
        <x:v>0.000025215222252967676</x:v>
      </x:c>
      <x:c r="T258" s="280" t="n">
        <x:f>E258/$E$9*100</x:f>
        <x:v>85.11594552692335</x:v>
      </x:c>
    </x:row>
    <x:row r="259" ht="24" customHeight="1">
      <x:c r="C259" s="274" t="d">
        <x:v>2022-10-05T00:00:00.000Z</x:v>
      </x:c>
      <x:c r="D259" s="191" t="n">
        <x:v>249.1999969482422</x:v>
      </x:c>
      <x:c r="E259" s="191" t="n">
        <x:v>241.1670684814453</x:v>
      </x:c>
      <x:c r="F259" s="191" t="n">
        <x:v>377.0899963378906</x:v>
      </x:c>
      <x:c r="G259" s="191" t="n">
        <x:v>358.03009033203125</x:v>
      </x:c>
      <x:c r="H259" s="208" t="n">
        <x:f>E259/E258-1</x:f>
        <x:v>0.0012859184329356843</x:v>
      </x:c>
      <x:c r="I259" s="208" t="n">
        <x:f>G259/G258-1</x:f>
        <x:v>-0.002328537587913293</x:v>
      </x:c>
      <x:c r="J259" s="208" t="n">
        <x:f>'Beta HC3'!$E$13+'Beta HC3'!$E$12*I259</x:f>
        <x:v>-0.0026170206141241086</x:v>
      </x:c>
      <x:c r="K259" s="240" t="n">
        <x:f>H259-J259</x:f>
        <x:v>0.003902939047059793</x:v>
      </x:c>
      <x:c r="L259" s="240" t="n">
        <x:f>I259-'Beta HC3'!$E$9</x:f>
        <x:v>-0.0028924852055737323</x:v>
      </x:c>
      <x:c r="M259" s="240" t="n">
        <x:f>1/'Beta HC3'!$E$8+L259^2/'Beta HC3'!$E$11</x:f>
        <x:v>0.0008540263988909428</x:v>
      </x:c>
      <x:c r="N259" s="240" t="n">
        <x:f>K259^2/(1-M259)^2</x:f>
        <x:v>0.000015258985228164187</x:v>
      </x:c>
      <x:c r="O259" s="240" t="n">
        <x:f>N259*L259^2/'Beta HC3'!$E$11^2</x:f>
        <x:v>5.9701146037321454e-9</x:v>
      </x:c>
      <x:c r="P259" s="240" t="n">
        <x:f>N259*(1/'Beta HC3'!$E$8-'Beta HC3'!$E$9*L259/'Beta HC3'!$E$11)^2</x:f>
        <x:v>9.961245429024865e-12</x:v>
      </x:c>
      <x:c r="Q259" s="240" t="n">
        <x:f>N259*(1/'Beta HC3'!$E$8-'Beta HC3'!$E$9*L259/'Beta HC3'!$E$11)*L259/'Beta HC3'!$E$11</x:f>
        <x:v>-2.438642589785994e-10</x:v>
      </x:c>
      <x:c r="R259" s="240" t="n">
        <x:f>K259*L259/'Beta HC3'!$E$11</x:f>
        <x:v>-0.00007720052906003595</x:v>
      </x:c>
      <x:c r="S259" s="240" t="n">
        <x:f>(K259-K258)^2</x:f>
        <x:v>0.00002547068932871211</x:v>
      </x:c>
      <x:c r="T259" s="280" t="n">
        <x:f>E259/$E$9*100</x:f>
        <x:v>85.22539769021317</x:v>
      </x:c>
    </x:row>
    <x:row r="260" ht="24" customHeight="1">
      <x:c r="C260" s="274" t="d">
        <x:v>2022-10-06T00:00:00.000Z</x:v>
      </x:c>
      <x:c r="D260" s="191" t="n">
        <x:v>246.7899932861328</x:v>
      </x:c>
      <x:c r="E260" s="191" t="n">
        <x:v>238.83473205566406</x:v>
      </x:c>
      <x:c r="F260" s="191" t="n">
        <x:v>373.20001220703125</x:v>
      </x:c>
      <x:c r="G260" s="191" t="n">
        <x:v>354.3367614746094</x:v>
      </x:c>
      <x:c r="H260" s="208" t="n">
        <x:f>E260/E259-1</x:f>
        <x:v>-0.00967104024802079</x:v>
      </x:c>
      <x:c r="I260" s="208" t="n">
        <x:f>G260/G259-1</x:f>
        <x:v>-0.01031569400772081</x:v>
      </x:c>
      <x:c r="J260" s="208" t="n">
        <x:f>'Beta HC3'!$E$13+'Beta HC3'!$E$12*I260</x:f>
        <x:v>-0.011625029346558933</x:v>
      </x:c>
      <x:c r="K260" s="240" t="n">
        <x:f>H260-J260</x:f>
        <x:v>0.0019539890985381426</x:v>
      </x:c>
      <x:c r="L260" s="240" t="n">
        <x:f>I260-'Beta HC3'!$E$9</x:f>
        <x:v>-0.01087964162538125</x:v>
      </x:c>
      <x:c r="M260" s="240" t="n">
        <x:f>1/'Beta HC3'!$E$8+L260^2/'Beta HC3'!$E$11</x:f>
        <x:v>0.0016062562516261463</x:v>
      </x:c>
      <x:c r="N260" s="240" t="n">
        <x:f>K260^2/(1-M260)^2</x:f>
        <x:v>0.000003830368621717642</x:v>
      </x:c>
      <x:c r="O260" s="240" t="n">
        <x:f>N260*L260^2/'Beta HC3'!$E$11^2</x:f>
        <x:v>2.120237315902963e-8</x:v>
      </x:c>
      <x:c r="P260" s="240" t="n">
        <x:f>N260*(1/'Beta HC3'!$E$8-'Beta HC3'!$E$9*L260/'Beta HC3'!$E$11)^2</x:f>
        <x:v>2.6948011125880334e-12</x:v>
      </x:c>
      <x:c r="Q260" s="240" t="n">
        <x:f>N260*(1/'Beta HC3'!$E$8-'Beta HC3'!$E$9*L260/'Beta HC3'!$E$11)*L260/'Beta HC3'!$E$11</x:f>
        <x:v>-2.390317526573817e-10</x:v>
      </x:c>
      <x:c r="R260" s="240" t="n">
        <x:f>K260*L260/'Beta HC3'!$E$11</x:f>
        <x:v>-0.00014537645948892278</x:v>
      </x:c>
      <x:c r="S260" s="240" t="n">
        <x:f>(K260-K259)^2</x:f>
        <x:v>0.0000037984059018425433</x:v>
      </x:c>
      <x:c r="T260" s="280" t="n">
        <x:f>E260/$E$9*100</x:f>
        <x:v>84.40117943899754</x:v>
      </x:c>
    </x:row>
    <x:row r="261" ht="24" customHeight="1">
      <x:c r="C261" s="274" t="d">
        <x:v>2022-10-07T00:00:00.000Z</x:v>
      </x:c>
      <x:c r="D261" s="191" t="n">
        <x:v>234.24000549316406</x:v>
      </x:c>
      <x:c r="E261" s="191" t="n">
        <x:v>226.68927001953125</x:v>
      </x:c>
      <x:c r="F261" s="191" t="n">
        <x:v>362.7900085449219</x:v>
      </x:c>
      <x:c r="G261" s="191" t="n">
        <x:v>344.4529724121094</x:v>
      </x:c>
      <x:c r="H261" s="208" t="n">
        <x:f>E261/E260-1</x:f>
        <x:v>-0.05085299751671846</x:v>
      </x:c>
      <x:c r="I261" s="208" t="n">
        <x:f>G261/G260-1</x:f>
        <x:v>-0.027893772639811854</x:v>
      </x:c>
      <x:c r="J261" s="208" t="n">
        <x:f>'Beta HC3'!$E$13+'Beta HC3'!$E$12*I261</x:f>
        <x:v>-0.031449792690948025</x:v>
      </x:c>
      <x:c r="K261" s="240" t="n">
        <x:f>H261-J261</x:f>
        <x:v>-0.01940320482577043</x:v>
      </x:c>
      <x:c r="L261" s="240" t="n">
        <x:f>I261-'Beta HC3'!$E$9</x:f>
        <x:v>-0.028457720257472292</x:v>
      </x:c>
      <x:c r="M261" s="240" t="n">
        <x:f>1/'Beta HC3'!$E$8+L261^2/'Beta HC3'!$E$11</x:f>
        <x:v>0.0063348716850441696</x:v>
      </x:c>
      <x:c r="N261" s="240" t="n">
        <x:f>K261^2/(1-M261)^2</x:f>
        <x:v>0.00038130002922947246</x:v>
      </x:c>
      <x:c r="O261" s="240" t="n">
        <x:f>N261*L261^2/'Beta HC3'!$E$11^2</x:f>
        <x:v>0.000014440484781320205</x:v>
      </x:c>
      <x:c r="P261" s="240" t="n">
        <x:f>N261*(1/'Beta HC3'!$E$8-'Beta HC3'!$E$9*L261/'Beta HC3'!$E$11)^2</x:f>
        <x:v>3.1337227440308416e-10</x:v>
      </x:c>
      <x:c r="Q261" s="240" t="n">
        <x:f>N261*(1/'Beta HC3'!$E$8-'Beta HC3'!$E$9*L261/'Beta HC3'!$E$11)*L261/'Beta HC3'!$E$11</x:f>
        <x:v>-6.726996030477077e-8</x:v>
      </x:c>
      <x:c r="R261" s="240" t="n">
        <x:f>K261*L261/'Beta HC3'!$E$11</x:f>
        <x:v>0.0037759908699981225</x:v>
      </x:c>
      <x:c r="S261" s="240" t="n">
        <x:f>(K261-K260)^2</x:f>
        <x:v>0.00045612973232052307</x:v>
      </x:c>
      <x:c r="T261" s="280" t="n">
        <x:f>E261/$E$9*100</x:f>
        <x:v>80.10912647057809</x:v>
      </x:c>
    </x:row>
    <x:row r="262" ht="24" customHeight="1">
      <x:c r="C262" s="274" t="d">
        <x:v>2022-10-10T00:00:00.000Z</x:v>
      </x:c>
      <x:c r="D262" s="191" t="n">
        <x:v>229.25</x:v>
      </x:c>
      <x:c r="E262" s="191" t="n">
        <x:v>221.86013793945312</x:v>
      </x:c>
      <x:c r="F262" s="191" t="n">
        <x:v>360.0199890136719</x:v>
      </x:c>
      <x:c r="G262" s="191" t="n">
        <x:v>341.8229675292969</x:v>
      </x:c>
      <x:c r="H262" s="208" t="n">
        <x:f>E262/E261-1</x:f>
        <x:v>-0.02130287013435639</x:v>
      </x:c>
      <x:c r="I262" s="208" t="n">
        <x:f>G262/G261-1</x:f>
        <x:v>-0.007635309007192781</x:v>
      </x:c>
      <x:c r="J262" s="208" t="n">
        <x:f>'Beta HC3'!$E$13+'Beta HC3'!$E$12*I262</x:f>
        <x:v>-0.008602059691029678</x:v>
      </x:c>
      <x:c r="K262" s="240" t="n">
        <x:f>H262-J262</x:f>
        <x:v>-0.01270081044332671</x:v>
      </x:c>
      <x:c r="L262" s="240" t="n">
        <x:f>I262-'Beta HC3'!$E$9</x:f>
        <x:v>-0.00819925662485322</x:v>
      </x:c>
      <x:c r="M262" s="240" t="n">
        <x:f>1/'Beta HC3'!$E$8+L262^2/'Beta HC3'!$E$11</x:f>
        <x:v>0.0012565464279356586</x:v>
      </x:c>
      <x:c r="N262" s="240" t="n">
        <x:f>K262^2/(1-M262)^2</x:f>
        <x:v>0.00016171673976469046</x:v>
      </x:c>
      <x:c r="O262" s="240" t="n">
        <x:f>N262*L262^2/'Beta HC3'!$E$11^2</x:f>
        <x:v>5.084153555202828e-7</x:v>
      </x:c>
      <x:c r="P262" s="240" t="n">
        <x:f>N262*(1/'Beta HC3'!$E$8-'Beta HC3'!$E$9*L262/'Beta HC3'!$E$11)^2</x:f>
        <x:v>1.1098650158264008e-10</x:v>
      </x:c>
      <x:c r="Q262" s="240" t="n">
        <x:f>N262*(1/'Beta HC3'!$E$8-'Beta HC3'!$E$9*L262/'Beta HC3'!$E$11)*L262/'Beta HC3'!$E$11</x:f>
        <x:v>-7.51180681727708e-9</x:v>
      </x:c>
      <x:c r="R262" s="240" t="n">
        <x:f>K262*L262/'Beta HC3'!$E$11</x:f>
        <x:v>0.0007121365481872505</x:v>
      </x:c>
      <x:c r="S262" s="240" t="n">
        <x:f>(K262-K261)^2</x:f>
        <x:v>0.00004492209045781315</x:v>
      </x:c>
      <x:c r="T262" s="280" t="n">
        <x:f>E262/$E$9*100</x:f>
        <x:v>78.40257215279863</x:v>
      </x:c>
    </x:row>
    <x:row r="263" ht="24" customHeight="1">
      <x:c r="C263" s="274" t="d">
        <x:v>2022-10-11T00:00:00.000Z</x:v>
      </x:c>
      <x:c r="D263" s="191" t="n">
        <x:v>225.41000366210938</x:v>
      </x:c>
      <x:c r="E263" s="191" t="n">
        <x:v>218.1439208984375</x:v>
      </x:c>
      <x:c r="F263" s="191" t="n">
        <x:v>357.739990234375</x:v>
      </x:c>
      <x:c r="G263" s="191" t="n">
        <x:v>339.658203125</x:v>
      </x:c>
      <x:c r="H263" s="208" t="n">
        <x:f>E263/E262-1</x:f>
        <x:v>-0.01675026922605538</x:v>
      </x:c>
      <x:c r="I263" s="208" t="n">
        <x:f>G263/G262-1</x:f>
        <x:v>-0.006332998686261027</x:v>
      </x:c>
      <x:c r="J263" s="208" t="n">
        <x:f>'Beta HC3'!$E$13+'Beta HC3'!$E$12*I263</x:f>
        <x:v>-0.007133298829629651</x:v>
      </x:c>
      <x:c r="K263" s="240" t="n">
        <x:f>H263-J263</x:f>
        <x:v>-0.00961697039642573</x:v>
      </x:c>
      <x:c r="L263" s="240" t="n">
        <x:f>I263-'Beta HC3'!$E$9</x:f>
        <x:v>-0.006896946303921466</x:v>
      </x:c>
      <x:c r="M263" s="240" t="n">
        <x:f>1/'Beta HC3'!$E$8+L263^2/'Beta HC3'!$E$11</x:f>
        <x:v>0.0011221030025683877</x:v>
      </x:c>
      <x:c r="N263" s="240" t="n">
        <x:f>K263^2/(1-M263)^2</x:f>
        <x:v>0.00009269402738617519</x:v>
      </x:c>
      <x:c r="O263" s="240" t="n">
        <x:f>N263*L263^2/'Beta HC3'!$E$11^2</x:f>
        <x:v>2.0619596589359287e-7</x:v>
      </x:c>
      <x:c r="P263" s="240" t="n">
        <x:f>N263*(1/'Beta HC3'!$E$8-'Beta HC3'!$E$9*L263/'Beta HC3'!$E$11)^2</x:f>
        <x:v>6.284707559533187e-11</x:v>
      </x:c>
      <x:c r="Q263" s="240" t="n">
        <x:f>N263*(1/'Beta HC3'!$E$8-'Beta HC3'!$E$9*L263/'Beta HC3'!$E$11)*L263/'Beta HC3'!$E$11</x:f>
        <x:v>-3.599835198445493e-9</x:v>
      </x:c>
      <x:c r="R263" s="240" t="n">
        <x:f>K263*L263/'Beta HC3'!$E$11</x:f>
        <x:v>0.00045357852604941925</x:v>
      </x:c>
      <x:c r="S263" s="240" t="n">
        <x:f>(K263-K262)^2</x:f>
        <x:v>0.000009510069434870241</x:v>
      </x:c>
      <x:c r="T263" s="280" t="n">
        <x:f>E263/$E$9*100</x:f>
        <x:v>77.08930796122402</x:v>
      </x:c>
    </x:row>
    <x:row r="264" ht="24" customHeight="1">
      <x:c r="C264" s="274" t="d">
        <x:v>2022-10-12T00:00:00.000Z</x:v>
      </x:c>
      <x:c r="D264" s="191" t="n">
        <x:v>225.75</x:v>
      </x:c>
      <x:c r="E264" s="191" t="n">
        <x:v>218.4729766845703</x:v>
      </x:c>
      <x:c r="F264" s="191" t="n">
        <x:v>356.55999755859375</x:v>
      </x:c>
      <x:c r="G264" s="191" t="n">
        <x:v>338.53778076171875</x:v>
      </x:c>
      <x:c r="H264" s="208" t="n">
        <x:f>E264/E263-1</x:f>
        <x:v>0.0015084343619458096</x:v>
      </x:c>
      <x:c r="I264" s="208" t="n">
        <x:f>G264/G263-1</x:f>
        <x:v>-0.0032986760012650995</x:v>
      </x:c>
      <x:c r="J264" s="208" t="n">
        <x:f>'Beta HC3'!$E$13+'Beta HC3'!$E$12*I264</x:f>
        <x:v>-0.003711154100413606</x:v>
      </x:c>
      <x:c r="K264" s="240" t="n">
        <x:f>H264-J264</x:f>
        <x:v>0.005219588462359415</x:v>
      </x:c>
      <x:c r="L264" s="240" t="n">
        <x:f>I264-'Beta HC3'!$E$9</x:f>
        <x:v>-0.0038626236189255388</x:v>
      </x:c>
      <x:c r="M264" s="240" t="n">
        <x:f>1/'Beta HC3'!$E$8+L264^2/'Beta HC3'!$E$11</x:f>
        <x:v>0.0008988414000950171</x:v>
      </x:c>
      <x:c r="N264" s="240" t="n">
        <x:f>K264^2/(1-M264)^2</x:f>
        <x:v>0.000027293146085110142</x:v>
      </x:c>
      <x:c r="O264" s="240" t="n">
        <x:f>N264*L264^2/'Beta HC3'!$E$11^2</x:f>
        <x:v>1.904290084556659e-8</x:v>
      </x:c>
      <x:c r="P264" s="240" t="n">
        <x:f>N264*(1/'Beta HC3'!$E$8-'Beta HC3'!$E$9*L264/'Beta HC3'!$E$11)^2</x:f>
        <x:v>1.79826784570244e-11</x:v>
      </x:c>
      <x:c r="Q264" s="240" t="n">
        <x:f>N264*(1/'Beta HC3'!$E$8-'Beta HC3'!$E$9*L264/'Beta HC3'!$E$11)*L264/'Beta HC3'!$E$11</x:f>
        <x:v>-5.851857506765027e-10</x:v>
      </x:c>
      <x:c r="R264" s="240" t="n">
        <x:f>K264*L264/'Beta HC3'!$E$11</x:f>
        <x:v>-0.0001378719809653595</x:v>
      </x:c>
      <x:c r="S264" s="240" t="n">
        <x:f>(K264-K263)^2</x:f>
        <x:v>0.00022012347877019598</x:v>
      </x:c>
      <x:c r="T264" s="280" t="n">
        <x:f>E264/$E$9*100</x:f>
        <x:v>77.20559212229135</x:v>
      </x:c>
    </x:row>
    <x:row r="265" ht="24" customHeight="1">
      <x:c r="C265" s="274" t="d">
        <x:v>2022-10-13T00:00:00.000Z</x:v>
      </x:c>
      <x:c r="D265" s="191" t="n">
        <x:v>234.24000549316406</x:v>
      </x:c>
      <x:c r="E265" s="191" t="n">
        <x:v>226.68927001953125</x:v>
      </x:c>
      <x:c r="F265" s="191" t="n">
        <x:v>365.9700012207031</x:v>
      </x:c>
      <x:c r="G265" s="191" t="n">
        <x:v>347.4722595214844</x:v>
      </x:c>
      <x:c r="H265" s="208" t="n">
        <x:f>E265/E264-1</x:f>
        <x:v>0.03760782436183652</x:v>
      </x:c>
      <x:c r="I265" s="208" t="n">
        <x:f>G265/G264-1</x:f>
        <x:v>0.02639137865104102</x:v>
      </x:c>
      <x:c r="J265" s="208" t="n">
        <x:f>'Beta HC3'!$E$13+'Beta HC3'!$E$12*I265</x:f>
        <x:v>0.02977363792283889</x:v>
      </x:c>
      <x:c r="K265" s="240" t="n">
        <x:f>H265-J265</x:f>
        <x:v>0.007834186438997626</x:v>
      </x:c>
      <x:c r="L265" s="240" t="n">
        <x:f>I265-'Beta HC3'!$E$9</x:f>
        <x:v>0.02582743103338058</x:v>
      </x:c>
      <x:c r="M265" s="240" t="n">
        <x:f>1/'Beta HC3'!$E$8+L265^2/'Beta HC3'!$E$11</x:f>
        <x:v>0.005358439874309482</x:v>
      </x:c>
      <x:c r="N265" s="240" t="n">
        <x:f>K265^2/(1-M265)^2</x:f>
        <x:v>0.00006203754479196133</x:v>
      </x:c>
      <x:c r="O265" s="240" t="n">
        <x:f>N265*L265^2/'Beta HC3'!$E$11^2</x:f>
        <x:v>0.0000019352262471084072</x:v>
      </x:c>
      <x:c r="P265" s="240" t="n">
        <x:f>N265*(1/'Beta HC3'!$E$8-'Beta HC3'!$E$9*L265/'Beta HC3'!$E$11)^2</x:f>
        <x:v>3.015644190127679e-11</x:v>
      </x:c>
      <x:c r="Q265" s="240" t="n">
        <x:f>N265*(1/'Beta HC3'!$E$8-'Beta HC3'!$E$9*L265/'Beta HC3'!$E$11)*L265/'Beta HC3'!$E$11</x:f>
        <x:v>7.639341456352807e-9</x:v>
      </x:c>
      <x:c r="R265" s="240" t="n">
        <x:f>K265*L265/'Beta HC3'!$E$11</x:f>
        <x:v>0.0013836698399714766</x:v>
      </x:c>
      <x:c r="S265" s="240" t="n">
        <x:f>(K265-K264)^2</x:f>
        <x:v>0.000006836122579440627</x:v>
      </x:c>
      <x:c r="T265" s="280" t="n">
        <x:f>E265/$E$9*100</x:f>
        <x:v>80.10912647057809</x:v>
      </x:c>
    </x:row>
    <x:row r="266" ht="24" customHeight="1">
      <x:c r="C266" s="274" t="d">
        <x:v>2022-10-14T00:00:00.000Z</x:v>
      </x:c>
      <x:c r="D266" s="191" t="n">
        <x:v>228.55999755859375</x:v>
      </x:c>
      <x:c r="E266" s="191" t="n">
        <x:v>221.1923370361328</x:v>
      </x:c>
      <x:c r="F266" s="191" t="n">
        <x:v>357.6300048828125</x:v>
      </x:c>
      <x:c r="G266" s="191" t="n">
        <x:v>339.55377197265625</x:v>
      </x:c>
      <x:c r="H266" s="208" t="n">
        <x:f>E266/E265-1</x:f>
        <x:v>-0.024248756824373885</x:v>
      </x:c>
      <x:c r="I266" s="208" t="n">
        <x:f>G266/G265-1</x:f>
        <x:v>-0.022788833732318436</x:v>
      </x:c>
      <x:c r="J266" s="208" t="n">
        <x:f>'Beta HC3'!$E$13+'Beta HC3'!$E$12*I266</x:f>
        <x:v>-0.02569238268915978</x:v>
      </x:c>
      <x:c r="K266" s="240" t="n">
        <x:f>H266-J266</x:f>
        <x:v>0.0014436258647858961</x:v>
      </x:c>
      <x:c r="L266" s="240" t="n">
        <x:f>I266-'Beta HC3'!$E$9</x:f>
        <x:v>-0.023352781349978875</x:v>
      </x:c>
      <x:c r="M266" s="240" t="n">
        <x:f>1/'Beta HC3'!$E$8+L266^2/'Beta HC3'!$E$11</x:f>
        <x:v>0.004526175146330114</x:v>
      </x:c>
      <x:c r="N266" s="240" t="n">
        <x:f>K266^2/(1-M266)^2</x:f>
        <x:v>0.0000021030501000331377</x:v>
      </x:c>
      <x:c r="O266" s="240" t="n">
        <x:f>N266*L266^2/'Beta HC3'!$E$11^2</x:f>
        <x:v>5.363417044297786e-8</x:v>
      </x:c>
      <x:c r="P266" s="240" t="n">
        <x:f>N266*(1/'Beta HC3'!$E$8-'Beta HC3'!$E$9*L266/'Beta HC3'!$E$11)^2</x:f>
        <x:v>1.6541420733856258e-12</x:v>
      </x:c>
      <x:c r="Q266" s="240" t="n">
        <x:f>N266*(1/'Beta HC3'!$E$8-'Beta HC3'!$E$9*L266/'Beta HC3'!$E$11)*L266/'Beta HC3'!$E$11</x:f>
        <x:v>-2.9785657270046177e-10</x:v>
      </x:c>
      <x:c r="R266" s="240" t="n">
        <x:f>K266*L266/'Beta HC3'!$E$11</x:f>
        <x:v>-0.00023054230394465658</x:v>
      </x:c>
      <x:c r="S266" s="240" t="n">
        <x:f>(K266-K265)^2</x:f>
        <x:v>0.00004083926445266936</x:v>
      </x:c>
      <x:c r="T266" s="280" t="n">
        <x:f>E266/$E$9*100</x:f>
        <x:v>78.16657974338003</x:v>
      </x:c>
    </x:row>
    <x:row r="267" ht="24" customHeight="1">
      <x:c r="C267" s="274" t="d">
        <x:v>2022-10-17T00:00:00.000Z</x:v>
      </x:c>
      <x:c r="D267" s="191" t="n">
        <x:v>237.52999877929688</x:v>
      </x:c>
      <x:c r="E267" s="191" t="n">
        <x:v>229.87319946289062</x:v>
      </x:c>
      <x:c r="F267" s="191" t="n">
        <x:v>366.82000732421875</x:v>
      </x:c>
      <x:c r="G267" s="191" t="n">
        <x:v>348.279296875</x:v>
      </x:c>
      <x:c r="H267" s="208" t="n">
        <x:f>E267/E266-1</x:f>
        <x:v>0.03924576476326913</x:v>
      </x:c>
      <x:c r="I267" s="208" t="n">
        <x:f>G267/G266-1</x:f>
        <x:v>0.025697034233053362</x:v>
      </x:c>
      <x:c r="J267" s="208" t="n">
        <x:f>'Beta HC3'!$E$13+'Beta HC3'!$E$12*I267</x:f>
        <x:v>0.028990548140718293</x:v>
      </x:c>
      <x:c r="K267" s="240" t="n">
        <x:f>H267-J267</x:f>
        <x:v>0.010255216622550838</x:v>
      </x:c>
      <x:c r="L267" s="240" t="n">
        <x:f>I267-'Beta HC3'!$E$9</x:f>
        <x:v>0.025133086615392923</x:v>
      </x:c>
      <x:c r="M267" s="240" t="n">
        <x:f>1/'Beta HC3'!$E$8+L267^2/'Beta HC3'!$E$11</x:f>
        <x:v>0.005116467302340401</x:v>
      </x:c>
      <x:c r="N267" s="240" t="n">
        <x:f>K267^2/(1-M267)^2</x:f>
        <x:v>0.00010625397642584926</x:v>
      </x:c>
      <x:c r="O267" s="240" t="n">
        <x:f>N267*L267^2/'Beta HC3'!$E$11^2</x:f>
        <x:v>0.000003138712743376629</x:v>
      </x:c>
      <x:c r="P267" s="240" t="n">
        <x:f>N267*(1/'Beta HC3'!$E$8-'Beta HC3'!$E$9*L267/'Beta HC3'!$E$11)^2</x:f>
        <x:v>5.2047547816474e-11</x:v>
      </x:c>
      <x:c r="Q267" s="240" t="n">
        <x:f>N267*(1/'Beta HC3'!$E$8-'Beta HC3'!$E$9*L267/'Beta HC3'!$E$11)*L267/'Beta HC3'!$E$11</x:f>
        <x:v>1.2781326284586878e-8</x:v>
      </x:c>
      <x:c r="R267" s="240" t="n">
        <x:f>K267*L267/'Beta HC3'!$E$11</x:f>
        <x:v>0.0017625767124011676</x:v>
      </x:c>
      <x:c r="S267" s="240" t="n">
        <x:f>(K267-K266)^2</x:f>
        <x:v>0.00007764413168232855</x:v>
      </x:c>
      <x:c r="T267" s="280" t="n">
        <x:f>E267/$E$9*100</x:f>
        <x:v>81.23428694433804</x:v>
      </x:c>
    </x:row>
    <x:row r="268" ht="24" customHeight="1">
      <x:c r="C268" s="274" t="d">
        <x:v>2022-10-18T00:00:00.000Z</x:v>
      </x:c>
      <x:c r="D268" s="191" t="n">
        <x:v>238.5</x:v>
      </x:c>
      <x:c r="E268" s="191" t="n">
        <x:v>230.8119659423828</x:v>
      </x:c>
      <x:c r="F268" s="191" t="n">
        <x:v>371.1300048828125</x:v>
      </x:c>
      <x:c r="G268" s="191" t="n">
        <x:v>352.3714294433594</x:v>
      </x:c>
      <x:c r="H268" s="208" t="n">
        <x:f>E268/E267-1</x:f>
        <x:v>0.004083844840049533</x:v>
      </x:c>
      <x:c r="I268" s="208" t="n">
        <x:f>G268/G267-1</x:f>
        <x:v>0.01174957169454749</x:v>
      </x:c>
      <x:c r="J268" s="208" t="n">
        <x:f>'Beta HC3'!$E$13+'Beta HC3'!$E$12*I268</x:f>
        <x:v>0.01326043622872493</x:v>
      </x:c>
      <x:c r="K268" s="240" t="n">
        <x:f>H268-J268</x:f>
        <x:v>-0.009176591388675397</x:v>
      </x:c>
      <x:c r="L268" s="240" t="n">
        <x:f>I268-'Beta HC3'!$E$9</x:f>
        <x:v>0.01118562407688705</x:v>
      </x:c>
      <x:c r="M268" s="240" t="n">
        <x:f>1/'Beta HC3'!$E$8+L268^2/'Beta HC3'!$E$11</x:f>
        <x:v>0.0016524265884329497</x:v>
      </x:c>
      <x:c r="N268" s="240" t="n">
        <x:f>K268^2/(1-M268)^2</x:f>
        <x:v>0.0000844888219685238</x:v>
      </x:c>
      <x:c r="O268" s="240" t="n">
        <x:f>N268*L268^2/'Beta HC3'!$E$11^2</x:f>
        <x:v>4.943498614593765e-7</x:v>
      </x:c>
      <x:c r="P268" s="240" t="n">
        <x:f>N268*(1/'Beta HC3'!$E$8-'Beta HC3'!$E$9*L268/'Beta HC3'!$E$11)^2</x:f>
        <x:v>4.799186238002556e-11</x:v>
      </x:c>
      <x:c r="Q268" s="240" t="n">
        <x:f>N268*(1/'Beta HC3'!$E$8-'Beta HC3'!$E$9*L268/'Beta HC3'!$E$11)*L268/'Beta HC3'!$E$11</x:f>
        <x:v>4.870807994444362e-9</x:v>
      </x:c>
      <x:c r="R268" s="240" t="n">
        <x:f>K268*L268/'Beta HC3'!$E$11</x:f>
        <x:v>-0.0007019383573920747</x:v>
      </x:c>
      <x:c r="S268" s="240" t="n">
        <x:f>(K268-K267)^2</x:f>
        <x:v>0.00037759516258515616</x:v>
      </x:c>
      <x:c r="T268" s="280" t="n">
        <x:f>E268/$E$9*100</x:f>
        <x:v>81.56603516791077</x:v>
      </x:c>
    </x:row>
    <x:row r="269" ht="24" customHeight="1">
      <x:c r="C269" s="274" t="d">
        <x:v>2022-10-19T00:00:00.000Z</x:v>
      </x:c>
      <x:c r="D269" s="191" t="n">
        <x:v>236.47999572753906</x:v>
      </x:c>
      <x:c r="E269" s="191" t="n">
        <x:v>228.8570556640625</x:v>
      </x:c>
      <x:c r="F269" s="191" t="n">
        <x:v>368.5</x:v>
      </x:c>
      <x:c r="G269" s="191" t="n">
        <x:v>349.8743591308594</x:v>
      </x:c>
      <x:c r="H269" s="208" t="n">
        <x:f>E269/E268-1</x:f>
        <x:v>-0.008469709403230441</x:v>
      </x:c>
      <x:c r="I269" s="208" t="n">
        <x:f>G269/G268-1</x:f>
        <x:v>-0.0070864721252930085</x:v>
      </x:c>
      <x:c r="J269" s="208" t="n">
        <x:f>'Beta HC3'!$E$13+'Beta HC3'!$E$12*I269</x:f>
        <x:v>-0.007983075015510504</x:v>
      </x:c>
      <x:c r="K269" s="240" t="n">
        <x:f>H269-J269</x:f>
        <x:v>-0.00048663438771993743</x:v>
      </x:c>
      <x:c r="L269" s="240" t="n">
        <x:f>I269-'Beta HC3'!$E$9</x:f>
        <x:v>-0.007650419742953448</x:v>
      </x:c>
      <x:c r="M269" s="240" t="n">
        <x:f>1/'Beta HC3'!$E$8+L269^2/'Beta HC3'!$E$11</x:f>
        <x:v>0.0011970595675002123</x:v>
      </x:c>
      <x:c r="N269" s="240" t="n">
        <x:f>K269^2/(1-M269)^2</x:f>
        <x:v>2.3738100556377056e-7</x:v>
      </x:c>
      <x:c r="O269" s="240" t="n">
        <x:f>N269*L269^2/'Beta HC3'!$E$11^2</x:f>
        <x:v>6.497274494725925e-10</x:v>
      </x:c>
      <x:c r="P269" s="240" t="n">
        <x:f>N269*(1/'Beta HC3'!$E$8-'Beta HC3'!$E$9*L269/'Beta HC3'!$E$11)^2</x:f>
        <x:v>1.6208361408450368e-13</x:v>
      </x:c>
      <x:c r="Q269" s="240" t="n">
        <x:f>N269*(1/'Beta HC3'!$E$8-'Beta HC3'!$E$9*L269/'Beta HC3'!$E$11)*L269/'Beta HC3'!$E$11</x:f>
        <x:v>-1.0262074506668941e-11</x:v>
      </x:c>
      <x:c r="R269" s="240" t="n">
        <x:f>K269*L269/'Beta HC3'!$E$11</x:f>
        <x:v>0.00002545923910059507</x:v>
      </x:c>
      <x:c r="S269" s="240" t="n">
        <x:f>(K269-K268)^2</x:f>
        <x:v>0.00007551535267845481</x:v>
      </x:c>
      <x:c r="T269" s="280" t="n">
        <x:f>E269/$E$9*100</x:f>
        <x:v>80.8751945528649</x:v>
      </x:c>
    </x:row>
    <x:row r="270" ht="24" customHeight="1">
      <x:c r="C270" s="274" t="d">
        <x:v>2022-10-20T00:00:00.000Z</x:v>
      </x:c>
      <x:c r="D270" s="191" t="n">
        <x:v>236.14999389648438</x:v>
      </x:c>
      <x:c r="E270" s="191" t="n">
        <x:v>228.53770446777344</x:v>
      </x:c>
      <x:c r="F270" s="191" t="n">
        <x:v>365.4100036621094</x:v>
      </x:c>
      <x:c r="G270" s="191" t="n">
        <x:v>346.9405212402344</x:v>
      </x:c>
      <x:c r="H270" s="208" t="n">
        <x:f>E270/E269-1</x:f>
        <x:v>-0.0013954177438944004</x:v>
      </x:c>
      <x:c r="I270" s="208" t="n">
        <x:f>G270/G269-1</x:f>
        <x:v>-0.008385404114531592</x:v>
      </x:c>
      <x:c r="J270" s="208" t="n">
        <x:f>'Beta HC3'!$E$13+'Beta HC3'!$E$12*I270</x:f>
        <x:v>-0.009448025754785254</x:v>
      </x:c>
      <x:c r="K270" s="240" t="n">
        <x:f>H270-J270</x:f>
        <x:v>0.008052608010890853</x:v>
      </x:c>
      <x:c r="L270" s="240" t="n">
        <x:f>I270-'Beta HC3'!$E$9</x:f>
        <x:v>-0.00894935173219203</x:v>
      </x:c>
      <x:c r="M270" s="240" t="n">
        <x:f>1/'Beta HC3'!$E$8+L270^2/'Beta HC3'!$E$11</x:f>
        <x:v>0.0013445099430838417</x:v>
      </x:c>
      <x:c r="N270" s="240" t="n">
        <x:f>K270^2/(1-M270)^2</x:f>
        <x:v>0.00006501921620673506</x:v>
      </x:c>
      <x:c r="O270" s="240" t="n">
        <x:f>N270*L270^2/'Beta HC3'!$E$11^2</x:f>
        <x:v>2.435227880389451e-7</x:v>
      </x:c>
      <x:c r="P270" s="240" t="n">
        <x:f>N270*(1/'Beta HC3'!$E$8-'Beta HC3'!$E$9*L270/'Beta HC3'!$E$11)^2</x:f>
        <x:v>4.493498583094198e-11</x:v>
      </x:c>
      <x:c r="Q270" s="240" t="n">
        <x:f>N270*(1/'Beta HC3'!$E$8-'Beta HC3'!$E$9*L270/'Beta HC3'!$E$11)*L270/'Beta HC3'!$E$11</x:f>
        <x:v>-3.307974158006904e-9</x:v>
      </x:c>
      <x:c r="R270" s="240" t="n">
        <x:f>K270*L270/'Beta HC3'!$E$11</x:f>
        <x:v>-0.0004928167921621774</x:v>
      </x:c>
      <x:c r="S270" s="240" t="n">
        <x:f>(K270-K269)^2</x:f>
        <x:v>0.00007291866074223218</x:v>
      </x:c>
      <x:c r="T270" s="280" t="n">
        <x:f>E270/$E$9*100</x:f>
        <x:v>80.7623398713449</x:v>
      </x:c>
    </x:row>
    <x:row r="271" ht="24" customHeight="1">
      <x:c r="C271" s="274" t="d">
        <x:v>2022-10-21T00:00:00.000Z</x:v>
      </x:c>
      <x:c r="D271" s="191" t="n">
        <x:v>242.1199951171875</x:v>
      </x:c>
      <x:c r="E271" s="191" t="n">
        <x:v>234.3152618408203</x:v>
      </x:c>
      <x:c r="F271" s="191" t="n">
        <x:v>374.2900085449219</x:v>
      </x:c>
      <x:c r="G271" s="191" t="n">
        <x:v>355.3717041015625</x:v>
      </x:c>
      <x:c r="H271" s="208" t="n">
        <x:f>E271/E270-1</x:f>
        <x:v>0.025280543473130024</x:v>
      </x:c>
      <x:c r="I271" s="208" t="n">
        <x:f>G271/G270-1</x:f>
        <x:v>0.024301522437299994</x:v>
      </x:c>
      <x:c r="J271" s="208" t="n">
        <x:f>'Beta HC3'!$E$13+'Beta HC3'!$E$12*I271</x:f>
        <x:v>0.02741667356237805</x:v>
      </x:c>
      <x:c r="K271" s="240" t="n">
        <x:f>H271-J271</x:f>
        <x:v>-0.0021361300892480256</x:v>
      </x:c>
      <x:c r="L271" s="240" t="n">
        <x:f>I271-'Beta HC3'!$E$9</x:f>
        <x:v>0.023737574819639555</x:v>
      </x:c>
      <x:c r="M271" s="240" t="n">
        <x:f>1/'Beta HC3'!$E$8+L271^2/'Beta HC3'!$E$11</x:f>
        <x:v>0.004650088191429583</x:v>
      </x:c>
      <x:c r="N271" s="240" t="n">
        <x:f>K271^2/(1-M271)^2</x:f>
        <x:v>0.000004605786795366939</x:v>
      </x:c>
      <x:c r="O271" s="240" t="n">
        <x:f>N271*L271^2/'Beta HC3'!$E$11^2</x:f>
        <x:v>1.2136438134118152e-7</x:v>
      </x:c>
      <x:c r="P271" s="240" t="n">
        <x:f>N271*(1/'Beta HC3'!$E$8-'Beta HC3'!$E$9*L271/'Beta HC3'!$E$11)^2</x:f>
        <x:v>2.2909332674401287e-12</x:v>
      </x:c>
      <x:c r="Q271" s="240" t="n">
        <x:f>N271*(1/'Beta HC3'!$E$8-'Beta HC3'!$E$9*L271/'Beta HC3'!$E$11)*L271/'Beta HC3'!$E$11</x:f>
        <x:v>5.27292801673608e-10</x:v>
      </x:c>
      <x:c r="R271" s="240" t="n">
        <x:f>K271*L271/'Beta HC3'!$E$11</x:f>
        <x:v>-0.00034675394084132503</x:v>
      </x:c>
      <x:c r="S271" s="240" t="n">
        <x:f>(K271-K270)^2</x:f>
        <x:v>0.00010381038407322161</x:v>
      </x:c>
      <x:c r="T271" s="280" t="n">
        <x:f>E271/$E$9*100</x:f>
        <x:v>82.80405571545414</x:v>
      </x:c>
    </x:row>
    <x:row r="272" ht="24" customHeight="1">
      <x:c r="C272" s="274" t="d">
        <x:v>2022-10-24T00:00:00.000Z</x:v>
      </x:c>
      <x:c r="D272" s="191" t="n">
        <x:v>247.25</x:v>
      </x:c>
      <x:c r="E272" s="191" t="n">
        <x:v>239.27992248535156</x:v>
      </x:c>
      <x:c r="F272" s="191" t="n">
        <x:v>378.8699951171875</x:v>
      </x:c>
      <x:c r="G272" s="191" t="n">
        <x:v>359.72021484375</x:v>
      </x:c>
      <x:c r="H272" s="208" t="n">
        <x:f>E272/E271-1</x:f>
        <x:v>0.021187952528264775</x:v>
      </x:c>
      <x:c r="I272" s="208" t="n">
        <x:f>G272/G271-1</x:f>
        <x:v>0.012236513746026079</x:v>
      </x:c>
      <x:c r="J272" s="208" t="n">
        <x:f>'Beta HC3'!$E$13+'Beta HC3'!$E$12*I272</x:f>
        <x:v>0.013809615188214315</x:v>
      </x:c>
      <x:c r="K272" s="240" t="n">
        <x:f>H272-J272</x:f>
        <x:v>0.0073783373400504604</x:v>
      </x:c>
      <x:c r="L272" s="240" t="n">
        <x:f>I272-'Beta HC3'!$E$9</x:f>
        <x:v>0.01167256612836564</x:v>
      </x:c>
      <x:c r="M272" s="240" t="n">
        <x:f>1/'Beta HC3'!$E$8+L272^2/'Beta HC3'!$E$11</x:f>
        <x:v>0.0017285426808418664</x:v>
      </x:c>
      <x:c r="N272" s="240" t="n">
        <x:f>K272^2/(1-M272)^2</x:f>
        <x:v>0.00005462855425637139</x:v>
      </x:c>
      <x:c r="O272" s="240" t="n">
        <x:f>N272*L272^2/'Beta HC3'!$E$11^2</x:f>
        <x:v>3.480704188947924e-7</x:v>
      </x:c>
      <x:c r="P272" s="240" t="n">
        <x:f>N272*(1/'Beta HC3'!$E$8-'Beta HC3'!$E$9*L272/'Beta HC3'!$E$11)^2</x:f>
        <x:v>3.087600655598759e-11</x:v>
      </x:c>
      <x:c r="Q272" s="240" t="n">
        <x:f>N272*(1/'Beta HC3'!$E$8-'Beta HC3'!$E$9*L272/'Beta HC3'!$E$11)*L272/'Beta HC3'!$E$11</x:f>
        <x:v>3.2782654767027268e-9</x:v>
      </x:c>
      <x:c r="R272" s="240" t="n">
        <x:f>K272*L272/'Beta HC3'!$E$11</x:f>
        <x:v>0.0005889551338857724</x:v>
      </x:c>
      <x:c r="S272" s="240" t="n">
        <x:f>(K272-K271)^2</x:f>
        <x:v>0.00009052509046318174</x:v>
      </x:c>
      <x:c r="T272" s="280" t="n">
        <x:f>E272/$E$9*100</x:f>
        <x:v>84.55850411710098</x:v>
      </x:c>
    </x:row>
    <x:row r="273" ht="24" customHeight="1">
      <x:c r="C273" s="274" t="d">
        <x:v>2022-10-25T00:00:00.000Z</x:v>
      </x:c>
      <x:c r="D273" s="191" t="n">
        <x:v>250.66000366210938</x:v>
      </x:c>
      <x:c r="E273" s="191" t="n">
        <x:v>242.57997131347656</x:v>
      </x:c>
      <x:c r="F273" s="191" t="n">
        <x:v>384.9200134277344</x:v>
      </x:c>
      <x:c r="G273" s="191" t="n">
        <x:v>365.4644470214844</x:v>
      </x:c>
      <x:c r="H273" s="208" t="n">
        <x:f>E273/E272-1</x:f>
        <x:v>0.013791582652852963</x:v>
      </x:c>
      <x:c r="I273" s="208" t="n">
        <x:f>G273/G272-1</x:f>
        <x:v>0.015968610994601562</x:v>
      </x:c>
      <x:c r="J273" s="208" t="n">
        <x:f>'Beta HC3'!$E$13+'Beta HC3'!$E$12*I273</x:f>
        <x:v>0.01801871825799921</x:v>
      </x:c>
      <x:c r="K273" s="240" t="n">
        <x:f>H273-J273</x:f>
        <x:v>-0.0042271356051462455</x:v>
      </x:c>
      <x:c r="L273" s="240" t="n">
        <x:f>I273-'Beta HC3'!$E$9</x:f>
        <x:v>0.015404663376941123</x:v>
      </x:c>
      <x:c r="M273" s="240" t="n">
        <x:f>1/'Beta HC3'!$E$8+L273^2/'Beta HC3'!$E$11</x:f>
        <x:v>0.00241960074497591</x:v>
      </x:c>
      <x:c r="N273" s="240" t="n">
        <x:f>K273^2/(1-M273)^2</x:f>
        <x:v>0.000017955460395328872</x:v>
      </x:c>
      <x:c r="O273" s="240" t="n">
        <x:f>N273*L273^2/'Beta HC3'!$E$11^2</x:f>
        <x:v>1.9925796621067436e-7</x:v>
      </x:c>
      <x:c r="P273" s="240" t="n">
        <x:f>N273*(1/'Beta HC3'!$E$8-'Beta HC3'!$E$9*L273/'Beta HC3'!$E$11)^2</x:f>
        <x:v>9.763552290545015e-12</x:v>
      </x:c>
      <x:c r="Q273" s="240" t="n">
        <x:f>N273*(1/'Beta HC3'!$E$8-'Beta HC3'!$E$9*L273/'Beta HC3'!$E$11)*L273/'Beta HC3'!$E$11</x:f>
        <x:v>1.3947994739049665e-9</x:v>
      </x:c>
      <x:c r="R273" s="240" t="n">
        <x:f>K273*L273/'Beta HC3'!$E$11</x:f>
        <x:v>-0.0004453031364284817</x:v>
      </x:c>
      <x:c r="S273" s="240" t="n">
        <x:f>(K273-K272)^2</x:f>
        <x:v>0.00013468700228169272</x:v>
      </x:c>
      <x:c r="T273" s="280" t="n">
        <x:f>E273/$E$9*100</x:f>
        <x:v>85.72469971563359</x:v>
      </x:c>
    </x:row>
    <x:row r="274" ht="24" customHeight="1">
      <x:c r="C274" s="274" t="d">
        <x:v>2022-10-26T00:00:00.000Z</x:v>
      </x:c>
      <x:c r="D274" s="191" t="n">
        <x:v>231.32000732421875</x:v>
      </x:c>
      <x:c r="E274" s="191" t="n">
        <x:v>223.8634490966797</x:v>
      </x:c>
      <x:c r="F274" s="191" t="n">
        <x:v>382.0199890136719</x:v>
      </x:c>
      <x:c r="G274" s="191" t="n">
        <x:v>362.7109680175781</x:v>
      </x:c>
      <x:c r="H274" s="208" t="n">
        <x:f>E274/E273-1</x:f>
        <x:v>-0.07715609048617722</x:v>
      </x:c>
      <x:c r="I274" s="208" t="n">
        <x:f>G274/G273-1</x:f>
        <x:v>-0.00753419115415177</x:v>
      </x:c>
      <x:c r="J274" s="208" t="n">
        <x:f>'Beta HC3'!$E$13+'Beta HC3'!$E$12*I274</x:f>
        <x:v>-0.008488017789841967</x:v>
      </x:c>
      <x:c r="K274" s="240" t="n">
        <x:f>H274-J274</x:f>
        <x:v>-0.06866807269633525</x:v>
      </x:c>
      <x:c r="L274" s="240" t="n">
        <x:f>I274-'Beta HC3'!$E$9</x:f>
        <x:v>-0.00809813877181221</x:v>
      </x:c>
      <x:c r="M274" s="240" t="n">
        <x:f>1/'Beta HC3'!$E$8+L274^2/'Beta HC3'!$E$11</x:f>
        <x:v>0.001245276960222746</x:v>
      </x:c>
      <x:c r="N274" s="240" t="n">
        <x:f>K274^2/(1-M274)^2</x:f>
        <x:v>0.00472706989996394</x:v>
      </x:c>
      <x:c r="O274" s="240" t="n">
        <x:f>N274*L274^2/'Beta HC3'!$E$11^2</x:f>
        <x:v>0.000014496967874735006</x:v>
      </x:c>
      <x:c r="P274" s="240" t="n">
        <x:f>N274*(1/'Beta HC3'!$E$8-'Beta HC3'!$E$9*L274/'Beta HC3'!$E$11)^2</x:f>
        <x:v>3.2411434075059304e-9</x:v>
      </x:c>
      <x:c r="Q274" s="240" t="n">
        <x:f>N274*(1/'Beta HC3'!$E$8-'Beta HC3'!$E$9*L274/'Beta HC3'!$E$11)*L274/'Beta HC3'!$E$11</x:f>
        <x:v>-2.1676427716767035e-7</x:v>
      </x:c>
      <x:c r="R274" s="240" t="n">
        <x:f>K274*L274/'Beta HC3'!$E$11</x:f>
        <x:v>0.0038027470169893387</x:v>
      </x:c>
      <x:c r="S274" s="240" t="n">
        <x:f>(K274-K273)^2</x:f>
        <x:v>0.004152634373190579</x:v>
      </x:c>
      <x:c r="T274" s="280" t="n">
        <x:f>E274/$E$9*100</x:f>
        <x:v>79.1105170274738</x:v>
      </x:c>
    </x:row>
    <x:row r="275" ht="24" customHeight="1">
      <x:c r="C275" s="274" t="d">
        <x:v>2022-10-27T00:00:00.000Z</x:v>
      </x:c>
      <x:c r="D275" s="191" t="n">
        <x:v>226.75</x:v>
      </x:c>
      <x:c r="E275" s="191" t="n">
        <x:v>219.44073486328125</x:v>
      </x:c>
      <x:c r="F275" s="191" t="n">
        <x:v>379.9800109863281</x:v>
      </x:c>
      <x:c r="G275" s="191" t="n">
        <x:v>360.7741394042969</x:v>
      </x:c>
      <x:c r="H275" s="208" t="n">
        <x:f>E275/E274-1</x:f>
        <x:v>-0.019756303457508118</x:v>
      </x:c>
      <x:c r="I275" s="208" t="n">
        <x:f>G275/G274-1</x:f>
        <x:v>-0.005339867784718844</x:v>
      </x:c>
      <x:c r="J275" s="208" t="n">
        <x:f>'Beta HC3'!$E$13+'Beta HC3'!$E$12*I275</x:f>
        <x:v>-0.006013234145362651</x:v>
      </x:c>
      <x:c r="K275" s="240" t="n">
        <x:f>H275-J275</x:f>
        <x:v>-0.013743069312145466</x:v>
      </x:c>
      <x:c r="L275" s="240" t="n">
        <x:f>I275-'Beta HC3'!$E$9</x:f>
        <x:v>-0.005903815402379283</x:v>
      </x:c>
      <x:c r="M275" s="240" t="n">
        <x:f>1/'Beta HC3'!$E$8+L275^2/'Beta HC3'!$E$11</x:f>
        <x:v>0.0010351669994339934</x:v>
      </x:c>
      <x:c r="N275" s="240" t="n">
        <x:f>K275^2/(1-M275)^2</x:f>
        <x:v>0.00018926359015455829</x:v>
      </x:c>
      <x:c r="O275" s="240" t="n">
        <x:f>N275*L275^2/'Beta HC3'!$E$11^2</x:f>
        <x:v>3.084944365266685e-7</x:v>
      </x:c>
      <x:c r="P275" s="240" t="n">
        <x:f>N275*(1/'Beta HC3'!$E$8-'Beta HC3'!$E$9*L275/'Beta HC3'!$E$11)^2</x:f>
        <x:v>1.2713080430775798e-10</x:v>
      </x:c>
      <x:c r="Q275" s="240" t="n">
        <x:f>N275*(1/'Beta HC3'!$E$8-'Beta HC3'!$E$9*L275/'Beta HC3'!$E$11)*L275/'Beta HC3'!$E$11</x:f>
        <x:v>-6.2625191289212014e-9</x:v>
      </x:c>
      <x:c r="R275" s="240" t="n">
        <x:f>K275*L275/'Beta HC3'!$E$11</x:f>
        <x:v>0.0005548477994728557</x:v>
      </x:c>
      <x:c r="S275" s="240" t="n">
        <x:f>(K275-K274)^2</x:f>
        <x:v>0.0030167559967532592</x:v>
      </x:c>
      <x:c r="T275" s="280" t="n">
        <x:f>E275/$E$9*100</x:f>
        <x:v>77.54758564639866</x:v>
      </x:c>
    </x:row>
    <x:row r="276" ht="24" customHeight="1">
      <x:c r="C276" s="274" t="d">
        <x:v>2022-10-28T00:00:00.000Z</x:v>
      </x:c>
      <x:c r="D276" s="191" t="n">
        <x:v>235.8699951171875</x:v>
      </x:c>
      <x:c r="E276" s="191" t="n">
        <x:v>228.2667236328125</x:v>
      </x:c>
      <x:c r="F276" s="191" t="n">
        <x:v>389.0199890136719</x:v>
      </x:c>
      <x:c r="G276" s="191" t="n">
        <x:v>369.3570861816406</x:v>
      </x:c>
      <x:c r="H276" s="208" t="n">
        <x:f>E276/E275-1</x:f>
        <x:v>0.04022037556076419</x:v>
      </x:c>
      <x:c r="I276" s="208" t="n">
        <x:f>G276/G275-1</x:f>
        <x:v>0.023790360338786343</x:v>
      </x:c>
      <x:c r="J276" s="208" t="n">
        <x:f>'Beta HC3'!$E$13+'Beta HC3'!$E$12*I276</x:f>
        <x:v>0.026840178949641812</x:v>
      </x:c>
      <x:c r="K276" s="240" t="n">
        <x:f>H276-J276</x:f>
        <x:v>0.013380196611122375</x:v>
      </x:c>
      <x:c r="L276" s="240" t="n">
        <x:f>I276-'Beta HC3'!$E$9</x:f>
        <x:v>0.023226412721125904</x:v>
      </x:c>
      <x:c r="M276" s="240" t="n">
        <x:f>1/'Beta HC3'!$E$8+L276^2/'Beta HC3'!$E$11</x:f>
        <x:v>0.004485923040614625</x:v>
      </x:c>
      <x:c r="N276" s="240" t="n">
        <x:f>K276^2/(1-M276)^2</x:f>
        <x:v>0.000180646761041332</x:v>
      </x:c>
      <x:c r="O276" s="240" t="n">
        <x:f>N276*L276^2/'Beta HC3'!$E$11^2</x:f>
        <x:v>0.000004557316385092634</x:v>
      </x:c>
      <x:c r="P276" s="240" t="n">
        <x:f>N276*(1/'Beta HC3'!$E$8-'Beta HC3'!$E$9*L276/'Beta HC3'!$E$11)^2</x:f>
        <x:v>9.035729297852102e-11</x:v>
      </x:c>
      <x:c r="Q276" s="240" t="n">
        <x:f>N276*(1/'Beta HC3'!$E$8-'Beta HC3'!$E$9*L276/'Beta HC3'!$E$11)*L276/'Beta HC3'!$E$11</x:f>
        <x:v>2.0292529950788035e-8</x:v>
      </x:c>
      <x:c r="R276" s="240" t="n">
        <x:f>K276*L276/'Beta HC3'!$E$11</x:f>
        <x:v>0.002125210707935469</x:v>
      </x:c>
      <x:c r="S276" s="240" t="n">
        <x:f>(K276-K275)^2</x:f>
        <x:v>0.0007356715543443025</x:v>
      </x:c>
      <x:c r="T276" s="280" t="n">
        <x:f>E276/$E$9*100</x:f>
        <x:v>80.66657866492733</x:v>
      </x:c>
    </x:row>
    <x:row r="277" ht="24" customHeight="1">
      <x:c r="C277" s="274" t="d">
        <x:v>2022-10-31T00:00:00.000Z</x:v>
      </x:c>
      <x:c r="D277" s="191" t="n">
        <x:v>232.1300048828125</x:v>
      </x:c>
      <x:c r="E277" s="191" t="n">
        <x:v>224.6472930908203</x:v>
      </x:c>
      <x:c r="F277" s="191" t="n">
        <x:v>386.2099914550781</x:v>
      </x:c>
      <x:c r="G277" s="191" t="n">
        <x:v>366.68914794921875</x:v>
      </x:c>
      <x:c r="H277" s="208" t="n">
        <x:f>E277/E276-1</x:f>
        <x:v>-0.01585614619770148</x:v>
      </x:c>
      <x:c r="I277" s="208" t="n">
        <x:f>G277/G276-1</x:f>
        <x:v>-0.007223194930419896</x:v>
      </x:c>
      <x:c r="J277" s="208" t="n">
        <x:f>'Beta HC3'!$E$13+'Beta HC3'!$E$12*I277</x:f>
        <x:v>-0.008137272599453108</x:v>
      </x:c>
      <x:c r="K277" s="240" t="n">
        <x:f>H277-J277</x:f>
        <x:v>-0.007718873598248374</x:v>
      </x:c>
      <x:c r="L277" s="240" t="n">
        <x:f>I277-'Beta HC3'!$E$9</x:f>
        <x:v>-0.007787142548080336</x:v>
      </x:c>
      <x:c r="M277" s="240" t="n">
        <x:f>1/'Beta HC3'!$E$8+L277^2/'Beta HC3'!$E$11</x:f>
        <x:v>0.0012114932465691428</x:v>
      </x:c>
      <x:c r="N277" s="240" t="n">
        <x:f>K277^2/(1-M277)^2</x:f>
        <x:v>0.000059725636375702875</x:v>
      </x:c>
      <x:c r="O277" s="240" t="n">
        <x:f>N277*L277^2/'Beta HC3'!$E$11^2</x:f>
        <x:v>1.6936815563283104e-7</x:v>
      </x:c>
      <x:c r="P277" s="240" t="n">
        <x:f>N277*(1/'Beta HC3'!$E$8-'Beta HC3'!$E$9*L277/'Beta HC3'!$E$11)^2</x:f>
        <x:v>4.083269122714971e-11</x:v>
      </x:c>
      <x:c r="Q277" s="240" t="n">
        <x:f>N277*(1/'Beta HC3'!$E$8-'Beta HC3'!$E$9*L277/'Beta HC3'!$E$11)*L277/'Beta HC3'!$E$11</x:f>
        <x:v>-2.629782805226931e-9</x:v>
      </x:c>
      <x:c r="R277" s="240" t="n">
        <x:f>K277*L277/'Beta HC3'!$E$11</x:f>
        <x:v>0.0004110450431080488</x:v>
      </x:c>
      <x:c r="S277" s="240" t="n">
        <x:f>(K277-K276)^2</x:f>
        <x:v>0.00044517076369995613</x:v>
      </x:c>
      <x:c r="T277" s="280" t="n">
        <x:f>E277/$E$9*100</x:f>
        <x:v>79.38751760034786</x:v>
      </x:c>
    </x:row>
    <x:row r="278" ht="24" customHeight="1">
      <x:c r="C278" s="274" t="d">
        <x:v>2022-11-01T00:00:00.000Z</x:v>
      </x:c>
      <x:c r="D278" s="191" t="n">
        <x:v>228.1699981689453</x:v>
      </x:c>
      <x:c r="E278" s="191" t="n">
        <x:v>220.81497192382812</x:v>
      </x:c>
      <x:c r="F278" s="191" t="n">
        <x:v>384.5199890136719</x:v>
      </x:c>
      <x:c r="G278" s="191" t="n">
        <x:v>365.08465576171875</x:v>
      </x:c>
      <x:c r="H278" s="208" t="n">
        <x:f>E278/E277-1</x:f>
        <x:v>-0.01705928041359861</x:v>
      </x:c>
      <x:c r="I278" s="208" t="n">
        <x:f>G278/G277-1</x:f>
        <x:v>-0.0043756195035316026</x:v>
      </x:c>
      <x:c r="J278" s="208" t="n">
        <x:f>'Beta HC3'!$E$13+'Beta HC3'!$E$12*I278</x:f>
        <x:v>-0.004925743619243812</x:v>
      </x:c>
      <x:c r="K278" s="240" t="n">
        <x:f>H278-J278</x:f>
        <x:v>-0.012133536794354798</x:v>
      </x:c>
      <x:c r="L278" s="240" t="n">
        <x:f>I278-'Beta HC3'!$E$9</x:f>
        <x:v>-0.004939567121192042</x:v>
      </x:c>
      <x:c r="M278" s="240" t="n">
        <x:f>1/'Beta HC3'!$E$8+L278^2/'Beta HC3'!$E$11</x:f>
        <x:v>0.000963666180912299</x:v>
      </x:c>
      <x:c r="N278" s="240" t="n">
        <x:f>K278^2/(1-M278)^2</x:f>
        <x:v>0.00014750687292711814</x:v>
      </x:c>
      <x:c r="O278" s="240" t="n">
        <x:f>N278*L278^2/'Beta HC3'!$E$11^2</x:f>
        <x:v>1.6830800085391207e-7</x:v>
      </x:c>
      <x:c r="P278" s="240" t="n">
        <x:f>N278*(1/'Beta HC3'!$E$8-'Beta HC3'!$E$9*L278/'Beta HC3'!$E$11)^2</x:f>
        <x:v>9.818519339470972e-11</x:v>
      </x:c>
      <x:c r="Q278" s="240" t="n">
        <x:f>N278*(1/'Beta HC3'!$E$8-'Beta HC3'!$E$9*L278/'Beta HC3'!$E$11)*L278/'Beta HC3'!$E$11</x:f>
        <x:v>-4.0651388185052586e-9</x:v>
      </x:c>
      <x:c r="R278" s="240" t="n">
        <x:f>K278*L278/'Beta HC3'!$E$11</x:f>
        <x:v>0.0004098582336573946</x:v>
      </x:c>
      <x:c r="S278" s="240" t="n">
        <x:f>(K278-K277)^2</x:f>
        <x:v>0.000019489251135056584</x:v>
      </x:c>
      <x:c r="T278" s="280" t="n">
        <x:f>E278/$E$9*100</x:f>
        <x:v>78.03322367626403</x:v>
      </x:c>
    </x:row>
    <x:row r="279" ht="24" customHeight="1">
      <x:c r="C279" s="274" t="d">
        <x:v>2022-11-02T00:00:00.000Z</x:v>
      </x:c>
      <x:c r="D279" s="191" t="n">
        <x:v>220.10000610351562</x:v>
      </x:c>
      <x:c r="E279" s="191" t="n">
        <x:v>213.00509643554688</x:v>
      </x:c>
      <x:c r="F279" s="191" t="n">
        <x:v>374.8699951171875</x:v>
      </x:c>
      <x:c r="G279" s="191" t="n">
        <x:v>355.92236328125</x:v>
      </x:c>
      <x:c r="H279" s="208" t="n">
        <x:f>E279/E278-1</x:f>
        <x:v>-0.03536841465159046</x:v>
      </x:c>
      <x:c r="I279" s="208" t="n">
        <x:f>G279/G278-1</x:f>
        <x:v>-0.025096350492606723</x:v>
      </x:c>
      <x:c r="J279" s="208" t="n">
        <x:f>'Beta HC3'!$E$13+'Beta HC3'!$E$12*I279</x:f>
        <x:v>-0.02829482716806953</x:v>
      </x:c>
      <x:c r="K279" s="240" t="n">
        <x:f>H279-J279</x:f>
        <x:v>-0.007073587483520934</x:v>
      </x:c>
      <x:c r="L279" s="240" t="n">
        <x:f>I279-'Beta HC3'!$E$9</x:f>
        <x:v>-0.02566029811026716</x:v>
      </x:c>
      <x:c r="M279" s="240" t="n">
        <x:f>1/'Beta HC3'!$E$8+L279^2/'Beta HC3'!$E$11</x:f>
        <x:v>0.005299593039541709</x:v>
      </x:c>
      <x:c r="N279" s="240" t="n">
        <x:f>K279^2/(1-M279)^2</x:f>
        <x:v>0.00005057022278900776</x:v>
      </x:c>
      <x:c r="O279" s="240" t="n">
        <x:f>N279*L279^2/'Beta HC3'!$E$11^2</x:f>
        <x:v>0.0000015571590880694943</x:v>
      </x:c>
      <x:c r="P279" s="240" t="n">
        <x:f>N279*(1/'Beta HC3'!$E$8-'Beta HC3'!$E$9*L279/'Beta HC3'!$E$11)^2</x:f>
        <x:v>4.057795426129385e-11</x:v>
      </x:c>
      <x:c r="Q279" s="240" t="n">
        <x:f>N279*(1/'Beta HC3'!$E$8-'Beta HC3'!$E$9*L279/'Beta HC3'!$E$11)*L279/'Beta HC3'!$E$11</x:f>
        <x:v>-7.948982969741601e-9</x:v>
      </x:c>
      <x:c r="R279" s="240" t="n">
        <x:f>K279*L279/'Beta HC3'!$E$11</x:f>
        <x:v>0.0012412486467352577</x:v>
      </x:c>
      <x:c r="S279" s="240" t="n">
        <x:f>(K279-K278)^2</x:f>
        <x:v>0.000025603087028208088</x:v>
      </x:c>
      <x:c r="T279" s="280" t="n">
        <x:f>E279/$E$9*100</x:f>
        <x:v>75.27331226468162</x:v>
      </x:c>
    </x:row>
    <x:row r="280" ht="24" customHeight="1">
      <x:c r="C280" s="274" t="d">
        <x:v>2022-11-03T00:00:00.000Z</x:v>
      </x:c>
      <x:c r="D280" s="191" t="n">
        <x:v>214.25</x:v>
      </x:c>
      <x:c r="E280" s="191" t="n">
        <x:v>207.34365844726562</x:v>
      </x:c>
      <x:c r="F280" s="191" t="n">
        <x:v>371.010009765625</x:v>
      </x:c>
      <x:c r="G280" s="191" t="n">
        <x:v>352.25750732421875</x:v>
      </x:c>
      <x:c r="H280" s="208" t="n">
        <x:f>E280/E279-1</x:f>
        <x:v>-0.026578885120686957</x:v>
      </x:c>
      <x:c r="I280" s="208" t="n">
        <x:f>G280/G279-1</x:f>
        <x:v>-0.010296784734864395</x:v>
      </x:c>
      <x:c r="J280" s="208" t="n">
        <x:f>'Beta HC3'!$E$13+'Beta HC3'!$E$12*I280</x:f>
        <x:v>-0.011603703246747971</x:v>
      </x:c>
      <x:c r="K280" s="240" t="n">
        <x:f>H280-J280</x:f>
        <x:v>-0.014975181873938986</x:v>
      </x:c>
      <x:c r="L280" s="240" t="n">
        <x:f>I280-'Beta HC3'!$E$9</x:f>
        <x:v>-0.010860732352524834</x:v>
      </x:c>
      <x:c r="M280" s="240" t="n">
        <x:f>1/'Beta HC3'!$E$8+L280^2/'Beta HC3'!$E$11</x:f>
        <x:v>0.0016034450033598278</x:v>
      </x:c>
      <x:c r="N280" s="240" t="n">
        <x:f>K280^2/(1-M280)^2</x:f>
        <x:v>0.00022497697013094365</x:v>
      </x:c>
      <x:c r="O280" s="240" t="n">
        <x:f>N280*L280^2/'Beta HC3'!$E$11^2</x:f>
        <x:v>0.0000012409977924567546</x:v>
      </x:c>
      <x:c r="P280" s="240" t="n">
        <x:f>N280*(1/'Beta HC3'!$E$8-'Beta HC3'!$E$9*L280/'Beta HC3'!$E$11)^2</x:f>
        <x:v>1.582518117569011e-10</x:v>
      </x:c>
      <x:c r="Q280" s="240" t="n">
        <x:f>N280*(1/'Beta HC3'!$E$8-'Beta HC3'!$E$9*L280/'Beta HC3'!$E$11)*L280/'Beta HC3'!$E$11</x:f>
        <x:v>-1.401392696722072e-8</x:v>
      </x:c>
      <x:c r="R280" s="240" t="n">
        <x:f>K280*L280/'Beta HC3'!$E$11</x:f>
        <x:v>0.0011122145654897772</x:v>
      </x:c>
      <x:c r="S280" s="240" t="n">
        <x:f>(K280-K279)^2</x:f>
        <x:v>0.00006243519391068602</x:v>
      </x:c>
      <x:c r="T280" s="280" t="n">
        <x:f>E280/$E$9*100</x:f>
        <x:v>73.27263154534506</x:v>
      </x:c>
    </x:row>
    <x:row r="281" ht="24" customHeight="1">
      <x:c r="C281" s="274" t="d">
        <x:v>2022-11-04T00:00:00.000Z</x:v>
      </x:c>
      <x:c r="D281" s="191" t="n">
        <x:v>221.38999938964844</x:v>
      </x:c>
      <x:c r="E281" s="191" t="n">
        <x:v>214.25352478027344</x:v>
      </x:c>
      <x:c r="F281" s="191" t="n">
        <x:v>376.3500061035156</x:v>
      </x:c>
      <x:c r="G281" s="191" t="n">
        <x:v>357.32757568359375</x:v>
      </x:c>
      <x:c r="H281" s="208" t="n">
        <x:f>E281/E280-1</x:f>
        <x:v>0.03332566997589281</x:v>
      </x:c>
      <x:c r="I281" s="208" t="n">
        <x:f>G281/G280-1</x:f>
        <x:v>0.014393073969914072</x:v>
      </x:c>
      <x:c r="J281" s="208" t="n">
        <x:f>'Beta HC3'!$E$13+'Beta HC3'!$E$12*I281</x:f>
        <x:v>0.016241809114031135</x:v>
      </x:c>
      <x:c r="K281" s="240" t="n">
        <x:f>H281-J281</x:f>
        <x:v>0.01708386086186168</x:v>
      </x:c>
      <x:c r="L281" s="240" t="n">
        <x:f>I281-'Beta HC3'!$E$9</x:f>
        <x:v>0.013829126352253633</x:v>
      </x:c>
      <x:c r="M281" s="240" t="n">
        <x:f>1/'Beta HC3'!$E$8+L281^2/'Beta HC3'!$E$11</x:f>
        <x:v>0.0021046293646324304</x:v>
      </x:c>
      <x:c r="N281" s="240" t="n">
        <x:f>K281^2/(1-M281)^2</x:f>
        <x:v>0.0002930906982927842</x:v>
      </x:c>
      <x:c r="O281" s="240" t="n">
        <x:f>N281*L281^2/'Beta HC3'!$E$11^2</x:f>
        <x:v>0.0000026212367473649695</x:v>
      </x:c>
      <x:c r="P281" s="240" t="n">
        <x:f>N281*(1/'Beta HC3'!$E$8-'Beta HC3'!$E$9*L281/'Beta HC3'!$E$11)^2</x:f>
        <x:v>1.6200971592706783e-10</x:v>
      </x:c>
      <x:c r="Q281" s="240" t="n">
        <x:f>N281*(1/'Beta HC3'!$E$8-'Beta HC3'!$E$9*L281/'Beta HC3'!$E$11)*L281/'Beta HC3'!$E$11</x:f>
        <x:v>2.060742149853276e-8</x:v>
      </x:c>
      <x:c r="R281" s="240" t="n">
        <x:f>K281*L281/'Beta HC3'!$E$11</x:f>
        <x:v>0.001615615948912507</x:v>
      </x:c>
      <x:c r="S281" s="240" t="n">
        <x:f>(K281-K280)^2</x:f>
        <x:v>0.0010277822211358935</x:v>
      </x:c>
      <x:c r="T281" s="280" t="n">
        <x:f>E281/$E$9*100</x:f>
        <x:v>75.71449108249041</x:v>
      </x:c>
    </x:row>
    <x:row r="282" ht="24" customHeight="1">
      <x:c r="C282" s="274" t="d">
        <x:v>2022-11-07T00:00:00.000Z</x:v>
      </x:c>
      <x:c r="D282" s="191" t="n">
        <x:v>227.8699951171875</x:v>
      </x:c>
      <x:c r="E282" s="191" t="n">
        <x:v>220.52459716796875</x:v>
      </x:c>
      <x:c r="F282" s="191" t="n">
        <x:v>379.95001220703125</x:v>
      </x:c>
      <x:c r="G282" s="191" t="n">
        <x:v>360.74566650390625</x:v>
      </x:c>
      <x:c r="H282" s="208" t="n">
        <x:f>E282/E281-1</x:f>
        <x:v>0.029269401257816297</x:v>
      </x:c>
      <x:c r="I282" s="208" t="n">
        <x:f>G282/G281-1</x:f>
        <x:v>0.00956570679935198</x:v>
      </x:c>
      <x:c r="J282" s="208" t="n">
        <x:f>'Beta HC3'!$E$13+'Beta HC3'!$E$12*I282</x:f>
        <x:v>0.010797447774211466</x:v>
      </x:c>
      <x:c r="K282" s="240" t="n">
        <x:f>H282-J282</x:f>
        <x:v>0.01847195348360483</x:v>
      </x:c>
      <x:c r="L282" s="240" t="n">
        <x:f>I282-'Beta HC3'!$E$9</x:f>
        <x:v>0.009001759181691542</x:v>
      </x:c>
      <x:c r="M282" s="240" t="n">
        <x:f>1/'Beta HC3'!$E$8+L282^2/'Beta HC3'!$E$11</x:f>
        <x:v>0.001350943360289463</x:v>
      </x:c>
      <x:c r="N282" s="240" t="n">
        <x:f>K282^2/(1-M282)^2</x:f>
        <x:v>0.0003421368561124392</x:v>
      </x:c>
      <x:c r="O282" s="240" t="n">
        <x:f>N282*L282^2/'Beta HC3'!$E$11^2</x:f>
        <x:v>0.0000012964905747381188</x:v>
      </x:c>
      <x:c r="P282" s="240" t="n">
        <x:f>N282*(1/'Beta HC3'!$E$8-'Beta HC3'!$E$9*L282/'Beta HC3'!$E$11)^2</x:f>
        <x:v>1.9871041926321763e-10</x:v>
      </x:c>
      <x:c r="Q282" s="240" t="n">
        <x:f>N282*(1/'Beta HC3'!$E$8-'Beta HC3'!$E$9*L282/'Beta HC3'!$E$11)*L282/'Beta HC3'!$E$11</x:f>
        <x:v>1.605073785459789e-8</x:v>
      </x:c>
      <x:c r="R282" s="240" t="n">
        <x:f>K282*L282/'Beta HC3'!$E$11</x:f>
        <x:v>0.0011370971683318716</x:v>
      </x:c>
      <x:c r="S282" s="240" t="n">
        <x:f>(K282-K281)^2</x:f>
        <x:v>0.000001926801126537773</x:v>
      </x:c>
      <x:c r="T282" s="280" t="n">
        <x:f>E282/$E$9*100</x:f>
        <x:v>77.93060890301518</x:v>
      </x:c>
    </x:row>
    <x:row r="283" ht="24" customHeight="1">
      <x:c r="C283" s="274" t="d">
        <x:v>2022-11-08T00:00:00.000Z</x:v>
      </x:c>
      <x:c r="D283" s="191" t="n">
        <x:v>228.8699951171875</x:v>
      </x:c>
      <x:c r="E283" s="191" t="n">
        <x:v>221.49241638183594</x:v>
      </x:c>
      <x:c r="F283" s="191" t="n">
        <x:v>382</x:v>
      </x:c>
      <x:c r="G283" s="191" t="n">
        <x:v>362.6919860839844</x:v>
      </x:c>
      <x:c r="H283" s="208" t="n">
        <x:f>E283/E282-1</x:f>
        <x:v>0.004388713215197626</x:v>
      </x:c>
      <x:c r="I283" s="208" t="n">
        <x:f>G283/G282-1</x:f>
        <x:v>0.0053952680816389265</x:v>
      </x:c>
      <x:c r="J283" s="208" t="n">
        <x:f>'Beta HC3'!$E$13+'Beta HC3'!$E$12*I283</x:f>
        <x:v>0.006093978051985991</x:v>
      </x:c>
      <x:c r="K283" s="240" t="n">
        <x:f>H283-J283</x:f>
        <x:v>-0.001705264836788365</x:v>
      </x:c>
      <x:c r="L283" s="240" t="n">
        <x:f>I283-'Beta HC3'!$E$9</x:f>
        <x:v>0.004831320463978487</x:v>
      </x:c>
      <x:c r="M283" s="240" t="n">
        <x:f>1/'Beta HC3'!$E$8+L283^2/'Beta HC3'!$E$11</x:f>
        <x:v>0.000956433390645069</x:v>
      </x:c>
      <x:c r="N283" s="240" t="n">
        <x:f>K283^2/(1-M283)^2</x:f>
        <x:v>0.0000029134986331734966</x:v>
      </x:c>
      <x:c r="O283" s="240" t="n">
        <x:f>N283*L283^2/'Beta HC3'!$E$11^2</x:f>
        <x:v>3.1802497880047413e-9</x:v>
      </x:c>
      <x:c r="P283" s="240" t="n">
        <x:f>N283*(1/'Beta HC3'!$E$8-'Beta HC3'!$E$9*L283/'Beta HC3'!$E$11)^2</x:f>
        <x:v>1.7643131242133458e-12</x:v>
      </x:c>
      <x:c r="Q283" s="240" t="n">
        <x:f>N283*(1/'Beta HC3'!$E$8-'Beta HC3'!$E$9*L283/'Beta HC3'!$E$11)*L283/'Beta HC3'!$E$11</x:f>
        <x:v>7.490631775259998e-11</x:v>
      </x:c>
      <x:c r="R283" s="240" t="n">
        <x:f>K283*L283/'Beta HC3'!$E$11</x:f>
        <x:v>-0.00005633976662189613</x:v>
      </x:c>
      <x:c r="S283" s="240" t="n">
        <x:f>(K283-K282)^2</x:f>
        <x:v>0.00040712013914881077</x:v>
      </x:c>
      <x:c r="T283" s="280" t="n">
        <x:f>E283/$E$9*100</x:f>
        <x:v>78.27262399617624</x:v>
      </x:c>
    </x:row>
    <x:row r="284" ht="24" customHeight="1">
      <x:c r="C284" s="274" t="d">
        <x:v>2022-11-09T00:00:00.000Z</x:v>
      </x:c>
      <x:c r="D284" s="191" t="n">
        <x:v>224.50999450683594</x:v>
      </x:c>
      <x:c r="E284" s="191" t="n">
        <x:v>217.27293395996094</x:v>
      </x:c>
      <x:c r="F284" s="191" t="n">
        <x:v>374.1300048828125</x:v>
      </x:c>
      <x:c r="G284" s="191" t="n">
        <x:v>355.2197570800781</x:v>
      </x:c>
      <x:c r="H284" s="208" t="n">
        <x:f>E284/E283-1</x:f>
        <x:v>-0.019050234273488287</x:v>
      </x:c>
      <x:c r="I284" s="208" t="n">
        <x:f>G284/G283-1</x:f>
        <x:v>-0.02060213429192226</x:v>
      </x:c>
      <x:c r="J284" s="208" t="n">
        <x:f>'Beta HC3'!$E$13+'Beta HC3'!$E$12*I284</x:f>
        <x:v>-0.023226197401308137</x:v>
      </x:c>
      <x:c r="K284" s="240" t="n">
        <x:f>H284-J284</x:f>
        <x:v>0.00417596312781985</x:v>
      </x:c>
      <x:c r="L284" s="240" t="n">
        <x:f>I284-'Beta HC3'!$E$9</x:f>
        <x:v>-0.021166081909582697</x:v>
      </x:c>
      <x:c r="M284" s="240" t="n">
        <x:f>1/'Beta HC3'!$E$8+L284^2/'Beta HC3'!$E$11</x:f>
        <x:v>0.0038604568060088733</x:v>
      </x:c>
      <x:c r="N284" s="240" t="n">
        <x:f>K284^2/(1-M284)^2</x:f>
        <x:v>0.000017574094199078105</x:v>
      </x:c>
      <x:c r="O284" s="240" t="n">
        <x:f>N284*L284^2/'Beta HC3'!$E$11^2</x:f>
        <x:v>3.681871418748427e-7</x:v>
      </x:c>
      <x:c r="P284" s="240" t="n">
        <x:f>N284*(1/'Beta HC3'!$E$8-'Beta HC3'!$E$9*L284/'Beta HC3'!$E$11)^2</x:f>
        <x:v>1.35611781783622e-11</x:v>
      </x:c>
      <x:c r="Q284" s="240" t="n">
        <x:f>N284*(1/'Beta HC3'!$E$8-'Beta HC3'!$E$9*L284/'Beta HC3'!$E$11)*L284/'Beta HC3'!$E$11</x:f>
        <x:v>-2.2345136907046827e-9</x:v>
      </x:c>
      <x:c r="R284" s="240" t="n">
        <x:f>K284*L284/'Beta HC3'!$E$11</x:f>
        <x:v>-0.0006044417986034841</x:v>
      </x:c>
      <x:c r="S284" s="240" t="n">
        <x:f>(K284-K283)^2</x:f>
        <x:v>0.000034588842371689683</x:v>
      </x:c>
      <x:c r="T284" s="280" t="n">
        <x:f>E284/$E$9*100</x:f>
        <x:v>76.78151217184842</x:v>
      </x:c>
    </x:row>
    <x:row r="285" ht="24" customHeight="1">
      <x:c r="C285" s="274" t="d">
        <x:v>2022-11-10T00:00:00.000Z</x:v>
      </x:c>
      <x:c r="D285" s="191" t="n">
        <x:v>242.97999572753906</x:v>
      </x:c>
      <x:c r="E285" s="191" t="n">
        <x:v>235.14752197265625</x:v>
      </x:c>
      <x:c r="F285" s="191" t="n">
        <x:v>394.69000244140625</x:v>
      </x:c>
      <x:c r="G285" s="191" t="n">
        <x:v>374.7406311035156</x:v>
      </x:c>
      <x:c r="H285" s="208" t="n">
        <x:f>E285/E284-1</x:f>
        <x:v>0.08226790004128737</x:v>
      </x:c>
      <x:c r="I285" s="208" t="n">
        <x:f>G285/G284-1</x:f>
        <x:v>0.05495435891263467</x:v>
      </x:c>
      <x:c r="J285" s="208" t="n">
        <x:f>'Beta HC3'!$E$13+'Beta HC3'!$E$12*I285</x:f>
        <x:v>0.061987302223030435</x:v>
      </x:c>
      <x:c r="K285" s="240" t="n">
        <x:f>H285-J285</x:f>
        <x:v>0.020280597818256932</x:v>
      </x:c>
      <x:c r="L285" s="240" t="n">
        <x:f>I285-'Beta HC3'!$E$9</x:f>
        <x:v>0.05439041129497423</x:v>
      </x:c>
      <x:c r="M285" s="240" t="n">
        <x:f>1/'Beta HC3'!$E$8+L285^2/'Beta HC3'!$E$11</x:f>
        <x:v>0.021027099900459166</x:v>
      </x:c>
      <x:c r="N285" s="240" t="n">
        <x:f>K285^2/(1-M285)^2</x:f>
        <x:v>0.00042916091811376073</x:v>
      </x:c>
      <x:c r="O285" s="240" t="n">
        <x:f>N285*L285^2/'Beta HC3'!$E$11^2</x:f>
        <x:v>0.000059371712309711016</x:v>
      </x:c>
      <x:c r="P285" s="240" t="n">
        <x:f>N285*(1/'Beta HC3'!$E$8-'Beta HC3'!$E$9*L285/'Beta HC3'!$E$11)^2</x:f>
        <x:v>1.4790314941425947e-10</x:v>
      </x:c>
      <x:c r="Q285" s="240" t="n">
        <x:f>N285*(1/'Beta HC3'!$E$8-'Beta HC3'!$E$9*L285/'Beta HC3'!$E$11)*L285/'Beta HC3'!$E$11</x:f>
        <x:v>9.370839469718612e-8</x:v>
      </x:c>
      <x:c r="R285" s="240" t="n">
        <x:f>K285*L285/'Beta HC3'!$E$11</x:f>
        <x:v>0.007543283966753603</x:v>
      </x:c>
      <x:c r="S285" s="240" t="n">
        <x:f>(K285-K284)^2</x:f>
        <x:v>0.0002593592585124295</x:v>
      </x:c>
      <x:c r="T285" s="280" t="n">
        <x:f>E285/$E$9*100</x:f>
        <x:v>83.09816594022094</x:v>
      </x:c>
    </x:row>
    <x:row r="286" ht="24" customHeight="1">
      <x:c r="C286" s="274" t="d">
        <x:v>2022-11-11T00:00:00.000Z</x:v>
      </x:c>
      <x:c r="D286" s="191" t="n">
        <x:v>247.11000061035156</x:v>
      </x:c>
      <x:c r="E286" s="191" t="n">
        <x:v>239.1444549560547</x:v>
      </x:c>
      <x:c r="F286" s="191" t="n">
        <x:v>398.510009765625</x:v>
      </x:c>
      <x:c r="G286" s="191" t="n">
        <x:v>378.3675231933594</x:v>
      </x:c>
      <x:c r="H286" s="208" t="n">
        <x:f>E286/E285-1</x:f>
        <x:v>0.016997555193727365</x:v>
      </x:c>
      <x:c r="I286" s="208" t="n">
        <x:f>G286/G285-1</x:f>
        <x:v>0.00967840631309036</x:v>
      </x:c>
      <x:c r="J286" s="208" t="n">
        <x:f>'Beta HC3'!$E$13+'Beta HC3'!$E$12*I286</x:f>
        <x:v>0.010924551608234155</x:v>
      </x:c>
      <x:c r="K286" s="240" t="n">
        <x:f>H286-J286</x:f>
        <x:v>0.00607300358549321</x:v>
      </x:c>
      <x:c r="L286" s="240" t="n">
        <x:f>I286-'Beta HC3'!$E$9</x:f>
        <x:v>0.009114458695429921</x:v>
      </x:c>
      <x:c r="M286" s="240" t="n">
        <x:f>1/'Beta HC3'!$E$8+L286^2/'Beta HC3'!$E$11</x:f>
        <x:v>0.0013649053379491472</x:v>
      </x:c>
      <x:c r="N286" s="240" t="n">
        <x:f>K286^2/(1-M286)^2</x:f>
        <x:v>0.000036982258215999085</x:v>
      </x:c>
      <x:c r="O286" s="240" t="n">
        <x:f>N286*L286^2/'Beta HC3'!$E$11^2</x:f>
        <x:v>1.436712636943533e-7</x:v>
      </x:c>
      <x:c r="P286" s="240" t="n">
        <x:f>N286*(1/'Beta HC3'!$E$8-'Beta HC3'!$E$9*L286/'Beta HC3'!$E$11)^2</x:f>
        <x:v>2.1454515097249844e-11</x:v>
      </x:c>
      <x:c r="Q286" s="240" t="n">
        <x:f>N286*(1/'Beta HC3'!$E$8-'Beta HC3'!$E$9*L286/'Beta HC3'!$E$11)*L286/'Beta HC3'!$E$11</x:f>
        <x:v>1.755675737706558e-9</x:v>
      </x:c>
      <x:c r="R286" s="240" t="n">
        <x:f>K286*L286/'Beta HC3'!$E$11</x:f>
        <x:v>0.00037852257000034175</x:v>
      </x:c>
      <x:c r="S286" s="240" t="n">
        <x:f>(K286-K285)^2</x:f>
        <x:v>0.00020185573388286097</x:v>
      </x:c>
      <x:c r="T286" s="280" t="n">
        <x:f>E286/$E$9*100</x:f>
        <x:v>84.51063160228736</x:v>
      </x:c>
    </x:row>
    <x:row r="287" ht="24" customHeight="1">
      <x:c r="C287" s="274" t="d">
        <x:v>2022-11-14T00:00:00.000Z</x:v>
      </x:c>
      <x:c r="D287" s="191" t="n">
        <x:v>241.5500030517578</x:v>
      </x:c>
      <x:c r="E287" s="191" t="n">
        <x:v>233.76364135742188</x:v>
      </x:c>
      <x:c r="F287" s="191" t="n">
        <x:v>395.1199951171875</x:v>
      </x:c>
      <x:c r="G287" s="191" t="n">
        <x:v>375.1488342285156</x:v>
      </x:c>
      <x:c r="H287" s="208" t="n">
        <x:f>E287/E286-1</x:f>
        <x:v>-0.0225002649533379</x:v>
      </x:c>
      <x:c r="I287" s="208" t="n">
        <x:f>G287/G286-1</x:f>
        <x:v>-0.00850677916983611</x:v>
      </x:c>
      <x:c r="J287" s="208" t="n">
        <x:f>'Beta HC3'!$E$13+'Beta HC3'!$E$12*I287</x:f>
        <x:v>-0.009584913966386</x:v>
      </x:c>
      <x:c r="K287" s="240" t="n">
        <x:f>H287-J287</x:f>
        <x:v>-0.012915350986951901</x:v>
      </x:c>
      <x:c r="L287" s="240" t="n">
        <x:f>I287-'Beta HC3'!$E$9</x:f>
        <x:v>-0.009070726787496548</x:v>
      </x:c>
      <x:c r="M287" s="240" t="n">
        <x:f>1/'Beta HC3'!$E$8+L287^2/'Beta HC3'!$E$11</x:f>
        <x:v>0.0013594669082161782</x:v>
      </x:c>
      <x:c r="N287" s="240" t="n">
        <x:f>K287^2/(1-M287)^2</x:f>
        <x:v>0.00016726075291040307</x:v>
      </x:c>
      <x:c r="O287" s="240" t="n">
        <x:f>N287*L287^2/'Beta HC3'!$E$11^2</x:f>
        <x:v>6.435657783166061e-7</x:v>
      </x:c>
      <x:c r="P287" s="240" t="n">
        <x:f>N287*(1/'Beta HC3'!$E$8-'Beta HC3'!$E$9*L287/'Beta HC3'!$E$11)^2</x:f>
        <x:v>1.1572464469708416e-10</x:v>
      </x:c>
      <x:c r="Q287" s="240" t="n">
        <x:f>N287*(1/'Beta HC3'!$E$8-'Beta HC3'!$E$9*L287/'Beta HC3'!$E$11)*L287/'Beta HC3'!$E$11</x:f>
        <x:v>-8.629972249949109e-9</x:v>
      </x:c>
      <x:c r="R287" s="240" t="n">
        <x:f>K287*L287/'Beta HC3'!$E$11</x:f>
        <x:v>0.0008011349168305625</x:v>
      </x:c>
      <x:c r="S287" s="240" t="n">
        <x:f>(K287-K286)^2</x:f>
        <x:v>0.00036055760936889715</x:v>
      </x:c>
      <x:c r="T287" s="280" t="n">
        <x:f>E287/$E$9*100</x:f>
        <x:v>82.60911999986196</x:v>
      </x:c>
    </x:row>
    <x:row r="288" ht="24" customHeight="1">
      <x:c r="C288" s="274" t="d">
        <x:v>2022-11-15T00:00:00.000Z</x:v>
      </x:c>
      <x:c r="D288" s="191" t="n">
        <x:v>241.97000122070312</x:v>
      </x:c>
      <x:c r="E288" s="191" t="n">
        <x:v>234.1701202392578</x:v>
      </x:c>
      <x:c r="F288" s="191" t="n">
        <x:v>398.489990234375</x:v>
      </x:c>
      <x:c r="G288" s="191" t="n">
        <x:v>378.3485107421875</x:v>
      </x:c>
      <x:c r="H288" s="208" t="n">
        <x:f>E288/E287-1</x:f>
        <x:v>0.0017388456112148454</x:v>
      </x:c>
      <x:c r="I288" s="208" t="n">
        <x:f>G288/G287-1</x:f>
        <x:v>0.008529085583464324</x:v>
      </x:c>
      <x:c r="J288" s="208" t="n">
        <x:f>'Beta HC3'!$E$13+'Beta HC3'!$E$12*I288</x:f>
        <x:v>0.009628334203105486</x:v>
      </x:c>
      <x:c r="K288" s="240" t="n">
        <x:f>H288-J288</x:f>
        <x:v>-0.00788948859189064</x:v>
      </x:c>
      <x:c r="L288" s="240" t="n">
        <x:f>I288-'Beta HC3'!$E$9</x:f>
        <x:v>0.007965137965803885</x:v>
      </x:c>
      <x:c r="M288" s="240" t="n">
        <x:f>1/'Beta HC3'!$E$8+L288^2/'Beta HC3'!$E$11</x:f>
        <x:v>0.001230667109594169</x:v>
      </x:c>
      <x:c r="N288" s="240" t="n">
        <x:f>K288^2/(1-M288)^2</x:f>
        <x:v>0.00006239751688143424</x:v>
      </x:c>
      <x:c r="O288" s="240" t="n">
        <x:f>N288*L288^2/'Beta HC3'!$E$11^2</x:f>
        <x:v>1.8512651918268268e-7</x:v>
      </x:c>
      <x:c r="P288" s="240" t="n">
        <x:f>N288*(1/'Beta HC3'!$E$8-'Beta HC3'!$E$9*L288/'Beta HC3'!$E$11)^2</x:f>
        <x:v>3.66211990219476e-11</x:v>
      </x:c>
      <x:c r="Q288" s="240" t="n">
        <x:f>N288*(1/'Beta HC3'!$E$8-'Beta HC3'!$E$9*L288/'Beta HC3'!$E$11)*L288/'Beta HC3'!$E$11</x:f>
        <x:v>2.603757881069095e-9</x:v>
      </x:c>
      <x:c r="R288" s="240" t="n">
        <x:f>K288*L288/'Beta HC3'!$E$11</x:f>
        <x:v>-0.0004297338028686382</x:v>
      </x:c>
      <x:c r="S288" s="240" t="n">
        <x:f>(K288-K287)^2</x:f>
        <x:v>0.00002525929281409091</x:v>
      </x:c>
      <x:c r="T288" s="280" t="n">
        <x:f>E288/$E$9*100</x:f>
        <x:v>82.75276450562004</x:v>
      </x:c>
    </x:row>
    <x:row r="289" ht="24" customHeight="1">
      <x:c r="C289" s="274" t="d">
        <x:v>2022-11-16T00:00:00.000Z</x:v>
      </x:c>
      <x:c r="D289" s="191" t="n">
        <x:v>241.72999572753906</x:v>
      </x:c>
      <x:c r="E289" s="191" t="n">
        <x:v>234.5971221923828</x:v>
      </x:c>
      <x:c r="F289" s="191" t="n">
        <x:v>395.45001220703125</x:v>
      </x:c>
      <x:c r="G289" s="191" t="n">
        <x:v>375.46221923828125</x:v>
      </x:c>
      <x:c r="H289" s="208" t="n">
        <x:f>E289/E288-1</x:f>
        <x:v>0.001823468992067534</x:v>
      </x:c>
      <x:c r="I289" s="208" t="n">
        <x:f>G289/G288-1</x:f>
        <x:v>-0.007628658292441415</x:v>
      </x:c>
      <x:c r="J289" s="208" t="n">
        <x:f>'Beta HC3'!$E$13+'Beta HC3'!$E$12*I289</x:f>
        <x:v>-0.008594558936892866</x:v>
      </x:c>
      <x:c r="K289" s="240" t="n">
        <x:f>H289-J289</x:f>
        <x:v>0.0104180279289604</x:v>
      </x:c>
      <x:c r="L289" s="240" t="n">
        <x:f>I289-'Beta HC3'!$E$9</x:f>
        <x:v>-0.008192605910101854</x:v>
      </x:c>
      <x:c r="M289" s="240" t="n">
        <x:f>1/'Beta HC3'!$E$8+L289^2/'Beta HC3'!$E$11</x:f>
        <x:v>0.0012558009170553354</x:v>
      </x:c>
      <x:c r="N289" s="240" t="n">
        <x:f>K289^2/(1-M289)^2</x:f>
        <x:v>0.00010880841775541437</x:v>
      </x:c>
      <x:c r="O289" s="240" t="n">
        <x:f>N289*L289^2/'Beta HC3'!$E$11^2</x:f>
        <x:v>3.415240930742905e-7</x:v>
      </x:c>
      <x:c r="P289" s="240" t="n">
        <x:f>N289*(1/'Beta HC3'!$E$8-'Beta HC3'!$E$9*L289/'Beta HC3'!$E$11)^2</x:f>
        <x:v>7.46707971359539e-11</x:v>
      </x:c>
      <x:c r="Q289" s="240" t="n">
        <x:f>N289*(1/'Beta HC3'!$E$8-'Beta HC3'!$E$9*L289/'Beta HC3'!$E$11)*L289/'Beta HC3'!$E$11</x:f>
        <x:v>-5.049938244274971e-9</x:v>
      </x:c>
      <x:c r="R289" s="240" t="n">
        <x:f>K289*L289/'Beta HC3'!$E$11</x:f>
        <x:v>-0.0005836667363586025</x:v>
      </x:c>
      <x:c r="S289" s="240" t="n">
        <x:f>(K289-K288)^2</x:f>
        <x:v>0.0003351651611612337</x:v>
      </x:c>
      <x:c r="T289" s="280" t="n">
        <x:f>E289/$E$9*100</x:f>
        <x:v>82.90366160570389</x:v>
      </x:c>
    </x:row>
    <x:row r="290" ht="24" customHeight="1">
      <x:c r="C290" s="274" t="d">
        <x:v>2022-11-17T00:00:00.000Z</x:v>
      </x:c>
      <x:c r="D290" s="191" t="n">
        <x:v>241.67999267578125</x:v>
      </x:c>
      <x:c r="E290" s="191" t="n">
        <x:v>234.548583984375</x:v>
      </x:c>
      <x:c r="F290" s="191" t="n">
        <x:v>394.239990234375</x:v>
      </x:c>
      <x:c r="G290" s="191" t="n">
        <x:v>374.3132629394531</x:v>
      </x:c>
      <x:c r="H290" s="208" t="n">
        <x:f>E290/E289-1</x:f>
        <x:v>-0.00020690027036229797</x:v>
      </x:c>
      <x:c r="I290" s="208" t="n">
        <x:f>G290/G289-1</x:f>
        <x:v>-0.0030601116169799436</x:v>
      </x:c>
      <x:c r="J290" s="208" t="n">
        <x:f>'Beta HC3'!$E$13+'Beta HC3'!$E$12*I290</x:f>
        <x:v>-0.003442098388475964</x:v>
      </x:c>
      <x:c r="K290" s="240" t="n">
        <x:f>H290-J290</x:f>
        <x:v>0.003235198118113666</x:v>
      </x:c>
      <x:c r="L290" s="240" t="n">
        <x:f>I290-'Beta HC3'!$E$9</x:f>
        <x:v>-0.003624059234640383</x:v>
      </x:c>
      <x:c r="M290" s="240" t="n">
        <x:f>1/'Beta HC3'!$E$8+L290^2/'Beta HC3'!$E$11</x:f>
        <x:v>0.0008866275550702453</x:v>
      </x:c>
      <x:c r="N290" s="240" t="n">
        <x:f>K290^2/(1-M290)^2</x:f>
        <x:v>0.000010485091362867081</x:v>
      </x:c>
      <x:c r="O290" s="240" t="n">
        <x:f>N290*L290^2/'Beta HC3'!$E$11^2</x:f>
        <x:v>6.439876176214148e-9</x:v>
      </x:c>
      <x:c r="P290" s="240" t="n">
        <x:f>N290*(1/'Beta HC3'!$E$8-'Beta HC3'!$E$9*L290/'Beta HC3'!$E$11)^2</x:f>
        <x:v>6.892677200522543e-12</x:v>
      </x:c>
      <x:c r="Q290" s="240" t="n">
        <x:f>N290*(1/'Beta HC3'!$E$8-'Beta HC3'!$E$9*L290/'Beta HC3'!$E$11)*L290/'Beta HC3'!$E$11</x:f>
        <x:v>-2.1068456918811014e-10</x:v>
      </x:c>
      <x:c r="R290" s="240" t="n">
        <x:f>K290*L290/'Beta HC3'!$E$11</x:f>
        <x:v>-0.00008017768826373644</x:v>
      </x:c>
      <x:c r="S290" s="240" t="n">
        <x:f>(K290-K289)^2</x:f>
        <x:v>0.00005159304409158852</x:v>
      </x:c>
      <x:c r="T290" s="280" t="n">
        <x:f>E290/$E$9*100</x:f>
        <x:v>82.88650881570365</x:v>
      </x:c>
    </x:row>
    <x:row r="291" ht="24" customHeight="1">
      <x:c r="C291" s="274" t="d">
        <x:v>2022-11-18T00:00:00.000Z</x:v>
      </x:c>
      <x:c r="D291" s="191" t="n">
        <x:v>241.22000122070312</x:v>
      </x:c>
      <x:c r="E291" s="191" t="n">
        <x:v>234.10214233398438</x:v>
      </x:c>
      <x:c r="F291" s="191" t="n">
        <x:v>396.0299987792969</x:v>
      </x:c>
      <x:c r="G291" s="191" t="n">
        <x:v>376.0128479003906</x:v>
      </x:c>
      <x:c r="H291" s="208" t="n">
        <x:f>E291/E290-1</x:f>
        <x:v>-0.0019034079967856776</x:v>
      </x:c>
      <x:c r="I291" s="208" t="n">
        <x:f>G291/G290-1</x:f>
        <x:v>0.004540541651104624</x:v>
      </x:c>
      <x:c r="J291" s="208" t="n">
        <x:f>'Beta HC3'!$E$13+'Beta HC3'!$E$12*I291</x:f>
        <x:v>0.005130007554175032</x:v>
      </x:c>
      <x:c r="K291" s="240" t="n">
        <x:f>H291-J291</x:f>
        <x:v>-0.00703341555096071</x:v>
      </x:c>
      <x:c r="L291" s="240" t="n">
        <x:f>I291-'Beta HC3'!$E$9</x:f>
        <x:v>0.003976594033444184</x:v>
      </x:c>
      <x:c r="M291" s="240" t="n">
        <x:f>1/'Beta HC3'!$E$8+L291^2/'Beta HC3'!$E$11</x:f>
        <x:v>0.0009049511328164261</x:v>
      </x:c>
      <x:c r="N291" s="240" t="n">
        <x:f>K291^2/(1-M291)^2</x:f>
        <x:v>0.000049558589931353464</x:v>
      </x:c>
      <x:c r="O291" s="240" t="n">
        <x:f>N291*L291^2/'Beta HC3'!$E$11^2</x:f>
        <x:v>3.664849772811017e-8</x:v>
      </x:c>
      <x:c r="P291" s="240" t="n">
        <x:f>N291*(1/'Beta HC3'!$E$8-'Beta HC3'!$E$9*L291/'Beta HC3'!$E$11)^2</x:f>
        <x:v>3.026573662236664e-11</x:v>
      </x:c>
      <x:c r="Q291" s="240" t="n">
        <x:f>N291*(1/'Beta HC3'!$E$8-'Beta HC3'!$E$9*L291/'Beta HC3'!$E$11)*L291/'Beta HC3'!$E$11</x:f>
        <x:v>1.0531826906308254e-9</x:v>
      </x:c>
      <x:c r="R291" s="240" t="n">
        <x:f>K291*L291/'Beta HC3'!$E$11</x:f>
        <x:v>-0.00019126473156814465</x:v>
      </x:c>
      <x:c r="S291" s="240" t="n">
        <x:f>(K291-K290)^2</x:f>
        <x:v>0.0001054444266847011</x:v>
      </x:c>
      <x:c r="T291" s="280" t="n">
        <x:f>E291/$E$9*100</x:f>
        <x:v>82.72874197199819</x:v>
      </x:c>
    </x:row>
    <x:row r="292" ht="24" customHeight="1">
      <x:c r="C292" s="274" t="d">
        <x:v>2022-11-21T00:00:00.000Z</x:v>
      </x:c>
      <x:c r="D292" s="191" t="n">
        <x:v>242.0500030517578</x:v>
      </x:c>
      <x:c r="E292" s="191" t="n">
        <x:v>234.90768432617188</x:v>
      </x:c>
      <x:c r="F292" s="191" t="n">
        <x:v>394.5899963378906</x:v>
      </x:c>
      <x:c r="G292" s="191" t="n">
        <x:v>374.64569091796875</x:v>
      </x:c>
      <x:c r="H292" s="208" t="n">
        <x:f>E292/E291-1</x:f>
        <x:v>0.0034409851364720634</x:v>
      </x:c>
      <x:c r="I292" s="208" t="n">
        <x:f>G292/G291-1</x:f>
        <x:v>-0.0036359315647215285</x:v>
      </x:c>
      <x:c r="J292" s="208" t="n">
        <x:f>'Beta HC3'!$E$13+'Beta HC3'!$E$12*I292</x:f>
        <x:v>-0.0040915148822738105</x:v>
      </x:c>
      <x:c r="K292" s="240" t="n">
        <x:f>H292-J292</x:f>
        <x:v>0.007532500018745874</x:v>
      </x:c>
      <x:c r="L292" s="240" t="n">
        <x:f>I292-'Beta HC3'!$E$9</x:f>
        <x:v>-0.004199879182381968</x:v>
      </x:c>
      <x:c r="M292" s="240" t="n">
        <x:f>1/'Beta HC3'!$E$8+L292^2/'Beta HC3'!$E$11</x:f>
        <x:v>0.0009174359796364352</x:v>
      </x:c>
      <x:c r="N292" s="240" t="n">
        <x:f>K292^2/(1-M292)^2</x:f>
        <x:v>0.0000568428079628705</x:v>
      </x:c>
      <x:c r="O292" s="240" t="n">
        <x:f>N292*L292^2/'Beta HC3'!$E$11^2</x:f>
        <x:v>4.6888230216703893e-8</x:v>
      </x:c>
      <x:c r="P292" s="240" t="n">
        <x:f>N292*(1/'Beta HC3'!$E$8-'Beta HC3'!$E$9*L292/'Beta HC3'!$E$11)^2</x:f>
        <x:v>3.75722292948644e-11</x:v>
      </x:c>
      <x:c r="Q292" s="240" t="n">
        <x:f>N292*(1/'Beta HC3'!$E$8-'Beta HC3'!$E$9*L292/'Beta HC3'!$E$11)*L292/'Beta HC3'!$E$11</x:f>
        <x:v>-1.3272887164940371e-9</x:v>
      </x:c>
      <x:c r="R292" s="240" t="n">
        <x:f>K292*L292/'Beta HC3'!$E$11</x:f>
        <x:v>-0.00021633824392177284</x:v>
      </x:c>
      <x:c r="S292" s="240" t="n">
        <x:f>(K292-K291)^2</x:f>
        <x:v>0.00021216589638382063</x:v>
      </x:c>
      <x:c r="T292" s="280" t="n">
        <x:f>E292/$E$9*100</x:f>
        <x:v>83.01341034348286</x:v>
      </x:c>
    </x:row>
    <x:row r="293" ht="24" customHeight="1">
      <x:c r="C293" s="274" t="d">
        <x:v>2022-11-22T00:00:00.000Z</x:v>
      </x:c>
      <x:c r="D293" s="191" t="n">
        <x:v>245.02999877929688</x:v>
      </x:c>
      <x:c r="E293" s="191" t="n">
        <x:v>237.79971313476562</x:v>
      </x:c>
      <x:c r="F293" s="191" t="n">
        <x:v>399.8999938964844</x:v>
      </x:c>
      <x:c r="G293" s="191" t="n">
        <x:v>379.6872253417969</x:v>
      </x:c>
      <x:c r="H293" s="208" t="n">
        <x:f>E293/E292-1</x:f>
        <x:v>0.012311341865590686</x:v>
      </x:c>
      <x:c r="I293" s="208" t="n">
        <x:f>G293/G292-1</x:f>
        <x:v>0.013456806113197661</x:v>
      </x:c>
      <x:c r="J293" s="208" t="n">
        <x:f>'Beta HC3'!$E$13+'Beta HC3'!$E$12*I293</x:f>
        <x:v>0.01518587523895589</x:v>
      </x:c>
      <x:c r="K293" s="240" t="n">
        <x:f>H293-J293</x:f>
        <x:v>-0.0028745333733652036</x:v>
      </x:c>
      <x:c r="L293" s="240" t="n">
        <x:f>I293-'Beta HC3'!$E$9</x:f>
        <x:v>0.012892858495537222</x:v>
      </x:c>
      <x:c r="M293" s="240" t="n">
        <x:f>1/'Beta HC3'!$E$8+L293^2/'Beta HC3'!$E$11</x:f>
        <x:v>0.0019335387491815985</x:v>
      </x:c>
      <x:c r="N293" s="240" t="n">
        <x:f>K293^2/(1-M293)^2</x:f>
        <x:v>0.000008294988466425628</x:v>
      </x:c>
      <x:c r="O293" s="240" t="n">
        <x:f>N293*L293^2/'Beta HC3'!$E$11^2</x:f>
        <x:v>6.448058093649127e-8</x:v>
      </x:c>
      <x:c r="P293" s="240" t="n">
        <x:f>N293*(1/'Beta HC3'!$E$8-'Beta HC3'!$E$9*L293/'Beta HC3'!$E$11)^2</x:f>
        <x:v>4.629807518926588e-12</x:v>
      </x:c>
      <x:c r="Q293" s="240" t="n">
        <x:f>N293*(1/'Beta HC3'!$E$8-'Beta HC3'!$E$9*L293/'Beta HC3'!$E$11)*L293/'Beta HC3'!$E$11</x:f>
        <x:v>5.463814404283162e-10</x:v>
      </x:c>
      <x:c r="R293" s="240" t="n">
        <x:f>K293*L293/'Beta HC3'!$E$11</x:f>
        <x:v>-0.0002534392838495463</x:v>
      </x:c>
      <x:c r="S293" s="240" t="n">
        <x:f>(K293-K292)^2</x:f>
        <x:v>0.000108306344024515</x:v>
      </x:c>
      <x:c r="T293" s="280" t="n">
        <x:f>E293/$E$9*100</x:f>
        <x:v>84.03541681765005</x:v>
      </x:c>
    </x:row>
    <x:row r="294" ht="24" customHeight="1">
      <x:c r="C294" s="274" t="d">
        <x:v>2022-11-23T00:00:00.000Z</x:v>
      </x:c>
      <x:c r="D294" s="191" t="n">
        <x:v>247.5800018310547</x:v>
      </x:c>
      <x:c r="E294" s="191" t="n">
        <x:v>240.27452087402344</x:v>
      </x:c>
      <x:c r="F294" s="191" t="n">
        <x:v>402.4200134277344</x:v>
      </x:c>
      <x:c r="G294" s="191" t="n">
        <x:v>382.0798645019531</x:v>
      </x:c>
      <x:c r="H294" s="208" t="n">
        <x:f>E294/E293-1</x:f>
        <x:v>0.010407109859948749</x:v>
      </x:c>
      <x:c r="I294" s="208" t="n">
        <x:f>G294/G293-1</x:f>
        <x:v>0.00630160563869997</x:v>
      </x:c>
      <x:c r="J294" s="208" t="n">
        <x:f>'Beta HC3'!$E$13+'Beta HC3'!$E$12*I294</x:f>
        <x:v>0.007116156183904468</x:v>
      </x:c>
      <x:c r="K294" s="240" t="n">
        <x:f>H294-J294</x:f>
        <x:v>0.0032909536760442806</x:v>
      </x:c>
      <x:c r="L294" s="240" t="n">
        <x:f>I294-'Beta HC3'!$E$9</x:f>
        <x:v>0.00573765802103953</x:v>
      </x:c>
      <x:c r="M294" s="240" t="n">
        <x:f>1/'Beta HC3'!$E$8+L294^2/'Beta HC3'!$E$11</x:f>
        <x:v>0.001021939280708572</x:v>
      </x:c>
      <x:c r="N294" s="240" t="n">
        <x:f>K294^2/(1-M294)^2</x:f>
        <x:v>0.000010852546050114148</x:v>
      </x:c>
      <x:c r="O294" s="240" t="n">
        <x:f>N294*L294^2/'Beta HC3'!$E$11^2</x:f>
        <x:v>1.6707661946688244e-8</x:v>
      </x:c>
      <x:c r="P294" s="240" t="n">
        <x:f>N294*(1/'Beta HC3'!$E$8-'Beta HC3'!$E$9*L294/'Beta HC3'!$E$11)^2</x:f>
        <x:v>6.513018317687367e-12</x:v>
      </x:c>
      <x:c r="Q294" s="240" t="n">
        <x:f>N294*(1/'Beta HC3'!$E$8-'Beta HC3'!$E$9*L294/'Beta HC3'!$E$11)*L294/'Beta HC3'!$E$11</x:f>
        <x:v>3.2987468575886315e-10</x:v>
      </x:c>
      <x:c r="R294" s="240" t="n">
        <x:f>K294*L294/'Beta HC3'!$E$11</x:f>
        <x:v>0.0001291260274438738</x:v>
      </x:c>
      <x:c r="S294" s="240" t="n">
        <x:f>(K294-K293)^2</x:f>
        <x:v>0.00003801323055643607</x:v>
      </x:c>
      <x:c r="T294" s="280" t="n">
        <x:f>E294/$E$9*100</x:f>
        <x:v>84.90998263259792</x:v>
      </x:c>
    </x:row>
    <x:row r="295" ht="24" customHeight="1">
      <x:c r="C295" s="274" t="d">
        <x:v>2022-11-25T00:00:00.000Z</x:v>
      </x:c>
      <x:c r="D295" s="191" t="n">
        <x:v>247.49000549316406</x:v>
      </x:c>
      <x:c r="E295" s="191" t="n">
        <x:v>240.1871337890625</x:v>
      </x:c>
      <x:c r="F295" s="191" t="n">
        <x:v>402.3299865722656</x:v>
      </x:c>
      <x:c r="G295" s="191" t="n">
        <x:v>381.994384765625</x:v>
      </x:c>
      <x:c r="H295" s="208" t="n">
        <x:f>E295/E294-1</x:f>
        <x:v>-0.0003636968441058652</x:v>
      </x:c>
      <x:c r="I295" s="208" t="n">
        <x:f>G295/G294-1</x:f>
        <x:v>-0.0002237221698127012</x:v>
      </x:c>
      <x:c r="J295" s="208" t="n">
        <x:f>'Beta HC3'!$E$13+'Beta HC3'!$E$12*I295</x:f>
        <x:v>-0.00024318508745359058</x:v>
      </x:c>
      <x:c r="K295" s="240" t="n">
        <x:f>H295-J295</x:f>
        <x:v>-0.00012051175665227465</x:v>
      </x:c>
      <x:c r="L295" s="240" t="n">
        <x:f>I295-'Beta HC3'!$E$9</x:f>
        <x:v>-0.0007876697874731406</x:v>
      </x:c>
      <x:c r="M295" s="240" t="n">
        <x:f>1/'Beta HC3'!$E$8+L295^2/'Beta HC3'!$E$11</x:f>
        <x:v>0.0008010554823427227</x:v>
      </x:c>
      <x:c r="N295" s="240" t="n">
        <x:f>K295^2/(1-M295)^2</x:f>
        <x:v>1.4546379070558152e-8</x:v>
      </x:c>
      <x:c r="O295" s="240" t="n">
        <x:f>N295*L295^2/'Beta HC3'!$E$11^2</x:f>
        <x:v>4.2204426085958157e-13</x:v>
      </x:c>
      <x:c r="P295" s="240" t="n">
        <x:f>N295*(1/'Beta HC3'!$E$8-'Beta HC3'!$E$9*L295/'Beta HC3'!$E$11)^2</x:f>
        <x:v>9.306201506593479e-15</x:v>
      </x:c>
      <x:c r="Q295" s="240" t="n">
        <x:f>N295*(1/'Beta HC3'!$E$8-'Beta HC3'!$E$9*L295/'Beta HC3'!$E$11)*L295/'Beta HC3'!$E$11</x:f>
        <x:v>-6.267079811411827e-14</x:v>
      </x:c>
      <x:c r="R295" s="240" t="n">
        <x:f>K295*L295/'Beta HC3'!$E$11</x:f>
        <x:v>6.49128931679377e-7</x:v>
      </x:c>
      <x:c r="S295" s="240" t="n">
        <x:f>(K295-K294)^2</x:f>
        <x:v>0.000011638096398483494</x:v>
      </x:c>
      <x:c r="T295" s="280" t="n">
        <x:f>E295/$E$9*100</x:f>
        <x:v>84.87910113988136</x:v>
      </x:c>
    </x:row>
    <x:row r="296" ht="24" customHeight="1">
      <x:c r="C296" s="274" t="d">
        <x:v>2022-11-28T00:00:00.000Z</x:v>
      </x:c>
      <x:c r="D296" s="191" t="n">
        <x:v>241.75999450683594</x:v>
      </x:c>
      <x:c r="E296" s="191" t="n">
        <x:v>234.62623596191406</x:v>
      </x:c>
      <x:c r="F296" s="191" t="n">
        <x:v>395.9100036621094</x:v>
      </x:c>
      <x:c r="G296" s="191" t="n">
        <x:v>375.8988952636719</x:v>
      </x:c>
      <x:c r="H296" s="208" t="n">
        <x:f>E296/E295-1</x:f>
        <x:v>-0.023152355163337468</x:v>
      </x:c>
      <x:c r="I296" s="208" t="n">
        <x:f>G296/G295-1</x:f>
        <x:v>-0.015957013362102312</x:v>
      </x:c>
      <x:c r="J296" s="208" t="n">
        <x:f>'Beta HC3'!$E$13+'Beta HC3'!$E$12*I296</x:f>
        <x:v>-0.017987375510294987</x:v>
      </x:c>
      <x:c r="K296" s="240" t="n">
        <x:f>H296-J296</x:f>
        <x:v>-0.005164979653042481</x:v>
      </x:c>
      <x:c r="L296" s="240" t="n">
        <x:f>I296-'Beta HC3'!$E$9</x:f>
        <x:v>-0.01652096097976275</x:v>
      </x:c>
      <x:c r="M296" s="240" t="n">
        <x:f>1/'Beta HC3'!$E$8+L296^2/'Beta HC3'!$E$11</x:f>
        <x:v>0.0026633126547278983</x:v>
      </x:c>
      <x:c r="N296" s="240" t="n">
        <x:f>K296^2/(1-M296)^2</x:f>
        <x:v>0.000026819682980201605</x:v>
      </x:c>
      <x:c r="O296" s="240" t="n">
        <x:f>N296*L296^2/'Beta HC3'!$E$11^2</x:f>
        <x:v>3.4232528132962833e-7</x:v>
      </x:c>
      <x:c r="P296" s="240" t="n">
        <x:f>N296*(1/'Beta HC3'!$E$8-'Beta HC3'!$E$9*L296/'Beta HC3'!$E$11)^2</x:f>
        <x:v>1.986012054796442e-11</x:v>
      </x:c>
      <x:c r="Q296" s="240" t="n">
        <x:f>N296*(1/'Beta HC3'!$E$8-'Beta HC3'!$E$9*L296/'Beta HC3'!$E$11)*L296/'Beta HC3'!$E$11</x:f>
        <x:v>-2.6074166053437363e-9</x:v>
      </x:c>
      <x:c r="R296" s="240" t="n">
        <x:f>K296*L296/'Beta HC3'!$E$11</x:f>
        <x:v>0.0005835274380999214</x:v>
      </x:c>
      <x:c r="S296" s="240" t="n">
        <x:f>(K296-K295)^2</x:f>
        <x:v>0.000025446656357711434</x:v>
      </x:c>
      <x:c r="T296" s="280" t="n">
        <x:f>E296/$E$9*100</x:f>
        <x:v>82.91395004434598</x:v>
      </x:c>
    </x:row>
    <x:row r="297" ht="24" customHeight="1">
      <x:c r="C297" s="274" t="d">
        <x:v>2022-11-29T00:00:00.000Z</x:v>
      </x:c>
      <x:c r="D297" s="191" t="n">
        <x:v>240.3300018310547</x:v>
      </x:c>
      <x:c r="E297" s="191" t="n">
        <x:v>233.2384490966797</x:v>
      </x:c>
      <x:c r="F297" s="191" t="n">
        <x:v>395.2300109863281</x:v>
      </x:c>
      <x:c r="G297" s="191" t="n">
        <x:v>375.2532958984375</x:v>
      </x:c>
      <x:c r="H297" s="208" t="n">
        <x:f>E297/E296-1</x:f>
        <x:v>-0.005914883557436634</x:v>
      </x:c>
      <x:c r="I297" s="208" t="n">
        <x:f>G297/G296-1</x:f>
        <x:v>-0.0017174814115415993</x:v>
      </x:c>
      <x:c r="J297" s="208" t="n">
        <x:f>'Beta HC3'!$E$13+'Beta HC3'!$E$12*I297</x:f>
        <x:v>-0.0019278642882114253</x:v>
      </x:c>
      <x:c r="K297" s="240" t="n">
        <x:f>H297-J297</x:f>
        <x:v>-0.0039870192692252095</x:v>
      </x:c>
      <x:c r="L297" s="240" t="n">
        <x:f>I297-'Beta HC3'!$E$9</x:f>
        <x:v>-0.0022814290292020385</x:v>
      </x:c>
      <x:c r="M297" s="240" t="n">
        <x:f>1/'Beta HC3'!$E$8+L297^2/'Beta HC3'!$E$11</x:f>
        <x:v>0.0008324062975676854</x:v>
      </x:c>
      <x:c r="N297" s="240" t="n">
        <x:f>K297^2/(1-M297)^2</x:f>
        <x:v>0.00001592282013175258</x:v>
      </x:c>
      <x:c r="O297" s="240" t="n">
        <x:f>N297*L297^2/'Beta HC3'!$E$11^2</x:f>
        <x:v>3.875686485575503e-9</x:v>
      </x:c>
      <x:c r="P297" s="240" t="n">
        <x:f>N297*(1/'Beta HC3'!$E$8-'Beta HC3'!$E$9*L297/'Beta HC3'!$E$11)^2</x:f>
        <x:v>1.033405840259871e-11</x:v>
      </x:c>
      <x:c r="Q297" s="240" t="n">
        <x:f>N297*(1/'Beta HC3'!$E$8-'Beta HC3'!$E$9*L297/'Beta HC3'!$E$11)*L297/'Beta HC3'!$E$11</x:f>
        <x:v>-2.0012888470208344e-10</x:v>
      </x:c>
      <x:c r="R297" s="240" t="n">
        <x:f>K297*L297/'Beta HC3'!$E$11</x:f>
        <x:v>0.00006220319026676715</x:v>
      </x:c>
      <x:c r="S297" s="240" t="n">
        <x:f>(K297-K296)^2</x:f>
        <x:v>0.0000013875906658429343</x:v>
      </x:c>
      <x:c r="T297" s="280" t="n">
        <x:f>E297/$E$9*100</x:f>
        <x:v>82.42352368454655</x:v>
      </x:c>
    </x:row>
    <x:row r="298" ht="24" customHeight="1">
      <x:c r="C298" s="274" t="d">
        <x:v>2022-11-30T00:00:00.000Z</x:v>
      </x:c>
      <x:c r="D298" s="191" t="n">
        <x:v>255.13999938964844</x:v>
      </x:c>
      <x:c r="E298" s="191" t="n">
        <x:v>247.6114044189453</x:v>
      </x:c>
      <x:c r="F298" s="191" t="n">
        <x:v>407.67999267578125</x:v>
      </x:c>
      <x:c r="G298" s="191" t="n">
        <x:v>387.0740051269531</x:v>
      </x:c>
      <x:c r="H298" s="208" t="n">
        <x:f>E298/E297-1</x:f>
        <x:v>0.06162343892240463</x:v>
      </x:c>
      <x:c r="I298" s="208" t="n">
        <x:f>G298/G297-1</x:f>
        <x:v>0.031500614005839145</x:v>
      </x:c>
      <x:c r="J298" s="208" t="n">
        <x:f>'Beta HC3'!$E$13+'Beta HC3'!$E$12*I298</x:f>
        <x:v>0.03553589350831237</x:v>
      </x:c>
      <x:c r="K298" s="240" t="n">
        <x:f>H298-J298</x:f>
        <x:v>0.026087545414092257</x:v>
      </x:c>
      <x:c r="L298" s="240" t="n">
        <x:f>I298-'Beta HC3'!$E$9</x:f>
        <x:v>0.030936666388178706</x:v>
      </x:c>
      <x:c r="M298" s="240" t="n">
        <x:f>1/'Beta HC3'!$E$8+L298^2/'Beta HC3'!$E$11</x:f>
        <x:v>0.007341733458105948</x:v>
      </x:c>
      <x:c r="N298" s="240" t="n">
        <x:f>K298^2/(1-M298)^2</x:f>
        <x:v>0.0006906641422933195</x:v>
      </x:c>
      <x:c r="O298" s="240" t="n">
        <x:f>N298*L298^2/'Beta HC3'!$E$11^2</x:f>
        <x:v>0.00003091211069418713</x:v>
      </x:c>
      <x:c r="P298" s="240" t="n">
        <x:f>N298*(1/'Beta HC3'!$E$8-'Beta HC3'!$E$9*L298/'Beta HC3'!$E$11)^2</x:f>
        <x:v>3.1702358272452726e-10</x:v>
      </x:c>
      <x:c r="Q298" s="240" t="n">
        <x:f>N298*(1/'Beta HC3'!$E$8-'Beta HC3'!$E$9*L298/'Beta HC3'!$E$11)*L298/'Beta HC3'!$E$11</x:f>
        <x:v>9.899428307659174e-8</x:v>
      </x:c>
      <x:c r="R298" s="240" t="n">
        <x:f>K298*L298/'Beta HC3'!$E$11</x:f>
        <x:v>0.005519047013273953</x:v>
      </x:c>
      <x:c r="S298" s="240" t="n">
        <x:f>(K298-K297)^2</x:f>
        <x:v>0.0009044794408910462</x:v>
      </x:c>
      <x:c r="T298" s="280" t="n">
        <x:f>E298/$E$9*100</x:f>
        <x:v>87.50274466209058</x:v>
      </x:c>
    </x:row>
    <x:row r="299" ht="24" customHeight="1">
      <x:c r="C299" s="274" t="d">
        <x:v>2022-12-01T00:00:00.000Z</x:v>
      </x:c>
      <x:c r="D299" s="191" t="n">
        <x:v>254.69000244140625</x:v>
      </x:c>
      <x:c r="E299" s="191" t="n">
        <x:v>247.17471313476562</x:v>
      </x:c>
      <x:c r="F299" s="191" t="n">
        <x:v>407.3800048828125</x:v>
      </x:c>
      <x:c r="G299" s="191" t="n">
        <x:v>386.7891845703125</x:v>
      </x:c>
      <x:c r="H299" s="208" t="n">
        <x:f>E299/E298-1</x:f>
        <x:v>-0.0017636153924510678</x:v>
      </x:c>
      <x:c r="I299" s="208" t="n">
        <x:f>G299/G298-1</x:f>
        <x:v>-0.0007358297195576569</x:v>
      </x:c>
      <x:c r="J299" s="208" t="n">
        <x:f>'Beta HC3'!$E$13+'Beta HC3'!$E$12*I299</x:f>
        <x:v>-0.0008207459911825215</x:v>
      </x:c>
      <x:c r="K299" s="240" t="n">
        <x:f>H299-J299</x:f>
        <x:v>-0.0009428694012685463</x:v>
      </x:c>
      <x:c r="L299" s="240" t="n">
        <x:f>I299-'Beta HC3'!$E$9</x:f>
        <x:v>-0.0012997773372180961</x:v>
      </x:c>
      <x:c r="M299" s="240" t="n">
        <x:f>1/'Beta HC3'!$E$8+L299^2/'Beta HC3'!$E$11</x:f>
        <x:v>0.0008083657625398993</x:v>
      </x:c>
      <x:c r="N299" s="240" t="n">
        <x:f>K299^2/(1-M299)^2</x:f>
        <x:v>8.904417312028044e-7</x:v>
      </x:c>
      <x:c r="O299" s="240" t="n">
        <x:f>N299*L299^2/'Beta HC3'!$E$11^2</x:f>
        <x:v>7.034903572283643e-11</x:v>
      </x:c>
      <x:c r="P299" s="240" t="n">
        <x:f>N299*(1/'Beta HC3'!$E$8-'Beta HC3'!$E$9*L299/'Beta HC3'!$E$11)^2</x:f>
        <x:v>5.724862955106793e-13</x:v>
      </x:c>
      <x:c r="Q299" s="240" t="n">
        <x:f>N299*(1/'Beta HC3'!$E$8-'Beta HC3'!$E$9*L299/'Beta HC3'!$E$11)*L299/'Beta HC3'!$E$11</x:f>
        <x:v>-6.34616883274587e-12</x:v>
      </x:c>
      <x:c r="R299" s="240" t="n">
        <x:f>K299*L299/'Beta HC3'!$E$11</x:f>
        <x:v>0.00000838065308845128</x:v>
      </x:c>
      <x:c r="S299" s="240" t="n">
        <x:f>(K299-K298)^2</x:f>
        <x:v>0.0007306433250904768</x:v>
      </x:c>
      <x:c r="T299" s="280" t="n">
        <x:f>E299/$E$9*100</x:f>
        <x:v>87.3484234747228</x:v>
      </x:c>
    </x:row>
    <x:row r="300" ht="24" customHeight="1">
      <x:c r="C300" s="274" t="d">
        <x:v>2022-12-02T00:00:00.000Z</x:v>
      </x:c>
      <x:c r="D300" s="191" t="n">
        <x:v>255.02000427246094</x:v>
      </x:c>
      <x:c r="E300" s="191" t="n">
        <x:v>247.49497985839844</x:v>
      </x:c>
      <x:c r="F300" s="191" t="n">
        <x:v>406.9100036621094</x:v>
      </x:c>
      <x:c r="G300" s="191" t="n">
        <x:v>386.3429260253906</x:v>
      </x:c>
      <x:c r="H300" s="208" t="n">
        <x:f>E300/E299-1</x:f>
        <x:v>0.0012957099032140373</x:v>
      </x:c>
      <x:c r="I300" s="208" t="n">
        <x:f>G300/G299-1</x:f>
        <x:v>-0.0011537513527365428</x:v>
      </x:c>
      <x:c r="J300" s="208" t="n">
        <x:f>'Beta HC3'!$E$13+'Beta HC3'!$E$12*I300</x:f>
        <x:v>-0.0012920829130202878</x:v>
      </x:c>
      <x:c r="K300" s="240" t="n">
        <x:f>H300-J300</x:f>
        <x:v>0.002587792816234325</x:v>
      </x:c>
      <x:c r="L300" s="240" t="n">
        <x:f>I300-'Beta HC3'!$E$9</x:f>
        <x:v>-0.001717698970396982</x:v>
      </x:c>
      <x:c r="M300" s="240" t="n">
        <x:f>1/'Beta HC3'!$E$8+L300^2/'Beta HC3'!$E$11</x:f>
        <x:v>0.0008169895110447172</x:v>
      </x:c>
      <x:c r="N300" s="240" t="n">
        <x:f>K300^2/(1-M300)^2</x:f>
        <x:v>0.000006707627304905709</x:v>
      </x:c>
      <x:c r="O300" s="240" t="n">
        <x:f>N300*L300^2/'Beta HC3'!$E$11^2</x:f>
        <x:v>9.255028435576661e-10</x:v>
      </x:c>
      <x:c r="P300" s="240" t="n">
        <x:f>N300*(1/'Beta HC3'!$E$8-'Beta HC3'!$E$9*L300/'Beta HC3'!$E$11)^2</x:f>
        <x:v>4.3298483489373355e-12</x:v>
      </x:c>
      <x:c r="Q300" s="240" t="n">
        <x:f>N300*(1/'Beta HC3'!$E$8-'Beta HC3'!$E$9*L300/'Beta HC3'!$E$11)*L300/'Beta HC3'!$E$11</x:f>
        <x:v>-6.330313546037802e-11</x:v>
      </x:c>
      <x:c r="R300" s="240" t="n">
        <x:f>K300*L300/'Beta HC3'!$E$11</x:f>
        <x:v>-0.000030397223706672856</x:v>
      </x:c>
      <x:c r="S300" s="240" t="n">
        <x:f>(K300-K299)^2</x:f>
        <x:v>0.000012465575694102295</x:v>
      </x:c>
      <x:c r="T300" s="280" t="n">
        <x:f>E300/$E$9*100</x:f>
        <x:v>87.46160169204913</x:v>
      </x:c>
    </x:row>
    <x:row r="301" ht="24" customHeight="1">
      <x:c r="C301" s="274" t="d">
        <x:v>2022-12-05T00:00:00.000Z</x:v>
      </x:c>
      <x:c r="D301" s="191" t="n">
        <x:v>250.1999969482422</x:v>
      </x:c>
      <x:c r="E301" s="191" t="n">
        <x:v>242.8171844482422</x:v>
      </x:c>
      <x:c r="F301" s="191" t="n">
        <x:v>399.5899963378906</x:v>
      </x:c>
      <x:c r="G301" s="191" t="n">
        <x:v>379.3929138183594</x:v>
      </x:c>
      <x:c r="H301" s="208" t="n">
        <x:f>E301/E300-1</x:f>
        <x:v>-0.018900566843144007</x:v>
      </x:c>
      <x:c r="I301" s="208" t="n">
        <x:f>G301/G300-1</x:f>
        <x:v>-0.017989231169653896</x:v>
      </x:c>
      <x:c r="J301" s="208" t="n">
        <x:f>'Beta HC3'!$E$13+'Beta HC3'!$E$12*I301</x:f>
        <x:v>-0.02027933459991995</x:v>
      </x:c>
      <x:c r="K301" s="240" t="n">
        <x:f>H301-J301</x:f>
        <x:v>0.0013787677567759435</x:v>
      </x:c>
      <x:c r="L301" s="240" t="n">
        <x:f>I301-'Beta HC3'!$E$9</x:f>
        <x:v>-0.018553178787314335</x:v>
      </x:c>
      <x:c r="M301" s="240" t="n">
        <x:f>1/'Beta HC3'!$E$8+L301^2/'Beta HC3'!$E$11</x:f>
        <x:v>0.003150745333733284</x:v>
      </x:c>
      <x:c r="N301" s="240" t="n">
        <x:f>K301^2/(1-M301)^2</x:f>
        <x:v>0.0000019130365177996346</x:v>
      </x:c>
      <x:c r="O301" s="240" t="n">
        <x:f>N301*L301^2/'Beta HC3'!$E$11^2</x:f>
        <x:v>3.0794605331141074e-8</x:v>
      </x:c>
      <x:c r="P301" s="240" t="n">
        <x:f>N301*(1/'Beta HC3'!$E$8-'Beta HC3'!$E$9*L301/'Beta HC3'!$E$11)^2</x:f>
        <x:v>1.4425352159203966e-12</x:v>
      </x:c>
      <x:c r="Q301" s="240" t="n">
        <x:f>N301*(1/'Beta HC3'!$E$8-'Beta HC3'!$E$9*L301/'Beta HC3'!$E$11)*L301/'Beta HC3'!$E$11</x:f>
        <x:v>-2.107659902606229e-10</x:v>
      </x:c>
      <x:c r="R301" s="240" t="n">
        <x:f>K301*L301/'Beta HC3'!$E$11</x:f>
        <x:v>-0.00017493101245098398</x:v>
      </x:c>
      <x:c r="S301" s="240" t="n">
        <x:f>(K301-K300)^2</x:f>
        <x:v>0.0000014617415943983433</x:v>
      </x:c>
      <x:c r="T301" s="280" t="n">
        <x:f>E301/$E$9*100</x:f>
        <x:v>85.8085278430601</x:v>
      </x:c>
    </x:row>
    <x:row r="302" ht="24" customHeight="1">
      <x:c r="C302" s="274" t="d">
        <x:v>2022-12-06T00:00:00.000Z</x:v>
      </x:c>
      <x:c r="D302" s="191" t="n">
        <x:v>245.1199951171875</x:v>
      </x:c>
      <x:c r="E302" s="191" t="n">
        <x:v>237.88710021972656</x:v>
      </x:c>
      <x:c r="F302" s="191" t="n">
        <x:v>393.8299865722656</x:v>
      </x:c>
      <x:c r="G302" s="191" t="n">
        <x:v>373.924072265625</x:v>
      </x:c>
      <x:c r="H302" s="208" t="n">
        <x:f>E302/E301-1</x:f>
        <x:v>-0.020303687482903454</x:v>
      </x:c>
      <x:c r="I302" s="208" t="n">
        <x:f>G302/G301-1</x:f>
        <x:v>-0.014414717179859315</x:v>
      </x:c>
      <x:c r="J302" s="208" t="n">
        <x:f>'Beta HC3'!$E$13+'Beta HC3'!$E$12*I302</x:f>
        <x:v>-0.01624795577848753</x:v>
      </x:c>
      <x:c r="K302" s="240" t="n">
        <x:f>H302-J302</x:f>
        <x:v>-0.004055731704415925</x:v>
      </x:c>
      <x:c r="L302" s="240" t="n">
        <x:f>I302-'Beta HC3'!$E$9</x:f>
        <x:v>-0.014978664797519754</x:v>
      </x:c>
      <x:c r="M302" s="240" t="n">
        <x:f>1/'Beta HC3'!$E$8+L302^2/'Beta HC3'!$E$11</x:f>
        <x:v>0.0023310890093715736</x:v>
      </x:c>
      <x:c r="N302" s="240" t="n">
        <x:f>K302^2/(1-M302)^2</x:f>
        <x:v>0.000016525916621985303</x:v>
      </x:c>
      <x:c r="O302" s="240" t="n">
        <x:f>N302*L302^2/'Beta HC3'!$E$11^2</x:f>
        <x:v>1.7339097312794023e-7</x:v>
      </x:c>
      <x:c r="P302" s="240" t="n">
        <x:f>N302*(1/'Beta HC3'!$E$8-'Beta HC3'!$E$9*L302/'Beta HC3'!$E$11)^2</x:f>
        <x:v>1.2068945346076633e-11</x:v>
      </x:c>
      <x:c r="Q302" s="240" t="n">
        <x:f>N302*(1/'Beta HC3'!$E$8-'Beta HC3'!$E$9*L302/'Beta HC3'!$E$11)*L302/'Beta HC3'!$E$11</x:f>
        <x:v>-1.4465981398384807e-9</x:v>
      </x:c>
      <x:c r="R302" s="240" t="n">
        <x:f>K302*L302/'Beta HC3'!$E$11</x:f>
        <x:v>0.0004154317461951554</x:v>
      </x:c>
      <x:c r="S302" s="240" t="n">
        <x:f>(K302-K301)^2</x:f>
        <x:v>0.000029533784393694708</x:v>
      </x:c>
      <x:c r="T302" s="280" t="n">
        <x:f>E302/$E$9*100</x:f>
        <x:v>84.0662983103666</x:v>
      </x:c>
    </x:row>
    <x:row r="303" ht="24" customHeight="1">
      <x:c r="C303" s="274" t="d">
        <x:v>2022-12-07T00:00:00.000Z</x:v>
      </x:c>
      <x:c r="D303" s="191" t="n">
        <x:v>244.3699951171875</x:v>
      </x:c>
      <x:c r="E303" s="191" t="n">
        <x:v>237.15921020507812</x:v>
      </x:c>
      <x:c r="F303" s="191" t="n">
        <x:v>393.1600036621094</x:v>
      </x:c>
      <x:c r="G303" s="191" t="n">
        <x:v>373.2879333496094</x:v>
      </x:c>
      <x:c r="H303" s="208" t="n">
        <x:f>E303/E302-1</x:f>
        <x:v>-0.0030598128859282703</x:v>
      </x:c>
      <x:c r="I303" s="208" t="n">
        <x:f>G303/G302-1</x:f>
        <x:v>-0.0017012515727089506</x:v>
      </x:c>
      <x:c r="J303" s="208" t="n">
        <x:f>'Beta HC3'!$E$13+'Beta HC3'!$E$12*I303</x:f>
        <x:v>-0.0019095600855332418</x:v>
      </x:c>
      <x:c r="K303" s="240" t="n">
        <x:f>H303-J303</x:f>
        <x:v>-0.0011502528003950285</x:v>
      </x:c>
      <x:c r="L303" s="240" t="n">
        <x:f>I303-'Beta HC3'!$E$9</x:f>
        <x:v>-0.00226519919036939</x:v>
      </x:c>
      <x:c r="M303" s="240" t="n">
        <x:f>1/'Beta HC3'!$E$8+L303^2/'Beta HC3'!$E$11</x:f>
        <x:v>0.0008319016815734635</x:v>
      </x:c>
      <x:c r="N303" s="240" t="n">
        <x:f>K303^2/(1-M303)^2</x:f>
        <x:v>0.0000013252856022811164</x:v>
      </x:c>
      <x:c r="O303" s="240" t="n">
        <x:f>N303*L303^2/'Beta HC3'!$E$11^2</x:f>
        <x:v>3.1800723309702567e-10</x:v>
      </x:c>
      <x:c r="P303" s="240" t="n">
        <x:f>N303*(1/'Beta HC3'!$E$8-'Beta HC3'!$E$9*L303/'Beta HC3'!$E$11)^2</x:f>
        <x:v>8.599890388535066e-13</x:v>
      </x:c>
      <x:c r="Q303" s="240" t="n">
        <x:f>N303*(1/'Beta HC3'!$E$8-'Beta HC3'!$E$9*L303/'Beta HC3'!$E$11)*L303/'Beta HC3'!$E$11</x:f>
        <x:v>-1.6537313407551243e-11</x:v>
      </x:c>
      <x:c r="R303" s="240" t="n">
        <x:f>K303*L303/'Beta HC3'!$E$11</x:f>
        <x:v>0.000017817922204154704</x:v>
      </x:c>
      <x:c r="S303" s="240" t="n">
        <x:f>(K303-K302)^2</x:f>
        <x:v>0.000008441807661710468</x:v>
      </x:c>
      <x:c r="T303" s="280" t="n">
        <x:f>E303/$E$9*100</x:f>
        <x:v>83.80907116752425</x:v>
      </x:c>
    </x:row>
    <x:row r="304" ht="24" customHeight="1">
      <x:c r="C304" s="274" t="d">
        <x:v>2022-12-08T00:00:00.000Z</x:v>
      </x:c>
      <x:c r="D304" s="191" t="n">
        <x:v>247.39999389648438</x:v>
      </x:c>
      <x:c r="E304" s="191" t="n">
        <x:v>240.0998077392578</x:v>
      </x:c>
      <x:c r="F304" s="191" t="n">
        <x:v>396.239990234375</x:v>
      </x:c>
      <x:c r="G304" s="191" t="n">
        <x:v>376.21221923828125</x:v>
      </x:c>
      <x:c r="H304" s="208" t="n">
        <x:f>E304/E303-1</x:f>
        <x:v>0.012399255047429447</x:v>
      </x:c>
      <x:c r="I304" s="208" t="n">
        <x:f>G304/G303-1</x:f>
        <x:v>0.007833861283517818</x:v>
      </x:c>
      <x:c r="J304" s="208" t="n">
        <x:f>'Beta HC3'!$E$13+'Beta HC3'!$E$12*I304</x:f>
        <x:v>0.008844252079787068</x:v>
      </x:c>
      <x:c r="K304" s="240" t="n">
        <x:f>H304-J304</x:f>
        <x:v>0.0035550029676423792</x:v>
      </x:c>
      <x:c r="L304" s="240" t="n">
        <x:f>I304-'Beta HC3'!$E$9</x:f>
        <x:v>0.007269913665857378</x:v>
      </x:c>
      <x:c r="M304" s="240" t="n">
        <x:f>1/'Beta HC3'!$E$8+L304^2/'Beta HC3'!$E$11</x:f>
        <x:v>0.0011582358170577232</x:v>
      </x:c>
      <x:c r="N304" s="240" t="n">
        <x:f>K304^2/(1-M304)^2</x:f>
        <x:v>0.000012667372716111959</x:v>
      </x:c>
      <x:c r="O304" s="240" t="n">
        <x:f>N304*L304^2/'Beta HC3'!$E$11^2</x:f>
        <x:v>3.1308321059387635e-8</x:v>
      </x:c>
      <x:c r="P304" s="240" t="n">
        <x:f>N304*(1/'Beta HC3'!$E$8-'Beta HC3'!$E$9*L304/'Beta HC3'!$E$11)^2</x:f>
        <x:v>7.48662962780075e-12</x:v>
      </x:c>
      <x:c r="Q304" s="240" t="n">
        <x:f>N304*(1/'Beta HC3'!$E$8-'Beta HC3'!$E$9*L304/'Beta HC3'!$E$11)*L304/'Beta HC3'!$E$11</x:f>
        <x:v>4.841423386153185e-10</x:v>
      </x:c>
      <x:c r="R304" s="240" t="n">
        <x:f>K304*L304/'Beta HC3'!$E$11</x:f>
        <x:v>0.00017673663520100774</x:v>
      </x:c>
      <x:c r="S304" s="240" t="n">
        <x:f>(K304-K303)^2</x:f>
        <x:v>0.0000221394318426493</x:v>
      </x:c>
      <x:c r="T304" s="280" t="n">
        <x:f>E304/$E$9*100</x:f>
        <x:v>84.84824121621854</x:v>
      </x:c>
    </x:row>
    <x:row r="305" ht="24" customHeight="1">
      <x:c r="C305" s="274" t="d">
        <x:v>2022-12-09T00:00:00.000Z</x:v>
      </x:c>
      <x:c r="D305" s="191" t="n">
        <x:v>245.4199981689453</x:v>
      </x:c>
      <x:c r="E305" s="191" t="n">
        <x:v>238.17823791503906</x:v>
      </x:c>
      <x:c r="F305" s="191" t="n">
        <x:v>393.2799987792969</x:v>
      </x:c>
      <x:c r="G305" s="191" t="n">
        <x:v>373.40191650390625</x:v>
      </x:c>
      <x:c r="H305" s="208" t="n">
        <x:f>E305/E304-1</x:f>
        <x:v>-0.00800321267356252</x:v>
      </x:c>
      <x:c r="I305" s="208" t="n">
        <x:f>G305/G304-1</x:f>
        <x:v>-0.0074699932396269375</x:v>
      </x:c>
      <x:c r="J305" s="208" t="n">
        <x:f>'Beta HC3'!$E$13+'Beta HC3'!$E$12*I305</x:f>
        <x:v>-0.008415614628535437</x:v>
      </x:c>
      <x:c r="K305" s="240" t="n">
        <x:f>H305-J305</x:f>
        <x:v>0.00041240195497291646</x:v>
      </x:c>
      <x:c r="L305" s="240" t="n">
        <x:f>I305-'Beta HC3'!$E$9</x:f>
        <x:v>-0.008033940857287376</x:v>
      </x:c>
      <x:c r="M305" s="240" t="n">
        <x:f>1/'Beta HC3'!$E$8+L305^2/'Beta HC3'!$E$11</x:f>
        <x:v>0.0012381947528571783</x:v>
      </x:c>
      <x:c r="N305" s="240" t="n">
        <x:f>K305^2/(1-M305)^2</x:f>
        <x:v>1.7049732886751348e-7</x:v>
      </x:c>
      <x:c r="O305" s="240" t="n">
        <x:f>N305*L305^2/'Beta HC3'!$E$11^2</x:f>
        <x:v>5.146234392026041e-10</x:v>
      </x:c>
      <x:c r="P305" s="240" t="n">
        <x:f>N305*(1/'Beta HC3'!$E$8-'Beta HC3'!$E$9*L305/'Beta HC3'!$E$11)^2</x:f>
        <x:v>1.1683260486942585e-13</x:v>
      </x:c>
      <x:c r="Q305" s="240" t="n">
        <x:f>N305*(1/'Beta HC3'!$E$8-'Beta HC3'!$E$9*L305/'Beta HC3'!$E$11)*L305/'Beta HC3'!$E$11</x:f>
        <x:v>-7.754018115074459e-12</x:v>
      </x:c>
      <x:c r="R305" s="240" t="n">
        <x:f>K305*L305/'Beta HC3'!$E$11</x:f>
        <x:v>-0.000022657224457136617</x:v>
      </x:c>
      <x:c r="S305" s="240" t="n">
        <x:f>(K305-K304)^2</x:f>
        <x:v>0.000009875941124831134</x:v>
      </x:c>
      <x:c r="T305" s="280" t="n">
        <x:f>E305/$E$9*100</x:f>
        <x:v>84.16918269678742</x:v>
      </x:c>
    </x:row>
    <x:row r="306" ht="24" customHeight="1">
      <x:c r="C306" s="274" t="d">
        <x:v>2022-12-12T00:00:00.000Z</x:v>
      </x:c>
      <x:c r="D306" s="191" t="n">
        <x:v>252.50999450683594</x:v>
      </x:c>
      <x:c r="E306" s="191" t="n">
        <x:v>245.05905151367188</x:v>
      </x:c>
      <x:c r="F306" s="191" t="n">
        <x:v>398.95001220703125</x:v>
      </x:c>
      <x:c r="G306" s="191" t="n">
        <x:v>378.7853088378906</x:v>
      </x:c>
      <x:c r="H306" s="208" t="n">
        <x:f>E306/E305-1</x:f>
        <x:v>0.02888934630999862</x:v>
      </x:c>
      <x:c r="I306" s="208" t="n">
        <x:f>G306/G305-1</x:f>
        <x:v>0.014417152392756982</x:v>
      </x:c>
      <x:c r="J306" s="208" t="n">
        <x:f>'Beta HC3'!$E$13+'Beta HC3'!$E$12*I306</x:f>
        <x:v>0.016268965041852244</x:v>
      </x:c>
      <x:c r="K306" s="240" t="n">
        <x:f>H306-J306</x:f>
        <x:v>0.012620381268146377</x:v>
      </x:c>
      <x:c r="L306" s="240" t="n">
        <x:f>I306-'Beta HC3'!$E$9</x:f>
        <x:v>0.013853204775096543</x:v>
      </x:c>
      <x:c r="M306" s="240" t="n">
        <x:f>1/'Beta HC3'!$E$8+L306^2/'Beta HC3'!$E$11</x:f>
        <x:v>0.0021091875088034874</x:v>
      </x:c>
      <x:c r="N306" s="240" t="n">
        <x:f>K306^2/(1-M306)^2</x:f>
        <x:v>0.00015994803258181288</x:v>
      </x:c>
      <x:c r="O306" s="240" t="n">
        <x:f>N306*L306^2/'Beta HC3'!$E$11^2</x:f>
        <x:v>0.0000014354700414913152</x:v>
      </x:c>
      <x:c r="P306" s="240" t="n">
        <x:f>N306*(1/'Beta HC3'!$E$8-'Beta HC3'!$E$9*L306/'Beta HC3'!$E$11)^2</x:f>
        <x:v>8.839128260178243e-11</x:v>
      </x:c>
      <x:c r="Q306" s="240" t="n">
        <x:f>N306*(1/'Beta HC3'!$E$8-'Beta HC3'!$E$9*L306/'Beta HC3'!$E$11)*L306/'Beta HC3'!$E$11</x:f>
        <x:v>1.1264237129244537e-8</x:v>
      </x:c>
      <x:c r="R306" s="240" t="n">
        <x:f>K306*L306/'Beta HC3'!$E$11</x:f>
        <x:v>0.0011955839897159338</x:v>
      </x:c>
      <x:c r="S306" s="240" t="n">
        <x:f>(K306-K305)^2</x:f>
        <x:v>0.00014903475891087114</x:v>
      </x:c>
      <x:c r="T306" s="280" t="n">
        <x:f>E306/$E$9*100</x:f>
        <x:v>86.60077536434446</x:v>
      </x:c>
    </x:row>
    <x:row r="307" ht="24" customHeight="1">
      <x:c r="C307" s="274" t="d">
        <x:v>2022-12-13T00:00:00.000Z</x:v>
      </x:c>
      <x:c r="D307" s="191" t="n">
        <x:v>256.9200134277344</x:v>
      </x:c>
      <x:c r="E307" s="191" t="n">
        <x:v>249.3389129638672</x:v>
      </x:c>
      <x:c r="F307" s="191" t="n">
        <x:v>401.9700012207031</x:v>
      </x:c>
      <x:c r="G307" s="191" t="n">
        <x:v>381.65264892578125</x:v>
      </x:c>
      <x:c r="H307" s="208" t="n">
        <x:f>E307/E306-1</x:f>
        <x:v>0.017464612809686475</x:v>
      </x:c>
      <x:c r="I307" s="208" t="n">
        <x:f>G307/G306-1</x:f>
        <x:v>0.007569829190808841</x:v>
      </x:c>
      <x:c r="J307" s="208" t="n">
        <x:f>'Beta HC3'!$E$13+'Beta HC3'!$E$12*I307</x:f>
        <x:v>0.008546473587448136</x:v>
      </x:c>
      <x:c r="K307" s="240" t="n">
        <x:f>H307-J307</x:f>
        <x:v>0.008918139222238339</x:v>
      </x:c>
      <x:c r="L307" s="240" t="n">
        <x:f>I307-'Beta HC3'!$E$9</x:f>
        <x:v>0.007005881573148401</x:v>
      </x:c>
      <x:c r="M307" s="240" t="n">
        <x:f>1/'Beta HC3'!$E$8+L307^2/'Beta HC3'!$E$11</x:f>
        <x:v>0.0011324598843380836</x:v>
      </x:c>
      <x:c r="N307" s="240" t="n">
        <x:f>K307^2/(1-M307)^2</x:f>
        <x:v>0.00007971364997889921</x:v>
      </x:c>
      <x:c r="O307" s="240" t="n">
        <x:f>N307*L307^2/'Beta HC3'!$E$11^2</x:f>
        <x:v>1.829670987582161e-7</x:v>
      </x:c>
      <x:c r="P307" s="240" t="n">
        <x:f>N307*(1/'Beta HC3'!$E$8-'Beta HC3'!$E$9*L307/'Beta HC3'!$E$11)^2</x:f>
        <x:v>4.7236986330381244e-11</x:v>
      </x:c>
      <x:c r="Q307" s="240" t="n">
        <x:f>N307*(1/'Beta HC3'!$E$8-'Beta HC3'!$E$9*L307/'Beta HC3'!$E$11)*L307/'Beta HC3'!$E$11</x:f>
        <x:v>2.9398663818193115e-9</x:v>
      </x:c>
      <x:c r="R307" s="240" t="n">
        <x:f>K307*L307/'Beta HC3'!$E$11</x:f>
        <x:v>0.00042726212985495554</x:v>
      </x:c>
      <x:c r="S307" s="240" t="n">
        <x:f>(K307-K306)^2</x:f>
        <x:v>0.000013706596166489331</x:v>
      </x:c>
      <x:c r="T307" s="280" t="n">
        <x:f>E307/$E$9*100</x:f>
        <x:v>88.11322437510137</x:v>
      </x:c>
    </x:row>
    <x:row r="308" ht="24" customHeight="1">
      <x:c r="C308" s="274" t="d">
        <x:v>2022-12-14T00:00:00.000Z</x:v>
      </x:c>
      <x:c r="D308" s="191" t="n">
        <x:v>257.2200012207031</x:v>
      </x:c>
      <x:c r="E308" s="191" t="n">
        <x:v>249.6300048828125</x:v>
      </x:c>
      <x:c r="F308" s="191" t="n">
        <x:v>399.3999938964844</x:v>
      </x:c>
      <x:c r="G308" s="191" t="n">
        <x:v>379.2124938964844</x:v>
      </x:c>
      <x:c r="H308" s="208" t="n">
        <x:f>E308/E307-1</x:f>
        <x:v>0.0011674548328022283</x:v>
      </x:c>
      <x:c r="I308" s="208" t="n">
        <x:f>G308/G307-1</x:f>
        <x:v>-0.006393654114978831</x:v>
      </x:c>
      <x:c r="J308" s="208" t="n">
        <x:f>'Beta HC3'!$E$13+'Beta HC3'!$E$12*I308</x:f>
        <x:v>-0.007201706733875093</x:v>
      </x:c>
      <x:c r="K308" s="240" t="n">
        <x:f>H308-J308</x:f>
        <x:v>0.008369161566677321</x:v>
      </x:c>
      <x:c r="L308" s="240" t="n">
        <x:f>I308-'Beta HC3'!$E$9</x:f>
        <x:v>-0.00695760173263927</x:v>
      </x:c>
      <x:c r="M308" s="240" t="n">
        <x:f>1/'Beta HC3'!$E$8+L308^2/'Beta HC3'!$E$11</x:f>
        <x:v>0.001127849714146994</x:v>
      </x:c>
      <x:c r="N308" s="240" t="n">
        <x:f>K308^2/(1-M308)^2</x:f>
        <x:v>0.00007020112867597564</x:v>
      </x:c>
      <x:c r="O308" s="240" t="n">
        <x:f>N308*L308^2/'Beta HC3'!$E$11^2</x:f>
        <x:v>1.5891977734650673e-7</x:v>
      </x:c>
      <x:c r="P308" s="240" t="n">
        <x:f>N308*(1/'Beta HC3'!$E$8-'Beta HC3'!$E$9*L308/'Beta HC3'!$E$11)^2</x:f>
        <x:v>4.762380981433325e-11</x:v>
      </x:c>
      <x:c r="Q308" s="240" t="n">
        <x:f>N308*(1/'Beta HC3'!$E$8-'Beta HC3'!$E$9*L308/'Beta HC3'!$E$11)*L308/'Beta HC3'!$E$11</x:f>
        <x:v>-2.7510662027814276e-9</x:v>
      </x:c>
      <x:c r="R308" s="240" t="n">
        <x:f>K308*L308/'Beta HC3'!$E$11</x:f>
        <x:v>-0.00039819782049718233</x:v>
      </x:c>
      <x:c r="S308" s="240" t="n">
        <x:f>(K308-K307)^2</x:f>
        <x:v>3.013764663052715e-7</x:v>
      </x:c>
      <x:c r="T308" s="280" t="n">
        <x:f>E308/$E$9*100</x:f>
        <x:v>88.21609258473188</x:v>
      </x:c>
    </x:row>
    <x:row r="309" ht="24" customHeight="1">
      <x:c r="C309" s="274" t="d">
        <x:v>2022-12-15T00:00:00.000Z</x:v>
      </x:c>
      <x:c r="D309" s="191" t="n">
        <x:v>249.00999450683594</x:v>
      </x:c>
      <x:c r="E309" s="191" t="n">
        <x:v>241.66229248046875</x:v>
      </x:c>
      <x:c r="F309" s="191" t="n">
        <x:v>389.6300048828125</x:v>
      </x:c>
      <x:c r="G309" s="191" t="n">
        <x:v>369.936279296875</x:v>
      </x:c>
      <x:c r="H309" s="208" t="n">
        <x:f>E309/E308-1</x:f>
        <x:v>-0.031918087755853475</x:v>
      </x:c>
      <x:c r="I309" s="208" t="n">
        <x:f>G309/G308-1</x:f>
        <x:v>-0.024461785275834202</x:v>
      </x:c>
      <x:c r="J309" s="208" t="n">
        <x:f>'Beta HC3'!$E$13+'Beta HC3'!$E$12*I309</x:f>
        <x:v>-0.027579157070535112</x:v>
      </x:c>
      <x:c r="K309" s="240" t="n">
        <x:f>H309-J309</x:f>
        <x:v>-0.004338930685318362</x:v>
      </x:c>
      <x:c r="L309" s="240" t="n">
        <x:f>I309-'Beta HC3'!$E$9</x:f>
        <x:v>-0.02502573289349464</x:v>
      </x:c>
      <x:c r="M309" s="240" t="n">
        <x:f>1/'Beta HC3'!$E$8+L309^2/'Beta HC3'!$E$11</x:f>
        <x:v>0.005079644081376382</x:v>
      </x:c>
      <x:c r="N309" s="240" t="n">
        <x:f>K309^2/(1-M309)^2</x:f>
        <x:v>0.000019019048744366218</x:v>
      </x:c>
      <x:c r="O309" s="240" t="n">
        <x:f>N309*L309^2/'Beta HC3'!$E$11^2</x:f>
        <x:v>5.570281254800397e-7</x:v>
      </x:c>
      <x:c r="P309" s="240" t="n">
        <x:f>N309*(1/'Beta HC3'!$E$8-'Beta HC3'!$E$9*L309/'Beta HC3'!$E$11)^2</x:f>
        <x:v>1.5177766700762977e-11</x:v>
      </x:c>
      <x:c r="Q309" s="240" t="n">
        <x:f>N309*(1/'Beta HC3'!$E$8-'Beta HC3'!$E$9*L309/'Beta HC3'!$E$11)*L309/'Beta HC3'!$E$11</x:f>
        <x:v>-2.9076524782544713e-9</x:v>
      </x:c>
      <x:c r="R309" s="240" t="n">
        <x:f>K309*L309/'Beta HC3'!$E$11</x:f>
        <x:v>0.0007425520110503574</x:v>
      </x:c>
      <x:c r="S309" s="240" t="n">
        <x:f>(K309-K308)^2</x:f>
        <x:v>0.00016149560868523272</x:v>
      </x:c>
      <x:c r="T309" s="280" t="n">
        <x:f>E309/$E$9*100</x:f>
        <x:v>85.4004036001339</x:v>
      </x:c>
    </x:row>
    <x:row r="310" ht="24" customHeight="1">
      <x:c r="C310" s="274" t="d">
        <x:v>2022-12-16T00:00:00.000Z</x:v>
      </x:c>
      <x:c r="D310" s="191" t="n">
        <x:v>244.69000244140625</x:v>
      </x:c>
      <x:c r="E310" s="191" t="n">
        <x:v>237.46975708007812</x:v>
      </x:c>
      <x:c r="F310" s="191" t="n">
        <x:v>383.2699890136719</x:v>
      </x:c>
      <x:c r="G310" s="191" t="n">
        <x:v>365.5687561035156</x:v>
      </x:c>
      <x:c r="H310" s="208" t="n">
        <x:f>E310/E309-1</x:f>
        <x:v>-0.017348736359974137</x:v>
      </x:c>
      <x:c r="I310" s="208" t="n">
        <x:f>G310/G309-1</x:f>
        <x:v>-0.011806149971721025</x:v>
      </x:c>
      <x:c r="J310" s="208" t="n">
        <x:f>'Beta HC3'!$E$13+'Beta HC3'!$E$12*I310</x:f>
        <x:v>-0.013305983071933333</x:v>
      </x:c>
      <x:c r="K310" s="240" t="n">
        <x:f>H310-J310</x:f>
        <x:v>-0.004042753288040804</x:v>
      </x:c>
      <x:c r="L310" s="240" t="n">
        <x:f>I310-'Beta HC3'!$E$9</x:f>
        <x:v>-0.012370097589381464</x:v>
      </x:c>
      <x:c r="M310" s="240" t="n">
        <x:f>1/'Beta HC3'!$E$8+L310^2/'Beta HC3'!$E$11</x:f>
        <x:v>0.0018432269216540032</x:v>
      </x:c>
      <x:c r="N310" s="240" t="n">
        <x:f>K310^2/(1-M310)^2</x:f>
        <x:v>0.0000164042720062729</x:v>
      </x:c>
      <x:c r="O310" s="240" t="n">
        <x:f>N310*L310^2/'Beta HC3'!$E$11^2</x:f>
        <x:v>1.1738644122368362e-7</x:v>
      </x:c>
      <x:c r="P310" s="240" t="n">
        <x:f>N310*(1/'Beta HC3'!$E$8-'Beta HC3'!$E$9*L310/'Beta HC3'!$E$11)^2</x:f>
        <x:v>1.169971087742074e-11</x:v>
      </x:c>
      <x:c r="Q310" s="240" t="n">
        <x:f>N310*(1/'Beta HC3'!$E$8-'Beta HC3'!$E$9*L310/'Beta HC3'!$E$11)*L310/'Beta HC3'!$E$11</x:f>
        <x:v>-1.1719161331965873e-9</x:v>
      </x:c>
      <x:c r="R310" s="240" t="n">
        <x:f>K310*L310/'Beta HC3'!$E$11</x:f>
        <x:v>0.0003419855265139338</x:v>
      </x:c>
      <x:c r="S310" s="240" t="n">
        <x:f>(K310-K309)^2</x:f>
        <x:v>8.772105065810841e-8</x:v>
      </x:c>
      <x:c r="T310" s="280" t="n">
        <x:f>E310/$E$9*100</x:f>
        <x:v>83.91881451303979</x:v>
      </x:c>
    </x:row>
    <x:row r="311" ht="24" customHeight="1">
      <x:c r="C311" s="274" t="d">
        <x:v>2022-12-19T00:00:00.000Z</x:v>
      </x:c>
      <x:c r="D311" s="191" t="n">
        <x:v>240.4499969482422</x:v>
      </x:c>
      <x:c r="E311" s="191" t="n">
        <x:v>233.35488891601562</x:v>
      </x:c>
      <x:c r="F311" s="191" t="n">
        <x:v>380.0199890136719</x:v>
      </x:c>
      <x:c r="G311" s="191" t="n">
        <x:v>362.46893310546875</x:v>
      </x:c>
      <x:c r="H311" s="208" t="n">
        <x:f>E311/E310-1</x:f>
        <x:v>-0.017327967210051587</x:v>
      </x:c>
      <x:c r="I311" s="208" t="n">
        <x:f>G311/G310-1</x:f>
        <x:v>-0.008479452760369655</x:v>
      </x:c>
      <x:c r="J311" s="208" t="n">
        <x:f>'Beta HC3'!$E$13+'Beta HC3'!$E$12*I311</x:f>
        <x:v>-0.009554094921138623</x:v>
      </x:c>
      <x:c r="K311" s="240" t="n">
        <x:f>H311-J311</x:f>
        <x:v>-0.007773872288912964</x:v>
      </x:c>
      <x:c r="L311" s="240" t="n">
        <x:f>I311-'Beta HC3'!$E$9</x:f>
        <x:v>-0.009043400378030093</x:v>
      </x:c>
      <x:c r="M311" s="240" t="n">
        <x:f>1/'Beta HC3'!$E$8+L311^2/'Beta HC3'!$E$11</x:f>
        <x:v>0.0013560819185646383</x:v>
      </x:c>
      <x:c r="N311" s="240" t="n">
        <x:f>K311^2/(1-M311)^2</x:f>
        <x:v>0.0000605973288122071</x:v>
      </x:c>
      <x:c r="O311" s="240" t="n">
        <x:f>N311*L311^2/'Beta HC3'!$E$11^2</x:f>
        <x:v>2.3175639184232283e-7</x:v>
      </x:c>
      <x:c r="P311" s="240" t="n">
        <x:f>N311*(1/'Beta HC3'!$E$8-'Beta HC3'!$E$9*L311/'Beta HC3'!$E$11)^2</x:f>
        <x:v>4.191555639660382e-11</x:v>
      </x:c>
      <x:c r="Q311" s="240" t="n">
        <x:f>N311*(1/'Beta HC3'!$E$8-'Beta HC3'!$E$9*L311/'Beta HC3'!$E$11)*L311/'Beta HC3'!$E$11</x:f>
        <x:v>-3.1167608365962725e-9</x:v>
      </x:c>
      <x:c r="R311" s="240" t="n">
        <x:f>K311*L311/'Beta HC3'!$E$11</x:f>
        <x:v>0.0004807580022502535</x:v>
      </x:c>
      <x:c r="S311" s="240" t="n">
        <x:f>(K311-K310)^2</x:f>
        <x:v>0.000013921248998669264</x:v>
      </x:c>
      <x:c r="T311" s="280" t="n">
        <x:f>E311/$E$9*100</x:f>
        <x:v>82.46467204685143</x:v>
      </x:c>
    </x:row>
    <x:row r="312" ht="24" customHeight="1">
      <x:c r="C312" s="274" t="d">
        <x:v>2022-12-20T00:00:00.000Z</x:v>
      </x:c>
      <x:c r="D312" s="191" t="n">
        <x:v>241.8000030517578</x:v>
      </x:c>
      <x:c r="E312" s="191" t="n">
        <x:v>234.66506958007812</x:v>
      </x:c>
      <x:c r="F312" s="191" t="n">
        <x:v>380.5400085449219</x:v>
      </x:c>
      <x:c r="G312" s="191" t="n">
        <x:v>362.9649353027344</x:v>
      </x:c>
      <x:c r="H312" s="208" t="n">
        <x:f>E312/E311-1</x:f>
        <x:v>0.005614541311512955</x:v>
      </x:c>
      <x:c r="I312" s="208" t="n">
        <x:f>G312/G311-1</x:f>
        <x:v>0.0013683991977355703</x:v>
      </x:c>
      <x:c r="J312" s="208" t="n">
        <x:f>'Beta HC3'!$E$13+'Beta HC3'!$E$12*I312</x:f>
        <x:v>0.0015524280729953856</x:v>
      </x:c>
      <x:c r="K312" s="240" t="n">
        <x:f>H312-J312</x:f>
        <x:v>0.004062113238517569</x:v>
      </x:c>
      <x:c r="L312" s="240" t="n">
        <x:f>I312-'Beta HC3'!$E$9</x:f>
        <x:v>0.0008044515800751309</x:v>
      </x:c>
      <x:c r="M312" s="240" t="n">
        <x:f>1/'Beta HC3'!$E$8+L312^2/'Beta HC3'!$E$11</x:f>
        <x:v>0.0008012381963665287</x:v>
      </x:c>
      <x:c r="N312" s="240" t="n">
        <x:f>K312^2/(1-M312)^2</x:f>
        <x:v>0.000016527237860848876</x:v>
      </x:c>
      <x:c r="O312" s="240" t="n">
        <x:f>N312*L312^2/'Beta HC3'!$E$11^2</x:f>
        <x:v>5.001667511939576e-10</x:v>
      </x:c>
      <x:c r="P312" s="240" t="n">
        <x:f>N312*(1/'Beta HC3'!$E$8-'Beta HC3'!$E$9*L312/'Beta HC3'!$E$11)^2</x:f>
        <x:v>1.0411765479655817e-11</x:v>
      </x:c>
      <x:c r="Q312" s="240" t="n">
        <x:f>N312*(1/'Beta HC3'!$E$8-'Beta HC3'!$E$9*L312/'Beta HC3'!$E$11)*L312/'Beta HC3'!$E$11</x:f>
        <x:v>7.216383383768388e-11</x:v>
      </x:c>
      <x:c r="R312" s="240" t="n">
        <x:f>K312*L312/'Beta HC3'!$E$11</x:f>
        <x:v>0.000022346488916183552</x:v>
      </x:c>
      <x:c r="S312" s="240" t="n">
        <x:f>(K312-K311)^2</x:f>
        <x:v>0.00014009055340554504</x:v>
      </x:c>
      <x:c r="T312" s="280" t="n">
        <x:f>E312/$E$9*100</x:f>
        <x:v>82.92767335479886</x:v>
      </x:c>
    </x:row>
    <x:row r="313" ht="24" customHeight="1">
      <x:c r="C313" s="274" t="d">
        <x:v>2022-12-21T00:00:00.000Z</x:v>
      </x:c>
      <x:c r="D313" s="191" t="n">
        <x:v>244.42999267578125</x:v>
      </x:c>
      <x:c r="E313" s="191" t="n">
        <x:v>237.21743774414062</x:v>
      </x:c>
      <x:c r="F313" s="191" t="n">
        <x:v>386.2300109863281</x:v>
      </x:c>
      <x:c r="G313" s="191" t="n">
        <x:v>368.39215087890625</x:v>
      </x:c>
      <x:c r="H313" s="208" t="n">
        <x:f>E313/E312-1</x:f>
        <x:v>0.01087664290484236</x:v>
      </x:c>
      <x:c r="I313" s="208" t="n">
        <x:f>G313/G312-1</x:f>
        <x:v>0.014952451458279947</x:v>
      </x:c>
      <x:c r="J313" s="208" t="n">
        <x:f>'Beta HC3'!$E$13+'Beta HC3'!$E$12*I313</x:f>
        <x:v>0.01687268160920742</x:v>
      </x:c>
      <x:c r="K313" s="240" t="n">
        <x:f>H313-J313</x:f>
        <x:v>-0.0059960387043650615</x:v>
      </x:c>
      <x:c r="L313" s="240" t="n">
        <x:f>I313-'Beta HC3'!$E$9</x:f>
        <x:v>0.014388503840619508</x:v>
      </x:c>
      <x:c r="M313" s="240" t="n">
        <x:f>1/'Beta HC3'!$E$8+L313^2/'Beta HC3'!$E$11</x:f>
        <x:v>0.0022125694813946123</x:v>
      </x:c>
      <x:c r="N313" s="240" t="n">
        <x:f>K313^2/(1-M313)^2</x:f>
        <x:v>0.00003611210443912898</x:v>
      </x:c>
      <x:c r="O313" s="240" t="n">
        <x:f>N313*L313^2/'Beta HC3'!$E$11^2</x:f>
        <x:v>3.496220336748124e-7</x:v>
      </x:c>
      <x:c r="P313" s="240" t="n">
        <x:f>N313*(1/'Beta HC3'!$E$8-'Beta HC3'!$E$9*L313/'Beta HC3'!$E$11)^2</x:f>
        <x:v>1.9845767354466448e-11</x:v>
      </x:c>
      <x:c r="Q313" s="240" t="n">
        <x:f>N313*(1/'Beta HC3'!$E$8-'Beta HC3'!$E$9*L313/'Beta HC3'!$E$11)*L313/'Beta HC3'!$E$11</x:f>
        <x:v>2.634106592813921e-9</x:v>
      </x:c>
      <x:c r="R313" s="240" t="n">
        <x:f>K313*L313/'Beta HC3'!$E$11</x:f>
        <x:v>-0.0005899801853904303</x:v>
      </x:c>
      <x:c r="S313" s="240" t="n">
        <x:f>(K313-K312)^2</x:f>
        <x:v>0.00010116642050611364</x:v>
      </x:c>
      <x:c r="T313" s="280" t="n">
        <x:f>E313/$E$9*100</x:f>
        <x:v>83.82964804480841</x:v>
      </x:c>
    </x:row>
    <x:row r="314" ht="24" customHeight="1">
      <x:c r="C314" s="274" t="d">
        <x:v>2022-12-22T00:00:00.000Z</x:v>
      </x:c>
      <x:c r="D314" s="191" t="n">
        <x:v>238.19000244140625</x:v>
      </x:c>
      <x:c r="E314" s="191" t="n">
        <x:v>231.16160583496094</x:v>
      </x:c>
      <x:c r="F314" s="191" t="n">
        <x:v>380.7200012207031</x:v>
      </x:c>
      <x:c r="G314" s="191" t="n">
        <x:v>363.1365966796875</x:v>
      </x:c>
      <x:c r="H314" s="208" t="n">
        <x:f>E314/E313-1</x:f>
        <x:v>-0.025528611921487032</x:v>
      </x:c>
      <x:c r="I314" s="208" t="n">
        <x:f>G314/G313-1</x:f>
        <x:v>-0.014266194832544876</x:v>
      </x:c>
      <x:c r="J314" s="208" t="n">
        <x:f>'Beta HC3'!$E$13+'Beta HC3'!$E$12*I314</x:f>
        <x:v>-0.01608045053240867</x:v>
      </x:c>
      <x:c r="K314" s="240" t="n">
        <x:f>H314-J314</x:f>
        <x:v>-0.009448161389078363</x:v>
      </x:c>
      <x:c r="L314" s="240" t="n">
        <x:f>I314-'Beta HC3'!$E$9</x:f>
        <x:v>-0.014830142450205315</x:v>
      </x:c>
      <x:c r="M314" s="240" t="n">
        <x:f>1/'Beta HC3'!$E$8+L314^2/'Beta HC3'!$E$11</x:f>
        <x:v>0.0023008133392511017</x:v>
      </x:c>
      <x:c r="N314" s="240" t="n">
        <x:f>K314^2/(1-M314)^2</x:f>
        <x:v>0.00008967995255373591</x:v>
      </x:c>
      <x:c r="O314" s="240" t="n">
        <x:f>N314*L314^2/'Beta HC3'!$E$11^2</x:f>
        <x:v>9.22360588897913e-7</x:v>
      </x:c>
      <x:c r="P314" s="240" t="n">
        <x:f>N314*(1/'Beta HC3'!$E$8-'Beta HC3'!$E$9*L314/'Beta HC3'!$E$11)^2</x:f>
        <x:v>6.540587608477647e-11</x:v>
      </x:c>
      <x:c r="Q314" s="240" t="n">
        <x:f>N314*(1/'Beta HC3'!$E$8-'Beta HC3'!$E$9*L314/'Beta HC3'!$E$11)*L314/'Beta HC3'!$E$11</x:f>
        <x:v>-7.767097423293875e-9</x:v>
      </x:c>
      <x:c r="R314" s="240" t="n">
        <x:f>K314*L314/'Beta HC3'!$E$11</x:f>
        <x:v>0.000958186366289904</x:v>
      </x:c>
      <x:c r="S314" s="240" t="n">
        <x:f>(K314-K313)^2</x:f>
        <x:v>0.000011917151030312174</x:v>
      </x:c>
      <x:c r="T314" s="280" t="n">
        <x:f>E314/$E$9*100</x:f>
        <x:v>81.68959349235764</x:v>
      </x:c>
    </x:row>
    <x:row r="315" ht="24" customHeight="1">
      <x:c r="C315" s="274" t="d">
        <x:v>2022-12-23T00:00:00.000Z</x:v>
      </x:c>
      <x:c r="D315" s="191" t="n">
        <x:v>238.72999572753906</x:v>
      </x:c>
      <x:c r="E315" s="191" t="n">
        <x:v>231.6856231689453</x:v>
      </x:c>
      <x:c r="F315" s="191" t="n">
        <x:v>382.9100036621094</x:v>
      </x:c>
      <x:c r="G315" s="191" t="n">
        <x:v>365.2254638671875</x:v>
      </x:c>
      <x:c r="H315" s="208" t="n">
        <x:f>E315/E314-1</x:f>
        <x:v>0.0022668874101805514</x:v>
      </x:c>
      <x:c r="I315" s="208" t="n">
        <x:f>G315/G314-1</x:f>
        <x:v>0.005752290478567623</x:v>
      </x:c>
      <x:c r="J315" s="208" t="n">
        <x:f>'Beta HC3'!$E$13+'Beta HC3'!$E$12*I315</x:f>
        <x:v>0.0064966321005824265</x:v>
      </x:c>
      <x:c r="K315" s="240" t="n">
        <x:f>H315-J315</x:f>
        <x:v>-0.004229744690401875</x:v>
      </x:c>
      <x:c r="L315" s="240" t="n">
        <x:f>I315-'Beta HC3'!$E$9</x:f>
        <x:v>0.0051883428609071835</x:v>
      </x:c>
      <x:c r="M315" s="240" t="n">
        <x:f>1/'Beta HC3'!$E$8+L315^2/'Beta HC3'!$E$11</x:f>
        <x:v>0.0009808961786450315</x:v>
      </x:c>
      <x:c r="N315" s="240" t="n">
        <x:f>K315^2/(1-M315)^2</x:f>
        <x:v>0.000017925889772009264</x:v>
      </x:c>
      <x:c r="O315" s="240" t="n">
        <x:f>N315*L315^2/'Beta HC3'!$E$11^2</x:f>
        <x:v>2.2565906275363626e-8</x:v>
      </x:c>
      <x:c r="P315" s="240" t="n">
        <x:f>N315*(1/'Beta HC3'!$E$8-'Beta HC3'!$E$9*L315/'Beta HC3'!$E$11)^2</x:f>
        <x:v>1.0816914020689102e-11</x:v>
      </x:c>
      <x:c r="Q315" s="240" t="n">
        <x:f>N315*(1/'Beta HC3'!$E$8-'Beta HC3'!$E$9*L315/'Beta HC3'!$E$11)*L315/'Beta HC3'!$E$11</x:f>
        <x:v>4.940581625472218e-10</x:v>
      </x:c>
      <x:c r="R315" s="240" t="n">
        <x:f>K315*L315/'Beta HC3'!$E$11</x:f>
        <x:v>-0.0001500721771843437</x:v>
      </x:c>
      <x:c r="S315" s="240" t="n">
        <x:f>(K315-K314)^2</x:f>
        <x:v>0.00002723187284102562</x:v>
      </x:c>
      <x:c r="T315" s="280" t="n">
        <x:f>E315/$E$9*100</x:f>
        <x:v>81.87477460338823</x:v>
      </x:c>
    </x:row>
    <x:row r="316" ht="24" customHeight="1">
      <x:c r="C316" s="274" t="d">
        <x:v>2022-12-27T00:00:00.000Z</x:v>
      </x:c>
      <x:c r="D316" s="191" t="n">
        <x:v>236.9600067138672</x:v>
      </x:c>
      <x:c r="E316" s="191" t="n">
        <x:v>229.96786499023438</x:v>
      </x:c>
      <x:c r="F316" s="191" t="n">
        <x:v>381.3999938964844</x:v>
      </x:c>
      <x:c r="G316" s="191" t="n">
        <x:v>363.78515625</x:v>
      </x:c>
      <x:c r="H316" s="208" t="n">
        <x:f>E316/E315-1</x:f>
        <x:v>-0.007414176828133834</x:v>
      </x:c>
      <x:c r="I316" s="208" t="n">
        <x:f>G316/G315-1</x:f>
        <x:v>-0.003943612260593254</x:v>
      </x:c>
      <x:c r="J316" s="208" t="n">
        <x:f>'Beta HC3'!$E$13+'Beta HC3'!$E$12*I316</x:f>
        <x:v>-0.004438520781437224</x:v>
      </x:c>
      <x:c r="K316" s="240" t="n">
        <x:f>H316-J316</x:f>
        <x:v>-0.0029756560466966103</x:v>
      </x:c>
      <x:c r="L316" s="240" t="n">
        <x:f>I316-'Beta HC3'!$E$9</x:f>
        <x:v>-0.004507559878253694</x:v>
      </x:c>
      <x:c r="M316" s="240" t="n">
        <x:f>1/'Beta HC3'!$E$8+L316^2/'Beta HC3'!$E$11</x:f>
        <x:v>0.0009357569323688622</x:v>
      </x:c>
      <x:c r="N316" s="240" t="n">
        <x:f>K316^2/(1-M316)^2</x:f>
        <x:v>0.000008871123571081341</x:v>
      </x:c>
      <x:c r="O316" s="240" t="n">
        <x:f>N316*L316^2/'Beta HC3'!$E$11^2</x:f>
        <x:v>8.429005958042288e-9</x:v>
      </x:c>
      <x:c r="P316" s="240" t="n">
        <x:f>N316*(1/'Beta HC3'!$E$8-'Beta HC3'!$E$9*L316/'Beta HC3'!$E$11)^2</x:f>
        <x:v>5.880805837926204e-12</x:v>
      </x:c>
      <x:c r="Q316" s="240" t="n">
        <x:f>N316*(1/'Beta HC3'!$E$8-'Beta HC3'!$E$9*L316/'Beta HC3'!$E$11)*L316/'Beta HC3'!$E$11</x:f>
        <x:v>-2.2264174686246478e-10</x:v>
      </x:c>
      <x:c r="R316" s="240" t="n">
        <x:f>K316*L316/'Beta HC3'!$E$11</x:f>
        <x:v>0.00009172370651750489</x:v>
      </x:c>
      <x:c r="S316" s="240" t="n">
        <x:f>(K316-K315)^2</x:f>
        <x:v>0.0000015727383262705107</x:v>
      </x:c>
      <x:c r="T316" s="280" t="n">
        <x:f>E316/$E$9*100</x:f>
        <x:v>81.26774054671512</x:v>
      </x:c>
    </x:row>
    <x:row r="317" ht="24" customHeight="1">
      <x:c r="C317" s="274" t="d">
        <x:v>2022-12-28T00:00:00.000Z</x:v>
      </x:c>
      <x:c r="D317" s="191" t="n">
        <x:v>234.52999877929688</x:v>
      </x:c>
      <x:c r="E317" s="191" t="n">
        <x:v>227.6095733642578</x:v>
      </x:c>
      <x:c r="F317" s="191" t="n">
        <x:v>376.6600036621094</x:v>
      </x:c>
      <x:c r="G317" s="191" t="n">
        <x:v>359.2641296386719</x:v>
      </x:c>
      <x:c r="H317" s="208" t="n">
        <x:f>E317/E316-1</x:f>
        <x:v>-0.010254874636839828</x:v>
      </x:c>
      <x:c r="I317" s="208" t="n">
        <x:f>G317/G316-1</x:f>
        <x:v>-0.01242773800319985</x:v>
      </x:c>
      <x:c r="J317" s="208" t="n">
        <x:f>'Beta HC3'!$E$13+'Beta HC3'!$E$12*I317</x:f>
        <x:v>-0.014007017347617792</x:v>
      </x:c>
      <x:c r="K317" s="240" t="n">
        <x:f>H317-J317</x:f>
        <x:v>0.0037521427107779642</x:v>
      </x:c>
      <x:c r="L317" s="240" t="n">
        <x:f>I317-'Beta HC3'!$E$9</x:f>
        <x:v>-0.01299168562086029</x:v>
      </x:c>
      <x:c r="M317" s="240" t="n">
        <x:f>1/'Beta HC3'!$E$8+L317^2/'Beta HC3'!$E$11</x:f>
        <x:v>0.0019510321418508406</x:v>
      </x:c>
      <x:c r="N317" s="240" t="n">
        <x:f>K317^2/(1-M317)^2</x:f>
        <x:v>0.000014133671617064324</x:v>
      </x:c>
      <x:c r="O317" s="240" t="n">
        <x:f>N317*L317^2/'Beta HC3'!$E$11^2</x:f>
        <x:v>1.1155800136428931e-7</x:v>
      </x:c>
      <x:c r="P317" s="240" t="n">
        <x:f>N317*(1/'Beta HC3'!$E$8-'Beta HC3'!$E$9*L317/'Beta HC3'!$E$11)^2</x:f>
        <x:v>1.0137600346523645e-11</x:v>
      </x:c>
      <x:c r="Q317" s="240" t="n">
        <x:f>N317*(1/'Beta HC3'!$E$8-'Beta HC3'!$E$9*L317/'Beta HC3'!$E$11)*L317/'Beta HC3'!$E$11</x:f>
        <x:v>-1.0634521302287678e-9</x:v>
      </x:c>
      <x:c r="R317" s="240" t="n">
        <x:f>K317*L317/'Beta HC3'!$E$11</x:f>
        <x:v>-0.00033335134546013756</x:v>
      </x:c>
      <x:c r="S317" s="240" t="n">
        <x:f>(K317-K316)^2</x:f>
        <x:v>0.000045263276121076426</x:v>
      </x:c>
      <x:c r="T317" s="280" t="n">
        <x:f>E317/$E$9*100</x:f>
        <x:v>80.43435005538933</x:v>
      </x:c>
    </x:row>
    <x:row r="318" ht="24" customHeight="1">
      <x:c r="C318" s="274" t="d">
        <x:v>2022-12-29T00:00:00.000Z</x:v>
      </x:c>
      <x:c r="D318" s="191" t="n">
        <x:v>241.00999450683594</x:v>
      </x:c>
      <x:c r="E318" s="191" t="n">
        <x:v>233.89834594726562</x:v>
      </x:c>
      <x:c r="F318" s="191" t="n">
        <x:v>383.44000244140625</x:v>
      </x:c>
      <x:c r="G318" s="191" t="n">
        <x:v>365.7310485839844</x:v>
      </x:c>
      <x:c r="H318" s="208" t="n">
        <x:f>E318/E317-1</x:f>
        <x:v>0.02762964883266794</x:v>
      </x:c>
      <x:c r="I318" s="208" t="n">
        <x:f>G318/G317-1</x:f>
        <x:v>0.018000458191627988</x:v>
      </x:c>
      <x:c r="J318" s="208" t="n">
        <x:f>'Beta HC3'!$E$13+'Beta HC3'!$E$12*I318</x:f>
        <x:v>0.020310259368725117</x:v>
      </x:c>
      <x:c r="K318" s="240" t="n">
        <x:f>H318-J318</x:f>
        <x:v>0.007319389463942824</x:v>
      </x:c>
      <x:c r="L318" s="240" t="n">
        <x:f>I318-'Beta HC3'!$E$9</x:f>
        <x:v>0.01743651057396755</x:v>
      </x:c>
      <x:c r="M318" s="240" t="n">
        <x:f>1/'Beta HC3'!$E$8+L318^2/'Beta HC3'!$E$11</x:f>
        <x:v>0.002875918196889156</x:v>
      </x:c>
      <x:c r="N318" s="240" t="n">
        <x:f>K318^2/(1-M318)^2</x:f>
        <x:v>0.00005388294233286851</x:v>
      </x:c>
      <x:c r="O318" s="240" t="n">
        <x:f>N318*L318^2/'Beta HC3'!$E$11^2</x:f>
        <x:v>7.6609950300659e-7</x:v>
      </x:c>
      <x:c r="P318" s="240" t="n">
        <x:f>N318*(1/'Beta HC3'!$E$8-'Beta HC3'!$E$9*L318/'Beta HC3'!$E$11)^2</x:f>
        <x:v>2.8680277498950796e-11</x:v>
      </x:c>
      <x:c r="Q318" s="240" t="n">
        <x:f>N318*(1/'Beta HC3'!$E$8-'Beta HC3'!$E$9*L318/'Beta HC3'!$E$11)*L318/'Beta HC3'!$E$11</x:f>
        <x:v>4.687424275445662e-9</x:v>
      </x:c>
      <x:c r="R318" s="240" t="n">
        <x:f>K318*L318/'Beta HC3'!$E$11</x:f>
        <x:v>0.0008727538944860202</x:v>
      </x:c>
      <x:c r="S318" s="240" t="n">
        <x:f>(K318-K317)^2</x:f>
        <x:v>0.000012725249397965236</x:v>
      </x:c>
      <x:c r="T318" s="280" t="n">
        <x:f>E318/$E$9*100</x:f>
        <x:v>82.65672290150363</x:v>
      </x:c>
    </x:row>
    <x:row r="319" ht="24" customHeight="1">
      <x:c r="C319" s="274" t="d">
        <x:v>2022-12-30T00:00:00.000Z</x:v>
      </x:c>
      <x:c r="D319" s="191" t="n">
        <x:v>239.82000732421875</x:v>
      </x:c>
      <x:c r="E319" s="191" t="n">
        <x:v>232.74349975585938</x:v>
      </x:c>
      <x:c r="F319" s="191" t="n">
        <x:v>382.42999267578125</x:v>
      </x:c>
      <x:c r="G319" s="191" t="n">
        <x:v>364.76763916015625</x:v>
      </x:c>
      <x:c r="H319" s="208" t="n">
        <x:f>E319/E318-1</x:f>
        <x:v>-0.004937385028223384</x:v>
      </x:c>
      <x:c r="I319" s="208" t="n">
        <x:f>G319/G318-1</x:f>
        <x:v>-0.002634201902075861</x:v>
      </x:c>
      <x:c r="J319" s="208" t="n">
        <x:f>'Beta HC3'!$E$13+'Beta HC3'!$E$12*I319</x:f>
        <x:v>-0.0029617524143354876</x:v>
      </x:c>
      <x:c r="K319" s="240" t="n">
        <x:f>H319-J319</x:f>
        <x:v>-0.001975632613887897</x:v>
      </x:c>
      <x:c r="L319" s="240" t="n">
        <x:f>I319-'Beta HC3'!$E$9</x:f>
        <x:v>-0.0031981495197363004</x:v>
      </x:c>
      <x:c r="M319" s="240" t="n">
        <x:f>1/'Beta HC3'!$E$8+L319^2/'Beta HC3'!$E$11</x:f>
        <x:v>0.0008667574615064653</x:v>
      </x:c>
      <x:c r="N319" s="240" t="n">
        <x:f>K319^2/(1-M319)^2</x:f>
        <x:v>0.000003909899156208223</x:v>
      </x:c>
      <x:c r="O319" s="240" t="n">
        <x:f>N319*L319^2/'Beta HC3'!$E$11^2</x:f>
        <x:v>1.8701558800014045e-9</x:v>
      </x:c>
      <x:c r="P319" s="240" t="n">
        <x:f>N319*(1/'Beta HC3'!$E$8-'Beta HC3'!$E$9*L319/'Beta HC3'!$E$11)^2</x:f>
        <x:v>2.5598815332113653e-12</x:v>
      </x:c>
      <x:c r="Q319" s="240" t="n">
        <x:f>N319*(1/'Beta HC3'!$E$8-'Beta HC3'!$E$9*L319/'Beta HC3'!$E$11)*L319/'Beta HC3'!$E$11</x:f>
        <x:v>-6.919087729926718e-11</x:v>
      </x:c>
      <x:c r="R319" s="240" t="n">
        <x:f>K319*L319/'Beta HC3'!$E$11</x:f>
        <x:v>0.00004320781574974902</x:v>
      </x:c>
      <x:c r="S319" s="240" t="n">
        <x:f>(K319-K318)^2</x:f>
        <x:v>0.00008639743542736053</x:v>
      </x:c>
      <x:c r="T319" s="280" t="n">
        <x:f>E319/$E$9*100</x:f>
        <x:v>82.24861483536773</x:v>
      </x:c>
    </x:row>
    <x:row r="320" ht="24" customHeight="1">
      <x:c r="C320" s="274" t="d">
        <x:v>2023-01-03T00:00:00.000Z</x:v>
      </x:c>
      <x:c r="D320" s="191" t="n">
        <x:v>239.5800018310547</x:v>
      </x:c>
      <x:c r="E320" s="191" t="n">
        <x:v>232.5105438232422</x:v>
      </x:c>
      <x:c r="F320" s="191" t="n">
        <x:v>380.82000732421875</x:v>
      </x:c>
      <x:c r="G320" s="191" t="n">
        <x:v>363.23199462890625</x:v>
      </x:c>
      <x:c r="H320" s="208" t="n">
        <x:f>E320/E319-1</x:f>
        <x:v>-0.0010009127338101997</x:v>
      </x:c>
      <x:c r="I320" s="208" t="n">
        <x:f>G320/G319-1</x:f>
        <x:v>-0.004209925350795007</x:v>
      </x:c>
      <x:c r="J320" s="208" t="n">
        <x:f>'Beta HC3'!$E$13+'Beta HC3'!$E$12*I320</x:f>
        <x:v>-0.004738871809513985</x:v>
      </x:c>
      <x:c r="K320" s="240" t="n">
        <x:f>H320-J320</x:f>
        <x:v>0.003737959075703785</x:v>
      </x:c>
      <x:c r="L320" s="240" t="n">
        <x:f>I320-'Beta HC3'!$E$9</x:f>
        <x:v>-0.004773872968455447</x:v>
      </x:c>
      <x:c r="M320" s="240" t="n">
        <x:f>1/'Beta HC3'!$E$8+L320^2/'Beta HC3'!$E$11</x:f>
        <x:v>0.000952659975600696</x:v>
      </x:c>
      <x:c r="N320" s="240" t="n">
        <x:f>K320^2/(1-M320)^2</x:f>
        <x:v>0.000013998997916718891</x:v>
      </x:c>
      <x:c r="O320" s="240" t="n">
        <x:f>N320*L320^2/'Beta HC3'!$E$11^2</x:f>
        <x:v>1.4919469757156306e-8</x:v>
      </x:c>
      <x:c r="P320" s="240" t="n">
        <x:f>N320*(1/'Beta HC3'!$E$8-'Beta HC3'!$E$9*L320/'Beta HC3'!$E$11)^2</x:f>
        <x:v>9.30358062379894e-12</x:v>
      </x:c>
      <x:c r="Q320" s="240" t="n">
        <x:f>N320*(1/'Beta HC3'!$E$8-'Beta HC3'!$E$9*L320/'Beta HC3'!$E$11)*L320/'Beta HC3'!$E$11</x:f>
        <x:v>-3.7256474571547116e-10</x:v>
      </x:c>
      <x:c r="R320" s="240" t="n">
        <x:f>K320*L320/'Beta HC3'!$E$11</x:f>
        <x:v>-0.00012202891843368923</x:v>
      </x:c>
      <x:c r="S320" s="240" t="n">
        <x:f>(K320-K319)^2</x:f>
        <x:v>0.00003264512999537113</x:v>
      </x:c>
      <x:c r="T320" s="280" t="n">
        <x:f>E320/$E$9*100</x:f>
        <x:v>82.16629114944077</x:v>
      </x:c>
    </x:row>
    <x:row r="321" ht="24" customHeight="1">
      <x:c r="C321" s="274" t="d">
        <x:v>2023-01-04T00:00:00.000Z</x:v>
      </x:c>
      <x:c r="D321" s="191" t="n">
        <x:v>229.10000610351562</x:v>
      </x:c>
      <x:c r="E321" s="191" t="n">
        <x:v>222.33981323242188</x:v>
      </x:c>
      <x:c r="F321" s="191" t="n">
        <x:v>383.760009765625</x:v>
      </x:c>
      <x:c r="G321" s="191" t="n">
        <x:v>366.0362243652344</x:v>
      </x:c>
      <x:c r="H321" s="208" t="n">
        <x:f>E321/E320-1</x:f>
        <x:v>-0.043743094070401556</x:v>
      </x:c>
      <x:c r="I321" s="208" t="n">
        <x:f>G321/G320-1</x:f>
        <x:v>0.007720216769982136</x:v>
      </x:c>
      <x:c r="J321" s="208" t="n">
        <x:f>'Beta HC3'!$E$13+'Beta HC3'!$E$12*I321</x:f>
        <x:v>0.008716082463904248</x:v>
      </x:c>
      <x:c r="K321" s="240" t="n">
        <x:f>H321-J321</x:f>
        <x:v>-0.052459176534305804</x:v>
      </x:c>
      <x:c r="L321" s="240" t="n">
        <x:f>I321-'Beta HC3'!$E$9</x:f>
        <x:v>0.007156269152321696</x:v>
      </x:c>
      <x:c r="M321" s="240" t="n">
        <x:f>1/'Beta HC3'!$E$8+L321^2/'Beta HC3'!$E$11</x:f>
        <x:v>0.001147024483678202</x:v>
      </x:c>
      <x:c r="N321" s="240" t="n">
        <x:f>K321^2/(1-M321)^2</x:f>
        <x:v>0.0027582892242188997</x:v>
      </x:c>
      <x:c r="O321" s="240" t="n">
        <x:f>N321*L321^2/'Beta HC3'!$E$11^2</x:f>
        <x:v>0.000006605837076562661</x:v>
      </x:c>
      <x:c r="P321" s="240" t="n">
        <x:f>N321*(1/'Beta HC3'!$E$8-'Beta HC3'!$E$9*L321/'Beta HC3'!$E$11)^2</x:f>
        <x:v>1.6320544219887171e-9</x:v>
      </x:c>
      <x:c r="Q321" s="240" t="n">
        <x:f>N321*(1/'Beta HC3'!$E$8-'Beta HC3'!$E$9*L321/'Beta HC3'!$E$11)*L321/'Beta HC3'!$E$11</x:f>
        <x:v>1.0383200668262705e-7</x:v>
      </x:c>
      <x:c r="R321" s="240" t="n">
        <x:f>K321*L321/'Beta HC3'!$E$11</x:f>
        <x:v>-0.0025672342421190135</x:v>
      </x:c>
      <x:c r="S321" s="240" t="n">
        <x:f>(K321-K320)^2</x:f>
        <x:v>0.0031581180507698078</x:v>
      </x:c>
      <x:c r="T321" s="280" t="n">
        <x:f>E321/$E$9*100</x:f>
        <x:v>78.57208334627477</x:v>
      </x:c>
    </x:row>
    <x:row r="322" ht="24" customHeight="1">
      <x:c r="C322" s="274" t="d">
        <x:v>2023-01-05T00:00:00.000Z</x:v>
      </x:c>
      <x:c r="D322" s="191" t="n">
        <x:v>222.30999755859375</x:v>
      </x:c>
      <x:c r="E322" s="191" t="n">
        <x:v>215.75013732910156</x:v>
      </x:c>
      <x:c r="F322" s="191" t="n">
        <x:v>379.3800048828125</x:v>
      </x:c>
      <x:c r="G322" s="191" t="n">
        <x:v>361.8585510253906</x:v>
      </x:c>
      <x:c r="H322" s="208" t="n">
        <x:f>E322/E321-1</x:f>
        <x:v>-0.029637858409244155</x:v>
      </x:c>
      <x:c r="I322" s="208" t="n">
        <x:f>G322/G321-1</x:f>
        <x:v>-0.011413278418245354</x:v>
      </x:c>
      <x:c r="J322" s="208" t="n">
        <x:f>'Beta HC3'!$E$13+'Beta HC3'!$E$12*I322</x:f>
        <x:v>-0.012862897923925256</x:v>
      </x:c>
      <x:c r="K322" s="240" t="n">
        <x:f>H322-J322</x:f>
        <x:v>-0.0167749604853189</x:v>
      </x:c>
      <x:c r="L322" s="240" t="n">
        <x:f>I322-'Beta HC3'!$E$9</x:f>
        <x:v>-0.011977226035905793</x:v>
      </x:c>
      <x:c r="M322" s="240" t="n">
        <x:f>1/'Beta HC3'!$E$8+L322^2/'Beta HC3'!$E$11</x:f>
        <x:v>0.0017778146586913</x:v>
      </x:c>
      <x:c r="N322" s="240" t="n">
        <x:f>K322^2/(1-M322)^2</x:f>
        <x:v>0.0002824025254142054</x:v>
      </x:c>
      <x:c r="O322" s="240" t="n">
        <x:f>N322*L322^2/'Beta HC3'!$E$11^2</x:f>
        <x:v>0.00000189450515063766</x:v>
      </x:c>
      <x:c r="P322" s="240" t="n">
        <x:f>N322*(1/'Beta HC3'!$E$8-'Beta HC3'!$E$9*L322/'Beta HC3'!$E$11)^2</x:f>
        <x:v>2.0069060455471163e-10</x:v>
      </x:c>
      <x:c r="Q322" s="240" t="n">
        <x:f>N322*(1/'Beta HC3'!$E$8-'Beta HC3'!$E$9*L322/'Beta HC3'!$E$11)*L322/'Beta HC3'!$E$11</x:f>
        <x:v>-1.9498958536636954e-8</x:v>
      </x:c>
      <x:c r="R322" s="240" t="n">
        <x:f>K322*L322/'Beta HC3'!$E$11</x:f>
        <x:v>0.0013739632383737157</x:v>
      </x:c>
      <x:c r="S322" s="240" t="n">
        <x:f>(K322-K321)^2</x:f>
        <x:v>0.0012733632750307744</x:v>
      </x:c>
      <x:c r="T322" s="280" t="n">
        <x:f>E322/$E$9*100</x:f>
        <x:v>76.24337506513854</x:v>
      </x:c>
    </x:row>
    <x:row r="323" ht="24" customHeight="1">
      <x:c r="C323" s="274" t="d">
        <x:v>2023-01-06T00:00:00.000Z</x:v>
      </x:c>
      <x:c r="D323" s="191" t="n">
        <x:v>224.92999267578125</x:v>
      </x:c>
      <x:c r="E323" s="191" t="n">
        <x:v>218.29283142089844</x:v>
      </x:c>
      <x:c r="F323" s="191" t="n">
        <x:v>388.0799865722656</x:v>
      </x:c>
      <x:c r="G323" s="191" t="n">
        <x:v>370.15673828125</x:v>
      </x:c>
      <x:c r="H323" s="208" t="n">
        <x:f>E323/E322-1</x:f>
        <x:v>0.01178536488214732</x:v>
      </x:c>
      <x:c r="I323" s="208" t="n">
        <x:f>G323/G322-1</x:f>
        <x:v>0.02293212978481507</x:v>
      </x:c>
      <x:c r="J323" s="208" t="n">
        <x:f>'Beta HC3'!$E$13+'Beta HC3'!$E$12*I323</x:f>
        <x:v>0.025872256460300867</x:v>
      </x:c>
      <x:c r="K323" s="240" t="n">
        <x:f>H323-J323</x:f>
        <x:v>-0.014086891578153547</x:v>
      </x:c>
      <x:c r="L323" s="240" t="n">
        <x:f>I323-'Beta HC3'!$E$9</x:f>
        <x:v>0.02236818216715463</x:v>
      </x:c>
      <x:c r="M323" s="240" t="n">
        <x:f>1/'Beta HC3'!$E$8+L323^2/'Beta HC3'!$E$11</x:f>
        <x:v>0.004218330073829413</x:v>
      </x:c>
      <x:c r="N323" s="240" t="n">
        <x:f>K323^2/(1-M323)^2</x:f>
        <x:v>0.00020012534274622712</x:v>
      </x:c>
      <x:c r="O323" s="240" t="n">
        <x:f>N323*L323^2/'Beta HC3'!$E$11^2</x:f>
        <x:v>0.000004682504393313459</x:v>
      </x:c>
      <x:c r="P323" s="240" t="n">
        <x:f>N323*(1/'Beta HC3'!$E$8-'Beta HC3'!$E$9*L323/'Beta HC3'!$E$11)^2</x:f>
        <x:v>1.010393445994756e-10</x:v>
      </x:c>
      <x:c r="Q323" s="240" t="n">
        <x:f>N323*(1/'Beta HC3'!$E$8-'Beta HC3'!$E$9*L323/'Beta HC3'!$E$11)*L323/'Beta HC3'!$E$11</x:f>
        <x:v>2.175125685988185e-8</x:v>
      </x:c>
      <x:c r="R323" s="240" t="n">
        <x:f>K323*L323/'Beta HC3'!$E$11</x:f>
        <x:v>-0.002154781431383565</x:v>
      </x:c>
      <x:c r="S323" s="240" t="n">
        <x:f>(K323-K322)^2</x:f>
        <x:v>0.000007225714449669146</x:v>
      </x:c>
      <x:c r="T323" s="280" t="n">
        <x:f>E323/$E$9*100</x:f>
        <x:v>77.14193106012762</x:v>
      </x:c>
    </x:row>
    <x:row r="324" ht="24" customHeight="1">
      <x:c r="C324" s="274" t="d">
        <x:v>2023-01-09T00:00:00.000Z</x:v>
      </x:c>
      <x:c r="D324" s="191" t="n">
        <x:v>227.1199951171875</x:v>
      </x:c>
      <x:c r="E324" s="191" t="n">
        <x:v>220.41824340820312</x:v>
      </x:c>
      <x:c r="F324" s="191" t="n">
        <x:v>387.8599853515625</x:v>
      </x:c>
      <x:c r="G324" s="191" t="n">
        <x:v>369.9468078613281</x:v>
      </x:c>
      <x:c r="H324" s="208" t="n">
        <x:f>E324/E323-1</x:f>
        <x:v>0.009736517564365554</x:v>
      </x:c>
      <x:c r="I324" s="208" t="n">
        <x:f>G324/G323-1</x:f>
        <x:v>-0.0005671392634823968</x:v>
      </x:c>
      <x:c r="J324" s="208" t="n">
        <x:f>'Beta HC3'!$E$13+'Beta HC3'!$E$12*I324</x:f>
        <x:v>-0.0006304949153883936</x:v>
      </x:c>
      <x:c r="K324" s="240" t="n">
        <x:f>H324-J324</x:f>
        <x:v>0.010367012479753948</x:v>
      </x:c>
      <x:c r="L324" s="240" t="n">
        <x:f>I324-'Beta HC3'!$E$9</x:f>
        <x:v>-0.0011310868811428361</x:v>
      </x:c>
      <x:c r="M324" s="240" t="n">
        <x:f>1/'Beta HC3'!$E$8+L324^2/'Beta HC3'!$E$11</x:f>
        <x:v>0.0008055615651884084</x:v>
      </x:c>
      <x:c r="N324" s="240" t="n">
        <x:f>K324^2/(1-M324)^2</x:f>
        <x:v>0.00010764831258556805</x:v>
      </x:c>
      <x:c r="O324" s="240" t="n">
        <x:f>N324*L324^2/'Beta HC3'!$E$11^2</x:f>
        <x:v>6.440415401499581e-9</x:v>
      </x:c>
      <x:c r="P324" s="240" t="n">
        <x:f>N324*(1/'Beta HC3'!$E$8-'Beta HC3'!$E$9*L324/'Beta HC3'!$E$11)^2</x:f>
        <x:v>6.909741535300158e-11</x:v>
      </x:c>
      <x:c r="Q324" s="240" t="n">
        <x:f>N324*(1/'Beta HC3'!$E$8-'Beta HC3'!$E$9*L324/'Beta HC3'!$E$11)*L324/'Beta HC3'!$E$11</x:f>
        <x:v>-6.670952391100427e-10</x:v>
      </x:c>
      <x:c r="R324" s="240" t="n">
        <x:f>K324*L324/'Beta HC3'!$E$11</x:f>
        <x:v>-0.00008018755064629497</x:v>
      </x:c>
      <x:c r="S324" s="240" t="n">
        <x:f>(K324-K323)^2</x:f>
        <x:v>0.0005979934236733448</x:v>
      </x:c>
      <x:c r="T324" s="280" t="n">
        <x:f>E324/$E$9*100</x:f>
        <x:v>77.89302482684364</x:v>
      </x:c>
    </x:row>
    <x:row r="325" ht="24" customHeight="1">
      <x:c r="C325" s="274" t="d">
        <x:v>2023-01-10T00:00:00.000Z</x:v>
      </x:c>
      <x:c r="D325" s="191" t="n">
        <x:v>228.85000610351562</x:v>
      </x:c>
      <x:c r="E325" s="191" t="n">
        <x:v>222.0972137451172</x:v>
      </x:c>
      <x:c r="F325" s="191" t="n">
        <x:v>390.5799865722656</x:v>
      </x:c>
      <x:c r="G325" s="191" t="n">
        <x:v>372.5412292480469</x:v>
      </x:c>
      <x:c r="H325" s="208" t="n">
        <x:f>E325/E324-1</x:f>
        <x:v>0.0076172022376781445</x:v>
      </x:c>
      <x:c r="I325" s="208" t="n">
        <x:f>G325/G324-1</x:f>
        <x:v>0.007012957894452887</x:v>
      </x:c>
      <x:c r="J325" s="208" t="n">
        <x:f>'Beta HC3'!$E$13+'Beta HC3'!$E$12*I325</x:f>
        <x:v>0.007918427605028573</x:v>
      </x:c>
      <x:c r="K325" s="240" t="n">
        <x:f>H325-J325</x:f>
        <x:v>-0.0003012253673504283</x:v>
      </x:c>
      <x:c r="L325" s="240" t="n">
        <x:f>I325-'Beta HC3'!$E$9</x:f>
        <x:v>0.006449010276792447</x:v>
      </x:c>
      <x:c r="M325" s="240" t="n">
        <x:f>1/'Beta HC3'!$E$8+L325^2/'Beta HC3'!$E$11</x:f>
        <x:v>0.0010812218564593724</x:v>
      </x:c>
      <x:c r="N325" s="240" t="n">
        <x:f>K325^2/(1-M325)^2</x:f>
        <x:v>9.093325367342704e-8</x:v>
      </x:c>
      <x:c r="O325" s="240" t="n">
        <x:f>N325*L325^2/'Beta HC3'!$E$11^2</x:f>
        <x:v>1.7685754478127106e-10</x:v>
      </x:c>
      <x:c r="P325" s="240" t="n">
        <x:f>N325*(1/'Beta HC3'!$E$8-'Beta HC3'!$E$9*L325/'Beta HC3'!$E$11)^2</x:f>
        <x:v>5.418661863798365e-14</x:v>
      </x:c>
      <x:c r="Q325" s="240" t="n">
        <x:f>N325*(1/'Beta HC3'!$E$8-'Beta HC3'!$E$9*L325/'Beta HC3'!$E$11)*L325/'Beta HC3'!$E$11</x:f>
        <x:v>3.0956925448617875e-12</x:v>
      </x:c>
      <x:c r="R325" s="240" t="n">
        <x:f>K325*L325/'Beta HC3'!$E$11</x:f>
        <x:v>-0.000013284400891615135</x:v>
      </x:c>
      <x:c r="S325" s="240" t="n">
        <x:f>(K325-K324)^2</x:f>
        <x:v>0.00011381129876239023</x:v>
      </x:c>
      <x:c r="T325" s="280" t="n">
        <x:f>E325/$E$9*100</x:f>
        <x:v>78.4863517498542</x:v>
      </x:c>
    </x:row>
    <x:row r="326" ht="24" customHeight="1">
      <x:c r="C326" s="274" t="d">
        <x:v>2023-01-11T00:00:00.000Z</x:v>
      </x:c>
      <x:c r="D326" s="191" t="n">
        <x:v>235.77000427246094</x:v>
      </x:c>
      <x:c r="E326" s="191" t="n">
        <x:v>228.81297302246094</x:v>
      </x:c>
      <x:c r="F326" s="191" t="n">
        <x:v>395.5199890136719</x:v>
      </x:c>
      <x:c r="G326" s="191" t="n">
        <x:v>377.2530822753906</x:v>
      </x:c>
      <x:c r="H326" s="208" t="n">
        <x:f>E326/E325-1</x:f>
        <x:v>0.030237926735320775</x:v>
      </x:c>
      <x:c r="I326" s="208" t="n">
        <x:f>G326/G325-1</x:f>
        <x:v>0.012647869973624992</x:v>
      </x:c>
      <x:c r="J326" s="208" t="n">
        <x:f>'Beta HC3'!$E$13+'Beta HC3'!$E$12*I326</x:f>
        <x:v>0.014273547568599795</x:v>
      </x:c>
      <x:c r="K326" s="240" t="n">
        <x:f>H326-J326</x:f>
        <x:v>0.015964379166720978</x:v>
      </x:c>
      <x:c r="L326" s="240" t="n">
        <x:f>I326-'Beta HC3'!$E$9</x:f>
        <x:v>0.012083922355964553</x:v>
      </x:c>
      <x:c r="M326" s="240" t="n">
        <x:f>1/'Beta HC3'!$E$8+L326^2/'Beta HC3'!$E$11</x:f>
        <x:v>0.0017953705609335107</x:v>
      </x:c>
      <x:c r="N326" s="240" t="n">
        <x:f>K326^2/(1-M326)^2</x:f>
        <x:v>0.0002557790139356051</x:v>
      </x:c>
      <x:c r="O326" s="240" t="n">
        <x:f>N326*L326^2/'Beta HC3'!$E$11^2</x:f>
        <x:v>0.0000017466081558269585</x:v>
      </x:c>
      <x:c r="P326" s="240" t="n">
        <x:f>N326*(1/'Beta HC3'!$E$8-'Beta HC3'!$E$9*L326/'Beta HC3'!$E$11)^2</x:f>
        <x:v>1.4395658511723496e-10</x:v>
      </x:c>
      <x:c r="Q326" s="240" t="n">
        <x:f>N326*(1/'Beta HC3'!$E$8-'Beta HC3'!$E$9*L326/'Beta HC3'!$E$11)*L326/'Beta HC3'!$E$11</x:f>
        <x:v>1.585672556522186e-8</x:v>
      </x:c>
      <x:c r="R326" s="240" t="n">
        <x:f>K326*L326/'Beta HC3'!$E$11</x:f>
        <x:v>0.0013192202879113717</x:v>
      </x:c>
      <x:c r="S326" s="240" t="n">
        <x:f>(K326-K325)^2</x:f>
        <x:v>0.00026456989085880435</x:v>
      </x:c>
      <x:c r="T326" s="280" t="n">
        <x:f>E326/$E$9*100</x:f>
        <x:v>80.85961630378891</x:v>
      </x:c>
    </x:row>
    <x:row r="327" ht="24" customHeight="1">
      <x:c r="C327" s="274" t="d">
        <x:v>2023-01-12T00:00:00.000Z</x:v>
      </x:c>
      <x:c r="D327" s="191" t="n">
        <x:v>238.50999450683594</x:v>
      </x:c>
      <x:c r="E327" s="191" t="n">
        <x:v>231.4721221923828</x:v>
      </x:c>
      <x:c r="F327" s="191" t="n">
        <x:v>396.9599914550781</x:v>
      </x:c>
      <x:c r="G327" s="191" t="n">
        <x:v>378.6265563964844</x:v>
      </x:c>
      <x:c r="H327" s="208" t="n">
        <x:f>E327/E326-1</x:f>
        <x:v>0.011621496520920038</x:v>
      </x:c>
      <x:c r="I327" s="208" t="n">
        <x:f>G327/G326-1</x:f>
        <x:v>0.0036407233913362536</x:v>
      </x:c>
      <x:c r="J327" s="208" t="n">
        <x:f>'Beta HC3'!$E$13+'Beta HC3'!$E$12*I327</x:f>
        <x:v>0.004115181962241386</x:v>
      </x:c>
      <x:c r="K327" s="240" t="n">
        <x:f>H327-J327</x:f>
        <x:v>0.007506314558678652</x:v>
      </x:c>
      <x:c r="L327" s="240" t="n">
        <x:f>I327-'Beta HC3'!$E$9</x:f>
        <x:v>0.0030767757736758143</x:v>
      </x:c>
      <x:c r="M327" s="240" t="n">
        <x:f>1/'Beta HC3'!$E$8+L327^2/'Beta HC3'!$E$11</x:f>
        <x:v>0.0008615492252415753</x:v>
      </x:c>
      <x:c r="N327" s="240" t="n">
        <x:f>K327^2/(1-M327)^2</x:f>
        <x:v>0.000056441971432331735</x:v>
      </x:c>
      <x:c r="O327" s="240" t="n">
        <x:f>N327*L327^2/'Beta HC3'!$E$11^2</x:f>
        <x:v>2.498668213513239e-8</x:v>
      </x:c>
      <x:c r="P327" s="240" t="n">
        <x:f>N327*(1/'Beta HC3'!$E$8-'Beta HC3'!$E$9*L327/'Beta HC3'!$E$11)^2</x:f>
        <x:v>3.4776265172346006e-11</x:v>
      </x:c>
      <x:c r="Q327" s="240" t="n">
        <x:f>N327*(1/'Beta HC3'!$E$8-'Beta HC3'!$E$9*L327/'Beta HC3'!$E$11)*L327/'Beta HC3'!$E$11</x:f>
        <x:v>9.321713810820865e-10</x:v>
      </x:c>
      <x:c r="R327" s="240" t="n">
        <x:f>K327*L327/'Beta HC3'!$E$11</x:f>
        <x:v>0.00015793557600697158</x:v>
      </x:c>
      <x:c r="S327" s="240" t="n">
        <x:f>(K327-K326)^2</x:f>
        <x:v>0.00007153885691381819</x:v>
      </x:c>
      <x:c r="T327" s="280" t="n">
        <x:f>E327/$E$9*100</x:f>
        <x:v>81.7993260533463</x:v>
      </x:c>
    </x:row>
    <x:row r="328" ht="24" customHeight="1">
      <x:c r="C328" s="274" t="d">
        <x:v>2023-01-13T00:00:00.000Z</x:v>
      </x:c>
      <x:c r="D328" s="191" t="n">
        <x:v>239.22999572753906</x:v>
      </x:c>
      <x:c r="E328" s="191" t="n">
        <x:v>232.17086791992188</x:v>
      </x:c>
      <x:c r="F328" s="191" t="n">
        <x:v>398.5</x:v>
      </x:c>
      <x:c r="G328" s="191" t="n">
        <x:v>380.0954284667969</x:v>
      </x:c>
      <x:c r="H328" s="208" t="n">
        <x:f>E328/E327-1</x:f>
        <x:v>0.003018703595581762</x:v>
      </x:c>
      <x:c r="I328" s="208" t="n">
        <x:f>G328/G327-1</x:f>
        <x:v>0.0038794744993384533</x:v>
      </x:c>
      <x:c r="J328" s="208" t="n">
        <x:f>'Beta HC3'!$E$13+'Beta HC3'!$E$12*I328</x:f>
        <x:v>0.004384448263378147</x:v>
      </x:c>
      <x:c r="K328" s="240" t="n">
        <x:f>H328-J328</x:f>
        <x:v>-0.0013657446677963854</x:v>
      </x:c>
      <x:c r="L328" s="240" t="n">
        <x:f>I328-'Beta HC3'!$E$9</x:f>
        <x:v>0.003315526881678014</x:v>
      </x:c>
      <x:c r="M328" s="240" t="n">
        <x:f>1/'Beta HC3'!$E$8+L328^2/'Beta HC3'!$E$11</x:f>
        <x:v>0.000871985850418823</x:v>
      </x:c>
      <x:c r="N328" s="240" t="n">
        <x:f>K328^2/(1-M328)^2</x:f>
        <x:v>0.0000018685157154011441</x:v>
      </x:c>
      <x:c r="O328" s="240" t="n">
        <x:f>N328*L328^2/'Beta HC3'!$E$11^2</x:f>
        <x:v>9.605424983469276e-10</x:v>
      </x:c>
      <x:c r="P328" s="240" t="n">
        <x:f>N328*(1/'Beta HC3'!$E$8-'Beta HC3'!$E$9*L328/'Beta HC3'!$E$11)^2</x:f>
        <x:v>1.148571560981292e-12</x:v>
      </x:c>
      <x:c r="Q328" s="240" t="n">
        <x:f>N328*(1/'Beta HC3'!$E$8-'Beta HC3'!$E$9*L328/'Beta HC3'!$E$11)*L328/'Beta HC3'!$E$11</x:f>
        <x:v>3.321523440704884e-11</x:v>
      </x:c>
      <x:c r="R328" s="240" t="n">
        <x:f>K328*L328/'Beta HC3'!$E$11</x:f>
        <x:v>-0.0000309655949364743</x:v>
      </x:c>
      <x:c r="S328" s="240" t="n">
        <x:f>(K328-K327)^2</x:f>
        <x:v>0.00007871343491808086</x:v>
      </x:c>
      <x:c r="T328" s="280" t="n">
        <x:f>E328/$E$9*100</x:f>
        <x:v>82.0462539730197</x:v>
      </x:c>
    </x:row>
    <x:row r="329" ht="24" customHeight="1">
      <x:c r="C329" s="274" t="d">
        <x:v>2023-01-17T00:00:00.000Z</x:v>
      </x:c>
      <x:c r="D329" s="191" t="n">
        <x:v>240.35000610351562</x:v>
      </x:c>
      <x:c r="E329" s="191" t="n">
        <x:v>233.25782775878906</x:v>
      </x:c>
      <x:c r="F329" s="191" t="n">
        <x:v>397.7699890136719</x:v>
      </x:c>
      <x:c r="G329" s="191" t="n">
        <x:v>379.3991394042969</x:v>
      </x:c>
      <x:c r="H329" s="208" t="n">
        <x:f>E329/E328-1</x:f>
        <x:v>0.004681723631416501</x:v>
      </x:c>
      <x:c r="I329" s="208" t="n">
        <x:f>G329/G328-1</x:f>
        <x:v>-0.0018318796027320117</x:v>
      </x:c>
      <x:c r="J329" s="208" t="n">
        <x:f>'Beta HC3'!$E$13+'Beta HC3'!$E$12*I329</x:f>
        <x:v>-0.0020568839105969874</x:v>
      </x:c>
      <x:c r="K329" s="240" t="n">
        <x:f>H329-J329</x:f>
        <x:v>0.0067386075420134885</x:v>
      </x:c>
      <x:c r="L329" s="240" t="n">
        <x:f>I329-'Beta HC3'!$E$9</x:f>
        <x:v>-0.002395827220392451</x:v>
      </x:c>
      <x:c r="M329" s="240" t="n">
        <x:f>1/'Beta HC3'!$E$8+L329^2/'Beta HC3'!$E$11</x:f>
        <x:v>0.000836065341998268</x:v>
      </x:c>
      <x:c r="N329" s="240" t="n">
        <x:f>K329^2/(1-M329)^2</x:f>
        <x:v>0.00004548485643522988</x:v>
      </x:c>
      <x:c r="O329" s="240" t="n">
        <x:f>N329*L329^2/'Beta HC3'!$E$11^2</x:f>
        <x:v>1.2209349921698752e-8</x:v>
      </x:c>
      <x:c r="P329" s="240" t="n">
        <x:f>N329*(1/'Beta HC3'!$E$8-'Beta HC3'!$E$9*L329/'Beta HC3'!$E$11)^2</x:f>
        <x:v>2.955243621776461e-11</x:v>
      </x:c>
      <x:c r="Q329" s="240" t="n">
        <x:f>N329*(1/'Beta HC3'!$E$8-'Beta HC3'!$E$9*L329/'Beta HC3'!$E$11)*L329/'Beta HC3'!$E$11</x:f>
        <x:v>-6.006796440877381e-10</x:v>
      </x:c>
      <x:c r="R329" s="240" t="n">
        <x:f>K329*L329/'Beta HC3'!$E$11</x:f>
        <x:v>-0.00011040354535730633</x:v>
      </x:c>
      <x:c r="S329" s="240" t="n">
        <x:f>(K329-K328)^2</x:f>
        <x:v>0.00006568052474065018</x:v>
      </x:c>
      <x:c r="T329" s="280" t="n">
        <x:f>E329/$E$9*100</x:f>
        <x:v>82.43037185911439</x:v>
      </x:c>
    </x:row>
    <x:row r="330" ht="24" customHeight="1">
      <x:c r="C330" s="274" t="d">
        <x:v>2023-01-18T00:00:00.000Z</x:v>
      </x:c>
      <x:c r="D330" s="191" t="n">
        <x:v>235.80999755859375</x:v>
      </x:c>
      <x:c r="E330" s="191" t="n">
        <x:v>228.85182189941406</x:v>
      </x:c>
      <x:c r="F330" s="191" t="n">
        <x:v>391.489990234375</x:v>
      </x:c>
      <x:c r="G330" s="191" t="n">
        <x:v>373.4091491699219</x:v>
      </x:c>
      <x:c r="H330" s="208" t="n">
        <x:f>E330/E329-1</x:f>
        <x:v>-0.018888994644720936</x:v>
      </x:c>
      <x:c r="I330" s="208" t="n">
        <x:f>G330/G329-1</x:f>
        <x:v>-0.015788096524889328</x:v>
      </x:c>
      <x:c r="J330" s="208" t="n">
        <x:f>'Beta HC3'!$E$13+'Beta HC3'!$E$12*I330</x:f>
        <x:v>-0.01779686911919735</x:v>
      </x:c>
      <x:c r="K330" s="240" t="n">
        <x:f>H330-J330</x:f>
        <x:v>-0.0010921255255235858</x:v>
      </x:c>
      <x:c r="L330" s="240" t="n">
        <x:f>I330-'Beta HC3'!$E$9</x:f>
        <x:v>-0.016352044142549767</x:v>
      </x:c>
      <x:c r="M330" s="240" t="n">
        <x:f>1/'Beta HC3'!$E$8+L330^2/'Beta HC3'!$E$11</x:f>
        <x:v>0.0026253401093342867</x:v>
      </x:c>
      <x:c r="N330" s="240" t="n">
        <x:f>K330^2/(1-M330)^2</x:f>
        <x:v>0.0000011990255993193336</x:v>
      </x:c>
      <x:c r="O330" s="240" t="n">
        <x:f>N330*L330^2/'Beta HC3'!$E$11^2</x:f>
        <x:v>1.4992956464752684e-8</x:v>
      </x:c>
      <x:c r="P330" s="240" t="n">
        <x:f>N330*(1/'Beta HC3'!$E$8-'Beta HC3'!$E$9*L330/'Beta HC3'!$E$11)^2</x:f>
        <x:v>8.865411751957018e-13</x:v>
      </x:c>
      <x:c r="Q330" s="240" t="n">
        <x:f>N330*(1/'Beta HC3'!$E$8-'Beta HC3'!$E$9*L330/'Beta HC3'!$E$11)*L330/'Beta HC3'!$E$11</x:f>
        <x:v>-1.1529038660668909e-10</x:v>
      </x:c>
      <x:c r="R330" s="240" t="n">
        <x:f>K330*L330/'Beta HC3'!$E$11</x:f>
        <x:v>0.00012212426696786048</x:v>
      </x:c>
      <x:c r="S330" s="240" t="n">
        <x:f>(K330-K329)^2</x:f>
        <x:v>0.0000613203803750186</x:v>
      </x:c>
      <x:c r="T330" s="280" t="n">
        <x:f>E330/$E$9*100</x:f>
        <x:v>80.87334500650523</x:v>
      </x:c>
    </x:row>
    <x:row r="331" ht="24" customHeight="1">
      <x:c r="C331" s="274" t="d">
        <x:v>2023-01-19T00:00:00.000Z</x:v>
      </x:c>
      <x:c r="D331" s="191" t="n">
        <x:v>231.92999267578125</x:v>
      </x:c>
      <x:c r="E331" s="191" t="n">
        <x:v>225.08627319335938</x:v>
      </x:c>
      <x:c r="F331" s="191" t="n">
        <x:v>388.6400146484375</x:v>
      </x:c>
      <x:c r="G331" s="191" t="n">
        <x:v>370.6907958984375</x:v>
      </x:c>
      <x:c r="H331" s="208" t="n">
        <x:f>E331/E330-1</x:f>
        <x:v>-0.016454091013134886</x:v>
      </x:c>
      <x:c r="I331" s="208" t="n">
        <x:f>G331/G330-1</x:f>
        <x:v>-0.007279825032480369</x:v>
      </x:c>
      <x:c r="J331" s="208" t="n">
        <x:f>'Beta HC3'!$E$13+'Beta HC3'!$E$12*I331</x:f>
        <x:v>-0.008201140693060785</x:v>
      </x:c>
      <x:c r="K331" s="240" t="n">
        <x:f>H331-J331</x:f>
        <x:v>-0.008252950320074101</x:v>
      </x:c>
      <x:c r="L331" s="240" t="n">
        <x:f>I331-'Beta HC3'!$E$9</x:f>
        <x:v>-0.007843772650140808</x:v>
      </x:c>
      <x:c r="M331" s="240" t="n">
        <x:f>1/'Beta HC3'!$E$8+L331^2/'Beta HC3'!$E$11</x:f>
        <x:v>0.0012175465035656162</x:v>
      </x:c>
      <x:c r="N331" s="240" t="n">
        <x:f>K331^2/(1-M331)^2</x:f>
        <x:v>0.00006827734946616827</x:v>
      </x:c>
      <x:c r="O331" s="240" t="n">
        <x:f>N331*L331^2/'Beta HC3'!$E$11^2</x:f>
        <x:v>1.9644517699839926e-7</x:v>
      </x:c>
      <x:c r="P331" s="240" t="n">
        <x:f>N331*(1/'Beta HC3'!$E$8-'Beta HC3'!$E$9*L331/'Beta HC3'!$E$11)^2</x:f>
        <x:v>4.670391243914223e-11</x:v>
      </x:c>
      <x:c r="Q331" s="240" t="n">
        <x:f>N331*(1/'Beta HC3'!$E$8-'Beta HC3'!$E$9*L331/'Beta HC3'!$E$11)*L331/'Beta HC3'!$E$11</x:f>
        <x:v>-3.028986356130552e-9</x:v>
      </x:c>
      <x:c r="R331" s="240" t="n">
        <x:f>K331*L331/'Beta HC3'!$E$11</x:f>
        <x:v>0.00044268172080600364</x:v>
      </x:c>
      <x:c r="S331" s="240" t="n">
        <x:f>(K331-K330)^2</x:f>
        <x:v>0.00005127741173824943</x:v>
      </x:c>
      <x:c r="T331" s="280" t="n">
        <x:f>E331/$E$9*100</x:f>
        <x:v>79.54264762723153</x:v>
      </x:c>
    </x:row>
    <x:row r="332" ht="24" customHeight="1">
      <x:c r="C332" s="274" t="d">
        <x:v>2023-01-20T00:00:00.000Z</x:v>
      </x:c>
      <x:c r="D332" s="191" t="n">
        <x:v>240.22000122070312</x:v>
      </x:c>
      <x:c r="E332" s="191" t="n">
        <x:v>233.13168334960938</x:v>
      </x:c>
      <x:c r="F332" s="191" t="n">
        <x:v>395.8800048828125</x:v>
      </x:c>
      <x:c r="G332" s="191" t="n">
        <x:v>377.596435546875</x:v>
      </x:c>
      <x:c r="H332" s="208" t="n">
        <x:f>E332/E331-1</x:f>
        <x:v>0.03574367304637294</x:v>
      </x:c>
      <x:c r="I332" s="208" t="n">
        <x:f>G332/G331-1</x:f>
        <x:v>0.01862911009619328</x:v>
      </x:c>
      <x:c r="J332" s="208" t="n">
        <x:f>'Beta HC3'!$E$13+'Beta HC3'!$E$12*I332</x:f>
        <x:v>0.021019260363364756</x:v>
      </x:c>
      <x:c r="K332" s="240" t="n">
        <x:f>H332-J332</x:f>
        <x:v>0.01472441268300818</x:v>
      </x:c>
      <x:c r="L332" s="240" t="n">
        <x:f>I332-'Beta HC3'!$E$9</x:f>
        <x:v>0.01806516247853284</x:v>
      </x:c>
      <x:c r="M332" s="240" t="n">
        <x:f>1/'Beta HC3'!$E$8+L332^2/'Beta HC3'!$E$11</x:f>
        <x:v>0.003028539942731577</x:v>
      </x:c>
      <x:c r="N332" s="240" t="n">
        <x:f>K332^2/(1-M332)^2</x:f>
        <x:v>0.0002181275441419659</x:v>
      </x:c>
      <x:c r="O332" s="240" t="n">
        <x:f>N332*L332^2/'Beta HC3'!$E$11^2</x:f>
        <x:v>0.000003328963063903797</x:v>
      </x:c>
      <x:c r="P332" s="240" t="n">
        <x:f>N332*(1/'Beta HC3'!$E$8-'Beta HC3'!$E$9*L332/'Beta HC3'!$E$11)^2</x:f>
        <x:v>1.1533240861034389e-10</x:v>
      </x:c>
      <x:c r="Q332" s="240" t="n">
        <x:f>N332*(1/'Beta HC3'!$E$8-'Beta HC3'!$E$9*L332/'Beta HC3'!$E$11)*L332/'Beta HC3'!$E$11</x:f>
        <x:v>1.9594318777005113e-8</x:v>
      </x:c>
      <x:c r="R332" s="240" t="n">
        <x:f>K332*L332/'Beta HC3'!$E$11</x:f>
        <x:v>0.001819018911974138</x:v>
      </x:c>
      <x:c r="S332" s="240" t="n">
        <x:f>(K332-K331)^2</x:f>
        <x:v>0.0005279592105754144</x:v>
      </x:c>
      <x:c r="T332" s="280" t="n">
        <x:f>E332/$E$9*100</x:f>
        <x:v>82.38579401726214</x:v>
      </x:c>
    </x:row>
    <x:row r="333" ht="24" customHeight="1">
      <x:c r="C333" s="274" t="d">
        <x:v>2023-01-23T00:00:00.000Z</x:v>
      </x:c>
      <x:c r="D333" s="191" t="n">
        <x:v>242.5800018310547</x:v>
      </x:c>
      <x:c r="E333" s="191" t="n">
        <x:v>235.4220733642578</x:v>
      </x:c>
      <x:c r="F333" s="191" t="n">
        <x:v>400.6300048828125</x:v>
      </x:c>
      <x:c r="G333" s="191" t="n">
        <x:v>382.1270751953125</x:v>
      </x:c>
      <x:c r="H333" s="208" t="n">
        <x:f>E333/E332-1</x:f>
        <x:v>0.009824447632944544</x:v>
      </x:c>
      <x:c r="I333" s="208" t="n">
        <x:f>G333/G332-1</x:f>
        <x:v>0.01199862928228046</x:v>
      </x:c>
      <x:c r="J333" s="208" t="n">
        <x:f>'Beta HC3'!$E$13+'Beta HC3'!$E$12*I333</x:f>
        <x:v>0.013541326298639425</x:v>
      </x:c>
      <x:c r="K333" s="240" t="n">
        <x:f>H333-J333</x:f>
        <x:v>-0.003716878665694881</x:v>
      </x:c>
      <x:c r="L333" s="240" t="n">
        <x:f>I333-'Beta HC3'!$E$9</x:f>
        <x:v>0.01143468166462002</x:v>
      </x:c>
      <x:c r="M333" s="240" t="n">
        <x:f>1/'Beta HC3'!$E$8+L333^2/'Beta HC3'!$E$11</x:f>
        <x:v>0.001690952738277282</x:v>
      </x:c>
      <x:c r="N333" s="240" t="n">
        <x:f>K333^2/(1-M333)^2</x:f>
        <x:v>0.000013862027446045249</x:v>
      </x:c>
      <x:c r="O333" s="240" t="n">
        <x:f>N333*L333^2/'Beta HC3'!$E$11^2</x:f>
        <x:v>8.475974361804329e-8</x:v>
      </x:c>
      <x:c r="P333" s="240" t="n">
        <x:f>N333*(1/'Beta HC3'!$E$8-'Beta HC3'!$E$9*L333/'Beta HC3'!$E$11)^2</x:f>
        <x:v>7.853937704748694e-12</x:v>
      </x:c>
      <x:c r="Q333" s="240" t="n">
        <x:f>N333*(1/'Beta HC3'!$E$8-'Beta HC3'!$E$9*L333/'Beta HC3'!$E$11)*L333/'Beta HC3'!$E$11</x:f>
        <x:v>8.159030250260032e-10</x:v>
      </x:c>
      <x:c r="R333" s="240" t="n">
        <x:f>K333*L333/'Beta HC3'!$E$11</x:f>
        <x:v>-0.0002906429708976957</x:v>
      </x:c>
      <x:c r="S333" s="240" t="n">
        <x:f>(K333-K332)^2</x:f>
        <x:v>0.00034008122660775036</x:v>
      </x:c>
      <x:c r="T333" s="280" t="n">
        <x:f>E333/$E$9*100</x:f>
        <x:v>83.19518893628329</x:v>
      </x:c>
    </x:row>
    <x:row r="334" ht="24" customHeight="1">
      <x:c r="C334" s="274" t="d">
        <x:v>2023-01-24T00:00:00.000Z</x:v>
      </x:c>
      <x:c r="D334" s="191" t="n">
        <x:v>242.0399932861328</x:v>
      </x:c>
      <x:c r="E334" s="191" t="n">
        <x:v>234.89796447753906</x:v>
      </x:c>
      <x:c r="F334" s="191" t="n">
        <x:v>400.20001220703125</x:v>
      </x:c>
      <x:c r="G334" s="191" t="n">
        <x:v>381.7169494628906</x:v>
      </x:c>
      <x:c r="H334" s="208" t="n">
        <x:f>E334/E333-1</x:f>
        <x:v>-0.0022262521063937113</x:v>
      </x:c>
      <x:c r="I334" s="208" t="n">
        <x:f>G334/G333-1</x:f>
        <x:v>-0.001073270540205118</x:v>
      </x:c>
      <x:c r="J334" s="208" t="n">
        <x:f>'Beta HC3'!$E$13+'Beta HC3'!$E$12*I334</x:f>
        <x:v>-0.0012013157082766002</x:v>
      </x:c>
      <x:c r="K334" s="240" t="n">
        <x:f>H334-J334</x:f>
        <x:v>-0.001024936398117111</x:v>
      </x:c>
      <x:c r="L334" s="240" t="n">
        <x:f>I334-'Beta HC3'!$E$9</x:f>
        <x:v>-0.0016372181578655572</x:v>
      </x:c>
      <x:c r="M334" s="240" t="n">
        <x:f>1/'Beta HC3'!$E$8+L334^2/'Beta HC3'!$E$11</x:f>
        <x:v>0.0008151430867295479</x:v>
      </x:c>
      <x:c r="N334" s="240" t="n">
        <x:f>K334^2/(1-M334)^2</x:f>
        <x:v>0.0000010522093233475479</x:v>
      </x:c>
      <x:c r="O334" s="240" t="n">
        <x:f>N334*L334^2/'Beta HC3'!$E$11^2</x:f>
        <x:v>1.31895498522237e-10</x:v>
      </x:c>
      <x:c r="P334" s="240" t="n">
        <x:f>N334*(1/'Beta HC3'!$E$8-'Beta HC3'!$E$9*L334/'Beta HC3'!$E$11)^2</x:f>
        <x:v>6.786881984388175e-13</x:v>
      </x:c>
      <x:c r="Q334" s="240" t="n">
        <x:f>N334*(1/'Beta HC3'!$E$8-'Beta HC3'!$E$9*L334/'Beta HC3'!$E$11)*L334/'Beta HC3'!$E$11</x:f>
        <x:v>-9.461285233743181e-12</x:v>
      </x:c>
      <x:c r="R334" s="240" t="n">
        <x:f>K334*L334/'Beta HC3'!$E$11</x:f>
        <x:v>0.000011475214976361317</x:v>
      </x:c>
      <x:c r="S334" s="240" t="n">
        <x:f>(K334-K333)^2</x:f>
        <x:v>0.000007246553171971746</x:v>
      </x:c>
      <x:c r="T334" s="280" t="n">
        <x:f>E334/$E$9*100</x:f>
        <x:v>83.00997547167206</x:v>
      </x:c>
    </x:row>
    <x:row r="335" ht="24" customHeight="1">
      <x:c r="C335" s="274" t="d">
        <x:v>2023-01-25T00:00:00.000Z</x:v>
      </x:c>
      <x:c r="D335" s="191" t="n">
        <x:v>240.61000061035156</x:v>
      </x:c>
      <x:c r="E335" s="191" t="n">
        <x:v>233.51016235351562</x:v>
      </x:c>
      <x:c r="F335" s="191" t="n">
        <x:v>400.3500061035156</x:v>
      </x:c>
      <x:c r="G335" s="191" t="n">
        <x:v>381.86004638671875</x:v>
      </x:c>
      <x:c r="H335" s="208" t="n">
        <x:f>E335/E334-1</x:f>
        <x:v>-0.005908106215863573</x:v>
      </x:c>
      <x:c r="I335" s="208" t="n">
        <x:f>G335/G334-1</x:f>
        <x:v>0.00037487704968164337</x:v>
      </x:c>
      <x:c r="J335" s="208" t="n">
        <x:f>'Beta HC3'!$E$13+'Beta HC3'!$E$12*I335</x:f>
        <x:v>0.0004319221363215102</x:v>
      </x:c>
      <x:c r="K335" s="240" t="n">
        <x:f>H335-J335</x:f>
        <x:v>-0.006340028352185083</x:v>
      </x:c>
      <x:c r="L335" s="240" t="n">
        <x:f>I335-'Beta HC3'!$E$9</x:f>
        <x:v>-0.000189070567978796</x:v>
      </x:c>
      <x:c r="M335" s="240" t="n">
        <x:f>1/'Beta HC3'!$E$8+L335^2/'Beta HC3'!$E$11</x:f>
        <x:v>0.0007970572075470506</x:v>
      </x:c>
      <x:c r="N335" s="240" t="n">
        <x:f>K335^2/(1-M335)^2</x:f>
        <x:v>0.00004026011315598836</x:v>
      </x:c>
      <x:c r="O335" s="240" t="n">
        <x:f>N335*L335^2/'Beta HC3'!$E$11^2</x:f>
        <x:v>6.73034879398923e-11</x:v>
      </x:c>
      <x:c r="P335" s="240" t="n">
        <x:f>N335*(1/'Beta HC3'!$E$8-'Beta HC3'!$E$9*L335/'Beta HC3'!$E$11)^2</x:f>
        <x:v>2.560837454561087e-11</x:v>
      </x:c>
      <x:c r="Q335" s="240" t="n">
        <x:f>N335*(1/'Beta HC3'!$E$8-'Beta HC3'!$E$9*L335/'Beta HC3'!$E$11)*L335/'Beta HC3'!$E$11</x:f>
        <x:v>-4.1515454079062726e-11</x:v>
      </x:c>
      <x:c r="R335" s="240" t="n">
        <x:f>K335*L335/'Beta HC3'!$E$11</x:f>
        <x:v>0.000008197331348524349</x:v>
      </x:c>
      <x:c r="S335" s="240" t="n">
        <x:f>(K335-K334)^2</x:f>
        <x:v>0.000028250202480198097</x:v>
      </x:c>
      <x:c r="T335" s="280" t="n">
        <x:f>E335/$E$9*100</x:f>
        <x:v>82.5195437196092</x:v>
      </x:c>
    </x:row>
    <x:row r="336" ht="24" customHeight="1">
      <x:c r="C336" s="274" t="d">
        <x:v>2023-01-26T00:00:00.000Z</x:v>
      </x:c>
      <x:c r="D336" s="191" t="n">
        <x:v>248</x:v>
      </x:c>
      <x:c r="E336" s="191" t="n">
        <x:v>240.68209838867188</x:v>
      </x:c>
      <x:c r="F336" s="191" t="n">
        <x:v>404.75</x:v>
      </x:c>
      <x:c r="G336" s="191" t="n">
        <x:v>386.0567626953125</x:v>
      </x:c>
      <x:c r="H336" s="208" t="n">
        <x:f>E336/E335-1</x:f>
        <x:v>0.030713592774170184</x:v>
      </x:c>
      <x:c r="I336" s="208" t="n">
        <x:f>G336/G335-1</x:f>
        <x:v>0.010990194832647182</x:v>
      </x:c>
      <x:c r="J336" s="208" t="n">
        <x:f>'Beta HC3'!$E$13+'Beta HC3'!$E$12*I336</x:f>
        <x:v>0.012404002093261764</x:v>
      </x:c>
      <x:c r="K336" s="240" t="n">
        <x:f>H336-J336</x:f>
        <x:v>0.01830959068090842</x:v>
      </x:c>
      <x:c r="L336" s="240" t="n">
        <x:f>I336-'Beta HC3'!$E$9</x:f>
        <x:v>0.010426247214986743</x:v>
      </x:c>
      <x:c r="M336" s="240" t="n">
        <x:f>1/'Beta HC3'!$E$8+L336^2/'Beta HC3'!$E$11</x:f>
        <x:v>0.0015401970713989732</x:v>
      </x:c>
      <x:c r="N336" s="240" t="n">
        <x:f>K336^2/(1-M336)^2</x:f>
        <x:v>0.00033627617634969276</x:v>
      </x:c>
      <x:c r="O336" s="240" t="n">
        <x:f>N336*L336^2/'Beta HC3'!$E$11^2</x:f>
        <x:v>0.000001709491161832454</x:v>
      </x:c>
      <x:c r="P336" s="240" t="n">
        <x:f>N336*(1/'Beta HC3'!$E$8-'Beta HC3'!$E$9*L336/'Beta HC3'!$E$11)^2</x:f>
        <x:v>1.9250099806979688e-10</x:v>
      </x:c>
      <x:c r="Q336" s="240" t="n">
        <x:f>N336*(1/'Beta HC3'!$E$8-'Beta HC3'!$E$9*L336/'Beta HC3'!$E$11)*L336/'Beta HC3'!$E$11</x:f>
        <x:v>1.8140527964870376e-8</x:v>
      </x:c>
      <x:c r="R336" s="240" t="n">
        <x:f>K336*L336/'Beta HC3'!$E$11</x:f>
        <x:v>0.0013054613401159427</x:v>
      </x:c>
      <x:c r="S336" s="240" t="n">
        <x:f>(K336-K335)^2</x:f>
        <x:v>0.0006076037184766455</x:v>
      </x:c>
      <x:c r="T336" s="280" t="n">
        <x:f>E336/$E$9*100</x:f>
        <x:v>85.05401538132361</x:v>
      </x:c>
    </x:row>
    <x:row r="337" ht="24" customHeight="1">
      <x:c r="C337" s="274" t="d">
        <x:v>2023-01-27T00:00:00.000Z</x:v>
      </x:c>
      <x:c r="D337" s="191" t="n">
        <x:v>248.16000366210938</x:v>
      </x:c>
      <x:c r="E337" s="191" t="n">
        <x:v>240.83741760253906</x:v>
      </x:c>
      <x:c r="F337" s="191" t="n">
        <x:v>405.67999267578125</x:v>
      </x:c>
      <x:c r="G337" s="191" t="n">
        <x:v>386.9438171386719</x:v>
      </x:c>
      <x:c r="H337" s="208" t="n">
        <x:f>E337/E336-1</x:f>
        <x:v>0.0006453293157531181</x:v>
      </x:c>
      <x:c r="I337" s="208" t="n">
        <x:f>G337/G336-1</x:f>
        <x:v>0.002297730616519278</x:v>
      </x:c>
      <x:c r="J337" s="208" t="n">
        <x:f>'Beta HC3'!$E$13+'Beta HC3'!$E$12*I337</x:f>
        <x:v>0.002600538951977198</x:v>
      </x:c>
      <x:c r="K337" s="240" t="n">
        <x:f>H337-J337</x:f>
        <x:v>-0.00195520963622408</x:v>
      </x:c>
      <x:c r="L337" s="240" t="n">
        <x:f>I337-'Beta HC3'!$E$9</x:f>
        <x:v>0.0017337829988588386</x:v>
      </x:c>
      <x:c r="M337" s="240" t="n">
        <x:f>1/'Beta HC3'!$E$8+L337^2/'Beta HC3'!$E$11</x:f>
        <x:v>0.0008173691386656676</x:v>
      </x:c>
      <x:c r="N337" s="240" t="n">
        <x:f>K337^2/(1-M337)^2</x:f>
        <x:v>0.00000382910174257646</x:v>
      </x:c>
      <x:c r="O337" s="240" t="n">
        <x:f>N337*L337^2/'Beta HC3'!$E$11^2</x:f>
        <x:v>5.382711569774413e-10</x:v>
      </x:c>
      <x:c r="P337" s="240" t="n">
        <x:f>N337*(1/'Beta HC3'!$E$8-'Beta HC3'!$E$9*L337/'Beta HC3'!$E$11)^2</x:f>
        <x:v>2.3905070061482776e-12</x:v>
      </x:c>
      <x:c r="Q337" s="240" t="n">
        <x:f>N337*(1/'Beta HC3'!$E$8-'Beta HC3'!$E$9*L337/'Beta HC3'!$E$11)*L337/'Beta HC3'!$E$11</x:f>
        <x:v>3.5871171878851586e-11</x:v>
      </x:c>
      <x:c r="R337" s="240" t="n">
        <x:f>K337*L337/'Beta HC3'!$E$11</x:f>
        <x:v>-0.00002318170796400401</x:v>
      </x:c>
      <x:c r="S337" s="240" t="n">
        <x:f>(K337-K336)^2</x:f>
        <x:v>0.0004106621318932535</x:v>
      </x:c>
      <x:c r="T337" s="280" t="n">
        <x:f>E337/$E$9*100</x:f>
        <x:v>85.1089032308717</x:v>
      </x:c>
    </x:row>
    <x:row r="338" ht="24" customHeight="1">
      <x:c r="C338" s="274" t="d">
        <x:v>2023-01-30T00:00:00.000Z</x:v>
      </x:c>
      <x:c r="D338" s="191" t="n">
        <x:v>242.7100067138672</x:v>
      </x:c>
      <x:c r="E338" s="191" t="n">
        <x:v>235.54820251464844</x:v>
      </x:c>
      <x:c r="F338" s="191" t="n">
        <x:v>400.5899963378906</x:v>
      </x:c>
      <x:c r="G338" s="191" t="n">
        <x:v>382.08892822265625</x:v>
      </x:c>
      <x:c r="H338" s="208" t="n">
        <x:f>E338/E337-1</x:f>
        <x:v>-0.0219617663257774</x:v>
      </x:c>
      <x:c r="I338" s="208" t="n">
        <x:f>G338/G337-1</x:f>
        <x:v>-0.01254675407896677</x:v>
      </x:c>
      <x:c r="J338" s="208" t="n">
        <x:f>'Beta HC3'!$E$13+'Beta HC3'!$E$12*I338</x:f>
        <x:v>-0.014141245074415507</x:v>
      </x:c>
      <x:c r="K338" s="240" t="n">
        <x:f>H338-J338</x:f>
        <x:v>-0.007820521251361892</x:v>
      </x:c>
      <x:c r="L338" s="240" t="n">
        <x:f>I338-'Beta HC3'!$E$9</x:f>
        <x:v>-0.01311070169662721</x:v>
      </x:c>
      <x:c r="M338" s="240" t="n">
        <x:f>1/'Beta HC3'!$E$8+L338^2/'Beta HC3'!$E$11</x:f>
        <x:v>0.0019722764805857177</x:v>
      </x:c>
      <x:c r="N338" s="240" t="n">
        <x:f>K338^2/(1-M338)^2</x:f>
        <x:v>0.00006140251928417377</x:v>
      </x:c>
      <x:c r="O338" s="240" t="n">
        <x:f>N338*L338^2/'Beta HC3'!$E$11^2</x:f>
        <x:v>4.935745807416147e-7</x:v>
      </x:c>
      <x:c r="P338" s="240" t="n">
        <x:f>N338*(1/'Beta HC3'!$E$8-'Beta HC3'!$E$9*L338/'Beta HC3'!$E$11)^2</x:f>
        <x:v>4.408968200732034e-11</x:v>
      </x:c>
      <x:c r="Q338" s="240" t="n">
        <x:f>N338*(1/'Beta HC3'!$E$8-'Beta HC3'!$E$9*L338/'Beta HC3'!$E$11)*L338/'Beta HC3'!$E$11</x:f>
        <x:v>-4.664927256859881e-9</x:v>
      </x:c>
      <x:c r="R338" s="240" t="n">
        <x:f>K338*L338/'Beta HC3'!$E$11</x:f>
        <x:v>0.0007011630121525057</x:v>
      </x:c>
      <x:c r="S338" s="240" t="n">
        <x:f>(K338-K337)^2</x:f>
        <x:v>0.00003440188034267053</x:v>
      </x:c>
      <x:c r="T338" s="280" t="n">
        <x:f>E338/$E$9*100</x:f>
        <x:v>83.2397613858721</x:v>
      </x:c>
    </x:row>
    <x:row r="339" ht="24" customHeight="1">
      <x:c r="C339" s="274" t="d">
        <x:v>2023-01-31T00:00:00.000Z</x:v>
      </x:c>
      <x:c r="D339" s="191" t="n">
        <x:v>247.80999755859375</x:v>
      </x:c>
      <x:c r="E339" s="191" t="n">
        <x:v>240.49771118164062</x:v>
      </x:c>
      <x:c r="F339" s="191" t="n">
        <x:v>406.4800109863281</x:v>
      </x:c>
      <x:c r="G339" s="191" t="n">
        <x:v>387.7068786621094</x:v>
      </x:c>
      <x:c r="H339" s="208" t="n">
        <x:f>E339/E338-1</x:f>
        <x:v>0.0210127210233515</x:v>
      </x:c>
      <x:c r="I339" s="208" t="n">
        <x:f>G339/G338-1</x:f>
        <x:v>0.014703253678628903</x:v>
      </x:c>
      <x:c r="J339" s="208" t="n">
        <x:f>'Beta HC3'!$E$13+'Beta HC3'!$E$12*I339</x:f>
        <x:v>0.016591633429202692</x:v>
      </x:c>
      <x:c r="K339" s="240" t="n">
        <x:f>H339-J339</x:f>
        <x:v>0.004421087594148807</x:v>
      </x:c>
      <x:c r="L339" s="240" t="n">
        <x:f>I339-'Beta HC3'!$E$9</x:f>
        <x:v>0.014139306060968464</x:v>
      </x:c>
      <x:c r="M339" s="240" t="n">
        <x:f>1/'Beta HC3'!$E$8+L339^2/'Beta HC3'!$E$11</x:f>
        <x:v>0.0021639545181516544</x:v>
      </x:c>
      <x:c r="N339" s="240" t="n">
        <x:f>K339^2/(1-M339)^2</x:f>
        <x:v>0.00001963088427103852</x:v>
      </x:c>
      <x:c r="O339" s="240" t="n">
        <x:f>N339*L339^2/'Beta HC3'!$E$11^2</x:f>
        <x:v>1.8353156856113836e-7</x:v>
      </x:c>
      <x:c r="P339" s="240" t="n">
        <x:f>N339*(1/'Beta HC3'!$E$8-'Beta HC3'!$E$9*L339/'Beta HC3'!$E$11)^2</x:f>
        <x:v>1.0816338102614993e-11</x:v>
      </x:c>
      <x:c r="Q339" s="240" t="n">
        <x:f>N339*(1/'Beta HC3'!$E$8-'Beta HC3'!$E$9*L339/'Beta HC3'!$E$11)*L339/'Beta HC3'!$E$11</x:f>
        <x:v>1.4089497855000145e-9</x:v>
      </x:c>
      <x:c r="R339" s="240" t="n">
        <x:f>K339*L339/'Beta HC3'!$E$11</x:f>
        <x:v>0.00042747879485447815</x:v>
      </x:c>
      <x:c r="S339" s="240" t="n">
        <x:f>(K339-K338)^2</x:f>
        <x:v>0.0001498569871264858</x:v>
      </x:c>
      <x:c r="T339" s="280" t="n">
        <x:f>E339/$E$9*100</x:f>
        <x:v>84.98885526992377</x:v>
      </x:c>
    </x:row>
    <x:row r="340" ht="24" customHeight="1">
      <x:c r="C340" s="274" t="d">
        <x:v>2023-02-01T00:00:00.000Z</x:v>
      </x:c>
      <x:c r="D340" s="191" t="n">
        <x:v>252.75</x:v>
      </x:c>
      <x:c r="E340" s="191" t="n">
        <x:v>245.2919158935547</x:v>
      </x:c>
      <x:c r="F340" s="191" t="n">
        <x:v>410.79998779296875</x:v>
      </x:c>
      <x:c r="G340" s="191" t="n">
        <x:v>391.82733154296875</x:v>
      </x:c>
      <x:c r="H340" s="208" t="n">
        <x:f>E340/E339-1</x:f>
        <x:v>0.019934512841551122</x:v>
      </x:c>
      <x:c r="I340" s="208" t="n">
        <x:f>G340/G339-1</x:f>
        <x:v>0.010627752840182136</x:v>
      </x:c>
      <x:c r="J340" s="208" t="n">
        <x:f>'Beta HC3'!$E$13+'Beta HC3'!$E$12*I340</x:f>
        <x:v>0.011995235761225301</x:v>
      </x:c>
      <x:c r="K340" s="240" t="n">
        <x:f>H340-J340</x:f>
        <x:v>0.00793927708032582</x:v>
      </x:c>
      <x:c r="L340" s="240" t="n">
        <x:f>I340-'Beta HC3'!$E$9</x:f>
        <x:v>0.010063805222521698</x:v>
      </x:c>
      <x:c r="M340" s="240" t="n">
        <x:f>1/'Beta HC3'!$E$8+L340^2/'Beta HC3'!$E$11</x:f>
        <x:v>0.0014894116640294744</x:v>
      </x:c>
      <x:c r="N340" s="240" t="n">
        <x:f>K340^2/(1-M340)^2</x:f>
        <x:v>0.00006322030242528342</x:v>
      </x:c>
      <x:c r="O340" s="240" t="n">
        <x:f>N340*L340^2/'Beta HC3'!$E$11^2</x:f>
        <x:v>2.9943029440997113e-7</x:v>
      </x:c>
      <x:c r="P340" s="240" t="n">
        <x:f>N340*(1/'Beta HC3'!$E$8-'Beta HC3'!$E$9*L340/'Beta HC3'!$E$11)^2</x:f>
        <x:v>3.632424734217868e-11</x:v>
      </x:c>
      <x:c r="Q340" s="240" t="n">
        <x:f>N340*(1/'Beta HC3'!$E$8-'Beta HC3'!$E$9*L340/'Beta HC3'!$E$11)*L340/'Beta HC3'!$E$11</x:f>
        <x:v>3.297966051354861e-9</x:v>
      </x:c>
      <x:c r="R340" s="240" t="n">
        <x:f>K340*L340/'Beta HC3'!$E$11</x:f>
        <x:v>0.0005463872332917212</x:v>
      </x:c>
      <x:c r="S340" s="240" t="n">
        <x:f>(K340-K339)^2</x:f>
        <x:v>0.000012377657260646477</x:v>
      </x:c>
      <x:c r="T340" s="280" t="n">
        <x:f>E340/$E$9*100</x:f>
        <x:v>86.68306669669079</x:v>
      </x:c>
    </x:row>
    <x:row r="341" ht="24" customHeight="1">
      <x:c r="C341" s="274" t="d">
        <x:v>2023-02-02T00:00:00.000Z</x:v>
      </x:c>
      <x:c r="D341" s="191" t="n">
        <x:v>264.6000061035156</x:v>
      </x:c>
      <x:c r="E341" s="191" t="n">
        <x:v>256.79229736328125</x:v>
      </x:c>
      <x:c r="F341" s="191" t="n">
        <x:v>416.7799987792969</x:v>
      </x:c>
      <x:c r="G341" s="191" t="n">
        <x:v>397.53125</x:v>
      </x:c>
      <x:c r="H341" s="208" t="n">
        <x:f>E341/E340-1</x:f>
        <x:v>0.046884469990919664</x:v>
      </x:c>
      <x:c r="I341" s="208" t="n">
        <x:f>G341/G340-1</x:f>
        <x:v>0.014557224567693927</x:v>
      </x:c>
      <x:c r="J341" s="208" t="n">
        <x:f>'Beta HC3'!$E$13+'Beta HC3'!$E$12*I341</x:f>
        <x:v>0.016426940084368506</x:v>
      </x:c>
      <x:c r="K341" s="240" t="n">
        <x:f>H341-J341</x:f>
        <x:v>0.030457529906551158</x:v>
      </x:c>
      <x:c r="L341" s="240" t="n">
        <x:f>I341-'Beta HC3'!$E$9</x:f>
        <x:v>0.013993276950033488</x:v>
      </x:c>
      <x:c r="M341" s="240" t="n">
        <x:f>1/'Beta HC3'!$E$8+L341^2/'Beta HC3'!$E$11</x:f>
        <x:v>0.0021358609817429906</x:v>
      </x:c>
      <x:c r="N341" s="240" t="n">
        <x:f>K341^2/(1-M341)^2</x:f>
        <x:v>0.0009316365703732505</x:v>
      </x:c>
      <x:c r="O341" s="240" t="n">
        <x:f>N341*L341^2/'Beta HC3'!$E$11^2</x:f>
        <x:v>0.000008531003301220805</x:v>
      </x:c>
      <x:c r="P341" s="240" t="n">
        <x:f>N341*(1/'Beta HC3'!$E$8-'Beta HC3'!$E$9*L341/'Beta HC3'!$E$11)^2</x:f>
        <x:v>5.140976998949756e-10</x:v>
      </x:c>
      <x:c r="Q341" s="240" t="n">
        <x:f>N341*(1/'Beta HC3'!$E$8-'Beta HC3'!$E$9*L341/'Beta HC3'!$E$11)*L341/'Beta HC3'!$E$11</x:f>
        <x:v>6.622514005235518e-8</x:v>
      </x:c>
      <x:c r="R341" s="240" t="n">
        <x:f>K341*L341/'Beta HC3'!$E$11</x:f>
        <x:v>0.0029145497327461353</x:v>
      </x:c>
      <x:c r="S341" s="240" t="n">
        <x:f>(K341-K340)^2</x:f>
        <x:v>0.0005070717103458054</x:v>
      </x:c>
      <x:c r="T341" s="280" t="n">
        <x:f>E341/$E$9*100</x:f>
        <x:v>90.74715633595268</x:v>
      </x:c>
    </x:row>
    <x:row r="342" ht="24" customHeight="1">
      <x:c r="C342" s="274" t="d">
        <x:v>2023-02-03T00:00:00.000Z</x:v>
      </x:c>
      <x:c r="D342" s="191" t="n">
        <x:v>258.3500061035156</x:v>
      </x:c>
      <x:c r="E342" s="191" t="n">
        <x:v>250.72671508789062</x:v>
      </x:c>
      <x:c r="F342" s="191" t="n">
        <x:v>412.3500061035156</x:v>
      </x:c>
      <x:c r="G342" s="191" t="n">
        <x:v>393.3058166503906</x:v>
      </x:c>
      <x:c r="H342" s="208" t="n">
        <x:f>E342/E341-1</x:f>
        <x:v>-0.02362057716555921</x:v>
      </x:c>
      <x:c r="I342" s="208" t="n">
        <x:f>G342/G341-1</x:f>
        <x:v>-0.01062918537752533</x:v>
      </x:c>
      <x:c r="J342" s="208" t="n">
        <x:f>'Beta HC3'!$E$13+'Beta HC3'!$E$12*I342</x:f>
        <x:v>-0.01197858859196684</x:v>
      </x:c>
      <x:c r="K342" s="240" t="n">
        <x:f>H342-J342</x:f>
        <x:v>-0.011641988573592369</x:v>
      </x:c>
      <x:c r="L342" s="240" t="n">
        <x:f>I342-'Beta HC3'!$E$9</x:f>
        <x:v>-0.011193132995185769</x:v>
      </x:c>
      <x:c r="M342" s="240" t="n">
        <x:f>1/'Beta HC3'!$E$8+L342^2/'Beta HC3'!$E$11</x:f>
        <x:v>0.0016535757225064707</x:v>
      </x:c>
      <x:c r="N342" s="240" t="n">
        <x:f>K342^2/(1-M342)^2</x:f>
        <x:v>0.00013598524993729399</x:v>
      </x:c>
      <x:c r="O342" s="240" t="n">
        <x:f>N342*L342^2/'Beta HC3'!$E$11^2</x:f>
        <x:v>7.96727586329178e-7</x:v>
      </x:c>
      <x:c r="P342" s="240" t="n">
        <x:f>N342*(1/'Beta HC3'!$E$8-'Beta HC3'!$E$9*L342/'Beta HC3'!$E$11)^2</x:f>
        <x:v>9.594647342370437e-11</x:v>
      </x:c>
      <x:c r="Q342" s="240" t="n">
        <x:f>N342*(1/'Beta HC3'!$E$8-'Beta HC3'!$E$9*L342/'Beta HC3'!$E$11)*L342/'Beta HC3'!$E$11</x:f>
        <x:v>-8.743180324553797e-9</x:v>
      </x:c>
      <x:c r="R342" s="240" t="n">
        <x:f>K342*L342/'Beta HC3'!$E$11</x:f>
        <x:v>0.0008911200065328473</x:v>
      </x:c>
      <x:c r="S342" s="240" t="n">
        <x:f>(K342-K341)^2</x:f>
        <x:v>0.001772369456259946</x:v>
      </x:c>
      <x:c r="T342" s="280" t="n">
        <x:f>E342/$E$9*100</x:f>
        <x:v>88.60365612716424</x:v>
      </x:c>
    </x:row>
    <x:row r="343" ht="24" customHeight="1">
      <x:c r="C343" s="274" t="d">
        <x:v>2023-02-06T00:00:00.000Z</x:v>
      </x:c>
      <x:c r="D343" s="191" t="n">
        <x:v>256.7699890136719</x:v>
      </x:c>
      <x:c r="E343" s="191" t="n">
        <x:v>249.19332885742188</x:v>
      </x:c>
      <x:c r="F343" s="191" t="n">
        <x:v>409.8299865722656</x:v>
      </x:c>
      <x:c r="G343" s="191" t="n">
        <x:v>390.902099609375</x:v>
      </x:c>
      <x:c r="H343" s="208" t="n">
        <x:f>E343/E342-1</x:f>
        <x:v>-0.006115767240564063</x:v>
      </x:c>
      <x:c r="I343" s="208" t="n">
        <x:f>G343/G342-1</x:f>
        <x:v>-0.006111572570899115</x:v>
      </x:c>
      <x:c r="J343" s="208" t="n">
        <x:f>'Beta HC3'!$E$13+'Beta HC3'!$E$12*I343</x:f>
        <x:v>-0.006883571858485985</x:v>
      </x:c>
      <x:c r="K343" s="240" t="n">
        <x:f>H343-J343</x:f>
        <x:v>0.0007678046179219224</x:v>
      </x:c>
      <x:c r="L343" s="240" t="n">
        <x:f>I343-'Beta HC3'!$E$9</x:f>
        <x:v>-0.006675520188559555</x:v>
      </x:c>
      <x:c r="M343" s="240" t="n">
        <x:f>1/'Beta HC3'!$E$8+L343^2/'Beta HC3'!$E$11</x:f>
        <x:v>0.0011015514337083556</x:v>
      </x:c>
      <x:c r="N343" s="240" t="n">
        <x:f>K343^2/(1-M343)^2</x:f>
        <x:v>5.908248623344975e-7</x:v>
      </x:c>
      <x:c r="O343" s="240" t="n">
        <x:f>N343*L343^2/'Beta HC3'!$E$11^2</x:f>
        <x:v>1.231242824748651e-9</x:v>
      </x:c>
      <x:c r="P343" s="240" t="n">
        <x:f>N343*(1/'Beta HC3'!$E$8-'Beta HC3'!$E$9*L343/'Beta HC3'!$E$11)^2</x:f>
        <x:v>3.9975216912914263e-13</x:v>
      </x:c>
      <x:c r="Q343" s="240" t="n">
        <x:f>N343*(1/'Beta HC3'!$E$8-'Beta HC3'!$E$9*L343/'Beta HC3'!$E$11)*L343/'Beta HC3'!$E$11</x:f>
        <x:v>-2.2185400377680054e-11</x:v>
      </x:c>
      <x:c r="R343" s="240" t="n">
        <x:f>K343*L343/'Beta HC3'!$E$11</x:f>
        <x:v>-0.000035050417460569055</x:v>
      </x:c>
      <x:c r="S343" s="240" t="n">
        <x:f>(K343-K342)^2</x:f>
        <x:v>0.00015400296705615445</x:v>
      </x:c>
      <x:c r="T343" s="280" t="n">
        <x:f>E343/$E$9*100</x:f>
        <x:v>88.06177678962753</x:v>
      </x:c>
    </x:row>
    <x:row r="344" ht="24" customHeight="1">
      <x:c r="C344" s="274" t="d">
        <x:v>2023-02-07T00:00:00.000Z</x:v>
      </x:c>
      <x:c r="D344" s="191" t="n">
        <x:v>267.55999755859375</x:v>
      </x:c>
      <x:c r="E344" s="191" t="n">
        <x:v>259.6649475097656</x:v>
      </x:c>
      <x:c r="F344" s="191" t="n">
        <x:v>415.19000244140625</x:v>
      </x:c>
      <x:c r="G344" s="191" t="n">
        <x:v>396.01458740234375</x:v>
      </x:c>
      <x:c r="H344" s="208" t="n">
        <x:f>E344/E343-1</x:f>
        <x:v>0.04202206656316698</x:v>
      </x:c>
      <x:c r="I344" s="208" t="n">
        <x:f>G344/G343-1</x:f>
        <x:v>0.013078691053533875</x:v>
      </x:c>
      <x:c r="J344" s="208" t="n">
        <x:f>'Beta HC3'!$E$13+'Beta HC3'!$E$12*I344</x:f>
        <x:v>0.014759432637823184</x:v>
      </x:c>
      <x:c r="K344" s="240" t="n">
        <x:f>H344-J344</x:f>
        <x:v>0.027262633925343796</x:v>
      </x:c>
      <x:c r="L344" s="240" t="n">
        <x:f>I344-'Beta HC3'!$E$9</x:f>
        <x:v>0.012514743435873436</x:v>
      </x:c>
      <x:c r="M344" s="240" t="n">
        <x:f>1/'Beta HC3'!$E$8+L344^2/'Beta HC3'!$E$11</x:f>
        <x:v>0.001867841828663774</x:v>
      </x:c>
      <x:c r="N344" s="240" t="n">
        <x:f>K344^2/(1-M344)^2</x:f>
        <x:v>0.0007460355585977972</x:v>
      </x:c>
      <x:c r="O344" s="240" t="n">
        <x:f>N344*L344^2/'Beta HC3'!$E$11^2</x:f>
        <x:v>0.0000054640938730853</x:v>
      </x:c>
      <x:c r="P344" s="240" t="n">
        <x:f>N344*(1/'Beta HC3'!$E$8-'Beta HC3'!$E$9*L344/'Beta HC3'!$E$11)^2</x:f>
        <x:v>4.180231953318291e-10</x:v>
      </x:c>
      <x:c r="Q344" s="240" t="n">
        <x:f>N344*(1/'Beta HC3'!$E$8-'Beta HC3'!$E$9*L344/'Beta HC3'!$E$11)*L344/'Beta HC3'!$E$11</x:f>
        <x:v>4.779244689718436e-8</x:v>
      </x:c>
      <x:c r="R344" s="240" t="n">
        <x:f>K344*L344/'Beta HC3'!$E$11</x:f>
        <x:v>0.002333173977699276</x:v>
      </x:c>
      <x:c r="S344" s="240" t="n">
        <x:f>(K344-K343)^2</x:f>
        <x:v>0.0007019759800294211</x:v>
      </x:c>
      <x:c r="T344" s="280" t="n">
        <x:f>E344/$E$9*100</x:f>
        <x:v>91.76231463555202</x:v>
      </x:c>
    </x:row>
    <x:row r="345" ht="24" customHeight="1">
      <x:c r="C345" s="274" t="d">
        <x:v>2023-02-08T00:00:00.000Z</x:v>
      </x:c>
      <x:c r="D345" s="191" t="n">
        <x:v>266.7300109863281</x:v>
      </x:c>
      <x:c r="E345" s="191" t="n">
        <x:v>258.8594055175781</x:v>
      </x:c>
      <x:c r="F345" s="191" t="n">
        <x:v>410.6499938964844</x:v>
      </x:c>
      <x:c r="G345" s="191" t="n">
        <x:v>391.6842041015625</x:v>
      </x:c>
      <x:c r="H345" s="208" t="n">
        <x:f>E345/E344-1</x:f>
        <x:v>-0.003102236169774897</x:v>
      </x:c>
      <x:c r="I345" s="208" t="n">
        <x:f>G345/G344-1</x:f>
        <x:v>-0.010934908557753809</x:v>
      </x:c>
      <x:c r="J345" s="208" t="n">
        <x:f>'Beta HC3'!$E$13+'Beta HC3'!$E$12*I345</x:f>
        <x:v>-0.012323386782018095</x:v>
      </x:c>
      <x:c r="K345" s="240" t="n">
        <x:f>H345-J345</x:f>
        <x:v>0.009221150612243198</x:v>
      </x:c>
      <x:c r="L345" s="240" t="n">
        <x:f>I345-'Beta HC3'!$E$9</x:f>
        <x:v>-0.011498856175414247</x:v>
      </x:c>
      <x:c r="M345" s="240" t="n">
        <x:f>1/'Beta HC3'!$E$8+L345^2/'Beta HC3'!$E$11</x:f>
        <x:v>0.0017010172100094952</x:v>
      </x:c>
      <x:c r="N345" s="240" t="n">
        <x:f>K345^2/(1-M345)^2</x:f>
        <x:v>0.00008531963206977372</x:v>
      </x:c>
      <x:c r="O345" s="240" t="n">
        <x:f>N345*L345^2/'Beta HC3'!$E$11^2</x:f>
        <x:v>5.275613618782693e-7</x:v>
      </x:c>
      <x:c r="P345" s="240" t="n">
        <x:f>N345*(1/'Beta HC3'!$E$8-'Beta HC3'!$E$9*L345/'Beta HC3'!$E$11)^2</x:f>
        <x:v>6.036768455395928e-11</x:v>
      </x:c>
      <x:c r="Q345" s="240" t="n">
        <x:f>N345*(1/'Beta HC3'!$E$8-'Beta HC3'!$E$9*L345/'Beta HC3'!$E$11)*L345/'Beta HC3'!$E$11</x:f>
        <x:v>-5.643372916680638e-9</x:v>
      </x:c>
      <x:c r="R345" s="240" t="n">
        <x:f>K345*L345/'Beta HC3'!$E$11</x:f>
        <x:v>-0.0007250986873825849</x:v>
      </x:c>
      <x:c r="S345" s="240" t="n">
        <x:f>(K345-K344)^2</x:f>
        <x:v>0.00032549512013688734</x:v>
      </x:c>
      <x:c r="T345" s="280" t="n">
        <x:f>E345/$E$9*100</x:f>
        <x:v>91.47764626406733</x:v>
      </x:c>
    </x:row>
    <x:row r="346" ht="24" customHeight="1">
      <x:c r="C346" s="274" t="d">
        <x:v>2023-02-09T00:00:00.000Z</x:v>
      </x:c>
      <x:c r="D346" s="191" t="n">
        <x:v>263.6199951171875</x:v>
      </x:c>
      <x:c r="E346" s="191" t="n">
        <x:v>255.84117126464844</x:v>
      </x:c>
      <x:c r="F346" s="191" t="n">
        <x:v>407.0899963378906</x:v>
      </x:c>
      <x:c r="G346" s="191" t="n">
        <x:v>388.2886657714844</x:v>
      </x:c>
      <x:c r="H346" s="208" t="n">
        <x:f>E346/E345-1</x:f>
        <x:v>-0.011659743430588732</x:v>
      </x:c>
      <x:c r="I346" s="208" t="n">
        <x:f>G346/G345-1</x:f>
        <x:v>-0.00866907139609252</x:v>
      </x:c>
      <x:c r="J346" s="208" t="n">
        <x:f>'Beta HC3'!$E$13+'Beta HC3'!$E$12*I346</x:f>
        <x:v>-0.009767949043512893</x:v>
      </x:c>
      <x:c r="K346" s="240" t="n">
        <x:f>H346-J346</x:f>
        <x:v>-0.0018917943870758389</x:v>
      </x:c>
      <x:c r="L346" s="240" t="n">
        <x:f>I346-'Beta HC3'!$E$9</x:f>
        <x:v>-0.00923301901375296</x:v>
      </x:c>
      <x:c r="M346" s="240" t="n">
        <x:f>1/'Beta HC3'!$E$8+L346^2/'Beta HC3'!$E$11</x:f>
        <x:v>0.0013797808898251738</x:v>
      </x:c>
      <x:c r="N346" s="240" t="n">
        <x:f>K346^2/(1-M346)^2</x:f>
        <x:v>0.0000035887826380675993</x:v>
      </x:c>
      <x:c r="O346" s="240" t="n">
        <x:f>N346*L346^2/'Beta HC3'!$E$11^2</x:f>
        <x:v>1.4307025059571402e-8</x:v>
      </x:c>
      <x:c r="P346" s="240" t="n">
        <x:f>N346*(1/'Beta HC3'!$E$8-'Beta HC3'!$E$9*L346/'Beta HC3'!$E$11)^2</x:f>
        <x:v>2.4867509258973736e-12</x:v>
      </x:c>
      <x:c r="Q346" s="240" t="n">
        <x:f>N346*(1/'Beta HC3'!$E$8-'Beta HC3'!$E$9*L346/'Beta HC3'!$E$11)*L346/'Beta HC3'!$E$11</x:f>
        <x:v>-1.8862133446067578e-10</x:v>
      </x:c>
      <x:c r="R346" s="240" t="n">
        <x:f>K346*L346/'Beta HC3'!$E$11</x:f>
        <x:v>0.00011944693875392385</x:v>
      </x:c>
      <x:c r="S346" s="240" t="n">
        <x:f>(K346-K345)^2</x:f>
        <x:v>0.00012349754655788998</x:v>
      </x:c>
      <x:c r="T346" s="280" t="n">
        <x:f>E346/$E$9*100</x:f>
        <x:v>90.41104037899416</x:v>
      </x:c>
    </x:row>
    <x:row r="347" ht="24" customHeight="1">
      <x:c r="C347" s="274" t="d">
        <x:v>2023-02-10T00:00:00.000Z</x:v>
      </x:c>
      <x:c r="D347" s="191" t="n">
        <x:v>263.1000061035156</x:v>
      </x:c>
      <x:c r="E347" s="191" t="n">
        <x:v>255.33656311035156</x:v>
      </x:c>
      <x:c r="F347" s="191" t="n">
        <x:v>408.0400085449219</x:v>
      </x:c>
      <x:c r="G347" s="191" t="n">
        <x:v>389.19482421875</x:v>
      </x:c>
      <x:c r="H347" s="208" t="n">
        <x:f>E347/E346-1</x:f>
        <x:v>-0.001972349297036713</x:v>
      </x:c>
      <x:c r="I347" s="208" t="n">
        <x:f>G347/G346-1</x:f>
        <x:v>0.002333723662691023</x:v>
      </x:c>
      <x:c r="J347" s="208" t="n">
        <x:f>'Beta HC3'!$E$13+'Beta HC3'!$E$12*I347</x:f>
        <x:v>0.0026411323317960724</x:v>
      </x:c>
      <x:c r="K347" s="240" t="n">
        <x:f>H347-J347</x:f>
        <x:v>-0.004613481628832785</x:v>
      </x:c>
      <x:c r="L347" s="240" t="n">
        <x:f>I347-'Beta HC3'!$E$9</x:f>
        <x:v>0.0017697760450305837</x:v>
      </x:c>
      <x:c r="M347" s="240" t="n">
        <x:f>1/'Beta HC3'!$E$8+L347^2/'Beta HC3'!$E$11</x:f>
        <x:v>0.0008182314923154409</x:v>
      </x:c>
      <x:c r="N347" s="240" t="n">
        <x:f>K347^2/(1-M347)^2</x:f>
        <x:v>0.000021319086362087834</x:v>
      </x:c>
      <x:c r="O347" s="240" t="n">
        <x:f>N347*L347^2/'Beta HC3'!$E$11^2</x:f>
        <x:v>3.1226257482677724e-9</x:v>
      </x:c>
      <x:c r="P347" s="240" t="n">
        <x:f>N347*(1/'Beta HC3'!$E$8-'Beta HC3'!$E$9*L347/'Beta HC3'!$E$11)^2</x:f>
        <x:v>1.3304822899219669e-11</x:v>
      </x:c>
      <x:c r="Q347" s="240" t="n">
        <x:f>N347*(1/'Beta HC3'!$E$8-'Beta HC3'!$E$9*L347/'Beta HC3'!$E$11)*L347/'Beta HC3'!$E$11</x:f>
        <x:v>2.038283163872135e-10</x:v>
      </x:c>
      <x:c r="R347" s="240" t="n">
        <x:f>K347*L347/'Beta HC3'!$E$11</x:f>
        <x:v>-0.00005583473629759955</x:v>
      </x:c>
      <x:c r="S347" s="240" t="n">
        <x:f>(K347-K346)^2</x:f>
        <x:v>0.000007407581441942535</x:v>
      </x:c>
      <x:c r="T347" s="280" t="n">
        <x:f>E347/$E$9*100</x:f>
        <x:v>90.2327182270583</x:v>
      </x:c>
    </x:row>
    <x:row r="348" ht="24" customHeight="1">
      <x:c r="C348" s="274" t="d">
        <x:v>2023-02-13T00:00:00.000Z</x:v>
      </x:c>
      <x:c r="D348" s="191" t="n">
        <x:v>271.32000732421875</x:v>
      </x:c>
      <x:c r="E348" s="191" t="n">
        <x:v>263.31396484375</x:v>
      </x:c>
      <x:c r="F348" s="191" t="n">
        <x:v>412.8299865722656</x:v>
      </x:c>
      <x:c r="G348" s="191" t="n">
        <x:v>393.7635498046875</x:v>
      </x:c>
      <x:c r="H348" s="208" t="n">
        <x:f>E348/E347-1</x:f>
        <x:v>0.031242692531859406</x:v>
      </x:c>
      <x:c r="I348" s="208" t="n">
        <x:f>G348/G347-1</x:f>
        <x:v>0.011738916608432515</x:v>
      </x:c>
      <x:c r="J348" s="208" t="n">
        <x:f>'Beta HC3'!$E$13+'Beta HC3'!$E$12*I348</x:f>
        <x:v>0.013248419297576504</x:v>
      </x:c>
      <x:c r="K348" s="240" t="n">
        <x:f>H348-J348</x:f>
        <x:v>0.017994273234282904</x:v>
      </x:c>
      <x:c r="L348" s="240" t="n">
        <x:f>I348-'Beta HC3'!$E$9</x:f>
        <x:v>0.011174968990772076</x:v>
      </x:c>
      <x:c r="M348" s="240" t="n">
        <x:f>1/'Beta HC3'!$E$8+L348^2/'Beta HC3'!$E$11</x:f>
        <x:v>0.001650797301240617</x:v>
      </x:c>
      <x:c r="N348" s="240" t="n">
        <x:f>K348^2/(1-M348)^2</x:f>
        <x:v>0.0003248655583024126</x:v>
      </x:c>
      <x:c r="O348" s="240" t="n">
        <x:f>N348*L348^2/'Beta HC3'!$E$11^2</x:f>
        <x:v>0.000001897190960954856</x:v>
      </x:c>
      <x:c r="P348" s="240" t="n">
        <x:f>N348*(1/'Beta HC3'!$E$8-'Beta HC3'!$E$9*L348/'Beta HC3'!$E$11)^2</x:f>
        <x:v>1.8455226303734443e-10</x:v>
      </x:c>
      <x:c r="Q348" s="240" t="n">
        <x:f>N348*(1/'Beta HC3'!$E$8-'Beta HC3'!$E$9*L348/'Beta HC3'!$E$11)*L348/'Beta HC3'!$E$11</x:f>
        <x:v>1.871178466256527e-8</x:v>
      </x:c>
      <x:c r="R348" s="240" t="n">
        <x:f>K348*L348/'Beta HC3'!$E$11</x:f>
        <x:v>0.0013751117684077817</x:v>
      </x:c>
      <x:c r="S348" s="240" t="n">
        <x:f>(K348-K347)^2</x:f>
        <x:v>0.0005111105799507312</x:v>
      </x:c>
      <x:c r="T348" s="280" t="n">
        <x:f>E348/$E$9*100</x:f>
        <x:v>93.05183129894019</x:v>
      </x:c>
    </x:row>
    <x:row r="349" ht="24" customHeight="1">
      <x:c r="C349" s="274" t="d">
        <x:v>2023-02-14T00:00:00.000Z</x:v>
      </x:c>
      <x:c r="D349" s="191" t="n">
        <x:v>272.1700134277344</x:v>
      </x:c>
      <x:c r="E349" s="191" t="n">
        <x:v>264.1388854980469</x:v>
      </x:c>
      <x:c r="F349" s="191" t="n">
        <x:v>412.6400146484375</x:v>
      </x:c>
      <x:c r="G349" s="191" t="n">
        <x:v>393.5823974609375</x:v>
      </x:c>
      <x:c r="H349" s="208" t="n">
        <x:f>E349/E348-1</x:f>
        <x:v>0.003132840503869083</x:v>
      </x:c>
      <x:c r="I349" s="208" t="n">
        <x:f>G349/G348-1</x:f>
        <x:v>-0.0004600536129863997</x:v>
      </x:c>
      <x:c r="J349" s="208" t="n">
        <x:f>'Beta HC3'!$E$13+'Beta HC3'!$E$12*I349</x:f>
        <x:v>-0.0005097224622041534</x:v>
      </x:c>
      <x:c r="K349" s="240" t="n">
        <x:f>H349-J349</x:f>
        <x:v>0.0036425629660732364</x:v>
      </x:c>
      <x:c r="L349" s="240" t="n">
        <x:f>I349-'Beta HC3'!$E$9</x:f>
        <x:v>-0.001024001230646839</x:v>
      </x:c>
      <x:c r="M349" s="240" t="n">
        <x:f>1/'Beta HC3'!$E$8+L349^2/'Beta HC3'!$E$11</x:f>
        <x:v>0.0008039833955943131</x:v>
      </x:c>
      <x:c r="N349" s="240" t="n">
        <x:f>K349^2/(1-M349)^2</x:f>
        <x:v>0.000013289625648246136</x:v>
      </x:c>
      <x:c r="O349" s="240" t="n">
        <x:f>N349*L349^2/'Beta HC3'!$E$11^2</x:f>
        <x:v>6.516710490257096e-10</x:v>
      </x:c>
      <x:c r="P349" s="240" t="n">
        <x:f>N349*(1/'Beta HC3'!$E$8-'Beta HC3'!$E$9*L349/'Beta HC3'!$E$11)^2</x:f>
        <x:v>8.521567334154979e-12</x:v>
      </x:c>
      <x:c r="Q349" s="240" t="n">
        <x:f>N349*(1/'Beta HC3'!$E$8-'Beta HC3'!$E$9*L349/'Beta HC3'!$E$11)*L349/'Beta HC3'!$E$11</x:f>
        <x:v>-7.452019004264545e-11</x:v>
      </x:c>
      <x:c r="R349" s="240" t="n">
        <x:f>K349*L349/'Beta HC3'!$E$11</x:f>
        <x:v>-0.000025507324533421585</x:v>
      </x:c>
      <x:c r="S349" s="240" t="n">
        <x:f>(K349-K348)^2</x:f>
        <x:v>0.00020597158762263477</x:v>
      </x:c>
      <x:c r="T349" s="280" t="n">
        <x:f>E349/$E$9*100</x:f>
        <x:v>93.34334784499269</x:v>
      </x:c>
    </x:row>
    <x:row r="350" ht="24" customHeight="1">
      <x:c r="C350" s="274" t="d">
        <x:v>2023-02-15T00:00:00.000Z</x:v>
      </x:c>
      <x:c r="D350" s="191" t="n">
        <x:v>269.32000732421875</x:v>
      </x:c>
      <x:c r="E350" s="191" t="n">
        <x:v>262.0276794433594</x:v>
      </x:c>
      <x:c r="F350" s="191" t="n">
        <x:v>413.9800109863281</x:v>
      </x:c>
      <x:c r="G350" s="191" t="n">
        <x:v>394.8605041503906</x:v>
      </x:c>
      <x:c r="H350" s="208" t="n">
        <x:f>E350/E349-1</x:f>
        <x:v>-0.007992787774154131</x:v>
      </x:c>
      <x:c r="I350" s="208" t="n">
        <x:f>G350/G349-1</x:f>
        <x:v>0.003247367508553145</x:v>
      </x:c>
      <x:c r="J350" s="208" t="n">
        <x:f>'Beta HC3'!$E$13+'Beta HC3'!$E$12*I350</x:f>
        <x:v>0.003671550581957207</x:v>
      </x:c>
      <x:c r="K350" s="240" t="n">
        <x:f>H350-J350</x:f>
        <x:v>-0.011664338356111338</x:v>
      </x:c>
      <x:c r="L350" s="240" t="n">
        <x:f>I350-'Beta HC3'!$E$9</x:f>
        <x:v>0.0026834198908927058</x:v>
      </x:c>
      <x:c r="M350" s="240" t="n">
        <x:f>1/'Beta HC3'!$E$8+L350^2/'Beta HC3'!$E$11</x:f>
        <x:v>0.0008460546296034635</x:v>
      </x:c>
      <x:c r="N350" s="240" t="n">
        <x:f>K350^2/(1-M350)^2</x:f>
        <x:v>0.0001362873047405114</x:v>
      </x:c>
      <x:c r="O350" s="240" t="n">
        <x:f>N350*L350^2/'Beta HC3'!$E$11^2</x:f>
        <x:v>4.5893100052677586e-8</x:v>
      </x:c>
      <x:c r="P350" s="240" t="n">
        <x:f>N350*(1/'Beta HC3'!$E$8-'Beta HC3'!$E$9*L350/'Beta HC3'!$E$11)^2</x:f>
        <x:v>8.429720590319862e-11</x:v>
      </x:c>
      <x:c r="Q350" s="240" t="n">
        <x:f>N350*(1/'Beta HC3'!$E$8-'Beta HC3'!$E$9*L350/'Beta HC3'!$E$11)*L350/'Beta HC3'!$E$11</x:f>
        <x:v>1.9668909742730173e-9</x:v>
      </x:c>
      <x:c r="R350" s="240" t="n">
        <x:f>K350*L350/'Beta HC3'!$E$11</x:f>
        <x:v>-0.00021404550162012969</x:v>
      </x:c>
      <x:c r="S350" s="240" t="n">
        <x:f>(K350-K349)^2</x:f>
        <x:v>0.00023430122808709591</x:v>
      </x:c>
      <x:c r="T350" s="280" t="n">
        <x:f>E350/$E$9*100</x:f>
        <x:v>92.59727427553862</x:v>
      </x:c>
    </x:row>
    <x:row r="351" ht="24" customHeight="1">
      <x:c r="C351" s="274" t="d">
        <x:v>2023-02-16T00:00:00.000Z</x:v>
      </x:c>
      <x:c r="D351" s="191" t="n">
        <x:v>262.1499938964844</x:v>
      </x:c>
      <x:c r="E351" s="191" t="n">
        <x:v>255.0518341064453</x:v>
      </x:c>
      <x:c r="F351" s="191" t="n">
        <x:v>408.2799987792969</x:v>
      </x:c>
      <x:c r="G351" s="191" t="n">
        <x:v>389.423828125</x:v>
      </x:c>
      <x:c r="H351" s="208" t="n">
        <x:f>E351/E350-1</x:f>
        <x:v>-0.02662255129585267</x:v>
      </x:c>
      <x:c r="I351" s="208" t="n">
        <x:f>G351/G350-1</x:f>
        <x:v>-0.013768599209709631</x:v>
      </x:c>
      <x:c r="J351" s="208" t="n">
        <x:f>'Beta HC3'!$E$13+'Beta HC3'!$E$12*I351</x:f>
        <x:v>-0.015519256350133067</x:v>
      </x:c>
      <x:c r="K351" s="240" t="n">
        <x:f>H351-J351</x:f>
        <x:v>-0.011103294945719603</x:v>
      </x:c>
      <x:c r="L351" s="240" t="n">
        <x:f>I351-'Beta HC3'!$E$9</x:f>
        <x:v>-0.01433254682737007</x:v>
      </x:c>
      <x:c r="M351" s="240" t="n">
        <x:f>1/'Beta HC3'!$E$8+L351^2/'Beta HC3'!$E$11</x:f>
        <x:v>0.002201579114010951</x:v>
      </x:c>
      <x:c r="N351" s="240" t="n">
        <x:f>K351^2/(1-M351)^2</x:f>
        <x:v>0.00012382779182488473</x:v>
      </x:c>
      <x:c r="O351" s="240" t="n">
        <x:f>N351*L351^2/'Beta HC3'!$E$11^2</x:f>
        <x:v>0.0000011895414778603373</x:v>
      </x:c>
      <x:c r="P351" s="240" t="n">
        <x:f>N351*(1/'Beta HC3'!$E$8-'Beta HC3'!$E$9*L351/'Beta HC3'!$E$11)^2</x:f>
        <x:v>8.990535706892966e-11</x:v>
      </x:c>
      <x:c r="Q351" s="240" t="n">
        <x:f>N351*(1/'Beta HC3'!$E$8-'Beta HC3'!$E$9*L351/'Beta HC3'!$E$11)*L351/'Beta HC3'!$E$11</x:f>
        <x:v>-1.0341477230808755e-8</x:v>
      </x:c>
      <x:c r="R351" s="240" t="n">
        <x:f>K351*L351/'Beta HC3'!$E$11</x:f>
        <x:v>0.001088259851397311</x:v>
      </x:c>
      <x:c r="S351" s="240" t="n">
        <x:f>(K351-K350)^2</x:f>
        <x:v>3.147697083439889e-7</x:v>
      </x:c>
      <x:c r="T351" s="280" t="n">
        <x:f>E351/$E$9*100</x:f>
        <x:v>90.13209859128196</x:v>
      </x:c>
    </x:row>
    <x:row r="352" ht="24" customHeight="1">
      <x:c r="C352" s="274" t="d">
        <x:v>2023-02-17T00:00:00.000Z</x:v>
      </x:c>
      <x:c r="D352" s="191" t="n">
        <x:v>258.05999755859375</x:v>
      </x:c>
      <x:c r="E352" s="191" t="n">
        <x:v>251.07254028320312</x:v>
      </x:c>
      <x:c r="F352" s="191" t="n">
        <x:v>407.260009765625</x:v>
      </x:c>
      <x:c r="G352" s="191" t="n">
        <x:v>388.4508361816406</x:v>
      </x:c>
      <x:c r="H352" s="208" t="n">
        <x:f>E352/E351-1</x:f>
        <x:v>-0.01560190240224435</x:v>
      </x:c>
      <x:c r="I352" s="208" t="n">
        <x:f>G352/G351-1</x:f>
        <x:v>-0.002498542392858072</x:v>
      </x:c>
      <x:c r="J352" s="208" t="n">
        <x:f>'Beta HC3'!$E$13+'Beta HC3'!$E$12*I352</x:f>
        <x:v>-0.002808754027995995</x:v>
      </x:c>
      <x:c r="K352" s="240" t="n">
        <x:f>H352-J352</x:f>
        <x:v>-0.012793148374248355</x:v>
      </x:c>
      <x:c r="L352" s="240" t="n">
        <x:f>I352-'Beta HC3'!$E$9</x:f>
        <x:v>-0.003062490010518511</x:v>
      </x:c>
      <x:c r="M352" s="240" t="n">
        <x:f>1/'Beta HC3'!$E$8+L352^2/'Beta HC3'!$E$11</x:f>
        <x:v>0.0008609494655940552</x:v>
      </x:c>
      <x:c r="N352" s="240" t="n">
        <x:f>K352^2/(1-M352)^2</x:f>
        <x:v>0.00016394682366301336</x:v>
      </x:c>
      <x:c r="O352" s="240" t="n">
        <x:f>N352*L352^2/'Beta HC3'!$E$11^2</x:f>
        <x:v>7.190632466699238e-8</x:v>
      </x:c>
      <x:c r="P352" s="240" t="n">
        <x:f>N352*(1/'Beta HC3'!$E$8-'Beta HC3'!$E$9*L352/'Beta HC3'!$E$11)^2</x:f>
        <x:v>1.0720018335716741e-10</x:v>
      </x:c>
      <x:c r="Q352" s="240" t="n">
        <x:f>N352*(1/'Beta HC3'!$E$8-'Beta HC3'!$E$9*L352/'Beta HC3'!$E$11)*L352/'Beta HC3'!$E$11</x:f>
        <x:v>-2.7763953588856165e-9</x:v>
      </x:c>
      <x:c r="R352" s="240" t="n">
        <x:f>K352*L352/'Beta HC3'!$E$11</x:f>
        <x:v>0.0002679226801575671</x:v>
      </x:c>
      <x:c r="S352" s="240" t="n">
        <x:f>(K352-K351)^2</x:f>
        <x:v>0.0000028556046099103786</x:v>
      </x:c>
      <x:c r="T352" s="280" t="n">
        <x:f>E352/$E$9*100</x:f>
        <x:v>88.7258663857513</x:v>
      </x:c>
    </x:row>
    <x:row r="353" ht="24" customHeight="1">
      <x:c r="C353" s="274" t="d">
        <x:v>2023-02-21T00:00:00.000Z</x:v>
      </x:c>
      <x:c r="D353" s="191" t="n">
        <x:v>252.6699981689453</x:v>
      </x:c>
      <x:c r="E353" s="191" t="n">
        <x:v>245.82852172851562</x:v>
      </x:c>
      <x:c r="F353" s="191" t="n">
        <x:v>399.0899963378906</x:v>
      </x:c>
      <x:c r="G353" s="191" t="n">
        <x:v>380.658203125</x:v>
      </x:c>
      <x:c r="H353" s="208" t="n">
        <x:f>E353/E352-1</x:f>
        <x:v>-0.020886467905938177</x:v>
      </x:c>
      <x:c r="I353" s="208" t="n">
        <x:f>G353/G352-1</x:f>
        <x:v>-0.020060796195575104</x:v>
      </x:c>
      <x:c r="J353" s="208" t="n">
        <x:f>'Beta HC3'!$E$13+'Beta HC3'!$E$12*I353</x:f>
        <x:v>-0.02261566994412678</x:v>
      </x:c>
      <x:c r="K353" s="240" t="n">
        <x:f>H353-J353</x:f>
        <x:v>0.0017292020381886042</x:v>
      </x:c>
      <x:c r="L353" s="240" t="n">
        <x:f>I353-'Beta HC3'!$E$9</x:f>
        <x:v>-0.020624743813235542</x:v>
      </x:c>
      <x:c r="M353" s="240" t="n">
        <x:f>1/'Beta HC3'!$E$8+L353^2/'Beta HC3'!$E$11</x:f>
        <x:v>0.0037057508959045665</x:v>
      </x:c>
      <x:c r="N353" s="240" t="n">
        <x:f>K353^2/(1-M353)^2</x:f>
        <x:v>0.000003012424913121572</x:v>
      </x:c>
      <x:c r="O353" s="240" t="n">
        <x:f>N353*L353^2/'Beta HC3'!$E$11^2</x:f>
        <x:v>5.992500499582309e-8</x:v>
      </x:c>
      <x:c r="P353" s="240" t="n">
        <x:f>N353*(1/'Beta HC3'!$E$8-'Beta HC3'!$E$9*L353/'Beta HC3'!$E$11)^2</x:f>
        <x:v>2.313523815973311e-12</x:v>
      </x:c>
      <x:c r="Q353" s="240" t="n">
        <x:f>N353*(1/'Beta HC3'!$E$8-'Beta HC3'!$E$9*L353/'Beta HC3'!$E$11)*L353/'Beta HC3'!$E$11</x:f>
        <x:v>-3.7234114227433474e-10</x:v>
      </x:c>
      <x:c r="R353" s="240" t="n">
        <x:f>K353*L353/'Beta HC3'!$E$11</x:f>
        <x:v>-0.00024388869108556247</x:v>
      </x:c>
      <x:c r="S353" s="240" t="n">
        <x:f>(K353-K352)^2</x:f>
        <x:v>0.00021089866150160794</x:v>
      </x:c>
      <x:c r="T353" s="280" t="n">
        <x:f>E353/$E$9*100</x:f>
        <x:v>86.87269642505875</x:v>
      </x:c>
    </x:row>
    <x:row r="354" ht="24" customHeight="1">
      <x:c r="C354" s="274" t="d">
        <x:v>2023-02-22T00:00:00.000Z</x:v>
      </x:c>
      <x:c r="D354" s="191" t="n">
        <x:v>251.50999450683594</x:v>
      </x:c>
      <x:c r="E354" s="191" t="n">
        <x:v>244.69989013671875</x:v>
      </x:c>
      <x:c r="F354" s="191" t="n">
        <x:v>398.5400085449219</x:v>
      </x:c>
      <x:c r="G354" s="191" t="n">
        <x:v>380.1335754394531</x:v>
      </x:c>
      <x:c r="H354" s="208" t="n">
        <x:f>E354/E353-1</x:f>
        <x:v>-0.004591133623800148</x:v>
      </x:c>
      <x:c r="I354" s="208" t="n">
        <x:f>G354/G353-1</x:f>
        <x:v>-0.0013782119529802683</x:v>
      </x:c>
      <x:c r="J354" s="208" t="n">
        <x:f>'Beta HC3'!$E$13+'Beta HC3'!$E$12*I354</x:f>
        <x:v>-0.0015452322118206445</x:v>
      </x:c>
      <x:c r="K354" s="240" t="n">
        <x:f>H354-J354</x:f>
        <x:v>-0.003045901411979503</x:v>
      </x:c>
      <x:c r="L354" s="240" t="n">
        <x:f>I354-'Beta HC3'!$E$9</x:f>
        <x:v>-0.0019421595706407076</x:v>
      </x:c>
      <x:c r="M354" s="240" t="n">
        <x:f>1/'Beta HC3'!$E$8+L354^2/'Beta HC3'!$E$11</x:f>
        <x:v>0.000822607252928448</x:v>
      </x:c>
      <x:c r="N354" s="240" t="n">
        <x:f>K354^2/(1-M354)^2</x:f>
        <x:v>0.000009292797768912727</x:v>
      </x:c>
      <x:c r="O354" s="240" t="n">
        <x:f>N354*L354^2/'Beta HC3'!$E$11^2</x:f>
        <x:v>1.6391965355117755e-9</x:v>
      </x:c>
      <x:c r="P354" s="240" t="n">
        <x:f>N354*(1/'Beta HC3'!$E$8-'Beta HC3'!$E$9*L354/'Beta HC3'!$E$11)^2</x:f>
        <x:v>6.0115377366013256e-12</x:v>
      </x:c>
      <x:c r="Q354" s="240" t="n">
        <x:f>N354*(1/'Beta HC3'!$E$8-'Beta HC3'!$E$9*L354/'Beta HC3'!$E$11)*L354/'Beta HC3'!$E$11</x:f>
        <x:v>-9.92677784124093e-11</x:v>
      </x:c>
      <x:c r="R354" s="240" t="n">
        <x:f>K354*L354/'Beta HC3'!$E$11</x:f>
        <x:v>0.000040453687283232</x:v>
      </x:c>
      <x:c r="S354" s="240" t="n">
        <x:f>(K354-K353)^2</x:f>
        <x:v>0.00002280161295980736</x:v>
      </x:c>
      <x:c r="T354" s="280" t="n">
        <x:f>E354/$E$9*100</x:f>
        <x:v>86.47385226751149</x:v>
      </x:c>
    </x:row>
    <x:row r="355" ht="24" customHeight="1">
      <x:c r="C355" s="274" t="d">
        <x:v>2023-02-23T00:00:00.000Z</x:v>
      </x:c>
      <x:c r="D355" s="191" t="n">
        <x:v>254.77000427246094</x:v>
      </x:c>
      <x:c r="E355" s="191" t="n">
        <x:v>247.8716278076172</x:v>
      </x:c>
      <x:c r="F355" s="191" t="n">
        <x:v>400.6600036621094</x:v>
      </x:c>
      <x:c r="G355" s="191" t="n">
        <x:v>382.1556701660156</x:v>
      </x:c>
      <x:c r="H355" s="208" t="n">
        <x:f>E355/E354-1</x:f>
        <x:v>0.012961745381766754</x:v>
      </x:c>
      <x:c r="I355" s="208" t="n">
        <x:f>G355/G354-1</x:f>
        <x:v>0.005319432055494788</x:v>
      </x:c>
      <x:c r="J355" s="208" t="n">
        <x:f>'Beta HC3'!$E$13+'Beta HC3'!$E$12*I355</x:f>
        <x:v>0.006008449291832322</x:v>
      </x:c>
      <x:c r="K355" s="240" t="n">
        <x:f>H355-J355</x:f>
        <x:v>0.006953296089934432</x:v>
      </x:c>
      <x:c r="L355" s="240" t="n">
        <x:f>I355-'Beta HC3'!$E$9</x:f>
        <x:v>0.0047554844378343486</x:v>
      </x:c>
      <x:c r="M355" s="240" t="n">
        <x:f>1/'Beta HC3'!$E$8+L355^2/'Beta HC3'!$E$11</x:f>
        <x:v>0.0009514616688538751</x:v>
      </x:c>
      <x:c r="N355" s="240" t="n">
        <x:f>K355^2/(1-M355)^2</x:f>
        <x:v>0.000048440461146154686</x:v>
      </x:c>
      <x:c r="O355" s="240" t="n">
        <x:f>N355*L355^2/'Beta HC3'!$E$11^2</x:f>
        <x:v>5.122860399865659e-8</x:v>
      </x:c>
      <x:c r="P355" s="240" t="n">
        <x:f>N355*(1/'Beta HC3'!$E$8-'Beta HC3'!$E$9*L355/'Beta HC3'!$E$11)^2</x:f>
        <x:v>2.935590646654625e-11</x:v>
      </x:c>
      <x:c r="Q355" s="240" t="n">
        <x:f>N355*(1/'Beta HC3'!$E$8-'Beta HC3'!$E$9*L355/'Beta HC3'!$E$11)*L355/'Beta HC3'!$E$11</x:f>
        <x:v>1.2263205565415187e-9</x:v>
      </x:c>
      <x:c r="R355" s="240" t="n">
        <x:f>K355*L355/'Beta HC3'!$E$11</x:f>
        <x:v>0.00022612201632911491</x:v>
      </x:c>
      <x:c r="S355" s="240" t="n">
        <x:f>(K355-K354)^2</x:f>
        <x:v>0.00009998395068228189</x:v>
      </x:c>
      <x:c r="T355" s="280" t="n">
        <x:f>E355/$E$9*100</x:f>
        <x:v>87.59470432278349</x:v>
      </x:c>
    </x:row>
    <x:row r="356" ht="24" customHeight="1">
      <x:c r="C356" s="274" t="d">
        <x:v>2023-02-24T00:00:00.000Z</x:v>
      </x:c>
      <x:c r="D356" s="191" t="n">
        <x:v>249.22000122070312</x:v>
      </x:c>
      <x:c r="E356" s="191" t="n">
        <x:v>242.47190856933594</x:v>
      </x:c>
      <x:c r="F356" s="191" t="n">
        <x:v>396.3800048828125</x:v>
      </x:c>
      <x:c r="G356" s="191" t="n">
        <x:v>378.0733642578125</x:v>
      </x:c>
      <x:c r="H356" s="208" t="n">
        <x:f>E356/E355-1</x:f>
        <x:v>-0.021784337667206444</x:v>
      </x:c>
      <x:c r="I356" s="208" t="n">
        <x:f>G356/G355-1</x:f>
        <x:v>-0.01068231149476262</x:v>
      </x:c>
      <x:c r="J356" s="208" t="n">
        <x:f>'Beta HC3'!$E$13+'Beta HC3'!$E$12*I356</x:f>
        <x:v>-0.012038504850374785</x:v>
      </x:c>
      <x:c r="K356" s="240" t="n">
        <x:f>H356-J356</x:f>
        <x:v>-0.009745832816831659</x:v>
      </x:c>
      <x:c r="L356" s="240" t="n">
        <x:f>I356-'Beta HC3'!$E$9</x:f>
        <x:v>-0.011246259112423058</x:v>
      </x:c>
      <x:c r="M356" s="240" t="n">
        <x:f>1/'Beta HC3'!$E$8+L356^2/'Beta HC3'!$E$11</x:f>
        <x:v>0.001661727954407644</x:v>
      </x:c>
      <x:c r="N356" s="240" t="n">
        <x:f>K356^2/(1-M356)^2</x:f>
        <x:v>0.0000952977118879393</x:v>
      </x:c>
      <x:c r="O356" s="240" t="n">
        <x:f>N356*L356^2/'Beta HC3'!$E$11^2</x:f>
        <x:v>5.636550039310588e-7</x:v>
      </x:c>
      <x:c r="P356" s="240" t="n">
        <x:f>N356*(1/'Beta HC3'!$E$8-'Beta HC3'!$E$9*L356/'Beta HC3'!$E$11)^2</x:f>
        <x:v>6.727156337059583e-11</x:v>
      </x:c>
      <x:c r="Q356" s="240" t="n">
        <x:f>N356*(1/'Beta HC3'!$E$8-'Beta HC3'!$E$9*L356/'Beta HC3'!$E$11)*L356/'Beta HC3'!$E$11</x:f>
        <x:v>-6.157755542086877e-9</x:v>
      </x:c>
      <x:c r="R356" s="240" t="n">
        <x:f>K356*L356/'Beta HC3'!$E$11</x:f>
        <x:v>0.0007495220329121109</x:v>
      </x:c>
      <x:c r="S356" s="240" t="n">
        <x:f>(K356-K355)^2</x:f>
        <x:v>0.0002788609062447908</x:v>
      </x:c>
      <x:c r="T356" s="280" t="n">
        <x:f>E356/$E$9*100</x:f>
        <x:v>85.68651170595686</x:v>
      </x:c>
    </x:row>
    <x:row r="357" ht="24" customHeight="1">
      <x:c r="C357" s="274" t="d">
        <x:v>2023-02-27T00:00:00.000Z</x:v>
      </x:c>
      <x:c r="D357" s="191" t="n">
        <x:v>250.16000366210938</x:v>
      </x:c>
      <x:c r="E357" s="191" t="n">
        <x:v>243.38644409179688</x:v>
      </x:c>
      <x:c r="F357" s="191" t="n">
        <x:v>397.7300109863281</x:v>
      </x:c>
      <x:c r="G357" s="191" t="n">
        <x:v>379.3609924316406</x:v>
      </x:c>
      <x:c r="H357" s="208" t="n">
        <x:f>E357/E356-1</x:f>
        <x:v>0.003771717424327692</x:v>
      </x:c>
      <x:c r="I357" s="208" t="n">
        <x:f>G357/G356-1</x:f>
        <x:v>0.0034057627316745887</x:v>
      </x:c>
      <x:c r="J357" s="208" t="n">
        <x:f>'Beta HC3'!$E$13+'Beta HC3'!$E$12*I357</x:f>
        <x:v>0.0038501905732206197</x:v>
      </x:c>
      <x:c r="K357" s="240" t="n">
        <x:f>H357-J357</x:f>
        <x:v>-0.00007847314889292785</x:v>
      </x:c>
      <x:c r="L357" s="240" t="n">
        <x:f>I357-'Beta HC3'!$E$9</x:f>
        <x:v>0.0028418151140141494</x:v>
      </x:c>
      <x:c r="M357" s="240" t="n">
        <x:f>1/'Beta HC3'!$E$8+L357^2/'Beta HC3'!$E$11</x:f>
        <x:v>0.0008520394372418524</x:v>
      </x:c>
      <x:c r="N357" s="240" t="n">
        <x:f>K357^2/(1-M357)^2</x:f>
        <x:v>6.168542301610083e-9</x:v>
      </x:c>
      <x:c r="O357" s="240" t="n">
        <x:f>N357*L357^2/'Beta HC3'!$E$11^2</x:f>
        <x:v>2.329640509454099e-12</x:v>
      </x:c>
      <x:c r="P357" s="240" t="n">
        <x:f>N357*(1/'Beta HC3'!$E$8-'Beta HC3'!$E$9*L357/'Beta HC3'!$E$11)^2</x:f>
        <x:v>3.809477560584889e-15</x:v>
      </x:c>
      <x:c r="Q357" s="240" t="n">
        <x:f>N357*(1/'Beta HC3'!$E$8-'Beta HC3'!$E$9*L357/'Beta HC3'!$E$11)*L357/'Beta HC3'!$E$11</x:f>
        <x:v>9.42056964572469e-14</x:v>
      </x:c>
      <x:c r="R357" s="240" t="n">
        <x:f>K357*L357/'Beta HC3'!$E$11</x:f>
        <x:v>-0.0000015250155112420067</x:v>
      </x:c>
      <x:c r="S357" s="240" t="n">
        <x:f>(K357-K356)^2</x:f>
        <x:v>0.00009345784294928845</x:v>
      </x:c>
      <x:c r="T357" s="280" t="n">
        <x:f>E357/$E$9*100</x:f>
        <x:v>86.00969701518807</x:v>
      </x:c>
    </x:row>
    <x:row r="358" ht="24" customHeight="1">
      <x:c r="C358" s="274" t="d">
        <x:v>2023-02-28T00:00:00.000Z</x:v>
      </x:c>
      <x:c r="D358" s="191" t="n">
        <x:v>249.4199981689453</x:v>
      </x:c>
      <x:c r="E358" s="191" t="n">
        <x:v>242.66653442382812</x:v>
      </x:c>
      <x:c r="F358" s="191" t="n">
        <x:v>396.260009765625</x:v>
      </x:c>
      <x:c r="G358" s="191" t="n">
        <x:v>377.95892333984375</x:v>
      </x:c>
      <x:c r="H358" s="208" t="n">
        <x:f>E358/E357-1</x:f>
        <x:v>-0.0029578872835548387</x:v>
      </x:c>
      <x:c r="I358" s="208" t="n">
        <x:f>G358/G357-1</x:f>
        <x:v>-0.0036958704763234707</x:v>
      </x:c>
      <x:c r="J358" s="208" t="n">
        <x:f>'Beta HC3'!$E$13+'Beta HC3'!$E$12*I358</x:f>
        <x:v>-0.004159114690108292</x:v>
      </x:c>
      <x:c r="K358" s="240" t="n">
        <x:f>H358-J358</x:f>
        <x:v>0.0012012274065534533</x:v>
      </x:c>
      <x:c r="L358" s="240" t="n">
        <x:f>I358-'Beta HC3'!$E$9</x:f>
        <x:v>-0.00425981809398391</x:v>
      </x:c>
      <x:c r="M358" s="240" t="n">
        <x:f>1/'Beta HC3'!$E$8+L358^2/'Beta HC3'!$E$11</x:f>
        <x:v>0.0009209035160978015</x:v>
      </x:c>
      <x:c r="N358" s="240" t="n">
        <x:f>K358^2/(1-M358)^2</x:f>
        <x:v>0.0000014456085883513933</x:v>
      </x:c>
      <x:c r="O358" s="240" t="n">
        <x:f>N358*L358^2/'Beta HC3'!$E$11^2</x:f>
        <x:v>1.2267259443133098e-9</x:v>
      </x:c>
      <x:c r="P358" s="240" t="n">
        <x:f>N358*(1/'Beta HC3'!$E$8-'Beta HC3'!$E$9*L358/'Beta HC3'!$E$11)^2</x:f>
        <x:v>9.560686629373996e-13</x:v>
      </x:c>
      <x:c r="Q358" s="240" t="n">
        <x:f>N358*(1/'Beta HC3'!$E$8-'Beta HC3'!$E$9*L358/'Beta HC3'!$E$11)*L358/'Beta HC3'!$E$11</x:f>
        <x:v>-3.4246667478314514e-11</x:v>
      </x:c>
      <x:c r="R358" s="240" t="n">
        <x:f>K358*L358/'Beta HC3'!$E$11</x:f>
        <x:v>-0.000034992393347465276</x:v>
      </x:c>
      <x:c r="S358" s="240" t="n">
        <x:f>(K358-K357)^2</x:f>
        <x:v>0.0000016376335116097764</x:v>
      </x:c>
      <x:c r="T358" s="280" t="n">
        <x:f>E358/$E$9*100</x:f>
        <x:v>85.75529002612444</x:v>
      </x:c>
    </x:row>
    <x:row r="359" ht="24" customHeight="1">
      <x:c r="C359" s="274" t="d">
        <x:v>2023-03-01T00:00:00.000Z</x:v>
      </x:c>
      <x:c r="D359" s="191" t="n">
        <x:v>246.27000427246094</x:v>
      </x:c>
      <x:c r="E359" s="191" t="n">
        <x:v>239.60179138183594</x:v>
      </x:c>
      <x:c r="F359" s="191" t="n">
        <x:v>394.739990234375</x:v>
      </x:c>
      <x:c r="G359" s="191" t="n">
        <x:v>376.50909423828125</x:v>
      </x:c>
      <x:c r="H359" s="208" t="n">
        <x:f>E359/E358-1</x:f>
        <x:v>-0.012629442495105114</x:v>
      </x:c>
      <x:c r="I359" s="208" t="n">
        <x:f>G359/G358-1</x:f>
        <x:v>-0.0038359435696108113</x:v>
      </x:c>
      <x:c r="J359" s="208" t="n">
        <x:f>'Beta HC3'!$E$13+'Beta HC3'!$E$12*I359</x:f>
        <x:v>-0.004317090768350908</x:v>
      </x:c>
      <x:c r="K359" s="240" t="n">
        <x:f>H359-J359</x:f>
        <x:v>-0.008312351726754206</x:v>
      </x:c>
      <x:c r="L359" s="240" t="n">
        <x:f>I359-'Beta HC3'!$E$9</x:f>
        <x:v>-0.004399891187271251</x:v>
      </x:c>
      <x:c r="M359" s="240" t="n">
        <x:f>1/'Beta HC3'!$E$8+L359^2/'Beta HC3'!$E$11</x:f>
        <x:v>0.000929198497052791</x:v>
      </x:c>
      <x:c r="N359" s="240" t="n">
        <x:f>K359^2/(1-M359)^2</x:f>
        <x:v>0.00006922377671935905</x:v>
      </x:c>
      <x:c r="O359" s="240" t="n">
        <x:f>N359*L359^2/'Beta HC3'!$E$11^2</x:f>
        <x:v>6.266916165904463e-8</x:v>
      </x:c>
      <x:c r="P359" s="240" t="n">
        <x:f>N359*(1/'Beta HC3'!$E$8-'Beta HC3'!$E$9*L359/'Beta HC3'!$E$11)^2</x:f>
        <x:v>4.584272472033802e-11</x:v>
      </x:c>
      <x:c r="Q359" s="240" t="n">
        <x:f>N359*(1/'Beta HC3'!$E$8-'Beta HC3'!$E$9*L359/'Beta HC3'!$E$11)*L359/'Beta HC3'!$E$11</x:f>
        <x:v>-1.6949705385020548e-9</x:v>
      </x:c>
      <x:c r="R359" s="240" t="n">
        <x:f>K359*L359/'Beta HC3'!$E$11</x:f>
        <x:v>0.00025010548092068205</x:v>
      </x:c>
      <x:c r="S359" s="240" t="n">
        <x:f>(K359-K358)^2</x:f>
        <x:v>0.00009050818792570692</x:v>
      </x:c>
      <x:c r="T359" s="280" t="n">
        <x:f>E359/$E$9*100</x:f>
        <x:v>84.67224852208844</x:v>
      </x:c>
    </x:row>
    <x:row r="360" ht="24" customHeight="1">
      <x:c r="C360" s="274" t="d">
        <x:v>2023-03-02T00:00:00.000Z</x:v>
      </x:c>
      <x:c r="D360" s="191" t="n">
        <x:v>251.11000061035156</x:v>
      </x:c>
      <x:c r="E360" s="191" t="n">
        <x:v>244.31072998046875</x:v>
      </x:c>
      <x:c r="F360" s="191" t="n">
        <x:v>397.80999755859375</x:v>
      </x:c>
      <x:c r="G360" s="191" t="n">
        <x:v>379.4373474121094</x:v>
      </x:c>
      <x:c r="H360" s="208" t="n">
        <x:f>E360/E359-1</x:f>
        <x:v>0.01965318611131961</x:v>
      </x:c>
      <x:c r="I360" s="208" t="n">
        <x:f>G360/G359-1</x:f>
        <x:v>0.007777377010646402</x:v>
      </x:c>
      <x:c r="J360" s="208" t="n">
        <x:f>'Beta HC3'!$E$13+'Beta HC3'!$E$12*I360</x:f>
        <x:v>0.008780548454049988</x:v>
      </x:c>
      <x:c r="K360" s="240" t="n">
        <x:f>H360-J360</x:f>
        <x:v>0.010872637657269622</x:v>
      </x:c>
      <x:c r="L360" s="240" t="n">
        <x:f>I360-'Beta HC3'!$E$9</x:f>
        <x:v>0.007213429392985963</x:v>
      </x:c>
      <x:c r="M360" s="240" t="n">
        <x:f>1/'Beta HC3'!$E$8+L360^2/'Beta HC3'!$E$11</x:f>
        <x:v>0.0011526414144005866</x:v>
      </x:c>
      <x:c r="N360" s="240" t="n">
        <x:f>K360^2/(1-M360)^2</x:f>
        <x:v>0.00011848723880328274</x:v>
      </x:c>
      <x:c r="O360" s="240" t="n">
        <x:f>N360*L360^2/'Beta HC3'!$E$11^2</x:f>
        <x:v>2.8831674881911436e-7</x:v>
      </x:c>
      <x:c r="P360" s="240" t="n">
        <x:f>N360*(1/'Beta HC3'!$E$8-'Beta HC3'!$E$9*L360/'Beta HC3'!$E$11)^2</x:f>
        <x:v>7.00676349313815e-11</x:v>
      </x:c>
      <x:c r="Q360" s="240" t="n">
        <x:f>N360*(1/'Beta HC3'!$E$8-'Beta HC3'!$E$9*L360/'Beta HC3'!$E$11)*L360/'Beta HC3'!$E$11</x:f>
        <x:v>4.494627092525087e-9</x:v>
      </x:c>
      <x:c r="R360" s="240" t="n">
        <x:f>K360*L360/'Beta HC3'!$E$11</x:f>
        <x:v>0.0005363324344297248</x:v>
      </x:c>
      <x:c r="S360" s="240" t="n">
        <x:f>(K360-K359)^2</x:f>
        <x:v>0.0003680638176651069</x:v>
      </x:c>
      <x:c r="T360" s="280" t="n">
        <x:f>E360/$E$9*100</x:f>
        <x:v>86.33632798075695</x:v>
      </x:c>
    </x:row>
    <x:row r="361" ht="24" customHeight="1">
      <x:c r="C361" s="274" t="d">
        <x:v>2023-03-03T00:00:00.000Z</x:v>
      </x:c>
      <x:c r="D361" s="191" t="n">
        <x:v>255.2899932861328</x:v>
      </x:c>
      <x:c r="E361" s="191" t="n">
        <x:v>248.3775634765625</x:v>
      </x:c>
      <x:c r="F361" s="191" t="n">
        <x:v>404.19000244140625</x:v>
      </x:c>
      <x:c r="G361" s="191" t="n">
        <x:v>385.52264404296875</x:v>
      </x:c>
      <x:c r="H361" s="208" t="n">
        <x:f>E361/E360-1</x:f>
        <x:v>0.01664615179373774</x:v>
      </x:c>
      <x:c r="I361" s="208" t="n">
        <x:f>G361/G360-1</x:f>
        <x:v>0.016037684936296204</x:v>
      </x:c>
      <x:c r="J361" s="208" t="n">
        <x:f>'Beta HC3'!$E$13+'Beta HC3'!$E$12*I361</x:f>
        <x:v>0.018096620659963692</x:v>
      </x:c>
      <x:c r="K361" s="240" t="n">
        <x:f>H361-J361</x:f>
        <x:v>-0.001450468866225952</x:v>
      </x:c>
      <x:c r="L361" s="240" t="n">
        <x:f>I361-'Beta HC3'!$E$9</x:f>
        <x:v>0.015473737318635765</x:v>
      </x:c>
      <x:c r="M361" s="240" t="n">
        <x:f>1/'Beta HC3'!$E$8+L361^2/'Beta HC3'!$E$11</x:f>
        <x:v>0.0024341864155195078</x:v>
      </x:c>
      <x:c r="N361" s="240" t="n">
        <x:f>K361^2/(1-M361)^2</x:f>
        <x:v>0.00000211413982594489</x:v>
      </x:c>
      <x:c r="O361" s="240" t="n">
        <x:f>N361*L361^2/'Beta HC3'!$E$11^2</x:f>
        <x:v>2.3672213569578422e-8</x:v>
      </x:c>
      <x:c r="P361" s="240" t="n">
        <x:f>N361*(1/'Beta HC3'!$E$8-'Beta HC3'!$E$9*L361/'Beta HC3'!$E$11)^2</x:f>
        <x:v>1.14876497696349e-12</x:v>
      </x:c>
      <x:c r="Q361" s="240" t="n">
        <x:f>N361*(1/'Beta HC3'!$E$8-'Beta HC3'!$E$9*L361/'Beta HC3'!$E$11)*L361/'Beta HC3'!$E$11</x:f>
        <x:v>1.64905457386745e-10</x:v>
      </x:c>
      <x:c r="R361" s="240" t="n">
        <x:f>K361*L361/'Beta HC3'!$E$11</x:f>
        <x:v>-0.0001534832520905421</x:v>
      </x:c>
      <x:c r="S361" s="240" t="n">
        <x:f>(K361-K360)^2</x:f>
        <x:v>0.00015185895438941916</x:v>
      </x:c>
      <x:c r="T361" s="280" t="n">
        <x:f>E361/$E$9*100</x:f>
        <x:v>87.77349560163856</x:v>
      </x:c>
    </x:row>
    <x:row r="362" ht="24" customHeight="1">
      <x:c r="C362" s="274" t="d">
        <x:v>2023-03-06T00:00:00.000Z</x:v>
      </x:c>
      <x:c r="D362" s="191" t="n">
        <x:v>256.8699951171875</x:v>
      </x:c>
      <x:c r="E362" s="191" t="n">
        <x:v>249.91476440429688</x:v>
      </x:c>
      <x:c r="F362" s="191" t="n">
        <x:v>404.4700012207031</x:v>
      </x:c>
      <x:c r="G362" s="191" t="n">
        <x:v>385.7897033691406</x:v>
      </x:c>
      <x:c r="H362" s="208" t="n">
        <x:f>E362/E361-1</x:f>
        <x:v>0.006188968545379314</x:v>
      </x:c>
      <x:c r="I362" s="208" t="n">
        <x:f>G362/G361-1</x:f>
        <x:v>0.0006927202080044825</x:v>
      </x:c>
      <x:c r="J362" s="208" t="n">
        <x:f>'Beta HC3'!$E$13+'Beta HC3'!$E$12*I362</x:f>
        <x:v>0.0007903893798847455</x:v>
      </x:c>
      <x:c r="K362" s="240" t="n">
        <x:f>H362-J362</x:f>
        <x:v>0.005398579165494568</x:v>
      </x:c>
      <x:c r="L362" s="240" t="n">
        <x:f>I362-'Beta HC3'!$E$9</x:f>
        <x:v>0.00012877259034404316</x:v>
      </x:c>
      <x:c r="M362" s="240" t="n">
        <x:f>1/'Beta HC3'!$E$8+L362^2/'Beta HC3'!$E$11</x:f>
        <x:v>0.0007969261466985473</x:v>
      </x:c>
      <x:c r="N362" s="240" t="n">
        <x:f>K362^2/(1-M362)^2</x:f>
        <x:v>0.000029191164872136057</x:v>
      </x:c>
      <x:c r="O362" s="240" t="n">
        <x:f>N362*L362^2/'Beta HC3'!$E$11^2</x:f>
        <x:v>2.2636694641122493e-11</x:v>
      </x:c>
      <x:c r="P362" s="240" t="n">
        <x:f>N362*(1/'Beta HC3'!$E$8-'Beta HC3'!$E$9*L362/'Beta HC3'!$E$11)^2</x:f>
        <x:v>1.8510683538715435e-11</x:v>
      </x:c>
      <x:c r="Q362" s="240" t="n">
        <x:f>N362*(1/'Beta HC3'!$E$8-'Beta HC3'!$E$9*L362/'Beta HC3'!$E$11)*L362/'Beta HC3'!$E$11</x:f>
        <x:v>2.046999489165432e-11</x:v>
      </x:c>
      <x:c r="R362" s="240" t="n">
        <x:f>K362*L362/'Beta HC3'!$E$11</x:f>
        <x:v>0.000004754011934126928</x:v>
      </x:c>
      <x:c r="S362" s="240" t="n">
        <x:f>(K362-K361)^2</x:f>
        <x:v>0.000046909458940814735</x:v>
      </x:c>
      <x:c r="T362" s="280" t="n">
        <x:f>E362/$E$9*100</x:f>
        <x:v>88.31672300503509</x:v>
      </x:c>
    </x:row>
    <x:row r="363" ht="24" customHeight="1">
      <x:c r="C363" s="274" t="d">
        <x:v>2023-03-07T00:00:00.000Z</x:v>
      </x:c>
      <x:c r="D363" s="191" t="n">
        <x:v>254.14999389648438</x:v>
      </x:c>
      <x:c r="E363" s="191" t="n">
        <x:v>247.26840209960938</x:v>
      </x:c>
      <x:c r="F363" s="191" t="n">
        <x:v>398.2699890136719</x:v>
      </x:c>
      <x:c r="G363" s="191" t="n">
        <x:v>379.8760986328125</x:v>
      </x:c>
      <x:c r="H363" s="208" t="n">
        <x:f>E363/E362-1</x:f>
        <x:v>-0.010589059477920104</x:v>
      </x:c>
      <x:c r="I363" s="208" t="n">
        <x:f>G363/G362-1</x:f>
        <x:v>-0.015328570681601983</x:v>
      </x:c>
      <x:c r="J363" s="208" t="n">
        <x:f>'Beta HC3'!$E$13+'Beta HC3'!$E$12*I363</x:f>
        <x:v>-0.017278610481010866</x:v>
      </x:c>
      <x:c r="K363" s="240" t="n">
        <x:f>H363-J363</x:f>
        <x:v>0.006689551003090762</x:v>
      </x:c>
      <x:c r="L363" s="240" t="n">
        <x:f>I363-'Beta HC3'!$E$9</x:f>
        <x:v>-0.01589251829926242</x:v>
      </x:c>
      <x:c r="M363" s="240" t="n">
        <x:f>1/'Beta HC3'!$E$8+L363^2/'Beta HC3'!$E$11</x:f>
        <x:v>0.0025240134347071647</x:v>
      </x:c>
      <x:c r="N363" s="240" t="n">
        <x:f>K363^2/(1-M363)^2</x:f>
        <x:v>0.00004497685044098612</x:v>
      </x:c>
      <x:c r="O363" s="240" t="n">
        <x:f>N363*L363^2/'Beta HC3'!$E$11^2</x:f>
        <x:v>5.312380860069513e-7</x:v>
      </x:c>
      <x:c r="P363" s="240" t="n">
        <x:f>N363*(1/'Beta HC3'!$E$8-'Beta HC3'!$E$9*L363/'Beta HC3'!$E$11)^2</x:f>
        <x:v>3.3118260374207056e-11</x:v>
      </x:c>
      <x:c r="Q363" s="240" t="n">
        <x:f>N363*(1/'Beta HC3'!$E$8-'Beta HC3'!$E$9*L363/'Beta HC3'!$E$11)*L363/'Beta HC3'!$E$11</x:f>
        <x:v>-4.194482238974628e-9</x:v>
      </x:c>
      <x:c r="R363" s="240" t="n">
        <x:f>K363*L363/'Beta HC3'!$E$11</x:f>
        <x:v>-0.000727021159391775</x:v>
      </x:c>
      <x:c r="S363" s="240" t="n">
        <x:f>(K363-K362)^2</x:f>
        <x:v>0.0000016666082854664938</x:v>
      </x:c>
      <x:c r="T363" s="280" t="n">
        <x:f>E363/$E$9*100</x:f>
        <x:v>87.38153197223977</x:v>
      </x:c>
    </x:row>
    <x:row r="364" ht="24" customHeight="1">
      <x:c r="C364" s="274" t="d">
        <x:v>2023-03-08T00:00:00.000Z</x:v>
      </x:c>
      <x:c r="D364" s="191" t="n">
        <x:v>253.6999969482422</x:v>
      </x:c>
      <x:c r="E364" s="191" t="n">
        <x:v>246.83059692382812</x:v>
      </x:c>
      <x:c r="F364" s="191" t="n">
        <x:v>398.9200134277344</x:v>
      </x:c>
      <x:c r="G364" s="191" t="n">
        <x:v>380.4960632324219</x:v>
      </x:c>
      <x:c r="H364" s="208" t="n">
        <x:f>E364/E363-1</x:f>
        <x:v>-0.0017705666072322934</x:v>
      </x:c>
      <x:c r="I364" s="208" t="n">
        <x:f>G364/G363-1</x:f>
        <x:v>0.0016320179180544514</x:v>
      </x:c>
      <x:c r="J364" s="208" t="n">
        <x:f>'Beta HC3'!$E$13+'Beta HC3'!$E$12*I364</x:f>
        <x:v>0.00184974035910221</x:v>
      </x:c>
      <x:c r="K364" s="240" t="n">
        <x:f>H364-J364</x:f>
        <x:v>-0.0036203069663345035</x:v>
      </x:c>
      <x:c r="L364" s="240" t="n">
        <x:f>I364-'Beta HC3'!$E$9</x:f>
        <x:v>0.0010680703003940121</x:v>
      </x:c>
      <x:c r="M364" s="240" t="n">
        <x:f>1/'Beta HC3'!$E$8+L364^2/'Beta HC3'!$E$11</x:f>
        <x:v>0.0008046138704546622</x:v>
      </x:c>
      <x:c r="N364" s="240" t="n">
        <x:f>K364^2/(1-M364)^2</x:f>
        <x:v>0.000013127739554211926</x:v>
      </x:c>
      <x:c r="O364" s="240" t="n">
        <x:f>N364*L364^2/'Beta HC3'!$E$11^2</x:f>
        <x:v>7.003326156435473e-10</x:v>
      </x:c>
      <x:c r="P364" s="240" t="n">
        <x:f>N364*(1/'Beta HC3'!$E$8-'Beta HC3'!$E$9*L364/'Beta HC3'!$E$11)^2</x:f>
        <x:v>8.248989970171424e-12</x:v>
      </x:c>
      <x:c r="Q364" s="240" t="n">
        <x:f>N364*(1/'Beta HC3'!$E$8-'Beta HC3'!$E$9*L364/'Beta HC3'!$E$11)*L364/'Beta HC3'!$E$11</x:f>
        <x:v>7.600682023494696e-11</x:v>
      </x:c>
      <x:c r="R364" s="240" t="n">
        <x:f>K364*L364/'Beta HC3'!$E$11</x:f>
        <x:v>-0.000026442505069837145</x:v>
      </x:c>
      <x:c r="S364" s="240" t="n">
        <x:f>(K364-K363)^2</x:f>
        <x:v>0.00010629317134972168</x:v>
      </x:c>
      <x:c r="T364" s="280" t="n">
        <x:f>E364/$E$9*100</x:f>
        <x:v>87.22681714964092</x:v>
      </x:c>
    </x:row>
    <x:row r="365" ht="24" customHeight="1">
      <x:c r="C365" s="274" t="d">
        <x:v>2023-03-09T00:00:00.000Z</x:v>
      </x:c>
      <x:c r="D365" s="191" t="n">
        <x:v>252.32000732421875</x:v>
      </x:c>
      <x:c r="E365" s="191" t="n">
        <x:v>245.4879913330078</x:v>
      </x:c>
      <x:c r="F365" s="191" t="n">
        <x:v>391.55999755859375</x:v>
      </x:c>
      <x:c r="G365" s="191" t="n">
        <x:v>373.4759216308594</x:v>
      </x:c>
      <x:c r="H365" s="208" t="n">
        <x:f>E365/E364-1</x:f>
        <x:v>-0.005439380723268439</x:v>
      </x:c>
      <x:c r="I365" s="208" t="n">
        <x:f>G365/G364-1</x:f>
        <x:v>-0.01844997170778695</x:v>
      </x:c>
      <x:c r="J365" s="208" t="n">
        <x:f>'Beta HC3'!$E$13+'Beta HC3'!$E$12*I365</x:f>
        <x:v>-0.020798963185206788</x:v>
      </x:c>
      <x:c r="K365" s="240" t="n">
        <x:f>H365-J365</x:f>
        <x:v>0.015359582461938349</x:v>
      </x:c>
      <x:c r="L365" s="240" t="n">
        <x:f>I365-'Beta HC3'!$E$9</x:f>
        <x:v>-0.01901391932544739</x:v>
      </x:c>
      <x:c r="M365" s="240" t="n">
        <x:f>1/'Beta HC3'!$E$8+L365^2/'Beta HC3'!$E$11</x:f>
        <x:v>0.003269109824967641</x:v>
      </x:c>
      <x:c r="N365" s="240" t="n">
        <x:f>K365^2/(1-M365)^2</x:f>
        <x:v>0.00023746684597670298</x:v>
      </x:c>
      <x:c r="O365" s="240" t="n">
        <x:f>N365*L365^2/'Beta HC3'!$E$11^2</x:f>
        <x:v>0.000004014773053981747</x:v>
      </x:c>
      <x:c r="P365" s="240" t="n">
        <x:f>N365*(1/'Beta HC3'!$E$8-'Beta HC3'!$E$9*L365/'Beta HC3'!$E$11)^2</x:f>
        <x:v>1.7979667272688934e-10</x:v>
      </x:c>
      <x:c r="Q365" s="240" t="n">
        <x:f>N365*(1/'Beta HC3'!$E$8-'Beta HC3'!$E$9*L365/'Beta HC3'!$E$11)*L365/'Beta HC3'!$E$11</x:f>
        <x:v>-2.6867133022700623e-8</x:v>
      </x:c>
      <x:c r="R365" s="240" t="n">
        <x:f>K365*L365/'Beta HC3'!$E$11</x:f>
        <x:v>-0.0019971395775226024</x:v>
      </x:c>
      <x:c r="S365" s="240" t="n">
        <x:f>(K365-K364)^2</x:f>
        <x:v>0.0003602362027094635</x:v>
      </x:c>
      <x:c r="T365" s="280" t="n">
        <x:f>E365/$E$9*100</x:f>
        <x:v>86.75235728188511</x:v>
      </x:c>
    </x:row>
    <x:row r="366" ht="24" customHeight="1">
      <x:c r="C366" s="274" t="d">
        <x:v>2023-03-10T00:00:00.000Z</x:v>
      </x:c>
      <x:c r="D366" s="191" t="n">
        <x:v>248.58999633789062</x:v>
      </x:c>
      <x:c r="E366" s="191" t="n">
        <x:v>241.85894775390625</x:v>
      </x:c>
      <x:c r="F366" s="191" t="n">
        <x:v>385.9100036621094</x:v>
      </x:c>
      <x:c r="G366" s="191" t="n">
        <x:v>368.0869140625</x:v>
      </x:c>
      <x:c r="H366" s="208" t="n">
        <x:f>E366/E365-1</x:f>
        <x:v>-0.014782978016137371</x:v>
      </x:c>
      <x:c r="I366" s="208" t="n">
        <x:f>G366/G365-1</x:f>
        <x:v>-0.014429330664282647</x:v>
      </x:c>
      <x:c r="J366" s="208" t="n">
        <x:f>'Beta HC3'!$E$13+'Beta HC3'!$E$12*I366</x:f>
        <x:v>-0.0162644370376964</x:v>
      </x:c>
      <x:c r="K366" s="240" t="n">
        <x:f>H366-J366</x:f>
        <x:v>0.0014814590215590298</x:v>
      </x:c>
      <x:c r="L366" s="240" t="n">
        <x:f>I366-'Beta HC3'!$E$9</x:f>
        <x:v>-0.014993278281943086</x:v>
      </x:c>
      <x:c r="M366" s="240" t="n">
        <x:f>1/'Beta HC3'!$E$8+L366^2/'Beta HC3'!$E$11</x:f>
        <x:v>0.0023340842108508036</x:v>
      </x:c>
      <x:c r="N366" s="240" t="n">
        <x:f>K366^2/(1-M366)^2</x:f>
        <x:v>0.000002205002141184462</x:v>
      </x:c>
      <x:c r="O366" s="240" t="n">
        <x:f>N366*L366^2/'Beta HC3'!$E$11^2</x:f>
        <x:v>2.318018735685731e-8</x:v>
      </x:c>
      <x:c r="P366" s="240" t="n">
        <x:f>N366*(1/'Beta HC3'!$E$8-'Beta HC3'!$E$9*L366/'Beta HC3'!$E$11)^2</x:f>
        <x:v>1.610534595348495e-12</x:v>
      </x:c>
      <x:c r="Q366" s="240" t="n">
        <x:f>N366*(1/'Beta HC3'!$E$8-'Beta HC3'!$E$9*L366/'Beta HC3'!$E$11)*L366/'Beta HC3'!$E$11</x:f>
        <x:v>-1.9321618375508428e-10</x:v>
      </x:c>
      <x:c r="R366" s="240" t="n">
        <x:f>K366*L366/'Beta HC3'!$E$11</x:f>
        <x:v>-0.00015189504476022196</x:v>
      </x:c>
      <x:c r="S366" s="240" t="n">
        <x:f>(K366-K365)^2</x:f>
        <x:v>0.0001926023102264059</x:v>
      </x:c>
      <x:c r="T366" s="280" t="n">
        <x:f>E366/$E$9*100</x:f>
        <x:v>85.4698990913389</x:v>
      </x:c>
    </x:row>
    <x:row r="367" ht="24" customHeight="1">
      <x:c r="C367" s="274" t="d">
        <x:v>2023-03-13T00:00:00.000Z</x:v>
      </x:c>
      <x:c r="D367" s="191" t="n">
        <x:v>253.9199981689453</x:v>
      </x:c>
      <x:c r="E367" s="191" t="n">
        <x:v>247.044677734375</x:v>
      </x:c>
      <x:c r="F367" s="191" t="n">
        <x:v>385.3599853515625</x:v>
      </x:c>
      <x:c r="G367" s="191" t="n">
        <x:v>367.5623474121094</x:v>
      </x:c>
      <x:c r="H367" s="208" t="n">
        <x:f>E367/E366-1</x:f>
        <x:v>0.021441133473156793</x:v>
      </x:c>
      <x:c r="I367" s="208" t="n">
        <x:f>G367/G366-1</x:f>
        <x:v>-0.0014251162710487986</x:v>
      </x:c>
      <x:c r="J367" s="208" t="n">
        <x:f>'Beta HC3'!$E$13+'Beta HC3'!$E$12*I367</x:f>
        <x:v>-0.0015981314521187834</x:v>
      </x:c>
      <x:c r="K367" s="240" t="n">
        <x:f>H367-J367</x:f>
        <x:v>0.023039264925275575</x:v>
      </x:c>
      <x:c r="L367" s="240" t="n">
        <x:f>I367-'Beta HC3'!$E$9</x:f>
        <x:v>-0.001989063888709238</x:v>
      </x:c>
      <x:c r="M367" s="240" t="n">
        <x:f>1/'Beta HC3'!$E$8+L367^2/'Beta HC3'!$E$11</x:f>
        <x:v>0.0008238682030806571</x:v>
      </x:c>
      <x:c r="N367" s="240" t="n">
        <x:f>K367^2/(1-M367)^2</x:f>
        <x:v>0.000531683441575447</x:v>
      </x:c>
      <x:c r="O367" s="240" t="n">
        <x:f>N367*L367^2/'Beta HC3'!$E$11^2</x:f>
        <x:v>9.837060076574181e-8</x:v>
      </x:c>
      <x:c r="P367" s="240" t="n">
        <x:f>N367*(1/'Beta HC3'!$E$8-'Beta HC3'!$E$9*L367/'Beta HC3'!$E$11)^2</x:f>
        <x:v>3.4410228012268935e-10</x:v>
      </x:c>
      <x:c r="Q367" s="240" t="n">
        <x:f>N367*(1/'Beta HC3'!$E$8-'Beta HC3'!$E$9*L367/'Beta HC3'!$E$11)*L367/'Beta HC3'!$E$11</x:f>
        <x:v>-5.818036440288985e-9</x:v>
      </x:c>
      <x:c r="R367" s="240" t="n">
        <x:f>K367*L367/'Beta HC3'!$E$11</x:f>
        <x:v>-0.00031338247991149196</x:v>
      </x:c>
      <x:c r="S367" s="240" t="n">
        <x:f>(K367-K366)^2</x:f>
        <x:v>0.0004647389953823159</x:v>
      </x:c>
      <x:c r="T367" s="280" t="n">
        <x:f>E367/$E$9*100</x:f>
        <x:v>87.30247060569354</x:v>
      </x:c>
    </x:row>
    <x:row r="368" ht="24" customHeight="1">
      <x:c r="C368" s="274" t="d">
        <x:v>2023-03-14T00:00:00.000Z</x:v>
      </x:c>
      <x:c r="D368" s="191" t="n">
        <x:v>260.7900085449219</x:v>
      </x:c>
      <x:c r="E368" s="191" t="n">
        <x:v>253.72860717773438</x:v>
      </x:c>
      <x:c r="F368" s="191" t="n">
        <x:v>391.7300109863281</x:v>
      </x:c>
      <x:c r="G368" s="191" t="n">
        <x:v>373.6380920410156</x:v>
      </x:c>
      <x:c r="H368" s="208" t="n">
        <x:f>E368/E367-1</x:f>
        <x:v>0.027055549241769228</x:v>
      </x:c>
      <x:c r="I368" s="208" t="n">
        <x:f>G368/G367-1</x:f>
        <x:v>0.0165298341129978</x:v>
      </x:c>
      <x:c r="J368" s="208" t="n">
        <x:f>'Beta HC3'!$E$13+'Beta HC3'!$E$12*I368</x:f>
        <x:v>0.018651672276380565</x:v>
      </x:c>
      <x:c r="K368" s="240" t="n">
        <x:f>H368-J368</x:f>
        <x:v>0.008403876965388662</x:v>
      </x:c>
      <x:c r="L368" s="240" t="n">
        <x:f>I368-'Beta HC3'!$E$9</x:f>
        <x:v>0.01596588649533736</x:v>
      </x:c>
      <x:c r="M368" s="240" t="n">
        <x:f>1/'Beta HC3'!$E$8+L368^2/'Beta HC3'!$E$11</x:f>
        <x:v>0.00253999757300972</x:v>
      </x:c>
      <x:c r="N368" s="240" t="n">
        <x:f>K368^2/(1-M368)^2</x:f>
        <x:v>0.00007098529503575628</x:v>
      </x:c>
      <x:c r="O368" s="240" t="n">
        <x:f>N368*L368^2/'Beta HC3'!$E$11^2</x:f>
        <x:v>8.46192534505358e-7</x:v>
      </x:c>
      <x:c r="P368" s="240" t="n">
        <x:f>N368*(1/'Beta HC3'!$E$8-'Beta HC3'!$E$9*L368/'Beta HC3'!$E$11)^2</x:f>
        <x:v>3.837306951385858e-11</x:v>
      </x:c>
      <x:c r="Q368" s="240" t="n">
        <x:f>N368*(1/'Beta HC3'!$E$8-'Beta HC3'!$E$9*L368/'Beta HC3'!$E$11)*L368/'Beta HC3'!$E$11</x:f>
        <x:v>5.698333523819248e-9</x:v>
      </x:c>
      <x:c r="R368" s="240" t="n">
        <x:f>K368*L368/'Beta HC3'!$E$11</x:f>
        <x:v>0.0009175507287462616</x:v>
      </x:c>
      <x:c r="S368" s="240" t="n">
        <x:f>(K368-K367)^2</x:f>
        <x:v>0.0002141945807364028</x:v>
      </x:c>
      <x:c r="T368" s="280" t="n">
        <x:f>E368/$E$9*100</x:f>
        <x:v>89.66448689809398</x:v>
      </x:c>
    </x:row>
    <x:row r="369" ht="24" customHeight="1">
      <x:c r="C369" s="274" t="d">
        <x:v>2023-03-15T00:00:00.000Z</x:v>
      </x:c>
      <x:c r="D369" s="191" t="n">
        <x:v>265.44000244140625</x:v>
      </x:c>
      <x:c r="E369" s="191" t="n">
        <x:v>258.252685546875</x:v>
      </x:c>
      <x:c r="F369" s="191" t="n">
        <x:v>389.2799987792969</x:v>
      </x:c>
      <x:c r="G369" s="191" t="n">
        <x:v>371.30126953125</x:v>
      </x:c>
      <x:c r="H369" s="208" t="n">
        <x:f>E369/E368-1</x:f>
        <x:v>0.017830383493066426</x:v>
      </x:c>
      <x:c r="I369" s="208" t="n">
        <x:f>G369/G368-1</x:f>
        <x:v>-0.00625424055936219</x:v>
      </x:c>
      <x:c r="J369" s="208" t="n">
        <x:f>'Beta HC3'!$E$13+'Beta HC3'!$E$12*I369</x:f>
        <x:v>-0.007044474489956581</x:v>
      </x:c>
      <x:c r="K369" s="240" t="n">
        <x:f>H369-J369</x:f>
        <x:v>0.024874857983023007</x:v>
      </x:c>
      <x:c r="L369" s="240" t="n">
        <x:f>I369-'Beta HC3'!$E$9</x:f>
        <x:v>-0.006818188177022629</x:v>
      </x:c>
      <x:c r="M369" s="240" t="n">
        <x:f>1/'Beta HC3'!$E$8+L369^2/'Beta HC3'!$E$11</x:f>
        <x:v>0.0011147162626086063</x:v>
      </x:c>
      <x:c r="N369" s="240" t="n">
        <x:f>K369^2/(1-M369)^2</x:f>
        <x:v>0.0006201403501607588</x:v>
      </x:c>
      <x:c r="O369" s="240" t="n">
        <x:f>N369*L369^2/'Beta HC3'!$E$11^2</x:f>
        <x:v>0.0000013481638556692597</x:v>
      </x:c>
      <x:c r="P369" s="240" t="n">
        <x:f>N369*(1/'Beta HC3'!$E$8-'Beta HC3'!$E$9*L369/'Beta HC3'!$E$11)^2</x:f>
        <x:v>4.2014853689362987e-10</x:v>
      </x:c>
      <x:c r="Q369" s="240" t="n">
        <x:f>N369*(1/'Beta HC3'!$E$8-'Beta HC3'!$E$9*L369/'Beta HC3'!$E$11)*L369/'Beta HC3'!$E$11</x:f>
        <x:v>-2.3799770407554655e-8</x:v>
      </x:c>
      <x:c r="R369" s="240" t="n">
        <x:f>K369*L369/'Beta HC3'!$E$11</x:f>
        <x:v>-0.0011598102821316065</x:v>
      </x:c>
      <x:c r="S369" s="240" t="n">
        <x:f>(K369-K368)^2</x:f>
        <x:v>0.0002712932156832709</x:v>
      </x:c>
      <x:c r="T369" s="280" t="n">
        <x:f>E369/$E$9*100</x:f>
        <x:v>91.26323908519603</x:v>
      </x:c>
    </x:row>
    <x:row r="370" ht="24" customHeight="1">
      <x:c r="C370" s="274" t="d">
        <x:v>2023-03-16T00:00:00.000Z</x:v>
      </x:c>
      <x:c r="D370" s="191" t="n">
        <x:v>276.20001220703125</x:v>
      </x:c>
      <x:c r="E370" s="191" t="n">
        <x:v>268.721435546875</x:v>
      </x:c>
      <x:c r="F370" s="191" t="n">
        <x:v>396.1099853515625</x:v>
      </x:c>
      <x:c r="G370" s="191" t="n">
        <x:v>377.81573486328125</x:v>
      </x:c>
      <x:c r="H370" s="208" t="n">
        <x:f>E370/E369-1</x:f>
        <x:v>0.040536848543632376</x:v>
      </x:c>
      <x:c r="I370" s="208" t="n">
        <x:f>G370/G369-1</x:f>
        <x:v>0.01754495841141468</x:v>
      </x:c>
      <x:c r="J370" s="208" t="n">
        <x:f>'Beta HC3'!$E$13+'Beta HC3'!$E$12*I370</x:f>
        <x:v>0.019796541371715798</x:v>
      </x:c>
      <x:c r="K370" s="240" t="n">
        <x:f>H370-J370</x:f>
        <x:v>0.020740307171916578</x:v>
      </x:c>
      <x:c r="L370" s="240" t="n">
        <x:f>I370-'Beta HC3'!$E$9</x:f>
        <x:v>0.01698101079375424</x:v>
      </x:c>
      <x:c r="M370" s="240" t="n">
        <x:f>1/'Beta HC3'!$E$8+L370^2/'Beta HC3'!$E$11</x:f>
        <x:v>0.002768710707954529</x:v>
      </x:c>
      <x:c r="N370" s="240" t="n">
        <x:f>K370^2/(1-M370)^2</x:f>
        <x:v>0.00043255224983589975</x:v>
      </x:c>
      <x:c r="O370" s="240" t="n">
        <x:f>N370*L370^2/'Beta HC3'!$E$11^2</x:f>
        <x:v>0.0000058328441720028604</x:v>
      </x:c>
      <x:c r="P370" s="240" t="n">
        <x:f>N370*(1/'Beta HC3'!$E$8-'Beta HC3'!$E$9*L370/'Beta HC3'!$E$11)^2</x:f>
        <x:v>2.3134466353589833e-10</x:v>
      </x:c>
      <x:c r="Q370" s="240" t="n">
        <x:f>N370*(1/'Beta HC3'!$E$8-'Beta HC3'!$E$9*L370/'Beta HC3'!$E$11)*L370/'Beta HC3'!$E$11</x:f>
        <x:v>3.6734144503844475e-8</x:v>
      </x:c>
      <x:c r="R370" s="240" t="n">
        <x:f>K370*L370/'Beta HC3'!$E$11</x:f>
        <x:v>0.002408441398279553</x:v>
      </x:c>
      <x:c r="S370" s="240" t="n">
        <x:f>(K370-K369)^2</x:f>
        <x:v>0.00001709451040962083</x:v>
      </x:c>
      <x:c r="T370" s="280" t="n">
        <x:f>E370/$E$9*100</x:f>
        <x:v>94.96276318559394</x:v>
      </x:c>
    </x:row>
    <x:row r="371" ht="24" customHeight="1">
      <x:c r="C371" s="274" t="d">
        <x:v>2023-03-17T00:00:00.000Z</x:v>
      </x:c>
      <x:c r="D371" s="191" t="n">
        <x:v>279.42999267578125</x:v>
      </x:c>
      <x:c r="E371" s="191" t="n">
        <x:v>271.8638916015625</x:v>
      </x:c>
      <x:c r="F371" s="191" t="n">
        <x:v>389.989990234375</x:v>
      </x:c>
      <x:c r="G371" s="191" t="n">
        <x:v>373.3981018066406</x:v>
      </x:c>
      <x:c r="H371" s="208" t="n">
        <x:f>E371/E370-1</x:f>
        <x:v>0.011694102661711003</x:v>
      </x:c>
      <x:c r="I371" s="208" t="n">
        <x:f>G371/G370-1</x:f>
        <x:v>-0.01169255975598582</x:v>
      </x:c>
      <x:c r="J371" s="208" t="n">
        <x:f>'Beta HC3'!$E$13+'Beta HC3'!$E$12*I371</x:f>
        <x:v>-0.013177874693747028</x:v>
      </x:c>
      <x:c r="K371" s="240" t="n">
        <x:f>H371-J371</x:f>
        <x:v>0.02487197735545803</x:v>
      </x:c>
      <x:c r="L371" s="240" t="n">
        <x:f>I371-'Beta HC3'!$E$9</x:f>
        <x:v>-0.01225650737364626</x:v>
      </x:c>
      <x:c r="M371" s="240" t="n">
        <x:f>1/'Beta HC3'!$E$8+L371^2/'Beta HC3'!$E$11</x:f>
        <x:v>0.001824097456410045</x:v>
      </x:c>
      <x:c r="N371" s="240" t="n">
        <x:f>K371^2/(1-M371)^2</x:f>
        <x:v>0.0006208782766729893</x:v>
      </x:c>
      <x:c r="O371" s="240" t="n">
        <x:f>N371*L371^2/'Beta HC3'!$E$11^2</x:f>
        <x:v>0.0000043616885327242805</x:v>
      </x:c>
      <x:c r="P371" s="240" t="n">
        <x:f>N371*(1/'Beta HC3'!$E$8-'Beta HC3'!$E$9*L371/'Beta HC3'!$E$11)^2</x:f>
        <x:v>4.4235808221044165e-10</x:v>
      </x:c>
      <x:c r="Q371" s="240" t="n">
        <x:f>N371*(1/'Beta HC3'!$E$8-'Beta HC3'!$E$9*L371/'Beta HC3'!$E$11)*L371/'Beta HC3'!$E$11</x:f>
        <x:v>-4.392525668149462e-8</x:v>
      </x:c>
      <x:c r="R371" s="240" t="n">
        <x:f>K371*L371/'Beta HC3'!$E$11</x:f>
        <x:v>-0.0020846560281235064</x:v>
      </x:c>
      <x:c r="S371" s="240" t="n">
        <x:f>(K371-K370)^2</x:f>
        <x:v>0.000017070698505565466</x:v>
      </x:c>
      <x:c r="T371" s="280" t="n">
        <x:f>E371/$E$9*100</x:f>
        <x:v>96.07326748732602</x:v>
      </x:c>
    </x:row>
    <x:row r="372" ht="24" customHeight="1">
      <x:c r="C372" s="274" t="d">
        <x:v>2023-03-20T00:00:00.000Z</x:v>
      </x:c>
      <x:c r="D372" s="191" t="n">
        <x:v>272.2300109863281</x:v>
      </x:c>
      <x:c r="E372" s="191" t="n">
        <x:v>264.85882568359375</x:v>
      </x:c>
      <x:c r="F372" s="191" t="n">
        <x:v>393.739990234375</x:v>
      </x:c>
      <x:c r="G372" s="191" t="n">
        <x:v>376.9885559082031</x:v>
      </x:c>
      <x:c r="H372" s="208" t="n">
        <x:f>E372/E371-1</x:f>
        <x:v>-0.025766812490991664</x:v>
      </x:c>
      <x:c r="I372" s="208" t="n">
        <x:f>G372/G371-1</x:f>
        <x:v>0.00961561958721946</x:v>
      </x:c>
      <x:c r="J372" s="208" t="n">
        <x:f>'Beta HC3'!$E$13+'Beta HC3'!$E$12*I372</x:f>
        <x:v>0.010853740002050576</x:v>
      </x:c>
      <x:c r="K372" s="240" t="n">
        <x:f>H372-J372</x:f>
        <x:v>-0.03662055249304224</x:v>
      </x:c>
      <x:c r="L372" s="240" t="n">
        <x:f>I372-'Beta HC3'!$E$9</x:f>
        <x:v>0.00905167196955902</x:v>
      </x:c>
      <x:c r="M372" s="240" t="n">
        <x:f>1/'Beta HC3'!$E$8+L372^2/'Beta HC3'!$E$11</x:f>
        <x:v>0.001357105463149642</x:v>
      </x:c>
      <x:c r="N372" s="240" t="n">
        <x:f>K372^2/(1-M372)^2</x:f>
        <x:v>0.0013447122208944597</x:v>
      </x:c>
      <x:c r="O372" s="240" t="n">
        <x:f>N372*L372^2/'Beta HC3'!$E$11^2</x:f>
        <x:v>0.000005152306475229024</x:v>
      </x:c>
      <x:c r="P372" s="240" t="n">
        <x:f>N372*(1/'Beta HC3'!$E$8-'Beta HC3'!$E$9*L372/'Beta HC3'!$E$11)^2</x:f>
        <x:v>7.806038985602837e-10</x:v>
      </x:c>
      <x:c r="Q372" s="240" t="n">
        <x:f>N372*(1/'Beta HC3'!$E$8-'Beta HC3'!$E$9*L372/'Beta HC3'!$E$11)*L372/'Beta HC3'!$E$11</x:f>
        <x:v>6.341853452375868e-8</x:v>
      </x:c>
      <x:c r="R372" s="240" t="n">
        <x:f>K372*L372/'Beta HC3'!$E$11</x:f>
        <x:v>-0.0022667888119281662</x:v>
      </x:c>
      <x:c r="S372" s="240" t="n">
        <x:f>(K372-K371)^2</x:f>
        <x:v>0.0037813312271686972</x:v>
      </x:c>
      <x:c r="T372" s="280" t="n">
        <x:f>E372/$E$9*100</x:f>
        <x:v>93.59776561858321</x:v>
      </x:c>
    </x:row>
    <x:row r="373" ht="24" customHeight="1">
      <x:c r="C373" s="274" t="d">
        <x:v>2023-03-21T00:00:00.000Z</x:v>
      </x:c>
      <x:c r="D373" s="191" t="n">
        <x:v>273.7799987792969</x:v>
      </x:c>
      <x:c r="E373" s="191" t="n">
        <x:v>266.3669128417969</x:v>
      </x:c>
      <x:c r="F373" s="191" t="n">
        <x:v>398.9100036621094</x:v>
      </x:c>
      <x:c r="G373" s="191" t="n">
        <x:v>381.9385681152344</x:v>
      </x:c>
      <x:c r="H373" s="208" t="n">
        <x:f>E373/E372-1</x:f>
        <x:v>0.005693928281645055</x:v>
      </x:c>
      <x:c r="I373" s="208" t="n">
        <x:f>G373/G372-1</x:f>
        <x:v>0.013130404436564769</x:v>
      </x:c>
      <x:c r="J373" s="208" t="n">
        <x:f>'Beta HC3'!$E$13+'Beta HC3'!$E$12*I373</x:f>
        <x:v>0.014817755598015975</x:v>
      </x:c>
      <x:c r="K373" s="240" t="n">
        <x:f>H373-J373</x:f>
        <x:v>-0.00912382731637092</x:v>
      </x:c>
      <x:c r="L373" s="240" t="n">
        <x:f>I373-'Beta HC3'!$E$9</x:f>
        <x:v>0.01256645681890433</x:v>
      </x:c>
      <x:c r="M373" s="240" t="n">
        <x:f>1/'Beta HC3'!$E$8+L373^2/'Beta HC3'!$E$11</x:f>
        <x:v>0.0018767115224540092</x:v>
      </x:c>
      <x:c r="N373" s="240" t="n">
        <x:f>K373^2/(1-M373)^2</x:f>
        <x:v>0.00008355755746715702</x:v>
      </x:c>
      <x:c r="O373" s="240" t="n">
        <x:f>N373*L373^2/'Beta HC3'!$E$11^2</x:f>
        <x:v>6.170582250842884e-7</x:v>
      </x:c>
      <x:c r="P373" s="240" t="n">
        <x:f>N373*(1/'Beta HC3'!$E$8-'Beta HC3'!$E$9*L373/'Beta HC3'!$E$11)^2</x:f>
        <x:v>4.6794535689200445e-11</x:v>
      </x:c>
      <x:c r="Q373" s="240" t="n">
        <x:f>N373*(1/'Beta HC3'!$E$8-'Beta HC3'!$E$9*L373/'Beta HC3'!$E$11)*L373/'Beta HC3'!$E$11</x:f>
        <x:v>5.373541954430189e-9</x:v>
      </x:c>
      <x:c r="R373" s="240" t="n">
        <x:f>K373*L373/'Beta HC3'!$E$11</x:f>
        <x:v>-0.0007840563231233748</x:v>
      </x:c>
      <x:c r="S373" s="240" t="n">
        <x:f>(K373-K372)^2</x:f>
        <x:v>0.0007560698954413904</x:v>
      </x:c>
      <x:c r="T373" s="280" t="n">
        <x:f>E373/$E$9*100</x:f>
        <x:v>94.13070458333765</x:v>
      </x:c>
    </x:row>
    <x:row r="374" ht="24" customHeight="1">
      <x:c r="C374" s="274" t="d">
        <x:v>2023-03-22T00:00:00.000Z</x:v>
      </x:c>
      <x:c r="D374" s="191" t="n">
        <x:v>272.2900085449219</x:v>
      </x:c>
      <x:c r="E374" s="191" t="n">
        <x:v>264.9172668457031</x:v>
      </x:c>
      <x:c r="F374" s="191" t="n">
        <x:v>392.1099853515625</x:v>
      </x:c>
      <x:c r="G374" s="191" t="n">
        <x:v>375.42791748046875</x:v>
      </x:c>
      <x:c r="H374" s="208" t="n">
        <x:f>E374/E373-1</x:f>
        <x:v>-0.00544229003755714</x:v>
      </x:c>
      <x:c r="I374" s="208" t="n">
        <x:f>G374/G373-1</x:f>
        <x:v>-0.017046329379339586</x:v>
      </x:c>
      <x:c r="J374" s="208" t="n">
        <x:f>'Beta HC3'!$E$13+'Beta HC3'!$E$12*I374</x:f>
        <x:v>-0.019215918896689686</x:v>
      </x:c>
      <x:c r="K374" s="240" t="n">
        <x:f>H374-J374</x:f>
        <x:v>0.013773628859132546</x:v>
      </x:c>
      <x:c r="L374" s="240" t="n">
        <x:f>I374-'Beta HC3'!$E$9</x:f>
        <x:v>-0.017610276997000025</x:v>
      </x:c>
      <x:c r="M374" s="240" t="n">
        <x:f>1/'Beta HC3'!$E$8+L374^2/'Beta HC3'!$E$11</x:f>
        <x:v>0.0029175640189217774</x:v>
      </x:c>
      <x:c r="N374" s="240" t="n">
        <x:f>K374^2/(1-M374)^2</x:f>
        <x:v>0.0001908247142553147</x:v>
      </x:c>
      <x:c r="O374" s="240" t="n">
        <x:f>N374*L374^2/'Beta HC3'!$E$11^2</x:f>
        <x:v>0.0000027674623286649254</x:v>
      </x:c>
      <x:c r="P374" s="240" t="n">
        <x:f>N374*(1/'Beta HC3'!$E$8-'Beta HC3'!$E$9*L374/'Beta HC3'!$E$11)^2</x:f>
        <x:v>1.4268978367107794e-10</x:v>
      </x:c>
      <x:c r="Q374" s="240" t="n">
        <x:f>N374*(1/'Beta HC3'!$E$8-'Beta HC3'!$E$9*L374/'Beta HC3'!$E$11)*L374/'Beta HC3'!$E$11</x:f>
        <x:v>-1.9871804170609566e-8</x:v>
      </x:c>
      <x:c r="R374" s="240" t="n">
        <x:f>K374*L374/'Beta HC3'!$E$11</x:f>
        <x:v>-0.0016587155840511662</x:v>
      </x:c>
      <x:c r="S374" s="240" t="n">
        <x:f>(K374-K373)^2</x:f>
        <x:v>0.0005242934993091018</x:v>
      </x:c>
      <x:c r="T374" s="280" t="n">
        <x:f>E374/$E$9*100</x:f>
        <x:v>93.61841798755552</x:v>
      </x:c>
    </x:row>
    <x:row r="375" ht="24" customHeight="1">
      <x:c r="C375" s="274" t="d">
        <x:v>2023-03-23T00:00:00.000Z</x:v>
      </x:c>
      <x:c r="D375" s="191" t="n">
        <x:v>277.6600036621094</x:v>
      </x:c>
      <x:c r="E375" s="191" t="n">
        <x:v>270.1418151855469</x:v>
      </x:c>
      <x:c r="F375" s="191" t="n">
        <x:v>393.1700134277344</x:v>
      </x:c>
      <x:c r="G375" s="191" t="n">
        <x:v>376.4428405761719</x:v>
      </x:c>
      <x:c r="H375" s="208" t="n">
        <x:f>E375/E374-1</x:f>
        <x:v>0.019721433797241783</x:v>
      </x:c>
      <x:c r="I375" s="208" t="n">
        <x:f>G375/G374-1</x:f>
        <x:v>0.0027033767294515343</x:v>
      </x:c>
      <x:c r="J375" s="208" t="n">
        <x:f>'Beta HC3'!$E$13+'Beta HC3'!$E$12*I375</x:f>
        <x:v>0.003058031398038504</x:v>
      </x:c>
      <x:c r="K375" s="240" t="n">
        <x:f>H375-J375</x:f>
        <x:v>0.01666340239920328</x:v>
      </x:c>
      <x:c r="L375" s="240" t="n">
        <x:f>I375-'Beta HC3'!$E$9</x:f>
        <x:v>0.002139429111791095</x:v>
      </x:c>
      <x:c r="M375" s="240" t="n">
        <x:f>1/'Beta HC3'!$E$8+L375^2/'Beta HC3'!$E$11</x:f>
        <x:v>0.0008281133851086961</x:v>
      </x:c>
      <x:c r="N375" s="240" t="n">
        <x:f>K375^2/(1-M375)^2</x:f>
        <x:v>0.00027812943419896254</x:v>
      </x:c>
      <x:c r="O375" s="240" t="n">
        <x:f>N375*L375^2/'Beta HC3'!$E$11^2</x:f>
        <x:v>5.953296012394182e-8</x:v>
      </x:c>
      <x:c r="P375" s="240" t="n">
        <x:f>N375*(1/'Beta HC3'!$E$8-'Beta HC3'!$E$9*L375/'Beta HC3'!$E$11)^2</x:f>
        <x:v>1.7294922836880473e-10</x:v>
      </x:c>
      <x:c r="Q375" s="240" t="n">
        <x:f>N375*(1/'Beta HC3'!$E$8-'Beta HC3'!$E$9*L375/'Beta HC3'!$E$11)*L375/'Beta HC3'!$E$11</x:f>
        <x:v>3.208766042569411e-9</x:v>
      </x:c>
      <x:c r="R375" s="240" t="n">
        <x:f>K375*L375/'Beta HC3'!$E$11</x:f>
        <x:v>0.00024379171615889294</x:v>
      </x:c>
      <x:c r="S375" s="240" t="n">
        <x:f>(K375-K374)^2</x:f>
        <x:v>0.000008350791112892936</x:v>
      </x:c>
      <x:c r="T375" s="280" t="n">
        <x:f>E375/$E$9*100</x:f>
        <x:v>95.46470742009959</x:v>
      </x:c>
    </x:row>
    <x:row r="376" ht="24" customHeight="1">
      <x:c r="C376" s="274" t="d">
        <x:v>2023-03-24T00:00:00.000Z</x:v>
      </x:c>
      <x:c r="D376" s="191" t="n">
        <x:v>280.57000732421875</x:v>
      </x:c>
      <x:c r="E376" s="191" t="n">
        <x:v>272.9730529785156</x:v>
      </x:c>
      <x:c r="F376" s="191" t="n">
        <x:v>395.75</x:v>
      </x:c>
      <x:c r="G376" s="191" t="n">
        <x:v>378.9130859375</x:v>
      </x:c>
      <x:c r="H376" s="208" t="n">
        <x:f>E376/E375-1</x:f>
        <x:v>0.010480561075019379</x:v>
      </x:c>
      <x:c r="I376" s="208" t="n">
        <x:f>G376/G375-1</x:f>
        <x:v>0.0065620728967703545</x:v>
      </x:c>
      <x:c r="J376" s="208" t="n">
        <x:f>'Beta HC3'!$E$13+'Beta HC3'!$E$12*I376</x:f>
        <x:v>0.0074099142139078325</x:v>
      </x:c>
      <x:c r="K376" s="240" t="n">
        <x:f>H376-J376</x:f>
        <x:v>0.0030706468611115464</x:v>
      </x:c>
      <x:c r="L376" s="240" t="n">
        <x:f>I376-'Beta HC3'!$E$9</x:f>
        <x:v>0.005998125279109915</x:v>
      </x:c>
      <x:c r="M376" s="240" t="n">
        <x:f>1/'Beta HC3'!$E$8+L376^2/'Beta HC3'!$E$11</x:f>
        <x:v>0.001042842952666787</x:v>
      </x:c>
      <x:c r="N376" s="240" t="n">
        <x:f>K376^2/(1-M376)^2</x:f>
        <x:v>0.000009448568616522453</x:v>
      </x:c>
      <x:c r="O376" s="240" t="n">
        <x:f>N376*L376^2/'Beta HC3'!$E$11^2</x:f>
        <x:v>1.589687681305517e-8</x:v>
      </x:c>
      <x:c r="P376" s="240" t="n">
        <x:f>N376*(1/'Beta HC3'!$E$8-'Beta HC3'!$E$9*L376/'Beta HC3'!$E$11)^2</x:f>
        <x:v>5.655743354185096e-12</x:v>
      </x:c>
      <x:c r="Q376" s="240" t="n">
        <x:f>N376*(1/'Beta HC3'!$E$8-'Beta HC3'!$E$9*L376/'Beta HC3'!$E$11)*L376/'Beta HC3'!$E$11</x:f>
        <x:v>2.99847720331064e-10</x:v>
      </x:c>
      <x:c r="R376" s="240" t="n">
        <x:f>K376*L376/'Beta HC3'!$E$11</x:f>
        <x:v>0.00012595133270172838</x:v>
      </x:c>
      <x:c r="S376" s="240" t="n">
        <x:f>(K376-K375)^2</x:f>
        <x:v>0.00018476300311832345</x:v>
      </x:c>
      <x:c r="T376" s="280" t="n">
        <x:f>E376/$E$9*100</x:f>
        <x:v>96.46523111672481</x:v>
      </x:c>
    </x:row>
    <x:row r="377" ht="24" customHeight="1">
      <x:c r="C377" s="274" t="d">
        <x:v>2023-03-27T00:00:00.000Z</x:v>
      </x:c>
      <x:c r="D377" s="191" t="n">
        <x:v>276.3800048828125</x:v>
      </x:c>
      <x:c r="E377" s="191" t="n">
        <x:v>268.8965148925781</x:v>
      </x:c>
      <x:c r="F377" s="191" t="n">
        <x:v>396.489990234375</x:v>
      </x:c>
      <x:c r="G377" s="191" t="n">
        <x:v>379.62158203125</x:v>
      </x:c>
      <x:c r="H377" s="208" t="n">
        <x:f>E377/E376-1</x:f>
        <x:v>-0.01493384801707276</x:v>
      </x:c>
      <x:c r="I377" s="208" t="n">
        <x:f>G377/G376-1</x:f>
        <x:v>0.001869811627109863</x:v>
      </x:c>
      <x:c r="J377" s="208" t="n">
        <x:f>'Beta HC3'!$E$13+'Beta HC3'!$E$12*I377</x:f>
        <x:v>0.0021179268944725585</x:v>
      </x:c>
      <x:c r="K377" s="240" t="n">
        <x:f>H377-J377</x:f>
        <x:v>-0.017051774911545317</x:v>
      </x:c>
      <x:c r="L377" s="240" t="n">
        <x:f>I377-'Beta HC3'!$E$9</x:f>
        <x:v>0.0013058640094494238</x:v>
      </x:c>
      <x:c r="M377" s="240" t="n">
        <x:f>1/'Beta HC3'!$E$8+L377^2/'Beta HC3'!$E$11</x:f>
        <x:v>0.0008084742181230893</x:v>
      </x:c>
      <x:c r="N377" s="240" t="n">
        <x:f>K377^2/(1-M377)^2</x:f>
        <x:v>0.00029123374722688926</x:v>
      </x:c>
      <x:c r="O377" s="240" t="n">
        <x:f>N377*L377^2/'Beta HC3'!$E$11^2</x:f>
        <x:v>2.322481836434037e-8</x:v>
      </x:c>
      <x:c r="P377" s="240" t="n">
        <x:f>N377*(1/'Beta HC3'!$E$8-'Beta HC3'!$E$9*L377/'Beta HC3'!$E$11)^2</x:f>
        <x:v>1.8257742616658508e-10</x:v>
      </x:c>
      <x:c r="Q377" s="240" t="n">
        <x:f>N377*(1/'Beta HC3'!$E$8-'Beta HC3'!$E$9*L377/'Beta HC3'!$E$11)*L377/'Beta HC3'!$E$11</x:f>
        <x:v>2.059205565296409e-9</x:v>
      </x:c>
      <x:c r="R377" s="240" t="n">
        <x:f>K377*L377/'Beta HC3'!$E$11</x:f>
        <x:v>-0.00015227370163969586</x:v>
      </x:c>
      <x:c r="S377" s="240" t="n">
        <x:f>(K377-K376)^2</x:f>
        <x:v>0.000404911857996695</x:v>
      </x:c>
      <x:c r="T377" s="280" t="n">
        <x:f>E377/$E$9*100</x:f>
        <x:v>95.02463401629585</x:v>
      </x:c>
    </x:row>
    <x:row r="378" ht="24" customHeight="1">
      <x:c r="C378" s="274" t="d">
        <x:v>2023-03-28T00:00:00.000Z</x:v>
      </x:c>
      <x:c r="D378" s="191" t="n">
        <x:v>275.2300109863281</x:v>
      </x:c>
      <x:c r="E378" s="191" t="n">
        <x:v>267.7775573730469</x:v>
      </x:c>
      <x:c r="F378" s="191" t="n">
        <x:v>395.6000061035156</x:v>
      </x:c>
      <x:c r="G378" s="191" t="n">
        <x:v>378.7694091796875</x:v>
      </x:c>
      <x:c r="H378" s="208" t="n">
        <x:f>E378/E377-1</x:f>
        <x:v>-0.004161294243542946</x:v>
      </x:c>
      <x:c r="I378" s="208" t="n">
        <x:f>G378/G377-1</x:f>
        <x:v>-0.0022447955856533808</x:v>
      </x:c>
      <x:c r="J378" s="208" t="n">
        <x:f>'Beta HC3'!$E$13+'Beta HC3'!$E$12*I378</x:f>
        <x:v>-0.002522575401337473</x:v>
      </x:c>
      <x:c r="K378" s="240" t="n">
        <x:f>H378-J378</x:f>
        <x:v>-0.0016387188422054728</x:v>
      </x:c>
      <x:c r="L378" s="240" t="n">
        <x:f>I378-'Beta HC3'!$E$9</x:f>
        <x:v>-0.00280874320331382</x:v>
      </x:c>
      <x:c r="M378" s="240" t="n">
        <x:f>1/'Beta HC3'!$E$8+L378^2/'Beta HC3'!$E$11</x:f>
        <x:v>0.0008507615044641511</x:v>
      </x:c>
      <x:c r="N378" s="240" t="n">
        <x:f>K378^2/(1-M378)^2</x:f>
        <x:v>0.0000026899745503996825</x:v>
      </x:c>
      <x:c r="O378" s="240" t="n">
        <x:f>N378*L378^2/'Beta HC3'!$E$11^2</x:f>
        <x:v>9.924004740153709e-10</x:v>
      </x:c>
      <x:c r="P378" s="240" t="n">
        <x:f>N378*(1/'Beta HC3'!$E$8-'Beta HC3'!$E$9*L378/'Beta HC3'!$E$11)^2</x:f>
        <x:v>1.7546435556752766e-12</x:v>
      </x:c>
      <x:c r="Q378" s="240" t="n">
        <x:f>N378*(1/'Beta HC3'!$E$8-'Beta HC3'!$E$9*L378/'Beta HC3'!$E$11)*L378/'Beta HC3'!$E$11</x:f>
        <x:v>-4.17289958707391e-11</x:v>
      </x:c>
      <x:c r="R378" s="240" t="n">
        <x:f>K378*L378/'Beta HC3'!$E$11</x:f>
        <x:v>0.00003147558736655124</x:v>
      </x:c>
      <x:c r="S378" s="240" t="n">
        <x:f>(K378-K377)^2</x:f>
        <x:v>0.00023756229739661382</x:v>
      </x:c>
      <x:c r="T378" s="280" t="n">
        <x:f>E378/$E$9*100</x:f>
        <x:v>94.62920855376906</x:v>
      </x:c>
    </x:row>
    <x:row r="379" ht="24" customHeight="1">
      <x:c r="C379" s="274" t="d">
        <x:v>2023-03-29T00:00:00.000Z</x:v>
      </x:c>
      <x:c r="D379" s="191" t="n">
        <x:v>280.510009765625</x:v>
      </x:c>
      <x:c r="E379" s="191" t="n">
        <x:v>272.9146423339844</x:v>
      </x:c>
      <x:c r="F379" s="191" t="n">
        <x:v>401.3500061035156</x:v>
      </x:c>
      <x:c r="G379" s="191" t="n">
        <x:v>384.2748107910156</x:v>
      </x:c>
      <x:c r="H379" s="208" t="n">
        <x:f>E379/E378-1</x:f>
        <x:v>0.019184150499143238</x:v>
      </x:c>
      <x:c r="I379" s="208" t="n">
        <x:f>G379/G378-1</x:f>
        <x:v>0.014534968975586926</x:v>
      </x:c>
      <x:c r="J379" s="208" t="n">
        <x:f>'Beta HC3'!$E$13+'Beta HC3'!$E$12*I379</x:f>
        <x:v>0.016401839966440655</x:v>
      </x:c>
      <x:c r="K379" s="240" t="n">
        <x:f>H379-J379</x:f>
        <x:v>0.002782310532702583</x:v>
      </x:c>
      <x:c r="L379" s="240" t="n">
        <x:f>I379-'Beta HC3'!$E$9</x:f>
        <x:v>0.013971021357926487</x:v>
      </x:c>
      <x:c r="M379" s="240" t="n">
        <x:f>1/'Beta HC3'!$E$8+L379^2/'Beta HC3'!$E$11</x:f>
        <x:v>0.0021316049932916486</x:v>
      </x:c>
      <x:c r="N379" s="240" t="n">
        <x:f>K379^2/(1-M379)^2</x:f>
        <x:v>0.000007774360306213768</x:v>
      </x:c>
      <x:c r="O379" s="240" t="n">
        <x:f>N379*L379^2/'Beta HC3'!$E$11^2</x:f>
        <x:v>7.096360997631332e-8</x:v>
      </x:c>
      <x:c r="P379" s="240" t="n">
        <x:f>N379*(1/'Beta HC3'!$E$8-'Beta HC3'!$E$9*L379/'Beta HC3'!$E$11)^2</x:f>
        <x:v>4.291055670513661e-12</x:v>
      </x:c>
      <x:c r="Q379" s="240" t="n">
        <x:f>N379*(1/'Beta HC3'!$E$8-'Beta HC3'!$E$9*L379/'Beta HC3'!$E$11)*L379/'Beta HC3'!$E$11</x:f>
        <x:v>5.518231609754877e-10</x:v>
      </x:c>
      <x:c r="R379" s="240" t="n">
        <x:f>K379*L379/'Beta HC3'!$E$11</x:f>
        <x:v>0.000265822120309354</x:v>
      </x:c>
      <x:c r="S379" s="240" t="n">
        <x:f>(K379-K378)^2</x:f>
        <x:v>0.000019545500733799917</x:v>
      </x:c>
      <x:c r="T379" s="280" t="n">
        <x:f>E379/$E$9*100</x:f>
        <x:v>96.44458953227938</x:v>
      </x:c>
    </x:row>
    <x:row r="380" ht="24" customHeight="1">
      <x:c r="C380" s="274" t="d">
        <x:v>2023-03-30T00:00:00.000Z</x:v>
      </x:c>
      <x:c r="D380" s="191" t="n">
        <x:v>284.04998779296875</x:v>
      </x:c>
      <x:c r="E380" s="191" t="n">
        <x:v>276.3587951660156</x:v>
      </x:c>
      <x:c r="F380" s="191" t="n">
        <x:v>403.70001220703125</x:v>
      </x:c>
      <x:c r="G380" s="191" t="n">
        <x:v>386.5248718261719</x:v>
      </x:c>
      <x:c r="H380" s="208" t="n">
        <x:f>E380/E379-1</x:f>
        <x:v>0.012619890243251941</x:v>
      </x:c>
      <x:c r="I380" s="208" t="n">
        <x:f>G380/G379-1</x:f>
        <x:v>0.0058553435509463014</x:v>
      </x:c>
      <x:c r="J380" s="208" t="n">
        <x:f>'Beta HC3'!$E$13+'Beta HC3'!$E$12*I380</x:f>
        <x:v>0.006612856564847237</x:v>
      </x:c>
      <x:c r="K380" s="240" t="n">
        <x:f>H380-J380</x:f>
        <x:v>0.006007033678404704</x:v>
      </x:c>
      <x:c r="L380" s="240" t="n">
        <x:f>I380-'Beta HC3'!$E$9</x:f>
        <x:v>0.005291395933285862</x:v>
      </x:c>
      <x:c r="M380" s="240" t="n">
        <x:f>1/'Beta HC3'!$E$8+L380^2/'Beta HC3'!$E$11</x:f>
        <x:v>0.0009882814892233375</x:v>
      </x:c>
      <x:c r="N380" s="240" t="n">
        <x:f>K380^2/(1-M380)^2</x:f>
        <x:v>0.00003615588267918355</x:v>
      </x:c>
      <x:c r="O380" s="240" t="n">
        <x:f>N380*L380^2/'Beta HC3'!$E$11^2</x:f>
        <x:v>4.734064924999805e-8</x:v>
      </x:c>
      <x:c r="P380" s="240" t="n">
        <x:f>N380*(1/'Beta HC3'!$E$8-'Beta HC3'!$E$9*L380/'Beta HC3'!$E$11)^2</x:f>
        <x:v>2.1795012639755413e-11</x:v>
      </x:c>
      <x:c r="Q380" s="240" t="n">
        <x:f>N380*(1/'Beta HC3'!$E$8-'Beta HC3'!$E$9*L380/'Beta HC3'!$E$11)*L380/'Beta HC3'!$E$11</x:f>
        <x:v>1.0157706674136318e-9</x:v>
      </x:c>
      <x:c r="R380" s="240" t="n">
        <x:f>K380*L380/'Beta HC3'!$E$11</x:f>
        <x:v>0.00021736403500335858</x:v>
      </x:c>
      <x:c r="S380" s="240" t="n">
        <x:f>(K380-K379)^2</x:f>
        <x:v>0.000010398839366426983</x:v>
      </x:c>
      <x:c r="T380" s="280" t="n">
        <x:f>E380/$E$9*100</x:f>
        <x:v>97.66170966673224</x:v>
      </x:c>
    </x:row>
    <x:row r="381" ht="24" customHeight="1">
      <x:c r="C381" s="274" t="d">
        <x:v>2023-03-31T00:00:00.000Z</x:v>
      </x:c>
      <x:c r="D381" s="191" t="n">
        <x:v>288.29998779296875</x:v>
      </x:c>
      <x:c r="E381" s="191" t="n">
        <x:v>280.4937744140625</x:v>
      </x:c>
      <x:c r="F381" s="191" t="n">
        <x:v>409.3900146484375</x:v>
      </x:c>
      <x:c r="G381" s="191" t="n">
        <x:v>391.9728088378906</x:v>
      </x:c>
      <x:c r="H381" s="208" t="n">
        <x:f>E381/E380-1</x:f>
        <x:v>0.01496235806630608</x:v>
      </x:c>
      <x:c r="I381" s="208" t="n">
        <x:f>G381/G380-1</x:f>
        <x:v>0.014094660935994874</x:v>
      </x:c>
      <x:c r="J381" s="208" t="n">
        <x:f>'Beta HC3'!$E$13+'Beta HC3'!$E$12*I381</x:f>
        <x:v>0.015905255392765553</x:v>
      </x:c>
      <x:c r="K381" s="240" t="n">
        <x:f>H381-J381</x:f>
        <x:v>-0.0009428973264594721</x:v>
      </x:c>
      <x:c r="L381" s="240" t="n">
        <x:f>I381-'Beta HC3'!$E$9</x:f>
        <x:v>0.013530713318334435</x:v>
      </x:c>
      <x:c r="M381" s="240" t="n">
        <x:f>1/'Beta HC3'!$E$8+L381^2/'Beta HC3'!$E$11</x:f>
        <x:v>0.002048796655983393</x:v>
      </x:c>
      <x:c r="N381" s="240" t="n">
        <x:f>K381^2/(1-M381)^2</x:f>
        <x:v>8.927095818475877e-7</x:v>
      </x:c>
      <x:c r="O381" s="240" t="n">
        <x:f>N381*L381^2/'Beta HC3'!$E$11^2</x:f>
        <x:v>7.643043021465158e-9</x:v>
      </x:c>
      <x:c r="P381" s="240" t="n">
        <x:f>N381*(1/'Beta HC3'!$E$8-'Beta HC3'!$E$9*L381/'Beta HC3'!$E$11)^2</x:f>
        <x:v>4.949857258809849e-13</x:v>
      </x:c>
      <x:c r="Q381" s="240" t="n">
        <x:f>N381*(1/'Beta HC3'!$E$8-'Beta HC3'!$E$9*L381/'Beta HC3'!$E$11)*L381/'Beta HC3'!$E$11</x:f>
        <x:v>6.150770031402187e-11</x:v>
      </x:c>
      <x:c r="R381" s="240" t="n">
        <x:f>K381*L381/'Beta HC3'!$E$11</x:f>
        <x:v>-0.00008724538395633395</x:v>
      </x:c>
      <x:c r="S381" s="240" t="n">
        <x:f>(K381-K380)^2</x:f>
        <x:v>0.00004830154097237238</x:v>
      </x:c>
      <x:c r="T381" s="280" t="n">
        <x:f>E381/$E$9*100</x:f>
        <x:v>99.12295913613352</x:v>
      </x:c>
    </x:row>
    <x:row r="382" ht="24" customHeight="1">
      <x:c r="C382" s="274" t="d">
        <x:v>2023-04-03T00:00:00.000Z</x:v>
      </x:c>
      <x:c r="D382" s="191" t="n">
        <x:v>287.2300109863281</x:v>
      </x:c>
      <x:c r="E382" s="191" t="n">
        <x:v>279.4527282714844</x:v>
      </x:c>
      <x:c r="F382" s="191" t="n">
        <x:v>410.95001220703125</x:v>
      </x:c>
      <x:c r="G382" s="191" t="n">
        <x:v>393.4664001464844</x:v>
      </x:c>
      <x:c r="H382" s="208" t="n">
        <x:f>E382/E381-1</x:f>
        <x:v>-0.0037114768224457695</x:v>
      </x:c>
      <x:c r="I382" s="208" t="n">
        <x:f>G382/G381-1</x:f>
        <x:v>0.0038104462220782676</x:v>
      </x:c>
      <x:c r="J382" s="208" t="n">
        <x:f>'Beta HC3'!$E$13+'Beta HC3'!$E$12*I382</x:f>
        <x:v>0.004306597362298678</x:v>
      </x:c>
      <x:c r="K382" s="240" t="n">
        <x:f>H382-J382</x:f>
        <x:v>-0.008018074184744447</x:v>
      </x:c>
      <x:c r="L382" s="240" t="n">
        <x:f>I382-'Beta HC3'!$E$9</x:f>
        <x:v>0.0032464986044178283</x:v>
      </x:c>
      <x:c r="M382" s="240" t="n">
        <x:f>1/'Beta HC3'!$E$8+L382^2/'Beta HC3'!$E$11</x:f>
        <x:v>0.0008688882720058634</x:v>
      </x:c>
      <x:c r="N382" s="240" t="n">
        <x:f>K382^2/(1-M382)^2</x:f>
        <x:v>0.00006440138021910624</x:v>
      </x:c>
      <x:c r="O382" s="240" t="n">
        <x:f>N382*L382^2/'Beta HC3'!$E$11^2</x:f>
        <x:v>3.174244230590984e-8</x:v>
      </x:c>
      <x:c r="P382" s="240" t="n">
        <x:f>N382*(1/'Beta HC3'!$E$8-'Beta HC3'!$E$9*L382/'Beta HC3'!$E$11)^2</x:f>
        <x:v>3.961424203085695e-11</x:v>
      </x:c>
      <x:c r="Q382" s="240" t="n">
        <x:f>N382*(1/'Beta HC3'!$E$8-'Beta HC3'!$E$9*L382/'Beta HC3'!$E$11)*L382/'Beta HC3'!$E$11</x:f>
        <x:v>1.1213620254658286e-9</x:v>
      </x:c>
      <x:c r="R382" s="240" t="n">
        <x:f>K382*L382/'Beta HC3'!$E$11</x:f>
        <x:v>-0.0001780092834621611</x:v>
      </x:c>
      <x:c r="S382" s="240" t="n">
        <x:f>(K382-K381)^2</x:f>
        <x:v>0.00005005812757601125</x:v>
      </x:c>
      <x:c r="T382" s="280" t="n">
        <x:f>E382/$E$9*100</x:f>
        <x:v>98.75506657072751</x:v>
      </x:c>
    </x:row>
    <x:row r="383" ht="24" customHeight="1">
      <x:c r="C383" s="274" t="d">
        <x:v>2023-04-04T00:00:00.000Z</x:v>
      </x:c>
      <x:c r="D383" s="191" t="n">
        <x:v>287.17999267578125</x:v>
      </x:c>
      <x:c r="E383" s="191" t="n">
        <x:v>279.404052734375</x:v>
      </x:c>
      <x:c r="F383" s="191" t="n">
        <x:v>408.6700134277344</x:v>
      </x:c>
      <x:c r="G383" s="191" t="n">
        <x:v>391.2834167480469</x:v>
      </x:c>
      <x:c r="H383" s="208" t="n">
        <x:f>E383/E382-1</x:f>
        <x:v>-0.00017418164929161595</x:v>
      </x:c>
      <x:c r="I383" s="208" t="n">
        <x:f>G383/G382-1</x:f>
        <x:v>-0.005548080846610515</x:v>
      </x:c>
      <x:c r="J383" s="208" t="n">
        <x:f>'Beta HC3'!$E$13+'Beta HC3'!$E$12*I383</x:f>
        <x:v>-0.00624805927975915</x:v>
      </x:c>
      <x:c r="K383" s="240" t="n">
        <x:f>H383-J383</x:f>
        <x:v>0.006073877630467534</x:v>
      </x:c>
      <x:c r="L383" s="240" t="n">
        <x:f>I383-'Beta HC3'!$E$9</x:f>
        <x:v>-0.006112028464270954</x:v>
      </x:c>
      <x:c r="M383" s="240" t="n">
        <x:f>1/'Beta HC3'!$E$8+L383^2/'Beta HC3'!$E$11</x:f>
        <x:v>0.0010522758017652359</x:v>
      </x:c>
      <x:c r="N383" s="240" t="n">
        <x:f>K383^2/(1-M383)^2</x:f>
        <x:v>0.000036969753287427374</x:v>
      </x:c>
      <x:c r="O383" s="240" t="n">
        <x:f>N383*L383^2/'Beta HC3'!$E$11^2</x:f>
        <x:v>6.458505168148593e-8</x:v>
      </x:c>
      <x:c r="P383" s="240" t="n">
        <x:f>N383*(1/'Beta HC3'!$E$8-'Beta HC3'!$E$9*L383/'Beta HC3'!$E$11)^2</x:f>
        <x:v>2.4881745891964466e-11</x:v>
      </x:c>
      <x:c r="Q383" s="240" t="n">
        <x:f>N383*(1/'Beta HC3'!$E$8-'Beta HC3'!$E$9*L383/'Beta HC3'!$E$11)*L383/'Beta HC3'!$E$11</x:f>
        <x:v>-1.2676706371759681e-9</x:v>
      </x:c>
      <x:c r="R383" s="240" t="n">
        <x:f>K383*L383/'Beta HC3'!$E$11</x:f>
        <x:v>-0.0002538684711054592</x:v>
      </x:c>
      <x:c r="S383" s="240" t="n">
        <x:f>(K383-K382)^2</x:f>
        <x:v>0.00019858310596225626</x:v>
      </x:c>
      <x:c r="T383" s="280" t="n">
        <x:f>E383/$E$9*100</x:f>
        <x:v>98.73786525035632</x:v>
      </x:c>
    </x:row>
    <x:row r="384" ht="24" customHeight="1">
      <x:c r="C384" s="274" t="d">
        <x:v>2023-04-05T00:00:00.000Z</x:v>
      </x:c>
      <x:c r="D384" s="191" t="n">
        <x:v>284.3399963378906</x:v>
      </x:c>
      <x:c r="E384" s="191" t="n">
        <x:v>276.64093017578125</x:v>
      </x:c>
      <x:c r="F384" s="191" t="n">
        <x:v>407.6000061035156</x:v>
      </x:c>
      <x:c r="G384" s="191" t="n">
        <x:v>390.2589111328125</x:v>
      </x:c>
      <x:c r="H384" s="208" t="n">
        <x:f>E384/E383-1</x:f>
        <x:v>-0.009889343162894693</x:v>
      </x:c>
      <x:c r="I384" s="208" t="n">
        <x:f>G384/G383-1</x:f>
        <x:v>-0.002618321072099139</x:v>
      </x:c>
      <x:c r="J384" s="208" t="n">
        <x:f>'Beta HC3'!$E$13+'Beta HC3'!$E$12*I384</x:f>
        <x:v>-0.0029438418279403265</x:v>
      </x:c>
      <x:c r="K384" s="240" t="n">
        <x:f>H384-J384</x:f>
        <x:v>-0.006945501334954366</x:v>
      </x:c>
      <x:c r="L384" s="240" t="n">
        <x:f>I384-'Beta HC3'!$E$9</x:f>
        <x:v>-0.0031822686897595783</x:v>
      </x:c>
      <x:c r="M384" s="240" t="n">
        <x:f>1/'Beta HC3'!$E$8+L384^2/'Beta HC3'!$E$11</x:f>
        <x:v>0.0008660645469205519</x:v>
      </x:c>
      <x:c r="N384" s="240" t="n">
        <x:f>K384^2/(1-M384)^2</x:f>
        <x:v>0.000048323655357200004</x:v>
      </x:c>
      <x:c r="O384" s="240" t="n">
        <x:f>N384*L384^2/'Beta HC3'!$E$11^2</x:f>
        <x:v>2.2884856459282943e-8</x:v>
      </x:c>
      <x:c r="P384" s="240" t="n">
        <x:f>N384*(1/'Beta HC3'!$E$8-'Beta HC3'!$E$9*L384/'Beta HC3'!$E$11)^2</x:f>
        <x:v>3.16335799059366e-11</x:v>
      </x:c>
      <x:c r="Q384" s="240" t="n">
        <x:f>N384*(1/'Beta HC3'!$E$8-'Beta HC3'!$E$9*L384/'Beta HC3'!$E$11)*L384/'Beta HC3'!$E$11</x:f>
        <x:v>-8.508407227211309e-10</x:v>
      </x:c>
      <x:c r="R384" s="240" t="n">
        <x:f>K384*L384/'Beta HC3'!$E$11</x:f>
        <x:v>0.00015114639955617656</x:v>
      </x:c>
      <x:c r="S384" s="240" t="n">
        <x:f>(K384-K383)^2</x:f>
        <x:v>0.00016950422864527023</x:v>
      </x:c>
      <x:c r="T384" s="280" t="n">
        <x:f>E384/$E$9*100</x:f>
        <x:v>97.76141261772389</x:v>
      </x:c>
    </x:row>
    <x:row r="385" ht="24" customHeight="1">
      <x:c r="C385" s="274" t="d">
        <x:v>2023-04-06T00:00:00.000Z</x:v>
      </x:c>
      <x:c r="D385" s="191" t="n">
        <x:v>291.6000061035156</x:v>
      </x:c>
      <x:c r="E385" s="191" t="n">
        <x:v>283.7044372558594</x:v>
      </x:c>
      <x:c r="F385" s="191" t="n">
        <x:v>409.19000244140625</x:v>
      </x:c>
      <x:c r="G385" s="191" t="n">
        <x:v>391.7812805175781</x:v>
      </x:c>
      <x:c r="H385" s="208" t="n">
        <x:f>E385/E384-1</x:f>
        <x:v>0.025533123661743984</x:v>
      </x:c>
      <x:c r="I385" s="208" t="n">
        <x:f>G385/G384-1</x:f>
        <x:v>0.0039009215198868574</x:v>
      </x:c>
      <x:c r="J385" s="208" t="n">
        <x:f>'Beta HC3'!$E$13+'Beta HC3'!$E$12*I385</x:f>
        <x:v>0.0044086364648143455</x:v>
      </x:c>
      <x:c r="K385" s="240" t="n">
        <x:f>H385-J385</x:f>
        <x:v>0.021124487196929637</x:v>
      </x:c>
      <x:c r="L385" s="240" t="n">
        <x:f>I385-'Beta HC3'!$E$9</x:f>
        <x:v>0.003336973902226418</x:v>
      </x:c>
      <x:c r="M385" s="240" t="n">
        <x:f>1/'Beta HC3'!$E$8+L385^2/'Beta HC3'!$E$11</x:f>
        <x:v>0.0008729615345997449</x:v>
      </x:c>
      <x:c r="N385" s="240" t="n">
        <x:f>K385^2/(1-M385)^2</x:f>
        <x:v>0.0004470240883415678</x:v>
      </x:c>
      <x:c r="O385" s="240" t="n">
        <x:f>N385*L385^2/'Beta HC3'!$E$11^2</x:f>
        <x:v>2.3278300449378213e-7</x:v>
      </x:c>
      <x:c r="P385" s="240" t="n">
        <x:f>N385*(1/'Beta HC3'!$E$8-'Beta HC3'!$E$9*L385/'Beta HC3'!$E$11)^2</x:f>
        <x:v>2.7472652531471784e-10</x:v>
      </x:c>
      <x:c r="Q385" s="240" t="n">
        <x:f>N385*(1/'Beta HC3'!$E$8-'Beta HC3'!$E$9*L385/'Beta HC3'!$E$11)*L385/'Beta HC3'!$E$11</x:f>
        <x:v>7.99697855298469e-9</x:v>
      </x:c>
      <x:c r="R385" s="240" t="n">
        <x:f>K385*L385/'Beta HC3'!$E$11</x:f>
        <x:v>0.00048205472787969195</x:v>
      </x:c>
      <x:c r="S385" s="240" t="n">
        <x:f>(K385-K384)^2</x:f>
        <x:v>0.0007879242561800994</x:v>
      </x:c>
      <x:c r="T385" s="280" t="n">
        <x:f>E385/$E$9*100</x:f>
        <x:v>100.25756685543902</x:v>
      </x:c>
    </x:row>
    <x:row r="386" ht="24" customHeight="1">
      <x:c r="C386" s="274" t="d">
        <x:v>2023-04-10T00:00:00.000Z</x:v>
      </x:c>
      <x:c r="D386" s="191" t="n">
        <x:v>289.3900146484375</x:v>
      </x:c>
      <x:c r="E386" s="191" t="n">
        <x:v>281.55426025390625</x:v>
      </x:c>
      <x:c r="F386" s="191" t="n">
        <x:v>409.6099853515625</x:v>
      </x:c>
      <x:c r="G386" s="191" t="n">
        <x:v>392.1833801269531</x:v>
      </x:c>
      <x:c r="H386" s="208" t="n">
        <x:f>E386/E385-1</x:f>
        <x:v>-0.007578933282647249</x:v>
      </x:c>
      <x:c r="I386" s="208" t="n">
        <x:f>G386/G385-1</x:f>
        <x:v>0.0010263369624086138</x:v>
      </x:c>
      <x:c r="J386" s="208" t="n">
        <x:f>'Beta HC3'!$E$13+'Beta HC3'!$E$12*I386</x:f>
        <x:v>0.0011666462701975812</x:v>
      </x:c>
      <x:c r="K386" s="240" t="n">
        <x:f>H386-J386</x:f>
        <x:v>-0.00874557955284483</x:v>
      </x:c>
      <x:c r="L386" s="240" t="n">
        <x:f>I386-'Beta HC3'!$E$9</x:f>
        <x:v>0.00046238934474817446</x:v>
      </x:c>
      <x:c r="M386" s="240" t="n">
        <x:f>1/'Beta HC3'!$E$8+L386^2/'Beta HC3'!$E$11</x:f>
        <x:v>0.0007982748352672067</x:v>
      </x:c>
      <x:c r="N386" s="240" t="n">
        <x:f>K386^2/(1-M386)^2</x:f>
        <x:v>0.00007660742044949631</x:v>
      </x:c>
      <x:c r="O386" s="240" t="n">
        <x:f>N386*L386^2/'Beta HC3'!$E$11^2</x:f>
        <x:v>7.6595136962053e-10</x:v>
      </x:c>
      <x:c r="P386" s="240" t="n">
        <x:f>N386*(1/'Beta HC3'!$E$8-'Beta HC3'!$E$9*L386/'Beta HC3'!$E$11)^2</x:f>
        <x:v>4.8421402270921426e-11</x:v>
      </x:c>
      <x:c r="Q386" s="240" t="n">
        <x:f>N386*(1/'Beta HC3'!$E$8-'Beta HC3'!$E$9*L386/'Beta HC3'!$E$11)*L386/'Beta HC3'!$E$11</x:f>
        <x:v>1.9258359065184894e-10</x:v>
      </x:c>
      <x:c r="R386" s="240" t="n">
        <x:f>K386*L386/'Beta HC3'!$E$11</x:f>
        <x:v>-0.000027653733532936294</x:v>
      </x:c>
      <x:c r="S386" s="240" t="n">
        <x:f>(K386-K385)^2</x:f>
        <x:v>0.0008922208876359821</x:v>
      </x:c>
      <x:c r="T386" s="280" t="n">
        <x:f>E386/$E$9*100</x:f>
        <x:v>99.49772144516112</x:v>
      </x:c>
    </x:row>
    <x:row r="387" ht="24" customHeight="1">
      <x:c r="C387" s="274" t="d">
        <x:v>2023-04-11T00:00:00.000Z</x:v>
      </x:c>
      <x:c r="D387" s="191" t="n">
        <x:v>282.8299865722656</x:v>
      </x:c>
      <x:c r="E387" s="191" t="n">
        <x:v>275.1718444824219</x:v>
      </x:c>
      <x:c r="F387" s="191" t="n">
        <x:v>409.7200012207031</x:v>
      </x:c>
      <x:c r="G387" s="191" t="n">
        <x:v>392.28875732421875</x:v>
      </x:c>
      <x:c r="H387" s="208" t="n">
        <x:f>E387/E386-1</x:f>
        <x:v>-0.022668510736540415</x:v>
      </x:c>
      <x:c r="I387" s="208" t="n">
        <x:f>G387/G386-1</x:f>
        <x:v>0.00026869368414206285</x:v>
      </x:c>
      <x:c r="J387" s="208" t="n">
        <x:f>'Beta HC3'!$E$13+'Beta HC3'!$E$12*I387</x:f>
        <x:v>0.00031216729069862817</x:v>
      </x:c>
      <x:c r="K387" s="240" t="n">
        <x:f>H387-J387</x:f>
        <x:v>-0.022980678027239042</x:v>
      </x:c>
      <x:c r="L387" s="240" t="n">
        <x:f>I387-'Beta HC3'!$E$9</x:f>
        <x:v>-0.0002952539335183765</x:v>
      </x:c>
      <x:c r="M387" s="240" t="n">
        <x:f>1/'Beta HC3'!$E$8+L387^2/'Beta HC3'!$E$11</x:f>
        <x:v>0.0007974088896664114</x:v>
      </x:c>
      <x:c r="N387" s="240" t="n">
        <x:f>K387^2/(1-M387)^2</x:f>
        <x:v>0.0005289548127898251</x:v>
      </x:c>
      <x:c r="O387" s="240" t="n">
        <x:f>N387*L387^2/'Beta HC3'!$E$11^2</x:f>
        <x:v>2.156376946619643e-9</x:v>
      </x:c>
      <x:c r="P387" s="240" t="n">
        <x:f>N387*(1/'Beta HC3'!$E$8-'Beta HC3'!$E$9*L387/'Beta HC3'!$E$11)^2</x:f>
        <x:v>3.367995157886658e-10</x:v>
      </x:c>
      <x:c r="Q387" s="240" t="n">
        <x:f>N387*(1/'Beta HC3'!$E$8-'Beta HC3'!$E$9*L387/'Beta HC3'!$E$11)*L387/'Beta HC3'!$E$11</x:f>
        <x:v>-8.522128322662934e-10</x:v>
      </x:c>
      <x:c r="R387" s="240" t="n">
        <x:f>K387*L387/'Beta HC3'!$E$11</x:f>
        <x:v>0.00004639977682577899</x:v>
      </x:c>
      <x:c r="S387" s="240" t="n">
        <x:f>(K387-K386)^2</x:f>
        <x:v>0.0002026380285757004</x:v>
      </x:c>
      <x:c r="T387" s="280" t="n">
        <x:f>E387/$E$9*100</x:f>
        <x:v>97.24225627832017</x:v>
      </x:c>
    </x:row>
    <x:row r="388" ht="24" customHeight="1">
      <x:c r="C388" s="274" t="d">
        <x:v>2023-04-12T00:00:00.000Z</x:v>
      </x:c>
      <x:c r="D388" s="191" t="n">
        <x:v>283.489990234375</x:v>
      </x:c>
      <x:c r="E388" s="191" t="n">
        <x:v>275.81396484375</x:v>
      </x:c>
      <x:c r="F388" s="191" t="n">
        <x:v>408.04998779296875</x:v>
      </x:c>
      <x:c r="G388" s="191" t="n">
        <x:v>390.6897277832031</x:v>
      </x:c>
      <x:c r="H388" s="208" t="n">
        <x:f>E388/E387-1</x:f>
        <x:v>0.0023335249379743406</x:v>
      </x:c>
      <x:c r="I388" s="208" t="n">
        <x:f>G388/G387-1</x:f>
        <x:v>-0.004076154391786657</x:v>
      </x:c>
      <x:c r="J388" s="208" t="n">
        <x:f>'Beta HC3'!$E$13+'Beta HC3'!$E$12*I388</x:f>
        <x:v>-0.0045880033522611545</x:v>
      </x:c>
      <x:c r="K388" s="240" t="n">
        <x:f>H388-J388</x:f>
        <x:v>0.006921528290235495</x:v>
      </x:c>
      <x:c r="L388" s="240" t="n">
        <x:f>I388-'Beta HC3'!$E$9</x:f>
        <x:v>-0.004640102009447097</x:v>
      </x:c>
      <x:c r="M388" s="240" t="n">
        <x:f>1/'Beta HC3'!$E$8+L388^2/'Beta HC3'!$E$11</x:f>
        <x:v>0.0009440482091846131</x:v>
      </x:c>
      <x:c r="N388" s="240" t="n">
        <x:f>K388^2/(1-M388)^2</x:f>
        <x:v>0.000047998136204350163</x:v>
      </x:c>
      <x:c r="O388" s="240" t="n">
        <x:f>N388*L388^2/'Beta HC3'!$E$11^2</x:f>
        <x:v>4.832748038867384e-8</x:v>
      </x:c>
      <x:c r="P388" s="240" t="n">
        <x:f>N388*(1/'Beta HC3'!$E$8-'Beta HC3'!$E$9*L388/'Beta HC3'!$E$11)^2</x:f>
        <x:v>3.185867535916214e-11</x:v>
      </x:c>
      <x:c r="Q388" s="240" t="n">
        <x:f>N388*(1/'Beta HC3'!$E$8-'Beta HC3'!$E$9*L388/'Beta HC3'!$E$11)*L388/'Beta HC3'!$E$11</x:f>
        <x:v>-1.2408261395655055e-9</x:v>
      </x:c>
      <x:c r="R388" s="240" t="n">
        <x:f>K388*L388/'Beta HC3'!$E$11</x:f>
        <x:v>-0.00021962758596496838</x:v>
      </x:c>
      <x:c r="S388" s="240" t="n">
        <x:f>(K388-K387)^2</x:f>
        <x:v>0.0008941419426528141</x:v>
      </x:c>
      <x:c r="T388" s="280" t="n">
        <x:f>E388/$E$9*100</x:f>
        <x:v>97.46917350837052</x:v>
      </x:c>
    </x:row>
    <x:row r="389" ht="24" customHeight="1">
      <x:c r="C389" s="274" t="d">
        <x:v>2023-04-13T00:00:00.000Z</x:v>
      </x:c>
      <x:c r="D389" s="191" t="n">
        <x:v>289.8399963378906</x:v>
      </x:c>
      <x:c r="E389" s="191" t="n">
        <x:v>281.9920654296875</x:v>
      </x:c>
      <x:c r="F389" s="191" t="n">
        <x:v>413.4700012207031</x:v>
      </x:c>
      <x:c r="G389" s="191" t="n">
        <x:v>395.8791809082031</x:v>
      </x:c>
      <x:c r="H389" s="208" t="n">
        <x:f>E389/E388-1</x:f>
        <x:v>0.02239952059511352</x:v>
      </x:c>
      <x:c r="I389" s="208" t="n">
        <x:f>G389/G388-1</x:f>
        <x:v>0.01328279899869722</x:v>
      </x:c>
      <x:c r="J389" s="208" t="n">
        <x:f>'Beta HC3'!$E$13+'Beta HC3'!$E$12*I389</x:f>
        <x:v>0.014989627973403585</x:v>
      </x:c>
      <x:c r="K389" s="240" t="n">
        <x:f>H389-J389</x:f>
        <x:v>0.007409892621709935</x:v>
      </x:c>
      <x:c r="L389" s="240" t="n">
        <x:f>I389-'Beta HC3'!$E$9</x:f>
        <x:v>0.012718851381036782</x:v>
      </x:c>
      <x:c r="M389" s="240" t="n">
        <x:f>1/'Beta HC3'!$E$8+L389^2/'Beta HC3'!$E$11</x:f>
        <x:v>0.0019030624000360987</x:v>
      </x:c>
      <x:c r="N389" s="240" t="n">
        <x:f>K389^2/(1-M389)^2</x:f>
        <x:v>0.000055116087762802036</x:v>
      </x:c>
      <x:c r="O389" s="240" t="n">
        <x:f>N389*L389^2/'Beta HC3'!$E$11^2</x:f>
        <x:v>4.169547167662883e-7</x:v>
      </x:c>
      <x:c r="P389" s="240" t="n">
        <x:f>N389*(1/'Beta HC3'!$E$8-'Beta HC3'!$E$9*L389/'Beta HC3'!$E$11)^2</x:f>
        <x:v>3.081806582646551e-11</x:v>
      </x:c>
      <x:c r="Q389" s="240" t="n">
        <x:f>N389*(1/'Beta HC3'!$E$8-'Beta HC3'!$E$9*L389/'Beta HC3'!$E$11)*L389/'Beta HC3'!$E$11</x:f>
        <x:v>3.5846531084553718e-9</x:v>
      </x:c>
      <x:c r="R389" s="240" t="n">
        <x:f>K389*L389/'Beta HC3'!$E$11</x:f>
        <x:v>0.0006444914624266849</x:v>
      </x:c>
      <x:c r="S389" s="240" t="n">
        <x:f>(K389-K388)^2</x:f>
        <x:v>2.3849972025647646e-7</x:v>
      </x:c>
      <x:c r="T389" s="280" t="n">
        <x:f>E389/$E$9*100</x:f>
        <x:v>99.65243626775995</x:v>
      </x:c>
    </x:row>
    <x:row r="390" ht="24" customHeight="1">
      <x:c r="C390" s="274" t="d">
        <x:v>2023-04-14T00:00:00.000Z</x:v>
      </x:c>
      <x:c r="D390" s="191" t="n">
        <x:v>286.1400146484375</x:v>
      </x:c>
      <x:c r="E390" s="191" t="n">
        <x:v>278.3922119140625</x:v>
      </x:c>
      <x:c r="F390" s="191" t="n">
        <x:v>412.4599914550781</x:v>
      </x:c>
      <x:c r="G390" s="191" t="n">
        <x:v>394.912109375</x:v>
      </x:c>
      <x:c r="H390" s="208" t="n">
        <x:f>E390/E389-1</x:f>
        <x:v>-0.012765797187022643</x:v>
      </x:c>
      <x:c r="I390" s="208" t="n">
        <x:f>G390/G389-1</x:f>
        <x:v>-0.0024428451402382922</x:v>
      </x:c>
      <x:c r="J390" s="208" t="n">
        <x:f>'Beta HC3'!$E$13+'Beta HC3'!$E$12*I390</x:f>
        <x:v>-0.0027459380129336913</x:v>
      </x:c>
      <x:c r="K390" s="240" t="n">
        <x:f>H390-J390</x:f>
        <x:v>-0.01001985917408895</x:v>
      </x:c>
      <x:c r="L390" s="240" t="n">
        <x:f>I390-'Beta HC3'!$E$9</x:f>
        <x:v>-0.0030067927578987315</x:v>
      </x:c>
      <x:c r="M390" s="240" t="n">
        <x:f>1/'Beta HC3'!$E$8+L390^2/'Beta HC3'!$E$11</x:f>
        <x:v>0.0008586377813847071</x:v>
      </x:c>
      <x:c r="N390" s="240" t="n">
        <x:f>K390^2/(1-M390)^2</x:f>
        <x:v>0.00010057021048710991</x:v>
      </x:c>
      <x:c r="O390" s="240" t="n">
        <x:f>N390*L390^2/'Beta HC3'!$E$11^2</x:f>
        <x:v>4.251978628491932e-8</x:v>
      </x:c>
      <x:c r="P390" s="240" t="n">
        <x:f>N390*(1/'Beta HC3'!$E$8-'Beta HC3'!$E$9*L390/'Beta HC3'!$E$11)^2</x:f>
        <x:v>6.57250799217048e-11</x:v>
      </x:c>
      <x:c r="Q390" s="240" t="n">
        <x:f>N390*(1/'Beta HC3'!$E$8-'Beta HC3'!$E$9*L390/'Beta HC3'!$E$11)*L390/'Beta HC3'!$E$11</x:f>
        <x:v>-1.671710606483709e-9</x:v>
      </x:c>
      <x:c r="R390" s="240" t="n">
        <x:f>K390*L390/'Beta HC3'!$E$11</x:f>
        <x:v>0.00020602621057303936</x:v>
      </x:c>
      <x:c r="S390" s="240" t="n">
        <x:f>(K390-K389)^2</x:f>
        <x:v>0.0003037962476631545</x:v>
      </x:c>
      <x:c r="T390" s="280" t="n">
        <x:f>E390/$E$9*100</x:f>
        <x:v>98.38029347717304</x:v>
      </x:c>
    </x:row>
    <x:row r="391" ht="24" customHeight="1">
      <x:c r="C391" s="274" t="d">
        <x:v>2023-04-17T00:00:00.000Z</x:v>
      </x:c>
      <x:c r="D391" s="191" t="n">
        <x:v>288.79998779296875</x:v>
      </x:c>
      <x:c r="E391" s="191" t="n">
        <x:v>280.9801330566406</x:v>
      </x:c>
      <x:c r="F391" s="191" t="n">
        <x:v>413.94000244140625</x:v>
      </x:c>
      <x:c r="G391" s="191" t="n">
        <x:v>396.3291931152344</x:v>
      </x:c>
      <x:c r="H391" s="208" t="n">
        <x:f>E391/E390-1</x:f>
        <x:v>0.009295953808424073</x:v>
      </x:c>
      <x:c r="I391" s="208" t="n">
        <x:f>G391/G390-1</x:f>
        <x:v>0.0035883522095008225</x:v>
      </x:c>
      <x:c r="J391" s="208" t="n">
        <x:f>'Beta HC3'!$E$13+'Beta HC3'!$E$12*I391</x:f>
        <x:v>0.0040561171288381525</x:v>
      </x:c>
      <x:c r="K391" s="240" t="n">
        <x:f>H391-J391</x:f>
        <x:v>0.005239836679585921</x:v>
      </x:c>
      <x:c r="L391" s="240" t="n">
        <x:f>I391-'Beta HC3'!$E$9</x:f>
        <x:v>0.003024404591840383</x:v>
      </x:c>
      <x:c r="M391" s="240" t="n">
        <x:f>1/'Beta HC3'!$E$8+L391^2/'Beta HC3'!$E$11</x:f>
        <x:v>0.0008593641640690011</x:v>
      </x:c>
      <x:c r="N391" s="240" t="n">
        <x:f>K391^2/(1-M391)^2</x:f>
        <x:v>0.000027503138540802874</x:v>
      </x:c>
      <x:c r="O391" s="240" t="n">
        <x:f>N391*L391^2/'Beta HC3'!$E$11^2</x:f>
        <x:v>1.1764588926572727e-8</x:v>
      </x:c>
      <x:c r="P391" s="240" t="n">
        <x:f>N391*(1/'Beta HC3'!$E$8-'Beta HC3'!$E$9*L391/'Beta HC3'!$E$11)^2</x:f>
        <x:v>1.6954558459490812e-11</x:v>
      </x:c>
      <x:c r="Q391" s="240" t="n">
        <x:f>N391*(1/'Beta HC3'!$E$8-'Beta HC3'!$E$9*L391/'Beta HC3'!$E$11)*L391/'Beta HC3'!$E$11</x:f>
        <x:v>4.4661326750048033e-10</x:v>
      </x:c>
      <x:c r="R391" s="240" t="n">
        <x:f>K391*L391/'Beta HC3'!$E$11</x:f>
        <x:v>0.00010837147910102664</x:v>
      </x:c>
      <x:c r="S391" s="240" t="n">
        <x:f>(K391-K390)^2</x:f>
        <x:v>0.00023285831754666205</x:v>
      </x:c>
      <x:c r="T391" s="280" t="n">
        <x:f>E391/$E$9*100</x:f>
        <x:v>99.29483214099604</x:v>
      </x:c>
    </x:row>
    <x:row r="392" ht="24" customHeight="1">
      <x:c r="C392" s="274" t="d">
        <x:v>2023-04-18T00:00:00.000Z</x:v>
      </x:c>
      <x:c r="D392" s="191" t="n">
        <x:v>288.3699951171875</x:v>
      </x:c>
      <x:c r="E392" s="191" t="n">
        <x:v>280.5618591308594</x:v>
      </x:c>
      <x:c r="F392" s="191" t="n">
        <x:v>414.2099914550781</x:v>
      </x:c>
      <x:c r="G392" s="191" t="n">
        <x:v>396.5876770019531</x:v>
      </x:c>
      <x:c r="H392" s="208" t="n">
        <x:f>E392/E391-1</x:f>
        <x:v>-0.0014886245558753952</x:v>
      </x:c>
      <x:c r="I392" s="208" t="n">
        <x:f>G392/G391-1</x:f>
        <x:v>0.0006521949208107003</x:v>
      </x:c>
      <x:c r="J392" s="208" t="n">
        <x:f>'Beta HC3'!$E$13+'Beta HC3'!$E$12*I392</x:f>
        <x:v>0.0007446844854594004</x:v>
      </x:c>
      <x:c r="K392" s="240" t="n">
        <x:f>H392-J392</x:f>
        <x:v>-0.0022333090413347956</x:v>
      </x:c>
      <x:c r="L392" s="240" t="n">
        <x:f>I392-'Beta HC3'!$E$9</x:f>
        <x:v>0.00008824730315026093</x:v>
      </x:c>
      <x:c r="M392" s="240" t="n">
        <x:f>1/'Beta HC3'!$E$8+L392^2/'Beta HC3'!$E$11</x:f>
        <x:v>0.000796866003986414</x:v>
      </x:c>
      <x:c r="N392" s="240" t="n">
        <x:f>K392^2/(1-M392)^2</x:f>
        <x:v>0.0000049956277938218655</x:v>
      </x:c>
      <x:c r="O392" s="240" t="n">
        <x:f>N392*L392^2/'Beta HC3'!$E$11^2</x:f>
        <x:v>1.8193140788658373e-12</x:v>
      </x:c>
      <x:c r="P392" s="240" t="n">
        <x:f>N392*(1/'Beta HC3'!$E$8-'Beta HC3'!$E$9*L392/'Beta HC3'!$E$11)^2</x:f>
        <x:v>3.1690679987189565e-12</x:v>
      </x:c>
      <x:c r="Q392" s="240" t="n">
        <x:f>N392*(1/'Beta HC3'!$E$8-'Beta HC3'!$E$9*L392/'Beta HC3'!$E$11)*L392/'Beta HC3'!$E$11</x:f>
        <x:v>2.4011518125584188e-12</x:v>
      </x:c>
      <x:c r="R392" s="240" t="n">
        <x:f>K392*L392/'Beta HC3'!$E$11</x:f>
        <x:v>-0.0000013477446846646868</x:v>
      </x:c>
      <x:c r="S392" s="240" t="n">
        <x:f>(K392-K391)^2</x:f>
        <x:v>0.00005584790696611561</x:v>
      </x:c>
      <x:c r="T392" s="280" t="n">
        <x:f>E392/$E$9*100</x:f>
        <x:v>99.14701941559943</x:v>
      </x:c>
    </x:row>
    <x:row r="393" ht="24" customHeight="1">
      <x:c r="C393" s="274" t="d">
        <x:v>2023-04-19T00:00:00.000Z</x:v>
      </x:c>
      <x:c r="D393" s="191" t="n">
        <x:v>288.45001220703125</x:v>
      </x:c>
      <x:c r="E393" s="191" t="n">
        <x:v>280.63970947265625</x:v>
      </x:c>
      <x:c r="F393" s="191" t="n">
        <x:v>414.1400146484375</x:v>
      </x:c>
      <x:c r="G393" s="191" t="n">
        <x:v>396.5206298828125</x:v>
      </x:c>
      <x:c r="H393" s="208" t="n">
        <x:f>E393/E392-1</x:f>
        <x:v>0.00027748013232464785</x:v>
      </x:c>
      <x:c r="I393" s="208" t="n">
        <x:f>G393/G392-1</x:f>
        <x:v>-0.0001690600163057887</x:v>
      </x:c>
      <x:c r="J393" s="208" t="n">
        <x:f>'Beta HC3'!$E$13+'Beta HC3'!$E$12*I393</x:f>
        <x:v>-0.00018153646931674594</x:v>
      </x:c>
      <x:c r="K393" s="240" t="n">
        <x:f>H393-J393</x:f>
        <x:v>0.0004590166016413938</x:v>
      </x:c>
      <x:c r="L393" s="240" t="n">
        <x:f>I393-'Beta HC3'!$E$9</x:f>
        <x:v>-0.0007330076339662281</x:v>
      </x:c>
      <x:c r="M393" s="240" t="n">
        <x:f>1/'Beta HC3'!$E$8+L393^2/'Beta HC3'!$E$11</x:f>
        <x:v>0.000800487046837663</x:v>
      </x:c>
      <x:c r="N393" s="240" t="n">
        <x:f>K393^2/(1-M393)^2</x:f>
        <x:v>2.1103396526745146e-7</x:v>
      </x:c>
      <x:c r="O393" s="240" t="n">
        <x:f>N393*L393^2/'Beta HC3'!$E$11^2</x:f>
        <x:v>5.302541515160091e-12</x:v>
      </x:c>
      <x:c r="P393" s="240" t="n">
        <x:f>N393*(1/'Beta HC3'!$E$8-'Beta HC3'!$E$9*L393/'Beta HC3'!$E$11)^2</x:f>
        <x:v>1.3494007830866237e-13</x:v>
      </x:c>
      <x:c r="Q393" s="240" t="n">
        <x:f>N393*(1/'Beta HC3'!$E$8-'Beta HC3'!$E$9*L393/'Beta HC3'!$E$11)*L393/'Beta HC3'!$E$11</x:f>
        <x:v>-8.458873254107996e-13</x:v>
      </x:c>
      <x:c r="R393" s="240" t="n">
        <x:f>K393*L393/'Beta HC3'!$E$11</x:f>
        <x:v>-0.000002300881500930382</x:v>
      </x:c>
      <x:c r="S393" s="240" t="n">
        <x:f>(K393-K392)^2</x:f>
        <x:v>0.000007248617367827152</x:v>
      </x:c>
      <x:c r="T393" s="280" t="n">
        <x:f>E393/$E$9*100</x:f>
        <x:v>99.17453074366647</x:v>
      </x:c>
    </x:row>
    <x:row r="394" ht="24" customHeight="1">
      <x:c r="C394" s="274" t="d">
        <x:v>2023-04-20T00:00:00.000Z</x:v>
      </x:c>
      <x:c r="D394" s="191" t="n">
        <x:v>286.1099853515625</x:v>
      </x:c>
      <x:c r="E394" s="191" t="n">
        <x:v>278.3630065917969</x:v>
      </x:c>
      <x:c r="F394" s="191" t="n">
        <x:v>411.8800048828125</x:v>
      </x:c>
      <x:c r="G394" s="191" t="n">
        <x:v>394.3568115234375</x:v>
      </x:c>
      <x:c r="H394" s="208" t="n">
        <x:f>E394/E393-1</x:f>
        <x:v>-0.008112547169954909</x:v>
      </x:c>
      <x:c r="I394" s="208" t="n">
        <x:f>G394/G393-1</x:f>
        <x:v>-0.00545701332113413</x:v>
      </x:c>
      <x:c r="J394" s="208" t="n">
        <x:f>'Beta HC3'!$E$13+'Beta HC3'!$E$12*I394</x:f>
        <x:v>-0.006145352255930478</x:v>
      </x:c>
      <x:c r="K394" s="240" t="n">
        <x:f>H394-J394</x:f>
        <x:v>-0.001967194914024431</x:v>
      </x:c>
      <x:c r="L394" s="240" t="n">
        <x:f>I394-'Beta HC3'!$E$9</x:f>
        <x:v>-0.0060209609387945695</x:v>
      </x:c>
      <x:c r="M394" s="240" t="n">
        <x:f>1/'Beta HC3'!$E$8+L394^2/'Beta HC3'!$E$11</x:f>
        <x:v>0.00104471985802502</x:v>
      </x:c>
      <x:c r="N394" s="240" t="n">
        <x:f>K394^2/(1-M394)^2</x:f>
        <x:v>0.000003877954349044639</x:v>
      </x:c>
      <x:c r="O394" s="240" t="n">
        <x:f>N394*L394^2/'Beta HC3'!$E$11^2</x:f>
        <x:v>6.574292681107328e-9</x:v>
      </x:c>
      <x:c r="P394" s="240" t="n">
        <x:f>N394*(1/'Beta HC3'!$E$8-'Beta HC3'!$E$9*L394/'Beta HC3'!$E$11)^2</x:f>
        <x:v>2.607744692545736e-12</x:v>
      </x:c>
      <x:c r="Q394" s="240" t="n">
        <x:f>N394*(1/'Beta HC3'!$E$8-'Beta HC3'!$E$9*L394/'Beta HC3'!$E$11)*L394/'Beta HC3'!$E$11</x:f>
        <x:v>-1.3093539187858994e-10</x:v>
      </x:c>
      <x:c r="R394" s="240" t="n">
        <x:f>K394*L394/'Beta HC3'!$E$11</x:f>
        <x:v>0.00008099730408055406</x:v>
      </x:c>
      <x:c r="S394" s="240" t="n">
        <x:f>(K394-K393)^2</x:f>
        <x:v>0.0000058865023187494594</x:v>
      </x:c>
      <x:c r="T394" s="280" t="n">
        <x:f>E394/$E$9*100</x:f>
        <x:v>98.36997268495033</x:v>
      </x:c>
    </x:row>
    <x:row r="395" ht="24" customHeight="1">
      <x:c r="C395" s="274" t="d">
        <x:v>2023-04-21T00:00:00.000Z</x:v>
      </x:c>
      <x:c r="D395" s="191" t="n">
        <x:v>285.760009765625</x:v>
      </x:c>
      <x:c r="E395" s="191" t="n">
        <x:v>278.02252197265625</x:v>
      </x:c>
      <x:c r="F395" s="191" t="n">
        <x:v>412.20001220703125</x:v>
      </x:c>
      <x:c r="G395" s="191" t="n">
        <x:v>394.6632385253906</x:v>
      </x:c>
      <x:c r="H395" s="208" t="n">
        <x:f>E395/E394-1</x:f>
        <x:v>-0.0012231676303163797</x:v>
      </x:c>
      <x:c r="I395" s="208" t="n">
        <x:f>G395/G394-1</x:f>
        <x:v>0.0007770298191867031</x:v>
      </x:c>
      <x:c r="J395" s="208" t="n">
        <x:f>'Beta HC3'!$E$13+'Beta HC3'!$E$12*I395</x:f>
        <x:v>0.0008854747486743466</x:v>
      </x:c>
      <x:c r="K395" s="240" t="n">
        <x:f>H395-J395</x:f>
        <x:v>-0.0021086423789907264</x:v>
      </x:c>
      <x:c r="L395" s="240" t="n">
        <x:f>I395-'Beta HC3'!$E$9</x:f>
        <x:v>0.00021308220152626374</x:v>
      </x:c>
      <x:c r="M395" s="240" t="n">
        <x:f>1/'Beta HC3'!$E$8+L395^2/'Beta HC3'!$E$11</x:f>
        <x:v>0.0007971232419312316</x:v>
      </x:c>
      <x:c r="N395" s="240" t="n">
        <x:f>K395^2/(1-M395)^2</x:f>
        <x:v>0.000004453469781256399</x:v>
      </x:c>
      <x:c r="O395" s="240" t="n">
        <x:f>N395*L395^2/'Beta HC3'!$E$11^2</x:f>
        <x:v>9.456002600584981e-12</x:v>
      </x:c>
      <x:c r="P395" s="240" t="n">
        <x:f>N395*(1/'Beta HC3'!$E$8-'Beta HC3'!$E$9*L395/'Beta HC3'!$E$11)^2</x:f>
        <x:v>2.8217258447416883e-12</x:v>
      </x:c>
      <x:c r="Q395" s="240" t="n">
        <x:f>N395*(1/'Beta HC3'!$E$8-'Beta HC3'!$E$9*L395/'Beta HC3'!$E$11)*L395/'Beta HC3'!$E$11</x:f>
        <x:v>5.165486126785673e-12</x:v>
      </x:c>
      <x:c r="R395" s="240" t="n">
        <x:f>K395*L395/'Beta HC3'!$E$11</x:f>
        <x:v>-0.000003072610194945547</x:v>
      </x:c>
      <x:c r="S395" s="240" t="n">
        <x:f>(K395-K394)^2</x:f>
        <x:v>2.0007385345391348e-8</x:v>
      </x:c>
      <x:c r="T395" s="280" t="n">
        <x:f>E395/$E$9*100</x:f>
        <x:v>98.24964971856699</x:v>
      </x:c>
    </x:row>
    <x:row r="396" ht="24" customHeight="1">
      <x:c r="C396" s="274" t="d">
        <x:v>2023-04-24T00:00:00.000Z</x:v>
      </x:c>
      <x:c r="D396" s="191" t="n">
        <x:v>281.7699890136719</x:v>
      </x:c>
      <x:c r="E396" s="191" t="n">
        <x:v>274.1405944824219</x:v>
      </x:c>
      <x:c r="F396" s="191" t="n">
        <x:v>412.6300048828125</x:v>
      </x:c>
      <x:c r="G396" s="191" t="n">
        <x:v>395.07489013671875</x:v>
      </x:c>
      <x:c r="H396" s="208" t="n">
        <x:f>E396/E395-1</x:f>
        <x:v>-0.013962636777376525</x:v>
      </x:c>
      <x:c r="I396" s="208" t="n">
        <x:f>G396/G395-1</x:f>
        <x:v>0.001043045237418605</x:v>
      </x:c>
      <x:c r="J396" s="208" t="n">
        <x:f>'Beta HC3'!$E$13+'Beta HC3'!$E$12*I396</x:f>
        <x:v>0.0011854900588105944</x:v>
      </x:c>
      <x:c r="K396" s="240" t="n">
        <x:f>H396-J396</x:f>
        <x:v>-0.01514812683618712</x:v>
      </x:c>
      <x:c r="L396" s="240" t="n">
        <x:f>I396-'Beta HC3'!$E$9</x:f>
        <x:v>0.00047909761975816563</x:v>
      </x:c>
      <x:c r="M396" s="240" t="n">
        <x:f>1/'Beta HC3'!$E$8+L396^2/'Beta HC3'!$E$11</x:f>
        <x:v>0.0007983824082689969</x:v>
      </x:c>
      <x:c r="N396" s="240" t="n">
        <x:f>K396^2/(1-M396)^2</x:f>
        <x:v>0.00022983258873798536</x:v>
      </x:c>
      <x:c r="O396" s="240" t="n">
        <x:f>N396*L396^2/'Beta HC3'!$E$11^2</x:f>
        <x:v>2.4670295872321295e-9</x:v>
      </x:c>
      <x:c r="P396" s="240" t="n">
        <x:f>N396*(1/'Beta HC3'!$E$8-'Beta HC3'!$E$9*L396/'Beta HC3'!$E$11)^2</x:f>
        <x:v>1.452471874972283e-10</x:v>
      </x:c>
      <x:c r="Q396" s="240" t="n">
        <x:f>N396*(1/'Beta HC3'!$E$8-'Beta HC3'!$E$9*L396/'Beta HC3'!$E$11)*L396/'Beta HC3'!$E$11</x:f>
        <x:v>5.986059714185241e-10</x:v>
      </x:c>
      <x:c r="R396" s="240" t="n">
        <x:f>K396*L396/'Beta HC3'!$E$11</x:f>
        <x:v>-0.000049629546579696205</x:v>
      </x:c>
      <x:c r="S396" s="240" t="n">
        <x:f>(K396-K395)^2</x:f>
        <x:v>0.0001700281549094663</x:v>
      </x:c>
      <x:c r="T396" s="280" t="n">
        <x:f>E396/$E$9*100</x:f>
        <x:v>96.87782554604216</x:v>
      </x:c>
    </x:row>
    <x:row r="397" ht="24" customHeight="1">
      <x:c r="C397" s="274" t="d">
        <x:v>2023-04-25T00:00:00.000Z</x:v>
      </x:c>
      <x:c r="D397" s="191" t="n">
        <x:v>275.4200134277344</x:v>
      </x:c>
      <x:c r="E397" s="191" t="n">
        <x:v>267.9624938964844</x:v>
      </x:c>
      <x:c r="F397" s="191" t="n">
        <x:v>406.0799865722656</x:v>
      </x:c>
      <x:c r="G397" s="191" t="n">
        <x:v>388.8035888671875</x:v>
      </x:c>
      <x:c r="H397" s="208" t="n">
        <x:f>E397/E396-1</x:f>
        <x:v>-0.022536248590259933</x:v>
      </x:c>
      <x:c r="I397" s="208" t="n">
        <x:f>G397/G396-1</x:f>
        <x:v>-0.015873702495648345</x:v>
      </x:c>
      <x:c r="J397" s="208" t="n">
        <x:f>'Beta HC3'!$E$13+'Beta HC3'!$E$12*I397</x:f>
        <x:v>-0.01789341653752929</x:v>
      </x:c>
      <x:c r="K397" s="240" t="n">
        <x:f>H397-J397</x:f>
        <x:v>-0.004642832052730642</x:v>
      </x:c>
      <x:c r="L397" s="240" t="n">
        <x:f>I397-'Beta HC3'!$E$9</x:f>
        <x:v>-0.016437650113308784</x:v>
      </x:c>
      <x:c r="M397" s="240" t="n">
        <x:f>1/'Beta HC3'!$E$8+L397^2/'Beta HC3'!$E$11</x:f>
        <x:v>0.0026445355808711653</x:v>
      </x:c>
      <x:c r="N397" s="240" t="n">
        <x:f>K397^2/(1-M397)^2</x:f>
        <x:v>0.000021670353960959173</x:v>
      </x:c>
      <x:c r="O397" s="240" t="n">
        <x:f>N397*L397^2/'Beta HC3'!$E$11^2</x:f>
        <x:v>2.7381686374899926e-7</x:v>
      </x:c>
      <x:c r="P397" s="240" t="n">
        <x:f>N397*(1/'Beta HC3'!$E$8-'Beta HC3'!$E$9*L397/'Beta HC3'!$E$11)^2</x:f>
        <x:v>1.603503395998319e-11</x:v>
      </x:c>
      <x:c r="Q397" s="240" t="n">
        <x:f>N397*(1/'Beta HC3'!$E$8-'Beta HC3'!$E$9*L397/'Beta HC3'!$E$11)*L397/'Beta HC3'!$E$11</x:f>
        <x:v>-2.0953908248895466e-9</x:v>
      </x:c>
      <x:c r="R397" s="240" t="n">
        <x:f>K397*L397/'Beta HC3'!$E$11</x:f>
        <x:v>0.0005218913122751921</x:v>
      </x:c>
      <x:c r="S397" s="240" t="n">
        <x:f>(K397-K396)^2</x:f>
        <x:v>0.00011036121848731786</x:v>
      </x:c>
      <x:c r="T397" s="280" t="n">
        <x:f>E397/$E$9*100</x:f>
        <x:v>94.69456278665272</x:v>
      </x:c>
    </x:row>
    <x:row r="398" ht="24" customHeight="1">
      <x:c r="C398" s="274" t="d">
        <x:v>2023-04-26T00:00:00.000Z</x:v>
      </x:c>
      <x:c r="D398" s="191" t="n">
        <x:v>295.3699951171875</x:v>
      </x:c>
      <x:c r="E398" s="191" t="n">
        <x:v>287.37225341796875</x:v>
      </x:c>
      <x:c r="F398" s="191" t="n">
        <x:v>404.3599853515625</x:v>
      </x:c>
      <x:c r="G398" s="191" t="n">
        <x:v>387.1567687988281</x:v>
      </x:c>
      <x:c r="H398" s="208" t="n">
        <x:f>E398/E397-1</x:f>
        <x:v>0.07243461291632292</x:v>
      </x:c>
      <x:c r="I398" s="208" t="n">
        <x:f>G398/G397-1</x:f>
        <x:v>-0.004235609226647119</x:v>
      </x:c>
      <x:c r="J398" s="208" t="n">
        <x:f>'Beta HC3'!$E$13+'Beta HC3'!$E$12*I398</x:f>
        <x:v>-0.004767838386077433</x:v>
      </x:c>
      <x:c r="K398" s="240" t="n">
        <x:f>H398-J398</x:f>
        <x:v>0.07720245130240035</x:v>
      </x:c>
      <x:c r="L398" s="240" t="n">
        <x:f>I398-'Beta HC3'!$E$9</x:f>
        <x:v>-0.004799556844307559</x:v>
      </x:c>
      <x:c r="M398" s="240" t="n">
        <x:f>1/'Beta HC3'!$E$8+L398^2/'Beta HC3'!$E$11</x:f>
        <x:v>0.0009543414314991225</x:v>
      </x:c>
      <x:c r="N398" s="240" t="n">
        <x:f>K398^2/(1-M398)^2</x:f>
        <x:v>0.005971610959853471</x:v>
      </x:c>
      <x:c r="O398" s="240" t="n">
        <x:f>N398*L398^2/'Beta HC3'!$E$11^2</x:f>
        <x:v>0.000006432925303958354</x:v>
      </x:c>
      <x:c r="P398" s="240" t="n">
        <x:f>N398*(1/'Beta HC3'!$E$8-'Beta HC3'!$E$9*L398/'Beta HC3'!$E$11)^2</x:f>
        <x:v>3.969631664211588e-9</x:v>
      </x:c>
      <x:c r="Q398" s="240" t="n">
        <x:f>N398*(1/'Beta HC3'!$E$8-'Beta HC3'!$E$9*L398/'Beta HC3'!$E$11)*L398/'Beta HC3'!$E$11</x:f>
        <x:v>-1.5980095112389363e-7</x:v>
      </x:c>
      <x:c r="R398" s="240" t="n">
        <x:f>K398*L398/'Beta HC3'!$E$11</x:f>
        <x:v>-0.0025339006982459823</x:v>
      </x:c>
      <x:c r="S398" s="240" t="n">
        <x:f>(K398-K397)^2</x:f>
        <x:v>0.006698650407481681</x:v>
      </x:c>
      <x:c r="T398" s="280" t="n">
        <x:f>E398/$E$9*100</x:f>
        <x:v>101.55372678738435</x:v>
      </x:c>
    </x:row>
    <x:row r="399" ht="24" customHeight="1">
      <x:c r="C399" s="274" t="d">
        <x:v>2023-04-27T00:00:00.000Z</x:v>
      </x:c>
      <x:c r="D399" s="191" t="n">
        <x:v>304.8299865722656</x:v>
      </x:c>
      <x:c r="E399" s="191" t="n">
        <x:v>296.5761413574219</x:v>
      </x:c>
      <x:c r="F399" s="191" t="n">
        <x:v>412.4100036621094</x:v>
      </x:c>
      <x:c r="G399" s="191" t="n">
        <x:v>394.86431884765625</x:v>
      </x:c>
      <x:c r="H399" s="208" t="n">
        <x:f>E399/E398-1</x:f>
        <x:v>0.032027754349918114</x:v>
      </x:c>
      <x:c r="I399" s="208" t="n">
        <x:f>G399/G398-1</x:f>
        <x:v>0.019908085483668847</x:v>
      </x:c>
      <x:c r="J399" s="208" t="n">
        <x:f>'Beta HC3'!$E$13+'Beta HC3'!$E$12*I399</x:f>
        <x:v>0.02246170381299821</x:v>
      </x:c>
      <x:c r="K399" s="240" t="n">
        <x:f>H399-J399</x:f>
        <x:v>0.009566050536919904</x:v>
      </x:c>
      <x:c r="L399" s="240" t="n">
        <x:f>I399-'Beta HC3'!$E$9</x:f>
        <x:v>0.019344137866008408</x:v>
      </x:c>
      <x:c r="M399" s="240" t="n">
        <x:f>1/'Beta HC3'!$E$8+L399^2/'Beta HC3'!$E$11</x:f>
        <x:v>0.0033557292740921743</x:v>
      </x:c>
      <x:c r="N399" s="240" t="n">
        <x:f>K399^2/(1-M399)^2</x:f>
        <x:v>0.00009212658922965054</x:v>
      </x:c>
      <x:c r="O399" s="240" t="n">
        <x:f>N399*L399^2/'Beta HC3'!$E$11^2</x:f>
        <x:v>0.0000016121241098756168</x:v>
      </x:c>
      <x:c r="P399" s="240" t="n">
        <x:f>N399*(1/'Beta HC3'!$E$8-'Beta HC3'!$E$9*L399/'Beta HC3'!$E$11)^2</x:f>
        <x:v>4.8052270609356114e-11</x:v>
      </x:c>
      <x:c r="Q399" s="240" t="n">
        <x:f>N399*(1/'Beta HC3'!$E$8-'Beta HC3'!$E$9*L399/'Beta HC3'!$E$11)*L399/'Beta HC3'!$E$11</x:f>
        <x:v>8.801489872948244e-9</x:v>
      </x:c>
      <x:c r="R399" s="240" t="n">
        <x:f>K399*L399/'Beta HC3'!$E$11</x:f>
        <x:v>0.0012654337437166018</x:v>
      </x:c>
      <x:c r="S399" s="240" t="n">
        <x:f>(K399-K398)^2</x:f>
        <x:v>0.004574682708508683</x:v>
      </x:c>
      <x:c r="T399" s="280" t="n">
        <x:f>E399/$E$9*100</x:f>
        <x:v>104.8062646022494</x:v>
      </x:c>
    </x:row>
    <x:row r="400" ht="24" customHeight="1">
      <x:c r="C400" s="274" t="d">
        <x:v>2023-04-28T00:00:00.000Z</x:v>
      </x:c>
      <x:c r="D400" s="191" t="n">
        <x:v>307.260009765625</x:v>
      </x:c>
      <x:c r="E400" s="191" t="n">
        <x:v>298.94036865234375</x:v>
      </x:c>
      <x:c r="F400" s="191" t="n">
        <x:v>415.92999267578125</x:v>
      </x:c>
      <x:c r="G400" s="191" t="n">
        <x:v>398.2344970703125</x:v>
      </x:c>
      <x:c r="H400" s="208" t="n">
        <x:f>E400/E399-1</x:f>
        <x:v>0.007971737996525396</x:v>
      </x:c>
      <x:c r="I400" s="208" t="n">
        <x:f>G400/G399-1</x:f>
        <x:v>0.008535028519395027</x:v>
      </x:c>
      <x:c r="J400" s="208" t="n">
        <x:f>'Beta HC3'!$E$13+'Beta HC3'!$E$12*I400</x:f>
        <x:v>0.0096350367159832</x:v>
      </x:c>
      <x:c r="K400" s="240" t="n">
        <x:f>H400-J400</x:f>
        <x:v>-0.001663298719457803</x:v>
      </x:c>
      <x:c r="L400" s="240" t="n">
        <x:f>I400-'Beta HC3'!$E$9</x:f>
        <x:v>0.007971080901734588</x:v>
      </x:c>
      <x:c r="M400" s="240" t="n">
        <x:f>1/'Beta HC3'!$E$8+L400^2/'Beta HC3'!$E$11</x:f>
        <x:v>0.0012313147645534326</x:v>
      </x:c>
      <x:c r="N400" s="240" t="n">
        <x:f>K400^2/(1-M400)^2</x:f>
        <x:v>0.000002773388253123878</x:v>
      </x:c>
      <x:c r="O400" s="240" t="n">
        <x:f>N400*L400^2/'Beta HC3'!$E$11^2</x:f>
        <x:v>8.240618872087938e-9</x:v>
      </x:c>
      <x:c r="P400" s="240" t="n">
        <x:f>N400*(1/'Beta HC3'!$E$8-'Beta HC3'!$E$9*L400/'Beta HC3'!$E$11)^2</x:f>
        <x:v>1.6276084589565421e-12</x:v>
      </x:c>
      <x:c r="Q400" s="240" t="n">
        <x:f>N400*(1/'Beta HC3'!$E$8-'Beta HC3'!$E$9*L400/'Beta HC3'!$E$11)*L400/'Beta HC3'!$E$11</x:f>
        <x:v>1.158123524640064e-10</x:v>
      </x:c>
      <x:c r="R400" s="240" t="n">
        <x:f>K400*L400/'Beta HC3'!$E$11</x:f>
        <x:v>-0.00009066607841202113</x:v>
      </x:c>
      <x:c r="S400" s="240" t="n">
        <x:f>(K400-K399)^2</x:f>
        <x:v>0.00012609828472171056</x:v>
      </x:c>
      <x:c r="T400" s="280" t="n">
        <x:f>E400/$E$9*100</x:f>
        <x:v>105.64175268405305</x:v>
      </x:c>
    </x:row>
    <x:row r="401" ht="24" customHeight="1">
      <x:c r="C401" s="274" t="d">
        <x:v>2023-05-01T00:00:00.000Z</x:v>
      </x:c>
      <x:c r="D401" s="191" t="n">
        <x:v>305.55999755859375</x:v>
      </x:c>
      <x:c r="E401" s="191" t="n">
        <x:v>297.286376953125</x:v>
      </x:c>
      <x:c r="F401" s="191" t="n">
        <x:v>415.510009765625</x:v>
      </x:c>
      <x:c r="G401" s="191" t="n">
        <x:v>397.8324279785156</x:v>
      </x:c>
      <x:c r="H401" s="208" t="n">
        <x:f>E401/E400-1</x:f>
        <x:v>-0.0055328482622641895</x:v>
      </x:c>
      <x:c r="I401" s="208" t="n">
        <x:f>G401/G400-1</x:f>
        <x:v>-0.0010096289868275488</x:v>
      </x:c>
      <x:c r="J401" s="208" t="n">
        <x:f>'Beta HC3'!$E$13+'Beta HC3'!$E$12*I401</x:f>
        <x:v>-0.0011295400176003587</x:v>
      </x:c>
      <x:c r="K401" s="240" t="n">
        <x:f>H401-J401</x:f>
        <x:v>-0.004403308244663831</x:v>
      </x:c>
      <x:c r="L401" s="240" t="n">
        <x:f>I401-'Beta HC3'!$E$9</x:f>
        <x:v>-0.001573576604487988</x:v>
      </x:c>
      <x:c r="M401" s="240" t="n">
        <x:f>1/'Beta HC3'!$E$8+L401^2/'Beta HC3'!$E$11</x:f>
        <x:v>0.0008137457190991616</x:v>
      </x:c>
      <x:c r="N401" s="240" t="n">
        <x:f>K401^2/(1-M401)^2</x:f>
        <x:v>0.000019420717689235834</x:v>
      </x:c>
      <x:c r="O401" s="240" t="n">
        <x:f>N401*L401^2/'Beta HC3'!$E$11^2</x:f>
        <x:v>2.2488256073682662e-9</x:v>
      </x:c>
      <x:c r="P401" s="240" t="n">
        <x:f>N401*(1/'Beta HC3'!$E$8-'Beta HC3'!$E$9*L401/'Beta HC3'!$E$11)^2</x:f>
        <x:v>1.2518951181419155e-11</x:v>
      </x:c>
      <x:c r="Q401" s="240" t="n">
        <x:f>N401*(1/'Beta HC3'!$E$8-'Beta HC3'!$E$9*L401/'Beta HC3'!$E$11)*L401/'Beta HC3'!$E$11</x:f>
        <x:v>-1.677883726429475e-10</x:v>
      </x:c>
      <x:c r="R401" s="240" t="n">
        <x:f>K401*L401/'Beta HC3'!$E$11</x:f>
        <x:v>0.000047383194827684696</x:v>
      </x:c>
      <x:c r="S401" s="240" t="n">
        <x:f>(K401-K400)^2</x:f>
        <x:v>0.000007507652198219762</x:v>
      </x:c>
      <x:c r="T401" s="280" t="n">
        <x:f>E401/$E$9*100</x:f>
        <x:v>105.05725289629252</x:v>
      </x:c>
    </x:row>
    <x:row r="402" ht="24" customHeight="1">
      <x:c r="C402" s="274" t="d">
        <x:v>2023-05-02T00:00:00.000Z</x:v>
      </x:c>
      <x:c r="D402" s="191" t="n">
        <x:v>305.4100036621094</x:v>
      </x:c>
      <x:c r="E402" s="191" t="n">
        <x:v>297.14044189453125</x:v>
      </x:c>
      <x:c r="F402" s="191" t="n">
        <x:v>410.8399963378906</x:v>
      </x:c>
      <x:c r="G402" s="191" t="n">
        <x:v>393.36102294921875</x:v>
      </x:c>
      <x:c r="H402" s="208" t="n">
        <x:f>E402/E401-1</x:f>
        <x:v>-0.0004908905012379616</x:v>
      </x:c>
      <x:c r="I402" s="208" t="n">
        <x:f>G402/G401-1</x:f>
        <x:v>-0.011239418194281425</x:v>
      </x:c>
      <x:c r="J402" s="208" t="n">
        <x:f>'Beta HC3'!$E$13+'Beta HC3'!$E$12*I402</x:f>
        <x:v>-0.01266681632324366</x:v>
      </x:c>
      <x:c r="K402" s="240" t="n">
        <x:f>H402-J402</x:f>
        <x:v>0.012175925822005699</x:v>
      </x:c>
      <x:c r="L402" s="240" t="n">
        <x:f>I402-'Beta HC3'!$E$9</x:f>
        <x:v>-0.011803365811941864</x:v>
      </x:c>
      <x:c r="M402" s="240" t="n">
        <x:f>1/'Beta HC3'!$E$8+L402^2/'Beta HC3'!$E$11</x:f>
        <x:v>0.0017495411143089931</x:v>
      </x:c>
      <x:c r="N402" s="240" t="n">
        <x:f>K402^2/(1-M402)^2</x:f>
        <x:v>0.000148773284198548</x:v>
      </x:c>
      <x:c r="O402" s="240" t="n">
        <x:f>N402*L402^2/'Beta HC3'!$E$11^2</x:f>
        <x:v>9.692848108540126e-7</x:v>
      </x:c>
      <x:c r="P402" s="240" t="n">
        <x:f>N402*(1/'Beta HC3'!$E$8-'Beta HC3'!$E$9*L402/'Beta HC3'!$E$11)^2</x:f>
        <x:v>1.0555827734793946e-10</x:v>
      </x:c>
      <x:c r="Q402" s="240" t="n">
        <x:f>N402*(1/'Beta HC3'!$E$8-'Beta HC3'!$E$9*L402/'Beta HC3'!$E$11)*L402/'Beta HC3'!$E$11</x:f>
        <x:v>-1.0115138896390542e-8</x:v>
      </x:c>
      <x:c r="R402" s="240" t="n">
        <x:f>K402*L402/'Beta HC3'!$E$11</x:f>
        <x:v>-0.0009828001681298458</x:v>
      </x:c>
      <x:c r="S402" s="240" t="n">
        <x:f>(K402-K401)^2</x:f>
        <x:v>0.00027487100223741543</x:v>
      </x:c>
      <x:c r="T402" s="280" t="n">
        <x:f>E402/$E$9*100</x:f>
        <x:v>105.0056812887596</x:v>
      </x:c>
    </x:row>
    <x:row r="403" ht="24" customHeight="1">
      <x:c r="C403" s="274" t="d">
        <x:v>2023-05-03T00:00:00.000Z</x:v>
      </x:c>
      <x:c r="D403" s="191" t="n">
        <x:v>304.3999938964844</x:v>
      </x:c>
      <x:c r="E403" s="191" t="n">
        <x:v>296.1578674316406</x:v>
      </x:c>
      <x:c r="F403" s="191" t="n">
        <x:v>408.0199890136719</x:v>
      </x:c>
      <x:c r="G403" s="191" t="n">
        <x:v>390.6610412597656</x:v>
      </x:c>
      <x:c r="H403" s="208" t="n">
        <x:f>E403/E402-1</x:f>
        <x:v>-0.0033067678590832372</x:v>
      </x:c>
      <x:c r="I403" s="208" t="n">
        <x:f>G403/G402-1</x:f>
        <x:v>-0.006863877028817078</x:v>
      </x:c>
      <x:c r="J403" s="208" t="n">
        <x:f>'Beta HC3'!$E$13+'Beta HC3'!$E$12*I403</x:f>
        <x:v>-0.007732029653749493</x:v>
      </x:c>
      <x:c r="K403" s="240" t="n">
        <x:f>H403-J403</x:f>
        <x:v>0.004425261794666256</x:v>
      </x:c>
      <x:c r="L403" s="240" t="n">
        <x:f>I403-'Beta HC3'!$E$9</x:f>
        <x:v>-0.007427824646477518</x:v>
      </x:c>
      <x:c r="M403" s="240" t="n">
        <x:f>1/'Beta HC3'!$E$8+L403^2/'Beta HC3'!$E$11</x:f>
        <x:v>0.0011741073985224086</x:v>
      </x:c>
      <x:c r="N403" s="240" t="n">
        <x:f>K403^2/(1-M403)^2</x:f>
        <x:v>0.00001962900801927422</x:v>
      </x:c>
      <x:c r="O403" s="240" t="n">
        <x:f>N403*L403^2/'Beta HC3'!$E$11^2</x:f>
        <x:v>5.0644974907427726e-8</x:v>
      </x:c>
      <x:c r="P403" s="240" t="n">
        <x:f>N403*(1/'Beta HC3'!$E$8-'Beta HC3'!$E$9*L403/'Beta HC3'!$E$11)^2</x:f>
        <x:v>1.337484232475793e-11</x:v>
      </x:c>
      <x:c r="Q403" s="240" t="n">
        <x:f>N403*(1/'Beta HC3'!$E$8-'Beta HC3'!$E$9*L403/'Beta HC3'!$E$11)*L403/'Beta HC3'!$E$11</x:f>
        <x:v>-8.230240299822161e-10</x:v>
      </x:c>
      <x:c r="R403" s="240" t="n">
        <x:f>K403*L403/'Beta HC3'!$E$11</x:f>
        <x:v>-0.00022478015802886026</x:v>
      </x:c>
      <x:c r="S403" s="240" t="n">
        <x:f>(K403-K402)^2</x:f>
        <x:v>0.00006007279286469366</x:v>
      </x:c>
      <x:c r="T403" s="280" t="n">
        <x:f>E403/$E$9*100</x:f>
        <x:v>104.65845187685278</x:v>
      </x:c>
    </x:row>
    <x:row r="404" ht="24" customHeight="1">
      <x:c r="C404" s="274" t="d">
        <x:v>2023-05-04T00:00:00.000Z</x:v>
      </x:c>
      <x:c r="D404" s="191" t="n">
        <x:v>305.4100036621094</x:v>
      </x:c>
      <x:c r="E404" s="191" t="n">
        <x:v>297.14044189453125</x:v>
      </x:c>
      <x:c r="F404" s="191" t="n">
        <x:v>405.1300048828125</x:v>
      </x:c>
      <x:c r="G404" s="191" t="n">
        <x:v>387.89404296875</x:v>
      </x:c>
      <x:c r="H404" s="208" t="n">
        <x:f>E404/E403-1</x:f>
        <x:v>0.0033177388512815043</x:v>
      </x:c>
      <x:c r="I404" s="208" t="n">
        <x:f>G404/G403-1</x:f>
        <x:v>-0.007082862120299627</x:v>
      </x:c>
      <x:c r="J404" s="208" t="n">
        <x:f>'Beta HC3'!$E$13+'Beta HC3'!$E$12*I404</x:f>
        <x:v>-0.00797900360951877</x:v>
      </x:c>
      <x:c r="K404" s="240" t="n">
        <x:f>H404-J404</x:f>
        <x:v>0.011296742460800275</x:v>
      </x:c>
      <x:c r="L404" s="240" t="n">
        <x:f>I404-'Beta HC3'!$E$9</x:f>
        <x:v>-0.007646809737960066</x:v>
      </x:c>
      <x:c r="M404" s="240" t="n">
        <x:f>1/'Beta HC3'!$E$8+L404^2/'Beta HC3'!$E$11</x:f>
        <x:v>0.0011966819275377202</x:v>
      </x:c>
      <x:c r="N404" s="240" t="n">
        <x:f>K404^2/(1-M404)^2</x:f>
        <x:v>0.0001279223718156769</x:v>
      </x:c>
      <x:c r="O404" s="240" t="n">
        <x:f>N404*L404^2/'Beta HC3'!$E$11^2</x:f>
        <x:v>3.4980160271787414e-7</x:v>
      </x:c>
      <x:c r="P404" s="240" t="n">
        <x:f>N404*(1/'Beta HC3'!$E$8-'Beta HC3'!$E$9*L404/'Beta HC3'!$E$11)^2</x:f>
        <x:v>8.734237868522065e-11</x:v>
      </x:c>
      <x:c r="Q404" s="240" t="n">
        <x:f>N404*(1/'Beta HC3'!$E$8-'Beta HC3'!$E$9*L404/'Beta HC3'!$E$11)*L404/'Beta HC3'!$E$11</x:f>
        <x:v>-5.527431957906101e-9</x:v>
      </x:c>
      <x:c r="R404" s="240" t="n">
        <x:f>K404*L404/'Beta HC3'!$E$11</x:f>
        <x:v>-0.0005907325123421259</x:v>
      </x:c>
      <x:c r="S404" s="240" t="n">
        <x:f>(K404-K403)^2</x:f>
        <x:v>0.00004721724654505362</x:v>
      </x:c>
      <x:c r="T404" s="280" t="n">
        <x:f>E404/$E$9*100</x:f>
        <x:v>105.0056812887596</x:v>
      </x:c>
    </x:row>
    <x:row r="405" ht="24" customHeight="1">
      <x:c r="C405" s="274" t="d">
        <x:v>2023-05-05T00:00:00.000Z</x:v>
      </x:c>
      <x:c r="D405" s="191" t="n">
        <x:v>310.6499938964844</x:v>
      </x:c>
      <x:c r="E405" s="191" t="n">
        <x:v>302.2385559082031</x:v>
      </x:c>
      <x:c r="F405" s="191" t="n">
        <x:v>412.6300048828125</x:v>
      </x:c>
      <x:c r="G405" s="191" t="n">
        <x:v>395.07489013671875</x:v>
      </x:c>
      <x:c r="H405" s="208" t="n">
        <x:f>E405/E404-1</x:f>
        <x:v>0.017157253927358118</x:v>
      </x:c>
      <x:c r="I405" s="208" t="n">
        <x:f>G405/G404-1</x:f>
        <x:v>0.01851239352120504</x:v>
      </x:c>
      <x:c r="J405" s="208" t="n">
        <x:f>'Beta HC3'!$E$13+'Beta HC3'!$E$12*I405</x:f>
        <x:v>0.020887626040527834</x:v>
      </x:c>
      <x:c r="K405" s="240" t="n">
        <x:f>H405-J405</x:f>
        <x:v>-0.003730372113169716</x:v>
      </x:c>
      <x:c r="L405" s="240" t="n">
        <x:f>I405-'Beta HC3'!$E$9</x:f>
        <x:v>0.0179484459035446</x:v>
      </x:c>
      <x:c r="M405" s="240" t="n">
        <x:f>1/'Beta HC3'!$E$8+L405^2/'Beta HC3'!$E$11</x:f>
        <x:v>0.002999795325232823</x:v>
      </x:c>
      <x:c r="N405" s="240" t="n">
        <x:f>K405^2/(1-M405)^2</x:f>
        <x:v>0.000013999541643184286</x:v>
      </x:c>
      <x:c r="O405" s="240" t="n">
        <x:f>N405*L405^2/'Beta HC3'!$E$11^2</x:f>
        <x:v>2.1090274892386128e-7</x:v>
      </x:c>
      <x:c r="P405" s="240" t="n">
        <x:f>N405*(1/'Beta HC3'!$E$8-'Beta HC3'!$E$9*L405/'Beta HC3'!$E$11)^2</x:f>
        <x:v>7.411262245770824e-12</x:v>
      </x:c>
      <x:c r="Q405" s="240" t="n">
        <x:f>N405*(1/'Beta HC3'!$E$8-'Beta HC3'!$E$9*L405/'Beta HC3'!$E$11)*L405/'Beta HC3'!$E$11</x:f>
        <x:v>1.2502222125001205e-9</x:v>
      </x:c>
      <x:c r="R405" s="240" t="n">
        <x:f>K405*L405/'Beta HC3'!$E$11</x:f>
        <x:v>-0.0004578638625497874</x:v>
      </x:c>
      <x:c r="S405" s="240" t="n">
        <x:f>(K405-K404)^2</x:f>
        <x:v>0.0002258141724192213</x:v>
      </x:c>
      <x:c r="T405" s="280" t="n">
        <x:f>E405/$E$9*100</x:f>
        <x:v>106.80729042644607</x:v>
      </x:c>
    </x:row>
    <x:row r="406" ht="24" customHeight="1">
      <x:c r="C406" s="274" t="d">
        <x:v>2023-05-08T00:00:00.000Z</x:v>
      </x:c>
      <x:c r="D406" s="191" t="n">
        <x:v>308.6499938964844</x:v>
      </x:c>
      <x:c r="E406" s="191" t="n">
        <x:v>300.292724609375</x:v>
      </x:c>
      <x:c r="F406" s="191" t="n">
        <x:v>412.739990234375</x:v>
      </x:c>
      <x:c r="G406" s="191" t="n">
        <x:v>395.18023681640625</x:v>
      </x:c>
      <x:c r="H406" s="208" t="n">
        <x:f>E406/E405-1</x:f>
        <x:v>-0.006438064438804125</x:v>
      </x:c>
      <x:c r="I406" s="208" t="n">
        <x:f>G406/G405-1</x:f>
        <x:v>0.00026664989934199745</x:v>
      </x:c>
      <x:c r="J406" s="208" t="n">
        <x:f>'Beta HC3'!$E$13+'Beta HC3'!$E$12*I406</x:f>
        <x:v>0.0003098622862191178</x:v>
      </x:c>
      <x:c r="K406" s="240" t="n">
        <x:f>H406-J406</x:f>
        <x:v>-0.006747926725023243</x:v>
      </x:c>
      <x:c r="L406" s="240" t="n">
        <x:f>I406-'Beta HC3'!$E$9</x:f>
        <x:v>-0.0002972977183184419</x:v>
      </x:c>
      <x:c r="M406" s="240" t="n">
        <x:f>1/'Beta HC3'!$E$8+L406^2/'Beta HC3'!$E$11</x:f>
        <x:v>0.0007974171713520156</x:v>
      </x:c>
      <x:c r="N406" s="240" t="n">
        <x:f>K406^2/(1-M406)^2</x:f>
        <x:v>0.000045607222049829986</x:v>
      </x:c>
      <x:c r="O406" s="240" t="n">
        <x:f>N406*L406^2/'Beta HC3'!$E$11^2</x:f>
        <x:v>1.8850874195482422e-10</x:v>
      </x:c>
      <x:c r="P406" s="240" t="n">
        <x:f>N406*(1/'Beta HC3'!$E$8-'Beta HC3'!$E$9*L406/'Beta HC3'!$E$11)^2</x:f>
        <x:v>2.903989789841481e-11</x:v>
      </x:c>
      <x:c r="Q406" s="240" t="n">
        <x:f>N406*(1/'Beta HC3'!$E$8-'Beta HC3'!$E$9*L406/'Beta HC3'!$E$11)*L406/'Beta HC3'!$E$11</x:f>
        <x:v>-7.398834110403288e-11</x:v>
      </x:c>
      <x:c r="R406" s="240" t="n">
        <x:f>K406*L406/'Beta HC3'!$E$11</x:f>
        <x:v>0.000013718900160256648</x:v>
      </x:c>
      <x:c r="S406" s="240" t="n">
        <x:f>(K406-K405)^2</x:f>
        <x:v>0.000009105635835518494</x:v>
      </x:c>
      <x:c r="T406" s="280" t="n">
        <x:f>E406/$E$9*100</x:f>
        <x:v>106.11965820814655</x:v>
      </x:c>
    </x:row>
    <x:row r="407" ht="24" customHeight="1">
      <x:c r="C407" s="274" t="d">
        <x:v>2023-05-09T00:00:00.000Z</x:v>
      </x:c>
      <x:c r="D407" s="191" t="n">
        <x:v>307</x:v>
      </x:c>
      <x:c r="E407" s="191" t="n">
        <x:v>298.6873779296875</x:v>
      </x:c>
      <x:c r="F407" s="191" t="n">
        <x:v>410.92999267578125</x:v>
      </x:c>
      <x:c r="G407" s="191" t="n">
        <x:v>393.447265625</x:v>
      </x:c>
      <x:c r="H407" s="208" t="n">
        <x:f>E407/E406-1</x:f>
        <x:v>-0.005345939305641756</x:v>
      </x:c>
      <x:c r="I407" s="208" t="n">
        <x:f>G407/G406-1</x:f>
        <x:v>-0.004385267859969844</x:v>
      </x:c>
      <x:c r="J407" s="208" t="n">
        <x:f>'Beta HC3'!$E$13+'Beta HC3'!$E$12*I407</x:f>
        <x:v>-0.004936625148849741</x:v>
      </x:c>
      <x:c r="K407" s="240" t="n">
        <x:f>H407-J407</x:f>
        <x:v>-0.00040931415679201517</x:v>
      </x:c>
      <x:c r="L407" s="240" t="n">
        <x:f>I407-'Beta HC3'!$E$9</x:f>
        <x:v>-0.004949215477630283</x:v>
      </x:c>
      <x:c r="M407" s="240" t="n">
        <x:f>1/'Beta HC3'!$E$8+L407^2/'Beta HC3'!$E$11</x:f>
        <x:v>0.0009643186403684743</x:v>
      </x:c>
      <x:c r="N407" s="240" t="n">
        <x:f>K407^2/(1-M407)^2</x:f>
        <x:v>1.678616671232622e-7</x:v>
      </x:c>
      <x:c r="O407" s="240" t="n">
        <x:f>N407*L407^2/'Beta HC3'!$E$11^2</x:f>
        <x:v>1.9228215448369683e-10</x:v>
      </x:c>
      <x:c r="P407" s="240" t="n">
        <x:f>N407*(1/'Beta HC3'!$E$8-'Beta HC3'!$E$9*L407/'Beta HC3'!$E$11)^2</x:f>
        <x:v>1.1174417372778083e-13</x:v>
      </x:c>
      <x:c r="Q407" s="240" t="n">
        <x:f>N407*(1/'Beta HC3'!$E$8-'Beta HC3'!$E$9*L407/'Beta HC3'!$E$11)*L407/'Beta HC3'!$E$11</x:f>
        <x:v>-4.635343619989592e-12</x:v>
      </x:c>
      <x:c r="R407" s="240" t="n">
        <x:f>K407*L407/'Beta HC3'!$E$11</x:f>
        <x:v>0.000013853212290199054</x:v>
      </x:c>
      <x:c r="S407" s="240" t="n">
        <x:f>(K407-K406)^2</x:f>
        <x:v>0.00004017800929013888</x:v>
      </x:c>
      <x:c r="T407" s="280" t="n">
        <x:f>E407/$E$9*100</x:f>
        <x:v>105.55234895623036</x:v>
      </x:c>
    </x:row>
    <x:row r="408" ht="24" customHeight="1">
      <x:c r="C408" s="274" t="d">
        <x:v>2023-05-10T00:00:00.000Z</x:v>
      </x:c>
      <x:c r="D408" s="191" t="n">
        <x:v>312.30999755859375</x:v>
      </x:c>
      <x:c r="E408" s="191" t="n">
        <x:v>303.8536071777344</x:v>
      </x:c>
      <x:c r="F408" s="191" t="n">
        <x:v>412.8500061035156</x:v>
      </x:c>
      <x:c r="G408" s="191" t="n">
        <x:v>395.28558349609375</x:v>
      </x:c>
      <x:c r="H408" s="208" t="n">
        <x:f>E408/E407-1</x:f>
        <x:v>0.01729644313682055</x:v>
      </x:c>
      <x:c r="I408" s="208" t="n">
        <x:f>G408/G407-1</x:f>
        <x:v>0.004672336121521958</x:v>
      </x:c>
      <x:c r="J408" s="208" t="n">
        <x:f>'Beta HC3'!$E$13+'Beta HC3'!$E$12*I408</x:f>
        <x:v>0.005278646904402579</x:v>
      </x:c>
      <x:c r="K408" s="240" t="n">
        <x:f>H408-J408</x:f>
        <x:v>0.012017796232417971</x:v>
      </x:c>
      <x:c r="L408" s="240" t="n">
        <x:f>I408-'Beta HC3'!$E$9</x:f>
        <x:v>0.004108388503861519</x:v>
      </x:c>
      <x:c r="M408" s="240" t="n">
        <x:f>1/'Beta HC3'!$E$8+L408^2/'Beta HC3'!$E$11</x:f>
        <x:v>0.0009122378789124708</x:v>
      </x:c>
      <x:c r="N408" s="240" t="n">
        <x:f>K408^2/(1-M408)^2</x:f>
        <x:v>0.00014469129162896285</x:v>
      </x:c>
      <x:c r="O408" s="240" t="n">
        <x:f>N408*L408^2/'Beta HC3'!$E$11^2</x:f>
        <x:v>1.1420894688301233e-7</x:v>
      </x:c>
      <x:c r="P408" s="240" t="n">
        <x:f>N408*(1/'Beta HC3'!$E$8-'Beta HC3'!$E$9*L408/'Beta HC3'!$E$11)^2</x:f>
        <x:v>8.82489590253892e-11</x:v>
      </x:c>
      <x:c r="Q408" s="240" t="n">
        <x:f>N408*(1/'Beta HC3'!$E$8-'Beta HC3'!$E$9*L408/'Beta HC3'!$E$11)*L408/'Beta HC3'!$E$11</x:f>
        <x:v>3.174715841427671e-9</x:v>
      </x:c>
      <x:c r="R408" s="240" t="n">
        <x:f>K408*L408/'Beta HC3'!$E$11</x:f>
        <x:v>0.0003376398532019948</x:v>
      </x:c>
      <x:c r="S408" s="240" t="n">
        <x:f>(K408-K407)^2</x:f>
        <x:v>0.00015443307262561076</x:v>
      </x:c>
      <x:c r="T408" s="280" t="n">
        <x:f>E408/$E$9*100</x:f>
        <x:v>107.37802915790964</x:v>
      </x:c>
    </x:row>
    <x:row r="409" ht="24" customHeight="1">
      <x:c r="C409" s="274" t="d">
        <x:v>2023-05-11T00:00:00.000Z</x:v>
      </x:c>
      <x:c r="D409" s="191" t="n">
        <x:v>310.1099853515625</x:v>
      </x:c>
      <x:c r="E409" s="191" t="n">
        <x:v>301.7131652832031</x:v>
      </x:c>
      <x:c r="F409" s="191" t="n">
        <x:v>412.1300048828125</x:v>
      </x:c>
      <x:c r="G409" s="191" t="n">
        <x:v>394.59625244140625</x:v>
      </x:c>
      <x:c r="H409" s="208" t="n">
        <x:f>E409/E408-1</x:f>
        <x:v>-0.007044319514295738</x:v>
      </x:c>
      <x:c r="I409" s="208" t="n">
        <x:f>G409/G408-1</x:f>
        <x:v>-0.0017438810912119296</x:v>
      </x:c>
      <x:c r="J409" s="208" t="n">
        <x:f>'Beta HC3'!$E$13+'Beta HC3'!$E$12*I409</x:f>
        <x:v>-0.0019576381567203817</x:v>
      </x:c>
      <x:c r="K409" s="240" t="n">
        <x:f>H409-J409</x:f>
        <x:v>-0.0050866813575753565</x:v>
      </x:c>
      <x:c r="L409" s="240" t="n">
        <x:f>I409-'Beta HC3'!$E$9</x:f>
        <x:v>-0.002307828708872369</x:v>
      </x:c>
      <x:c r="M409" s="240" t="n">
        <x:f>1/'Beta HC3'!$E$8+L409^2/'Beta HC3'!$E$11</x:f>
        <x:v>0.0008332348089276065</x:v>
      </x:c>
      <x:c r="N409" s="240" t="n">
        <x:f>K409^2/(1-M409)^2</x:f>
        <x:v>0.0000259174999657601</x:v>
      </x:c>
      <x:c r="O409" s="240" t="n">
        <x:f>N409*L409^2/'Beta HC3'!$E$11^2</x:f>
        <x:v>6.455278334059079e-9</x:v>
      </x:c>
      <x:c r="P409" s="240" t="n">
        <x:f>N409*(1/'Beta HC3'!$E$8-'Beta HC3'!$E$9*L409/'Beta HC3'!$E$11)^2</x:f>
        <x:v>1.682495037988299e-11</x:v>
      </x:c>
      <x:c r="Q409" s="240" t="n">
        <x:f>N409*(1/'Beta HC3'!$E$8-'Beta HC3'!$E$9*L409/'Beta HC3'!$E$11)*L409/'Beta HC3'!$E$11</x:f>
        <x:v>-3.2955991512754963e-10</x:v>
      </x:c>
      <x:c r="R409" s="240" t="n">
        <x:f>K409*L409/'Beta HC3'!$E$11</x:f>
        <x:v>0.00008027780073353283</x:v>
      </x:c>
      <x:c r="S409" s="240" t="n">
        <x:f>(K409-K408)^2</x:f>
        <x:v>0.00029256315362658397</x:v>
      </x:c>
      <x:c r="T409" s="280" t="n">
        <x:f>E409/$E$9*100</x:f>
        <x:v>106.62162401170596</x:v>
      </x:c>
    </x:row>
    <x:row r="410" ht="24" customHeight="1">
      <x:c r="C410" s="274" t="d">
        <x:v>2023-05-12T00:00:00.000Z</x:v>
      </x:c>
      <x:c r="D410" s="191" t="n">
        <x:v>308.9700012207031</x:v>
      </x:c>
      <x:c r="E410" s="191" t="n">
        <x:v>300.60406494140625</x:v>
      </x:c>
      <x:c r="F410" s="191" t="n">
        <x:v>411.5899963378906</x:v>
      </x:c>
      <x:c r="G410" s="191" t="n">
        <x:v>394.07916259765625</x:v>
      </x:c>
      <x:c r="H410" s="208" t="n">
        <x:f>E410/E409-1</x:f>
        <x:v>-0.003676009102074884</x:v>
      </x:c>
      <x:c r="I410" s="208" t="n">
        <x:f>G410/G409-1</x:f>
        <x:v>-0.0013104276600467424</x:v>
      </x:c>
      <x:c r="J410" s="208" t="n">
        <x:f>'Beta HC3'!$E$13+'Beta HC3'!$E$12*I410</x:f>
        <x:v>-0.0014687842908618315</x:v>
      </x:c>
      <x:c r="K410" s="240" t="n">
        <x:f>H410-J410</x:f>
        <x:v>-0.0022072248112130527</x:v>
      </x:c>
      <x:c r="L410" s="240" t="n">
        <x:f>I410-'Beta HC3'!$E$9</x:f>
        <x:v>-0.0018743752777071816</x:v>
      </x:c>
      <x:c r="M410" s="240" t="n">
        <x:f>1/'Beta HC3'!$E$8+L410^2/'Beta HC3'!$E$11</x:f>
        <x:v>0.0008208381395617183</x:v>
      </x:c>
      <x:c r="N410" s="240" t="n">
        <x:f>K410^2/(1-M410)^2</x:f>
        <x:v>0.000004879849212009923</x:v>
      </x:c>
      <x:c r="O410" s="240" t="n">
        <x:f>N410*L410^2/'Beta HC3'!$E$11^2</x:f>
        <x:v>8.017412339804728e-10</x:v>
      </x:c>
      <x:c r="P410" s="240" t="n">
        <x:f>N410*(1/'Beta HC3'!$E$8-'Beta HC3'!$E$9*L410/'Beta HC3'!$E$11)^2</x:f>
        <x:v>3.154736875543528e-12</x:v>
      </x:c>
      <x:c r="Q410" s="240" t="n">
        <x:f>N410*(1/'Beta HC3'!$E$8-'Beta HC3'!$E$9*L410/'Beta HC3'!$E$11)*L410/'Beta HC3'!$E$11</x:f>
        <x:v>-5.0291973867427095e-11</x:v>
      </x:c>
      <x:c r="R410" s="240" t="n">
        <x:f>K410*L410/'Beta HC3'!$E$11</x:f>
        <x:v>0.000028291793414487766</x:v>
      </x:c>
      <x:c r="S410" s="240" t="n">
        <x:f>(K410-K409)^2</x:f>
        <x:v>0.000008291270002388725</x:v>
      </x:c>
      <x:c r="T410" s="280" t="n">
        <x:f>E410/$E$9*100</x:f>
        <x:v>106.22968195136092</x:v>
      </x:c>
    </x:row>
    <x:row r="411" ht="24" customHeight="1">
      <x:c r="C411" s="274" t="d">
        <x:v>2023-05-15T00:00:00.000Z</x:v>
      </x:c>
      <x:c r="D411" s="191" t="n">
        <x:v>309.4599914550781</x:v>
      </x:c>
      <x:c r="E411" s="191" t="n">
        <x:v>301.080810546875</x:v>
      </x:c>
      <x:c r="F411" s="191" t="n">
        <x:v>413.010009765625</x:v>
      </x:c>
      <x:c r="G411" s="191" t="n">
        <x:v>395.4388122558594</x:v>
      </x:c>
      <x:c r="H411" s="208" t="n">
        <x:f>E411/E410-1</x:f>
        <x:v>0.00158595861157651</x:v>
      </x:c>
      <x:c r="I411" s="208" t="n">
        <x:f>G411/G410-1</x:f>
        <x:v>0.0034501942433107224</x:v>
      </x:c>
      <x:c r="J411" s="208" t="n">
        <x:f>'Beta HC3'!$E$13+'Beta HC3'!$E$12*I411</x:f>
        <x:v>0.003900300953408118</x:v>
      </x:c>
      <x:c r="K411" s="240" t="n">
        <x:f>H411-J411</x:f>
        <x:v>-0.0023143423418316078</x:v>
      </x:c>
      <x:c r="L411" s="240" t="n">
        <x:f>I411-'Beta HC3'!$E$9</x:f>
        <x:v>0.002886246625650283</x:v>
      </x:c>
      <x:c r="M411" s="240" t="n">
        <x:f>1/'Beta HC3'!$E$8+L411^2/'Beta HC3'!$E$11</x:f>
        <x:v>0.000853779865558797</x:v>
      </x:c>
      <x:c r="N411" s="240" t="n">
        <x:f>K411^2/(1-M411)^2</x:f>
        <x:v>0.000005365338199638196</x:v>
      </x:c>
      <x:c r="O411" s="240" t="n">
        <x:f>N411*L411^2/'Beta HC3'!$E$11^2</x:f>
        <x:v>2.090156002926099e-9</x:v>
      </x:c>
      <x:c r="P411" s="240" t="n">
        <x:f>N411*(1/'Beta HC3'!$E$8-'Beta HC3'!$E$9*L411/'Beta HC3'!$E$11)^2</x:f>
        <x:v>3.31200179133364e-12</x:v>
      </x:c>
      <x:c r="Q411" s="240" t="n">
        <x:f>N411*(1/'Beta HC3'!$E$8-'Beta HC3'!$E$9*L411/'Beta HC3'!$E$11)*L411/'Beta HC3'!$E$11</x:f>
        <x:v>8.320216599258699e-11</x:v>
      </x:c>
      <x:c r="R411" s="240" t="n">
        <x:f>K411*L411/'Beta HC3'!$E$11</x:f>
        <x:v>-0.00004567919067039376</x:v>
      </x:c>
      <x:c r="S411" s="240" t="n">
        <x:f>(K411-K410)^2</x:f>
        <x:v>1.1474165365817081e-8</x:v>
      </x:c>
      <x:c r="T411" s="280" t="n">
        <x:f>E411/$E$9*100</x:f>
        <x:v>106.39815783025672</x:v>
      </x:c>
    </x:row>
    <x:row r="412" ht="24" customHeight="1">
      <x:c r="C412" s="274" t="d">
        <x:v>2023-05-16T00:00:00.000Z</x:v>
      </x:c>
      <x:c r="D412" s="191" t="n">
        <x:v>311.739990234375</x:v>
      </x:c>
      <x:c r="E412" s="191" t="n">
        <x:v>303.2991027832031</x:v>
      </x:c>
      <x:c r="F412" s="191" t="n">
        <x:v>410.25</x:v>
      </x:c>
      <x:c r="G412" s="191" t="n">
        <x:v>392.7961730957031</x:v>
      </x:c>
      <x:c r="H412" s="208" t="n">
        <x:f>E412/E411-1</x:f>
        <x:v>0.00736776359907787</x:v>
      </x:c>
      <x:c r="I412" s="208" t="n">
        <x:f>G412/G411-1</x:f>
        <x:v>-0.00668280168322577</x:v>
      </x:c>
      <x:c r="J412" s="208" t="n">
        <x:f>'Beta HC3'!$E$13+'Beta HC3'!$E$12*I412</x:f>
        <x:v>-0.007527810754233504</x:v>
      </x:c>
      <x:c r="K412" s="240" t="n">
        <x:f>H412-J412</x:f>
        <x:v>0.014895574353311375</x:v>
      </x:c>
      <x:c r="L412" s="240" t="n">
        <x:f>I412-'Beta HC3'!$E$9</x:f>
        <x:v>-0.007246749300886209</x:v>
      </x:c>
      <x:c r="M412" s="240" t="n">
        <x:f>1/'Beta HC3'!$E$8+L412^2/'Beta HC3'!$E$11</x:f>
        <x:v>0.0011559362580710023</x:v>
      </x:c>
      <x:c r="N412" s="240" t="n">
        <x:f>K412^2/(1-M412)^2</x:f>
        <x:v>0.00022239198006391195</x:v>
      </x:c>
      <x:c r="O412" s="240" t="n">
        <x:f>N412*L412^2/'Beta HC3'!$E$11^2</x:f>
        <x:v>5.461605396923872e-7</x:v>
      </x:c>
      <x:c r="P412" s="240" t="n">
        <x:f>N412*(1/'Beta HC3'!$E$8-'Beta HC3'!$E$9*L412/'Beta HC3'!$E$11)^2</x:f>
        <x:v>1.5127749338317122e-10</x:v>
      </x:c>
      <x:c r="Q412" s="240" t="n">
        <x:f>N412*(1/'Beta HC3'!$E$8-'Beta HC3'!$E$9*L412/'Beta HC3'!$E$11)*L412/'Beta HC3'!$E$11</x:f>
        <x:v>-9.089653317341884e-9</x:v>
      </x:c>
      <x:c r="R412" s="240" t="n">
        <x:f>K412*L412/'Beta HC3'!$E$11</x:f>
        <x:v>-0.0007381724838577878</x:v>
      </x:c>
      <x:c r="S412" s="240" t="n">
        <x:f>(K412-K411)^2</x:f>
        <x:v>0.0002961812326537612</x:v>
      </x:c>
      <x:c r="T412" s="280" t="n">
        <x:f>E412/$E$9*100</x:f>
        <x:v>107.18207430452745</x:v>
      </x:c>
    </x:row>
    <x:row r="413" ht="24" customHeight="1">
      <x:c r="C413" s="274" t="d">
        <x:v>2023-05-17T00:00:00.000Z</x:v>
      </x:c>
      <x:c r="D413" s="191" t="n">
        <x:v>314</x:v>
      </x:c>
      <x:c r="E413" s="191" t="n">
        <x:v>306.16571044921875</x:v>
      </x:c>
      <x:c r="F413" s="191" t="n">
        <x:v>415.2300109863281</x:v>
      </x:c>
      <x:c r="G413" s="191" t="n">
        <x:v>397.5642395019531</x:v>
      </x:c>
      <x:c r="H413" s="208" t="n">
        <x:f>E413/E412-1</x:f>
        <x:v>0.009451421516616376</x:v>
      </x:c>
      <x:c r="I413" s="208" t="n">
        <x:f>G413/G412-1</x:f>
        <x:v>0.01213878019399206</x:v>
      </x:c>
      <x:c r="J413" s="208" t="n">
        <x:f>'Beta HC3'!$E$13+'Beta HC3'!$E$12*I413</x:f>
        <x:v>0.013699390141414051</x:v>
      </x:c>
      <x:c r="K413" s="240" t="n">
        <x:f>H413-J413</x:f>
        <x:v>-0.004247968624797675</x:v>
      </x:c>
      <x:c r="L413" s="240" t="n">
        <x:f>I413-'Beta HC3'!$E$9</x:f>
        <x:v>0.011574832576331621</x:v>
      </x:c>
      <x:c r="M413" s="240" t="n">
        <x:f>1/'Beta HC3'!$E$8+L413^2/'Beta HC3'!$E$11</x:f>
        <x:v>0.001713005385950676</x:v>
      </x:c>
      <x:c r="N413" s="240" t="n">
        <x:f>K413^2/(1-M413)^2</x:f>
        <x:v>0.000018107219833866786</x:v>
      </x:c>
      <x:c r="O413" s="240" t="n">
        <x:f>N413*L413^2/'Beta HC3'!$E$11^2</x:f>
        <x:v>1.1344776198867162e-7</x:v>
      </x:c>
      <x:c r="P413" s="240" t="n">
        <x:f>N413*(1/'Beta HC3'!$E$8-'Beta HC3'!$E$9*L413/'Beta HC3'!$E$11)^2</x:f>
        <x:v>1.0244447654151597e-11</x:v>
      </x:c>
      <x:c r="Q413" s="240" t="n">
        <x:f>N413*(1/'Beta HC3'!$E$8-'Beta HC3'!$E$9*L413/'Beta HC3'!$E$11)*L413/'Beta HC3'!$E$11</x:f>
        <x:v>1.078058281900193e-9</x:v>
      </x:c>
      <x:c r="R413" s="240" t="n">
        <x:f>K413*L413/'Beta HC3'!$E$11</x:f>
        <x:v>-0.0003362430990128119</x:v>
      </x:c>
      <x:c r="S413" s="240" t="n">
        <x:f>(K413-K412)^2</x:f>
        <x:v>0.0003664752377547084</x:v>
      </x:c>
      <x:c r="T413" s="280" t="n">
        <x:f>E413/$E$9*100</x:f>
        <x:v>108.19509726780483</x:v>
      </x:c>
    </x:row>
    <x:row r="414" ht="24" customHeight="1">
      <x:c r="C414" s="274" t="d">
        <x:v>2023-05-18T00:00:00.000Z</x:v>
      </x:c>
      <x:c r="D414" s="191" t="n">
        <x:v>318.5199890136719</x:v>
      </x:c>
      <x:c r="E414" s="191" t="n">
        <x:v>310.5729064941406</x:v>
      </x:c>
      <x:c r="F414" s="191" t="n">
        <x:v>419.2300109863281</x:v>
      </x:c>
      <x:c r="G414" s="191" t="n">
        <x:v>401.3941345214844</x:v>
      </x:c>
      <x:c r="H414" s="208" t="n">
        <x:f>E414/E413-1</x:f>
        <x:v>0.014394806127882465</x:v>
      </x:c>
      <x:c r="I414" s="208" t="n">
        <x:f>G414/G413-1</x:f>
        <x:v>0.009633399181800506</x:v>
      </x:c>
      <x:c r="J414" s="208" t="n">
        <x:f>'Beta HC3'!$E$13+'Beta HC3'!$E$12*I414</x:f>
        <x:v>0.010873792037446808</x:v>
      </x:c>
      <x:c r="K414" s="240" t="n">
        <x:f>H414-J414</x:f>
        <x:v>0.0035210140904356566</x:v>
      </x:c>
      <x:c r="L414" s="240" t="n">
        <x:f>I414-'Beta HC3'!$E$9</x:f>
        <x:v>0.009069451564140067</x:v>
      </x:c>
      <x:c r="M414" s="240" t="n">
        <x:f>1/'Beta HC3'!$E$8+L414^2/'Beta HC3'!$E$11</x:f>
        <x:v>0.0013593087159773198</x:v>
      </x:c>
      <x:c r="N414" s="240" t="n">
        <x:f>K414^2/(1-M414)^2</x:f>
        <x:v>0.000012431313240335295</x:v>
      </x:c>
      <x:c r="O414" s="240" t="n">
        <x:f>N414*L414^2/'Beta HC3'!$E$11^2</x:f>
        <x:v>4.781826166444398e-8</x:v>
      </x:c>
      <x:c r="P414" s="240" t="n">
        <x:f>N414*(1/'Beta HC3'!$E$8-'Beta HC3'!$E$9*L414/'Beta HC3'!$E$11)^2</x:f>
        <x:v>7.215064235435269e-12</x:v>
      </x:c>
      <x:c r="Q414" s="240" t="n">
        <x:f>N414*(1/'Beta HC3'!$E$8-'Beta HC3'!$E$9*L414/'Beta HC3'!$E$11)*L414/'Beta HC3'!$E$11</x:f>
        <x:v>5.873770761068354e-10</x:v>
      </x:c>
      <x:c r="R414" s="240" t="n">
        <x:f>K414*L414/'Beta HC3'!$E$11</x:f>
        <x:v>0.0002183766252589424</x:v>
      </x:c>
      <x:c r="S414" s="240" t="n">
        <x:f>(K414-K413)^2</x:f>
        <x:v>0.00006035709242959427</x:v>
      </x:c>
      <x:c r="T414" s="280" t="n">
        <x:f>E414/$E$9*100</x:f>
        <x:v>109.75254471696225</x:v>
      </x:c>
    </x:row>
    <x:row r="415" ht="24" customHeight="1">
      <x:c r="C415" s="274" t="d">
        <x:v>2023-05-19T00:00:00.000Z</x:v>
      </x:c>
      <x:c r="D415" s="191" t="n">
        <x:v>318.3399963378906</x:v>
      </x:c>
      <x:c r="E415" s="191" t="n">
        <x:v>310.39739990234375</x:v>
      </x:c>
      <x:c r="F415" s="191" t="n">
        <x:v>418.6199951171875</x:v>
      </x:c>
      <x:c r="G415" s="191" t="n">
        <x:v>400.8100891113281</x:v>
      </x:c>
      <x:c r="H415" s="208" t="n">
        <x:f>E415/E414-1</x:f>
        <x:v>-0.0005651059320597174</x:v>
      </x:c>
      <x:c r="I415" s="208" t="n">
        <x:f>G415/G414-1</x:f>
        <x:v>-0.0014550422139389951</x:v>
      </x:c>
      <x:c r="J415" s="208" t="n">
        <x:f>'Beta HC3'!$E$13+'Beta HC3'!$E$12*I415</x:f>
        <x:v>-0.0016318822816646676</x:v>
      </x:c>
      <x:c r="K415" s="240" t="n">
        <x:f>H415-J415</x:f>
        <x:v>0.0010667763496049502</x:v>
      </x:c>
      <x:c r="L415" s="240" t="n">
        <x:f>I415-'Beta HC3'!$E$9</x:f>
        <x:v>-0.0020189898315994344</x:v>
      </x:c>
      <x:c r="M415" s="240" t="n">
        <x:f>1/'Beta HC3'!$E$8+L415^2/'Beta HC3'!$E$11</x:f>
        <x:v>0.0008246884389135705</x:v>
      </x:c>
      <x:c r="N415" s="240" t="n">
        <x:f>K415^2/(1-M415)^2</x:f>
        <x:v>0.0000011398911148720634</x:v>
      </x:c>
      <x:c r="O415" s="240" t="n">
        <x:f>N415*L415^2/'Beta HC3'!$E$11^2</x:f>
        <x:v>2.172933095605956e-10</x:v>
      </x:c>
      <x:c r="P415" s="240" t="n">
        <x:f>N415*(1/'Beta HC3'!$E$8-'Beta HC3'!$E$9*L415/'Beta HC3'!$E$11)^2</x:f>
        <x:v>7.37942259077282e-13</x:v>
      </x:c>
      <x:c r="Q415" s="240" t="n">
        <x:f>N415*(1/'Beta HC3'!$E$8-'Beta HC3'!$E$9*L415/'Beta HC3'!$E$11)*L415/'Beta HC3'!$E$11</x:f>
        <x:v>-1.2662934720653226e-11</x:v>
      </x:c>
      <x:c r="R415" s="240" t="n">
        <x:f>K415*L415/'Beta HC3'!$E$11</x:f>
        <x:v>-0.000014728715449205827</x:v>
      </x:c>
      <x:c r="S415" s="240" t="n">
        <x:f>(K415-K414)^2</x:f>
        <x:v>0.00000602328288851781</x:v>
      </x:c>
      <x:c r="T415" s="280" t="n">
        <x:f>E415/$E$9*100</x:f>
        <x:v>109.69052290288404</x:v>
      </x:c>
    </x:row>
    <x:row r="416" ht="24" customHeight="1">
      <x:c r="C416" s="274" t="d">
        <x:v>2023-05-22T00:00:00.000Z</x:v>
      </x:c>
      <x:c r="D416" s="191" t="n">
        <x:v>321.17999267578125</x:v>
      </x:c>
      <x:c r="E416" s="191" t="n">
        <x:v>313.1665344238281</x:v>
      </x:c>
      <x:c r="F416" s="191" t="n">
        <x:v>418.7900085449219</x:v>
      </x:c>
      <x:c r="G416" s="191" t="n">
        <x:v>400.9728088378906</x:v>
      </x:c>
      <x:c r="H416" s="208" t="n">
        <x:f>E416/E415-1</x:f>
        <x:v>0.008921255533569594</x:v>
      </x:c>
      <x:c r="I416" s="208" t="n">
        <x:f>G416/G415-1</x:f>
        <x:v>0.0004059771222906239</x:v>
      </x:c>
      <x:c r="J416" s="208" t="n">
        <x:f>'Beta HC3'!$E$13+'Beta HC3'!$E$12*I416</x:f>
        <x:v>0.0004669971631416066</x:v>
      </x:c>
      <x:c r="K416" s="240" t="n">
        <x:f>H416-J416</x:f>
        <x:v>0.008454258370427988</x:v>
      </x:c>
      <x:c r="L416" s="240" t="n">
        <x:f>I416-'Beta HC3'!$E$9</x:f>
        <x:v>-0.0001579704953698155</x:v>
      </x:c>
      <x:c r="M416" s="240" t="n">
        <x:f>1/'Beta HC3'!$E$8+L416^2/'Beta HC3'!$E$11</x:f>
        <x:v>0.000796983400194132</x:v>
      </x:c>
      <x:c r="N416" s="240" t="n">
        <x:f>K416^2/(1-M416)^2</x:f>
        <x:v>0.00007158854889237778</x:v>
      </x:c>
      <x:c r="O416" s="240" t="n">
        <x:f>N416*L416^2/'Beta HC3'!$E$11^2</x:f>
        <x:v>8.354303378129024e-11</x:v>
      </x:c>
      <x:c r="P416" s="240" t="n">
        <x:f>N416*(1/'Beta HC3'!$E$8-'Beta HC3'!$E$9*L416/'Beta HC3'!$E$11)^2</x:f>
        <x:v>4.5521854761821924e-11</x:v>
      </x:c>
      <x:c r="Q416" s="240" t="n">
        <x:f>N416*(1/'Beta HC3'!$E$8-'Beta HC3'!$E$9*L416/'Beta HC3'!$E$11)*L416/'Beta HC3'!$E$11</x:f>
        <x:v>-6.166874289422378e-11</x:v>
      </x:c>
      <x:c r="R416" s="240" t="n">
        <x:f>K416*L416/'Beta HC3'!$E$11</x:f>
        <x:v>-0.000009132903263700737</x:v>
      </x:c>
      <x:c r="S416" s="240" t="n">
        <x:f>(K416-K415)^2</x:f>
        <x:v>0.00005457489060798363</x:v>
      </x:c>
      <x:c r="T416" s="280" t="n">
        <x:f>E416/$E$9*100</x:f>
        <x:v>110.66910008731152</x:v>
      </x:c>
    </x:row>
    <x:row r="417" ht="24" customHeight="1">
      <x:c r="C417" s="274" t="d">
        <x:v>2023-05-23T00:00:00.000Z</x:v>
      </x:c>
      <x:c r="D417" s="191" t="n">
        <x:v>315.260009765625</x:v>
      </x:c>
      <x:c r="E417" s="191" t="n">
        <x:v>307.394287109375</x:v>
      </x:c>
      <x:c r="F417" s="191" t="n">
        <x:v>414.0899963378906</x:v>
      </x:c>
      <x:c r="G417" s="191" t="n">
        <x:v>396.4728088378906</x:v>
      </x:c>
      <x:c r="H417" s="208" t="n">
        <x:f>E417/E416-1</x:f>
        <x:v>-0.01843187786674927</x:v>
      </x:c>
      <x:c r="I417" s="208" t="n">
        <x:f>G417/G416-1</x:f>
        <x:v>-0.0112227061307274</x:v>
      </x:c>
      <x:c r="J417" s="208" t="n">
        <x:f>'Beta HC3'!$E$13+'Beta HC3'!$E$12*I417</x:f>
        <x:v>-0.012647968261866229</x:v>
      </x:c>
      <x:c r="K417" s="240" t="n">
        <x:f>H417-J417</x:f>
        <x:v>-0.00578390960488304</x:v>
      </x:c>
      <x:c r="L417" s="240" t="n">
        <x:f>I417-'Beta HC3'!$E$9</x:f>
        <x:v>-0.011786653748387839</x:v>
      </x:c>
      <x:c r="M417" s="240" t="n">
        <x:f>1/'Beta HC3'!$E$8+L417^2/'Beta HC3'!$E$11</x:f>
        <x:v>0.0017468451400519552</x:v>
      </x:c>
      <x:c r="N417" s="240" t="n">
        <x:f>K417^2/(1-M417)^2</x:f>
        <x:v>0.00003357079383336808</x:v>
      </x:c>
      <x:c r="O417" s="240" t="n">
        <x:f>N417*L417^2/'Beta HC3'!$E$11^2</x:f>
        <x:v>2.181008634923256e-7</x:v>
      </x:c>
      <x:c r="P417" s="240" t="n">
        <x:f>N417*(1/'Beta HC3'!$E$8-'Beta HC3'!$E$9*L417/'Beta HC3'!$E$11)^2</x:f>
        <x:v>2.381565294152541e-11</x:v>
      </x:c>
      <x:c r="Q417" s="240" t="n">
        <x:f>N417*(1/'Beta HC3'!$E$8-'Beta HC3'!$E$9*L417/'Beta HC3'!$E$11)*L417/'Beta HC3'!$E$11</x:f>
        <x:v>-2.27908193603921e-9</x:v>
      </x:c>
      <x:c r="R417" s="240" t="n">
        <x:f>K417*L417/'Beta HC3'!$E$11</x:f>
        <x:v>0.00046619690277097895</x:v>
      </x:c>
      <x:c r="S417" s="240" t="n">
        <x:f>(K417-K416)^2</x:f>
        <x:v>0.00020272542729317253</x:v>
      </x:c>
      <x:c r="T417" s="280" t="n">
        <x:f>E417/$E$9*100</x:f>
        <x:v>108.62926075087915</x:v>
      </x:c>
    </x:row>
    <x:row r="418" ht="24" customHeight="1">
      <x:c r="C418" s="274" t="d">
        <x:v>2023-05-24T00:00:00.000Z</x:v>
      </x:c>
      <x:c r="D418" s="191" t="n">
        <x:v>313.8500061035156</x:v>
      </x:c>
      <x:c r="E418" s="191" t="n">
        <x:v>306.0194091796875</x:v>
      </x:c>
      <x:c r="F418" s="191" t="n">
        <x:v>411.0899963378906</x:v>
      </x:c>
      <x:c r="G418" s="191" t="n">
        <x:v>393.6004333496094</x:v>
      </x:c>
      <x:c r="H418" s="208" t="n">
        <x:f>E418/E417-1</x:f>
        <x:v>-0.00447268536645995</x:v>
      </x:c>
      <x:c r="I418" s="208" t="n">
        <x:f>G418/G417-1</x:f>
        <x:v>-0.007244823413490864</x:v>
      </x:c>
      <x:c r="J418" s="208" t="n">
        <x:f>'Beta HC3'!$E$13+'Beta HC3'!$E$12*I418</x:f>
        <x:v>-0.008161665456451556</x:v>
      </x:c>
      <x:c r="K418" s="240" t="n">
        <x:f>H418-J418</x:f>
        <x:v>0.003688980089991606</x:v>
      </x:c>
      <x:c r="L418" s="240" t="n">
        <x:f>I418-'Beta HC3'!$E$9</x:f>
        <x:v>-0.007808771031151304</x:v>
      </x:c>
      <x:c r="M418" s="240" t="n">
        <x:f>1/'Beta HC3'!$E$8+L418^2/'Beta HC3'!$E$11</x:f>
        <x:v>0.0012137999631764418</x:v>
      </x:c>
      <x:c r="N418" s="240" t="n">
        <x:f>K418^2/(1-M418)^2</x:f>
        <x:v>0.000013641670524300214</x:v>
      </x:c>
      <x:c r="O418" s="240" t="n">
        <x:f>N418*L418^2/'Beta HC3'!$E$11^2</x:f>
        <x:v>3.88998257791523e-8</x:v>
      </x:c>
      <x:c r="P418" s="240" t="n">
        <x:f>N418*(1/'Beta HC3'!$E$8-'Beta HC3'!$E$9*L418/'Beta HC3'!$E$11)^2</x:f>
        <x:v>9.328297590914653e-12</x:v>
      </x:c>
      <x:c r="Q418" s="240" t="n">
        <x:f>N418*(1/'Beta HC3'!$E$8-'Beta HC3'!$E$9*L418/'Beta HC3'!$E$11)*L418/'Beta HC3'!$E$11</x:f>
        <x:v>-6.023862142369015e-10</x:v>
      </x:c>
      <x:c r="R418" s="240" t="n">
        <x:f>K418*L418/'Beta HC3'!$E$11</x:f>
        <x:v>-0.00019699098932812043</x:v>
      </x:c>
      <x:c r="S418" s="240" t="n">
        <x:f>(K418-K417)^2</x:f>
        <x:v>0.00008973563917126226</x:v>
      </x:c>
      <x:c r="T418" s="280" t="n">
        <x:f>E418/$E$9*100</x:f>
        <x:v>108.14339624594933</x:v>
      </x:c>
    </x:row>
    <x:row r="419" ht="24" customHeight="1">
      <x:c r="C419" s="274" t="d">
        <x:v>2023-05-25T00:00:00.000Z</x:v>
      </x:c>
      <x:c r="D419" s="191" t="n">
        <x:v>325.9200134277344</x:v>
      </x:c>
      <x:c r="E419" s="191" t="n">
        <x:v>317.7882995605469</x:v>
      </x:c>
      <x:c r="F419" s="191" t="n">
        <x:v>414.6499938964844</x:v>
      </x:c>
      <x:c r="G419" s="191" t="n">
        <x:v>397.009033203125</x:v>
      </x:c>
      <x:c r="H419" s="208" t="n">
        <x:f>E419/E418-1</x:f>
        <x:v>0.038457986741451844</x:v>
      </x:c>
      <x:c r="I419" s="208" t="n">
        <x:f>G419/G418-1</x:f>
        <x:v>0.008660051068815733</x:v>
      </x:c>
      <x:c r="J419" s="208" t="n">
        <x:f>'Beta HC3'!$E$13+'Beta HC3'!$E$12*I419</x:f>
        <x:v>0.00977603861424828</x:v>
      </x:c>
      <x:c r="K419" s="240" t="n">
        <x:f>H419-J419</x:f>
        <x:v>0.028681948127203566</x:v>
      </x:c>
      <x:c r="L419" s="240" t="n">
        <x:f>I419-'Beta HC3'!$E$9</x:f>
        <x:v>0.008096103451155294</x:v>
      </x:c>
      <x:c r="M419" s="240" t="n">
        <x:f>1/'Beta HC3'!$E$8+L419^2/'Beta HC3'!$E$11</x:f>
        <x:v>0.0012450515618207731</x:v>
      </x:c>
      <x:c r="N419" s="240" t="n">
        <x:f>K419^2/(1-M419)^2</x:f>
        <x:v>0.0008247064741173452</x:v>
      </x:c>
      <x:c r="O419" s="240" t="n">
        <x:f>N419*L419^2/'Beta HC3'!$E$11^2</x:f>
        <x:v>0.0000025279368720943903</x:v>
      </x:c>
      <x:c r="P419" s="240" t="n">
        <x:f>N419*(1/'Beta HC3'!$E$8-'Beta HC3'!$E$9*L419/'Beta HC3'!$E$11)^2</x:f>
        <x:v>4.833835016183441e-10</x:v>
      </x:c>
      <x:c r="Q419" s="240" t="n">
        <x:f>N419*(1/'Beta HC3'!$E$8-'Beta HC3'!$E$9*L419/'Beta HC3'!$E$11)*L419/'Beta HC3'!$E$11</x:f>
        <x:v>3.495658703453629e-8</x:v>
      </x:c>
      <x:c r="R419" s="240" t="n">
        <x:f>K419*L419/'Beta HC3'!$E$11</x:f>
        <x:v>0.001587969132975429</x:v>
      </x:c>
      <x:c r="S419" s="240" t="n">
        <x:f>(K419-K418)^2</x:f>
        <x:v>0.0006246484513090987</x:v>
      </x:c>
      <x:c r="T419" s="280" t="n">
        <x:f>E419/$E$9*100</x:f>
        <x:v>112.30237354495162</x:v>
      </x:c>
    </x:row>
    <x:row r="420" ht="24" customHeight="1">
      <x:c r="C420" s="274" t="d">
        <x:v>2023-05-26T00:00:00.000Z</x:v>
      </x:c>
      <x:c r="D420" s="191" t="n">
        <x:v>332.8900146484375</x:v>
      </x:c>
      <x:c r="E420" s="191" t="n">
        <x:v>324.5843811035156</x:v>
      </x:c>
      <x:c r="F420" s="191" t="n">
        <x:v>420.0199890136719</x:v>
      </x:c>
      <x:c r="G420" s="191" t="n">
        <x:v>402.15057373046875</x:v>
      </x:c>
      <x:c r="H420" s="208" t="n">
        <x:f>E420/E419-1</x:f>
        <x:v>0.02138556250298307</x:v>
      </x:c>
      <x:c r="I420" s="208" t="n">
        <x:f>G420/G419-1</x:f>
        <x:v>0.012950689020501782</x:v>
      </x:c>
      <x:c r="J420" s="208" t="n">
        <x:f>'Beta HC3'!$E$13+'Beta HC3'!$E$12*I420</x:f>
        <x:v>0.014615070442979591</x:v>
      </x:c>
      <x:c r="K420" s="240" t="n">
        <x:f>H420-J420</x:f>
        <x:v>0.006770492060003477</x:v>
      </x:c>
      <x:c r="L420" s="240" t="n">
        <x:f>I420-'Beta HC3'!$E$9</x:f>
        <x:v>0.012386741402841343</x:v>
      </x:c>
      <x:c r="M420" s="240" t="n">
        <x:f>1/'Beta HC3'!$E$8+L420^2/'Beta HC3'!$E$11</x:f>
        <x:v>0.0018460446906956223</x:v>
      </x:c>
      <x:c r="N420" s="240" t="n">
        <x:f>K420^2/(1-M420)^2</x:f>
        <x:v>0.00004600927630090767</x:v>
      </x:c>
      <x:c r="O420" s="240" t="n">
        <x:f>N420*L420^2/'Beta HC3'!$E$11^2</x:f>
        <x:v>3.301218474287501e-7</x:v>
      </x:c>
      <x:c r="P420" s="240" t="n">
        <x:f>N420*(1/'Beta HC3'!$E$8-'Beta HC3'!$E$9*L420/'Beta HC3'!$E$11)^2</x:f>
        <x:v>2.581421192610554e-11</x:v>
      </x:c>
      <x:c r="Q420" s="240" t="n">
        <x:f>N420*(1/'Beta HC3'!$E$8-'Beta HC3'!$E$9*L420/'Beta HC3'!$E$11)*L420/'Beta HC3'!$E$11</x:f>
        <x:v>2.9192182739499348e-9</x:v>
      </x:c>
      <x:c r="R420" s="240" t="n">
        <x:f>K420*L420/'Beta HC3'!$E$11</x:f>
        <x:v>0.0005735016417389446</x:v>
      </x:c>
      <x:c r="S420" s="240" t="n">
        <x:f>(K420-K419)^2</x:f>
        <x:v>0.0004801119069848396</x:v>
      </x:c>
      <x:c r="T420" s="280" t="n">
        <x:f>E420/$E$9*100</x:f>
        <x:v>114.70402297363054</x:v>
      </x:c>
    </x:row>
    <x:row r="421" ht="24" customHeight="1">
      <x:c r="C421" s="274" t="d">
        <x:v>2023-05-30T00:00:00.000Z</x:v>
      </x:c>
      <x:c r="D421" s="191" t="n">
        <x:v>331.2099914550781</x:v>
      </x:c>
      <x:c r="E421" s="191" t="n">
        <x:v>322.9462890625</x:v>
      </x:c>
      <x:c r="F421" s="191" t="n">
        <x:v>420.17999267578125</x:v>
      </x:c>
      <x:c r="G421" s="191" t="n">
        <x:v>402.30364990234375</x:v>
      </x:c>
      <x:c r="H421" s="208" t="n">
        <x:f>E421/E420-1</x:f>
        <x:v>-0.005046737108687971</x:v>
      </x:c>
      <x:c r="I421" s="208" t="n">
        <x:f>G421/G420-1</x:f>
        <x:v>0.0003806439226357039</x:v>
      </x:c>
      <x:c r="J421" s="208" t="n">
        <x:f>'Beta HC3'!$E$13+'Beta HC3'!$E$12*I421</x:f>
        <x:v>0.0004384260833082241</x:v>
      </x:c>
      <x:c r="K421" s="240" t="n">
        <x:f>H421-J421</x:f>
        <x:v>-0.005485163191996195</x:v>
      </x:c>
      <x:c r="L421" s="240" t="n">
        <x:f>I421-'Beta HC3'!$E$9</x:f>
        <x:v>-0.00018330369502473547</x:v>
      </x:c>
      <x:c r="M421" s="240" t="n">
        <x:f>1/'Beta HC3'!$E$8+L421^2/'Beta HC3'!$E$11</x:f>
        <x:v>0.0007970425224303563</x:v>
      </x:c>
      <x:c r="N421" s="240" t="n">
        <x:f>K421^2/(1-M421)^2</x:f>
        <x:v>0.00003013503390561783</x:v>
      </x:c>
      <x:c r="O421" s="240" t="n">
        <x:f>N421*L421^2/'Beta HC3'!$E$11^2</x:f>
        <x:v>4.735096631792105e-11</x:v>
      </x:c>
      <x:c r="P421" s="240" t="n">
        <x:f>N421*(1/'Beta HC3'!$E$8-'Beta HC3'!$E$9*L421/'Beta HC3'!$E$11)^2</x:f>
        <x:v>1.9167015089150007e-11</x:v>
      </x:c>
      <x:c r="Q421" s="240" t="n">
        <x:f>N421*(1/'Beta HC3'!$E$8-'Beta HC3'!$E$9*L421/'Beta HC3'!$E$11)*L421/'Beta HC3'!$E$11</x:f>
        <x:v>-3.012601344189813e-11</x:v>
      </x:c>
      <x:c r="R421" s="240" t="n">
        <x:f>K421*L421/'Beta HC3'!$E$11</x:f>
        <x:v>0.0000068757192301332</x:v>
      </x:c>
      <x:c r="S421" s="240" t="n">
        <x:f>(K421-K420)^2</x:f>
        <x:v>0.00015020108565586715</x:v>
      </x:c>
      <x:c r="T421" s="280" t="n">
        <x:f>E421/$E$9*100</x:f>
        <x:v>114.12514192437374</x:v>
      </x:c>
    </x:row>
    <x:row r="422" ht="24" customHeight="1">
      <x:c r="C422" s="274" t="d">
        <x:v>2023-05-31T00:00:00.000Z</x:v>
      </x:c>
      <x:c r="D422" s="191" t="n">
        <x:v>328.3900146484375</x:v>
      </x:c>
      <x:c r="E422" s="191" t="n">
        <x:v>320.19671630859375</x:v>
      </x:c>
      <x:c r="F422" s="191" t="n">
        <x:v>417.8500061035156</x:v>
      </x:c>
      <x:c r="G422" s="191" t="n">
        <x:v>400.0728759765625</x:v>
      </x:c>
      <x:c r="H422" s="208" t="n">
        <x:f>E422/E421-1</x:f>
        <x:v>-0.008514024923116925</x:v>
      </x:c>
      <x:c r="I422" s="208" t="n">
        <x:f>G422/G421-1</x:f>
        <x:v>-0.005545000465003835</x:v>
      </x:c>
      <x:c r="J422" s="208" t="n">
        <x:f>'Beta HC3'!$E$13+'Beta HC3'!$E$12*I422</x:f>
        <x:v>-0.006244585189237599</x:v>
      </x:c>
      <x:c r="K422" s="240" t="n">
        <x:f>H422-J422</x:f>
        <x:v>-0.002269439733879326</x:v>
      </x:c>
      <x:c r="L422" s="240" t="n">
        <x:f>I422-'Beta HC3'!$E$9</x:f>
        <x:v>-0.006108948082664275</x:v>
      </x:c>
      <x:c r="M422" s="240" t="n">
        <x:f>1/'Beta HC3'!$E$8+L422^2/'Beta HC3'!$E$11</x:f>
        <x:v>0.0010520183666456388</x:v>
      </x:c>
      <x:c r="N422" s="240" t="n">
        <x:f>K422^2/(1-M422)^2</x:f>
        <x:v>0.000005161210369784928</x:v>
      </x:c>
      <x:c r="O422" s="240" t="n">
        <x:f>N422*L422^2/'Beta HC3'!$E$11^2</x:f>
        <x:v>9.007393844990887e-9</x:v>
      </x:c>
      <x:c r="P422" s="240" t="n">
        <x:f>N422*(1/'Beta HC3'!$E$8-'Beta HC3'!$E$9*L422/'Beta HC3'!$E$11)^2</x:f>
        <x:v>3.473547815576275e-12</x:v>
      </x:c>
      <x:c r="Q422" s="240" t="n">
        <x:f>N422*(1/'Beta HC3'!$E$8-'Beta HC3'!$E$9*L422/'Beta HC3'!$E$11)*L422/'Beta HC3'!$E$11</x:f>
        <x:v>-1.768830495392458e-10</x:v>
      </x:c>
      <x:c r="R422" s="240" t="n">
        <x:f>K422*L422/'Beta HC3'!$E$11</x:f>
        <x:v>0.00009480744657639864</x:v>
      </x:c>
      <x:c r="S422" s="240" t="n">
        <x:f>(K422-K421)^2</x:f>
        <x:v>0.000010340877359083116</x:v>
      </x:c>
      <x:c r="T422" s="280" t="n">
        <x:f>E422/$E$9*100</x:f>
        <x:v>113.15347762167534</x:v>
      </x:c>
    </x:row>
    <x:row r="423" ht="24" customHeight="1">
      <x:c r="C423" s="274" t="d">
        <x:v>2023-06-01T00:00:00.000Z</x:v>
      </x:c>
      <x:c r="D423" s="191" t="n">
        <x:v>332.5799865722656</x:v>
      </x:c>
      <x:c r="E423" s="191" t="n">
        <x:v>324.2821350097656</x:v>
      </x:c>
      <x:c r="F423" s="191" t="n">
        <x:v>421.82000732421875</x:v>
      </x:c>
      <x:c r="G423" s="191" t="n">
        <x:v>403.8739318847656</x:v>
      </x:c>
      <x:c r="H423" s="208" t="n">
        <x:f>E423/E422-1</x:f>
        <x:v>0.012759089937807166</x:v>
      </x:c>
      <x:c r="I423" s="208" t="n">
        <x:f>G423/G422-1</x:f>
        <x:v>0.009500908800490038</x:v>
      </x:c>
      <x:c r="J423" s="208" t="n">
        <x:f>'Beta HC3'!$E$13+'Beta HC3'!$E$12*I423</x:f>
        <x:v>0.010724367830748089</x:v>
      </x:c>
      <x:c r="K423" s="240" t="n">
        <x:f>H423-J423</x:f>
        <x:v>0.002034722107059078</x:v>
      </x:c>
      <x:c r="L423" s="240" t="n">
        <x:f>I423-'Beta HC3'!$E$9</x:f>
        <x:v>0.008936961182829599</x:v>
      </x:c>
      <x:c r="M423" s="240" t="n">
        <x:f>1/'Beta HC3'!$E$8+L423^2/'Beta HC3'!$E$11</x:f>
        <x:v>0.0013429943983914706</x:v>
      </x:c>
      <x:c r="N423" s="240" t="n">
        <x:f>K423^2/(1-M423)^2</x:f>
        <x:v>0.000004151236741022576</x:v>
      </x:c>
      <x:c r="O423" s="240" t="n">
        <x:f>N423*L423^2/'Beta HC3'!$E$11^2</x:f>
        <x:v>1.5505007030987365e-8</x:v>
      </x:c>
      <x:c r="P423" s="240" t="n">
        <x:f>N423*(1/'Beta HC3'!$E$8-'Beta HC3'!$E$9*L423/'Beta HC3'!$E$11)^2</x:f>
        <x:v>2.4125873610675195e-12</x:v>
      </x:c>
      <x:c r="Q423" s="240" t="n">
        <x:f>N423*(1/'Beta HC3'!$E$8-'Beta HC3'!$E$9*L423/'Beta HC3'!$E$11)*L423/'Beta HC3'!$E$11</x:f>
        <x:v>1.9340936894634436e-10</x:v>
      </x:c>
      <x:c r="R423" s="240" t="n">
        <x:f>K423*L423/'Beta HC3'!$E$11</x:f>
        <x:v>0.000124351874618621</x:v>
      </x:c>
      <x:c r="S423" s="240" t="n">
        <x:f>(K423-K422)^2</x:f>
        <x:v>0.00001852580915299027</x:v>
      </x:c>
      <x:c r="T423" s="280" t="n">
        <x:f>E423/$E$9*100</x:f>
        <x:v>114.59721301942596</x:v>
      </x:c>
    </x:row>
    <x:row r="424" ht="24" customHeight="1">
      <x:c r="C424" s="274" t="d">
        <x:v>2023-06-02T00:00:00.000Z</x:v>
      </x:c>
      <x:c r="D424" s="191" t="n">
        <x:v>335.3999938964844</x:v>
      </x:c>
      <x:c r="E424" s="191" t="n">
        <x:v>327.03179931640625</x:v>
      </x:c>
      <x:c r="F424" s="191" t="n">
        <x:v>427.9200134277344</x:v>
      </x:c>
      <x:c r="G424" s="191" t="n">
        <x:v>409.71441650390625</x:v>
      </x:c>
      <x:c r="H424" s="208" t="n">
        <x:f>E424/E423-1</x:f>
        <x:v>0.008479234622523535</x:v>
      </x:c>
      <x:c r="I424" s="208" t="n">
        <x:f>G424/G423-1</x:f>
        <x:v>0.014461157698108185</x:v>
      </x:c>
      <x:c r="J424" s="208" t="n">
        <x:f>'Beta HC3'!$E$13+'Beta HC3'!$E$12*I424</x:f>
        <x:v>0.016318594741590444</x:v>
      </x:c>
      <x:c r="K424" s="240" t="n">
        <x:f>H424-J424</x:f>
        <x:v>-0.00783936011906691</x:v>
      </x:c>
      <x:c r="L424" s="240" t="n">
        <x:f>I424-'Beta HC3'!$E$9</x:f>
        <x:v>0.013897210080447746</x:v>
      </x:c>
      <x:c r="M424" s="240" t="n">
        <x:f>1/'Beta HC3'!$E$8+L424^2/'Beta HC3'!$E$11</x:f>
        <x:v>0.002117538381828813</x:v>
      </x:c>
      <x:c r="N424" s="240" t="n">
        <x:f>K424^2/(1-M424)^2</x:f>
        <x:v>0.0000617166651553457</x:v>
      </x:c>
      <x:c r="O424" s="240" t="n">
        <x:f>N424*L424^2/'Beta HC3'!$E$11^2</x:f>
        <x:v>5.574070011087362e-7</x:v>
      </x:c>
      <x:c r="P424" s="240" t="n">
        <x:f>N424*(1/'Beta HC3'!$E$8-'Beta HC3'!$E$9*L424/'Beta HC3'!$E$11)^2</x:f>
        <x:v>3.4090602121136213e-11</x:v>
      </x:c>
      <x:c r="Q424" s="240" t="n">
        <x:f>N424*(1/'Beta HC3'!$E$8-'Beta HC3'!$E$9*L424/'Beta HC3'!$E$11)*L424/'Beta HC3'!$E$11</x:f>
        <x:v>4.359167385445719e-9</x:v>
      </x:c>
      <x:c r="R424" s="240" t="n">
        <x:f>K424*L424/'Beta HC3'!$E$11</x:f>
        <x:v>-0.0007450159992013873</x:v>
      </x:c>
      <x:c r="S424" s="240" t="n">
        <x:f>(K424-K423)^2</x:f>
        <x:v>0.00009749749980829713</x:v>
      </x:c>
      <x:c r="T424" s="280" t="n">
        <x:f>E424/$E$9*100</x:f>
        <x:v>115.56890967570497</x:v>
      </x:c>
    </x:row>
    <x:row r="425" ht="24" customHeight="1">
      <x:c r="C425" s="274" t="d">
        <x:v>2023-06-05T00:00:00.000Z</x:v>
      </x:c>
      <x:c r="D425" s="191" t="n">
        <x:v>335.94000244140625</x:v>
      </x:c>
      <x:c r="E425" s="191" t="n">
        <x:v>327.5583190917969</x:v>
      </x:c>
      <x:c r="F425" s="191" t="n">
        <x:v>427.1000061035156</x:v>
      </x:c>
      <x:c r="G425" s="191" t="n">
        <x:v>408.9292907714844</x:v>
      </x:c>
      <x:c r="H425" s="208" t="n">
        <x:f>E425/E424-1</x:f>
        <x:v>0.0016099956533011106</x:v>
      </x:c>
      <x:c r="I425" s="208" t="n">
        <x:f>G425/G424-1</x:f>
        <x:v>-0.00191627558317653</x:v>
      </x:c>
      <x:c r="J425" s="208" t="n">
        <x:f>'Beta HC3'!$E$13+'Beta HC3'!$E$12*I425</x:f>
        <x:v>-0.002152066687654074</x:v>
      </x:c>
      <x:c r="K425" s="240" t="n">
        <x:f>H425-J425</x:f>
        <x:v>0.0037620623409551847</x:v>
      </x:c>
      <x:c r="L425" s="240" t="n">
        <x:f>I425-'Beta HC3'!$E$9</x:f>
        <x:v>-0.002480223200836969</x:v>
      </x:c>
      <x:c r="M425" s="240" t="n">
        <x:f>1/'Beta HC3'!$E$8+L425^2/'Beta HC3'!$E$11</x:f>
        <x:v>0.0008388794924490197</x:v>
      </x:c>
      <x:c r="N425" s="240" t="n">
        <x:f>K425^2/(1-M425)^2</x:f>
        <x:v>0.000014176888482719993</x:v>
      </x:c>
      <x:c r="O425" s="240" t="n">
        <x:f>N425*L425^2/'Beta HC3'!$E$11^2</x:f>
        <x:v>4.0782812944975835e-9</x:v>
      </x:c>
      <x:c r="P425" s="240" t="n">
        <x:f>N425*(1/'Beta HC3'!$E$8-'Beta HC3'!$E$9*L425/'Beta HC3'!$E$11)^2</x:f>
        <x:v>9.218452868189397e-12</x:v>
      </x:c>
      <x:c r="Q425" s="240" t="n">
        <x:f>N425*(1/'Beta HC3'!$E$8-'Beta HC3'!$E$9*L425/'Beta HC3'!$E$11)*L425/'Beta HC3'!$E$11</x:f>
        <x:v>-1.938954457859813e-10</x:v>
      </x:c>
      <x:c r="R425" s="240" t="n">
        <x:f>K425*L425/'Beta HC3'!$E$11</x:f>
        <x:v>-0.0000638078505465905</x:v>
      </x:c>
      <x:c r="S425" s="240" t="n">
        <x:f>(K425-K424)^2</x:f>
        <x:v>0.0001345930030959051</x:v>
      </x:c>
      <x:c r="T425" s="280" t="n">
        <x:f>E425/$E$9*100</x:f>
        <x:v>115.7549751179396</x:v>
      </x:c>
    </x:row>
    <x:row r="426" ht="24" customHeight="1">
      <x:c r="C426" s="274" t="d">
        <x:v>2023-06-06T00:00:00.000Z</x:v>
      </x:c>
      <x:c r="D426" s="191" t="n">
        <x:v>333.67999267578125</x:v>
      </x:c>
      <x:c r="E426" s="191" t="n">
        <x:v>325.3546447753906</x:v>
      </x:c>
      <x:c r="F426" s="191" t="n">
        <x:v>428.0299987792969</x:v>
      </x:c>
      <x:c r="G426" s="191" t="n">
        <x:v>409.8197326660156</x:v>
      </x:c>
      <x:c r="H426" s="208" t="n">
        <x:f>E426/E425-1</x:f>
        <x:v>-0.006727578534766798</x:v>
      </x:c>
      <x:c r="I426" s="208" t="n">
        <x:f>G426/G425-1</x:f>
        <x:v>0.002177495999005963</x:v>
      </x:c>
      <x:c r="J426" s="208" t="n">
        <x:f>'Beta HC3'!$E$13+'Beta HC3'!$E$12*I426</x:f>
        <x:v>0.002464936939499395</x:v>
      </x:c>
      <x:c r="K426" s="240" t="n">
        <x:f>H426-J426</x:f>
        <x:v>-0.009192515474266194</x:v>
      </x:c>
      <x:c r="L426" s="240" t="n">
        <x:f>I426-'Beta HC3'!$E$9</x:f>
        <x:v>0.0016135483813455235</x:v>
      </x:c>
      <x:c r="M426" s="240" t="n">
        <x:f>1/'Beta HC3'!$E$8+L426^2/'Beta HC3'!$E$11</x:f>
        <x:v>0.0008146169031394666</x:v>
      </x:c>
      <x:c r="N426" s="240" t="n">
        <x:f>K426^2/(1-M426)^2</x:f>
        <x:v>0.00008464018322521887</x:v>
      </x:c>
      <x:c r="O426" s="240" t="n">
        <x:f>N426*L426^2/'Beta HC3'!$E$11^2</x:f>
        <x:v>1.030517334884157e-8</x:v>
      </x:c>
      <x:c r="P426" s="240" t="n">
        <x:f>N426*(1/'Beta HC3'!$E$8-'Beta HC3'!$E$9*L426/'Beta HC3'!$E$11)^2</x:f>
        <x:v>5.2902877378071674e-11</x:v>
      </x:c>
      <x:c r="Q426" s="240" t="n">
        <x:f>N426*(1/'Beta HC3'!$E$8-'Beta HC3'!$E$9*L426/'Beta HC3'!$E$11)*L426/'Beta HC3'!$E$11</x:f>
        <x:v>7.383585321735896e-10</x:v>
      </x:c>
      <x:c r="R426" s="240" t="n">
        <x:f>K426*L426/'Beta HC3'!$E$11</x:f>
        <x:v>-0.0001014317043658555</x:v>
      </x:c>
      <x:c r="S426" s="240" t="n">
        <x:f>(K426-K425)^2</x:f>
        <x:v>0.0001678210863706259</x:v>
      </x:c>
      <x:c r="T426" s="280" t="n">
        <x:f>E426/$E$9*100</x:f>
        <x:v>114.97622443204367</x:v>
      </x:c>
    </x:row>
    <x:row r="427" ht="24" customHeight="1">
      <x:c r="C427" s="274" t="d">
        <x:v>2023-06-07T00:00:00.000Z</x:v>
      </x:c>
      <x:c r="D427" s="191" t="n">
        <x:v>323.3800048828125</x:v>
      </x:c>
      <x:c r="E427" s="191" t="n">
        <x:v>315.31170654296875</x:v>
      </x:c>
      <x:c r="F427" s="191" t="n">
        <x:v>426.54998779296875</x:v>
      </x:c>
      <x:c r="G427" s="191" t="n">
        <x:v>408.4027099609375</x:v>
      </x:c>
      <x:c r="H427" s="208" t="n">
        <x:f>E427/E426-1</x:f>
        <x:v>-0.030867665157677582</x:v>
      </x:c>
      <x:c r="I427" s="208" t="n">
        <x:f>G427/G426-1</x:f>
        <x:v>-0.0034576731966026175</x:v>
      </x:c>
      <x:c r="J427" s="208" t="n">
        <x:f>'Beta HC3'!$E$13+'Beta HC3'!$E$12*I427</x:f>
        <x:v>-0.003890473003005916</x:v>
      </x:c>
      <x:c r="K427" s="240" t="n">
        <x:f>H427-J427</x:f>
        <x:v>-0.026977192154671665</x:v>
      </x:c>
      <x:c r="L427" s="240" t="n">
        <x:f>I427-'Beta HC3'!$E$9</x:f>
        <x:v>-0.004021620814263057</x:v>
      </x:c>
      <x:c r="M427" s="240" t="n">
        <x:f>1/'Beta HC3'!$E$8+L427^2/'Beta HC3'!$E$11</x:f>
        <x:v>0.000907413888475177</x:v>
      </x:c>
      <x:c r="N427" s="240" t="n">
        <x:f>K427^2/(1-M427)^2</x:f>
        <x:v>0.000729091471670912</x:v>
      </x:c>
      <x:c r="O427" s="240" t="n">
        <x:f>N427*L427^2/'Beta HC3'!$E$11^2</x:f>
        <x:v>5.514409084740535e-7</x:v>
      </x:c>
      <x:c r="P427" s="240" t="n">
        <x:f>N427*(1/'Beta HC3'!$E$8-'Beta HC3'!$E$9*L427/'Beta HC3'!$E$11)^2</x:f>
        <x:v>4.811036969464075e-10</x:v>
      </x:c>
      <x:c r="Q427" s="240" t="n">
        <x:f>N427*(1/'Beta HC3'!$E$8-'Beta HC3'!$E$9*L427/'Beta HC3'!$E$11)*L427/'Beta HC3'!$E$11</x:f>
        <x:v>-1.628804038902018e-8</x:v>
      </x:c>
      <x:c r="R427" s="240" t="n">
        <x:f>K427*L427/'Beta HC3'!$E$11</x:f>
        <x:v>0.0007419168364799608</x:v>
      </x:c>
      <x:c r="S427" s="240" t="n">
        <x:f>(K427-K426)^2</x:f>
        <x:v>0.00031629472462655814</x:v>
      </x:c>
      <x:c r="T427" s="280" t="n">
        <x:f>E427/$E$9*100</x:f>
        <x:v>111.42717683518137</x:v>
      </x:c>
    </x:row>
    <x:row r="428" ht="24" customHeight="1">
      <x:c r="C428" s="274" t="d">
        <x:v>2023-06-08T00:00:00.000Z</x:v>
      </x:c>
      <x:c r="D428" s="191" t="n">
        <x:v>325.260009765625</x:v>
      </x:c>
      <x:c r="E428" s="191" t="n">
        <x:v>317.1448059082031</x:v>
      </x:c>
      <x:c r="F428" s="191" t="n">
        <x:v>429.1300048828125</x:v>
      </x:c>
      <x:c r="G428" s="191" t="n">
        <x:v>410.8729553222656</x:v>
      </x:c>
      <x:c r="H428" s="208" t="n">
        <x:f>E428/E427-1</x:f>
        <x:v>0.0058136102377301935</x:v>
      </x:c>
      <x:c r="I428" s="208" t="n">
        <x:f>G428/G427-1</x:f>
        <x:v>0.006048552815833164</x:v>
      </x:c>
      <x:c r="J428" s="208" t="n">
        <x:f>'Beta HC3'!$E$13+'Beta HC3'!$E$12*I428</x:f>
        <x:v>0.006830760240925502</x:v>
      </x:c>
      <x:c r="K428" s="240" t="n">
        <x:f>H428-J428</x:f>
        <x:v>-0.0010171500031953083</x:v>
      </x:c>
      <x:c r="L428" s="240" t="n">
        <x:f>I428-'Beta HC3'!$E$9</x:f>
        <x:v>0.005484605198172724</x:v>
      </x:c>
      <x:c r="M428" s="240" t="n">
        <x:f>1/'Beta HC3'!$E$8+L428^2/'Beta HC3'!$E$11</x:f>
        <x:v>0.0010025192908557677</x:v>
      </x:c>
      <x:c r="N428" s="240" t="n">
        <x:f>K428^2/(1-M428)^2</x:f>
        <x:v>0.000001036671653760985</x:v>
      </x:c>
      <x:c r="O428" s="240" t="n">
        <x:f>N428*L428^2/'Beta HC3'!$E$11^2</x:f>
        <x:v>1.4582993702937603e-9</x:v>
      </x:c>
      <x:c r="P428" s="240" t="n">
        <x:f>N428*(1/'Beta HC3'!$E$8-'Beta HC3'!$E$9*L428/'Beta HC3'!$E$11)^2</x:f>
        <x:v>6.237138617602951e-13</x:v>
      </x:c>
      <x:c r="Q428" s="240" t="n">
        <x:f>N428*(1/'Beta HC3'!$E$8-'Beta HC3'!$E$9*L428/'Beta HC3'!$E$11)*L428/'Beta HC3'!$E$11</x:f>
        <x:v>3.015893784350715e-11</x:v>
      </x:c>
      <x:c r="R428" s="240" t="n">
        <x:f>K428*L428/'Beta HC3'!$E$11</x:f>
        <x:v>-0.00003814940221614255</x:v>
      </x:c>
      <x:c r="S428" s="240" t="n">
        <x:f>(K428-K427)^2</x:f>
        <x:v>0.0006739237885064291</x:v>
      </x:c>
      <x:c r="T428" s="280" t="n">
        <x:f>E428/$E$9*100</x:f>
        <x:v>112.07497101119175</x:v>
      </x:c>
    </x:row>
    <x:row r="429" ht="24" customHeight="1">
      <x:c r="C429" s="274" t="d">
        <x:v>2023-06-09T00:00:00.000Z</x:v>
      </x:c>
      <x:c r="D429" s="191" t="n">
        <x:v>326.7900085449219</x:v>
      </x:c>
      <x:c r="E429" s="191" t="n">
        <x:v>318.6365966796875</x:v>
      </x:c>
      <x:c r="F429" s="191" t="n">
        <x:v>429.8999938964844</x:v>
      </x:c>
      <x:c r="G429" s="191" t="n">
        <x:v>411.61016845703125</x:v>
      </x:c>
      <x:c r="H429" s="208" t="n">
        <x:f>E429/E428-1</x:f>
        <x:v>0.004703815871151873</x:v>
      </x:c>
      <x:c r="I429" s="208" t="n">
        <x:f>G429/G428-1</x:f>
        <x:v>0.0017942605499243758</x:v>
      </x:c>
      <x:c r="J429" s="208" t="n">
        <x:f>'Beta HC3'!$E$13+'Beta HC3'!$E$12*I429</x:f>
        <x:v>0.002032719503098079</x:v>
      </x:c>
      <x:c r="K429" s="240" t="n">
        <x:f>H429-J429</x:f>
        <x:v>0.002671096368053794</x:v>
      </x:c>
      <x:c r="L429" s="240" t="n">
        <x:f>I429-'Beta HC3'!$E$9</x:f>
        <x:v>0.0012303129322639365</x:v>
      </x:c>
      <x:c r="M429" s="240" t="n">
        <x:f>1/'Beta HC3'!$E$8+L429^2/'Beta HC3'!$E$11</x:f>
        <x:v>0.0008071638975136126</x:v>
      </x:c>
      <x:c r="N429" s="240" t="n">
        <x:f>K429^2/(1-M429)^2</x:f>
        <x:v>0.0000071462876022344555</x:v>
      </x:c>
      <x:c r="O429" s="240" t="n">
        <x:f>N429*L429^2/'Beta HC3'!$E$11^2</x:f>
        <x:v>5.058554010298015e-10</x:v>
      </x:c>
      <x:c r="P429" s="240" t="n">
        <x:f>N429*(1/'Beta HC3'!$E$8-'Beta HC3'!$E$9*L429/'Beta HC3'!$E$11)^2</x:f>
        <x:v>4.483378909297489e-12</x:v>
      </x:c>
      <x:c r="Q429" s="240" t="n">
        <x:f>N429*(1/'Beta HC3'!$E$8-'Beta HC3'!$E$9*L429/'Beta HC3'!$E$11)*L429/'Beta HC3'!$E$11</x:f>
        <x:v>4.7622908732365724e-11</x:v>
      </x:c>
      <x:c r="R429" s="240" t="n">
        <x:f>K429*L429/'Beta HC3'!$E$11</x:f>
        <x:v>0.00002247307531619352</x:v>
      </x:c>
      <x:c r="S429" s="240" t="n">
        <x:f>(K429-K428)^2</x:f>
        <x:v>0.00001360316129503217</x:v>
      </x:c>
      <x:c r="T429" s="280" t="n">
        <x:f>E429/$E$9*100</x:f>
        <x:v>112.60215103859308</x:v>
      </x:c>
    </x:row>
    <x:row r="430" ht="24" customHeight="1">
      <x:c r="C430" s="274" t="d">
        <x:v>2023-06-12T00:00:00.000Z</x:v>
      </x:c>
      <x:c r="D430" s="191" t="n">
        <x:v>331.8500061035156</x:v>
      </x:c>
      <x:c r="E430" s="191" t="n">
        <x:v>323.57037353515625</x:v>
      </x:c>
      <x:c r="F430" s="191" t="n">
        <x:v>433.79998779296875</x:v>
      </x:c>
      <x:c r="G430" s="191" t="n">
        <x:v>415.34423828125</x:v>
      </x:c>
      <x:c r="H430" s="208" t="n">
        <x:f>E430/E429-1</x:f>
        <x:v>0.015484024455698187</x:v>
      </x:c>
      <x:c r="I430" s="208" t="n">
        <x:f>G430/G429-1</x:f>
        <x:v>0.009071860003401655</x:v>
      </x:c>
      <x:c r="J430" s="208" t="n">
        <x:f>'Beta HC3'!$E$13+'Beta HC3'!$E$12*I430</x:f>
        <x:v>0.010240481562885822</x:v>
      </x:c>
      <x:c r="K430" s="240" t="n">
        <x:f>H430-J430</x:f>
        <x:v>0.005243542892812364</x:v>
      </x:c>
      <x:c r="L430" s="240" t="n">
        <x:f>I430-'Beta HC3'!$E$9</x:f>
        <x:v>0.008507912385741216</x:v>
      </x:c>
      <x:c r="M430" s="240" t="n">
        <x:f>1/'Beta HC3'!$E$8+L430^2/'Beta HC3'!$E$11</x:f>
        <x:v>0.001291810674925279</x:v>
      </x:c>
      <x:c r="N430" s="240" t="n">
        <x:f>K430^2/(1-M430)^2</x:f>
        <x:v>0.00002756591595644989</x:v>
      </x:c>
      <x:c r="O430" s="240" t="n">
        <x:f>N430*L430^2/'Beta HC3'!$E$11^2</x:f>
        <x:v>9.331106974901484e-8</x:v>
      </x:c>
      <x:c r="P430" s="240" t="n">
        <x:f>N430*(1/'Beta HC3'!$E$8-'Beta HC3'!$E$9*L430/'Beta HC3'!$E$11)^2</x:f>
        <x:v>1.6090189600153538e-11</x:v>
      </x:c>
      <x:c r="Q430" s="240" t="n">
        <x:f>N430*(1/'Beta HC3'!$E$8-'Beta HC3'!$E$9*L430/'Beta HC3'!$E$11)*L430/'Beta HC3'!$E$11</x:f>
        <x:v>1.2253133493334674e-9</x:v>
      </x:c>
      <x:c r="R430" s="240" t="n">
        <x:f>K430*L430/'Beta HC3'!$E$11</x:f>
        <x:v>0.0003050739992070736</x:v>
      </x:c>
      <x:c r="S430" s="240" t="n">
        <x:f>(K430-K429)^2</x:f>
        <x:v>0.000006617481122742445</x:v>
      </x:c>
      <x:c r="T430" s="280" t="n">
        <x:f>E430/$E$9*100</x:f>
        <x:v>114.34568549903888</x:v>
      </x:c>
    </x:row>
    <x:row r="431" ht="24" customHeight="1">
      <x:c r="C431" s="274" t="d">
        <x:v>2023-06-13T00:00:00.000Z</x:v>
      </x:c>
      <x:c r="D431" s="191" t="n">
        <x:v>334.2900085449219</x:v>
      </x:c>
      <x:c r="E431" s="191" t="n">
        <x:v>325.949462890625</x:v>
      </x:c>
      <x:c r="F431" s="191" t="n">
        <x:v>436.6600036621094</x:v>
      </x:c>
      <x:c r="G431" s="191" t="n">
        <x:v>418.08258056640625</x:v>
      </x:c>
      <x:c r="H431" s="208" t="n">
        <x:f>E431/E430-1</x:f>
        <x:v>0.007352618008491074</x:v>
      </x:c>
      <x:c r="I431" s="208" t="n">
        <x:f>G431/G430-1</x:f>
        <x:v>0.006592946362968366</x:v>
      </x:c>
      <x:c r="J431" s="208" t="n">
        <x:f>'Beta HC3'!$E$13+'Beta HC3'!$E$12*I431</x:f>
        <x:v>0.007444733671358614</x:v>
      </x:c>
      <x:c r="K431" s="240" t="n">
        <x:f>H431-J431</x:f>
        <x:v>-0.00009211566286753976</x:v>
      </x:c>
      <x:c r="L431" s="240" t="n">
        <x:f>I431-'Beta HC3'!$E$9</x:f>
        <x:v>0.006028998745307926</x:v>
      </x:c>
      <x:c r="M431" s="240" t="n">
        <x:f>1/'Beta HC3'!$E$8+L431^2/'Beta HC3'!$E$11</x:f>
        <x:v>0.0010453821972917234</x:v>
      </x:c>
      <x:c r="N431" s="240" t="n">
        <x:f>K431^2/(1-M431)^2</x:f>
        <x:v>8.5030639565396e-9</x:v>
      </x:c>
      <x:c r="O431" s="240" t="n">
        <x:f>N431*L431^2/'Beta HC3'!$E$11^2</x:f>
        <x:v>1.4453750559457863e-11</x:v>
      </x:c>
      <x:c r="P431" s="240" t="n">
        <x:f>N431*(1/'Beta HC3'!$E$8-'Beta HC3'!$E$9*L431/'Beta HC3'!$E$11)^2</x:f>
        <x:v>5.088214812511069e-15</x:v>
      </x:c>
      <x:c r="Q431" s="240" t="n">
        <x:f>N431*(1/'Beta HC3'!$E$8-'Beta HC3'!$E$9*L431/'Beta HC3'!$E$11)*L431/'Beta HC3'!$E$11</x:f>
        <x:v>2.7118957887974535e-13</x:v>
      </x:c>
      <x:c r="R431" s="240" t="n">
        <x:f>K431*L431/'Beta HC3'!$E$11</x:f>
        <x:v>-0.00000379783451032619</x:v>
      </x:c>
      <x:c r="S431" s="240" t="n">
        <x:f>(K431-K430)^2</x:f>
        <x:v>0.00002846925222280016</x:v>
      </x:c>
      <x:c r="T431" s="280" t="n">
        <x:f>E431/$E$9*100</x:f>
        <x:v>115.18642564543235</x:v>
      </x:c>
    </x:row>
    <x:row r="432" ht="24" customHeight="1">
      <x:c r="C432" s="274" t="d">
        <x:v>2023-06-14T00:00:00.000Z</x:v>
      </x:c>
      <x:c r="D432" s="191" t="n">
        <x:v>337.3399963378906</x:v>
      </x:c>
      <x:c r="E432" s="191" t="n">
        <x:v>328.9233703613281</x:v>
      </x:c>
      <x:c r="F432" s="191" t="n">
        <x:v>437.17999267578125</x:v>
      </x:c>
      <x:c r="G432" s="191" t="n">
        <x:v>418.5804443359375</x:v>
      </x:c>
      <x:c r="H432" s="208" t="n">
        <x:f>E432/E431-1</x:f>
        <x:v>0.009123829946917406</x:v>
      </x:c>
      <x:c r="I432" s="208" t="n">
        <x:f>G432/G431-1</x:f>
        <x:v>0.001190826388549171</x:v>
      </x:c>
      <x:c r="J432" s="208" t="n">
        <x:f>'Beta HC3'!$E$13+'Beta HC3'!$E$12*I432</x:f>
        <x:v>0.001352159375136002</x:v>
      </x:c>
      <x:c r="K432" s="240" t="n">
        <x:f>H432-J432</x:f>
        <x:v>0.007771670571781403</x:v>
      </x:c>
      <x:c r="L432" s="240" t="n">
        <x:f>I432-'Beta HC3'!$E$9</x:f>
        <x:v>0.0006268787708887316</x:v>
      </x:c>
      <x:c r="M432" s="240" t="n">
        <x:f>1/'Beta HC3'!$E$8+L432^2/'Beta HC3'!$E$11</x:f>
        <x:v>0.0007995001005785257</x:v>
      </x:c>
      <x:c r="N432" s="240" t="n">
        <x:f>K432^2/(1-M432)^2</x:f>
        <x:v>0.000060495557215665</x:v>
      </x:c>
      <x:c r="O432" s="240" t="n">
        <x:f>N432*L432^2/'Beta HC3'!$E$11^2</x:f>
        <x:v>1.1117453707007782e-9</x:v>
      </x:c>
      <x:c r="P432" s="240" t="n">
        <x:f>N432*(1/'Beta HC3'!$E$8-'Beta HC3'!$E$9*L432/'Beta HC3'!$E$11)^2</x:f>
        <x:v>3.817654985721784e-11</x:v>
      </x:c>
      <x:c r="Q432" s="240" t="n">
        <x:f>N432*(1/'Beta HC3'!$E$8-'Beta HC3'!$E$9*L432/'Beta HC3'!$E$11)*L432/'Beta HC3'!$E$11</x:f>
        <x:v>2.0601602503953275e-10</x:v>
      </x:c>
      <x:c r="R432" s="240" t="n">
        <x:f>K432*L432/'Beta HC3'!$E$11</x:f>
        <x:v>0.00003331618826122656</x:v>
      </x:c>
      <x:c r="S432" s="240" t="n">
        <x:f>(K432-K431)^2</x:f>
        <x:v>0.00006183913394425421</x:v>
      </x:c>
      <x:c r="T432" s="280" t="n">
        <x:f>E432/$E$9*100</x:f>
        <x:v>116.23736700521454</x:v>
      </x:c>
    </x:row>
    <x:row r="433" ht="24" customHeight="1">
      <x:c r="C433" s="274" t="d">
        <x:v>2023-06-15T00:00:00.000Z</x:v>
      </x:c>
      <x:c r="D433" s="191" t="n">
        <x:v>348.1000061035156</x:v>
      </x:c>
      <x:c r="E433" s="191" t="n">
        <x:v>339.4149475097656</x:v>
      </x:c>
      <x:c r="F433" s="191" t="n">
        <x:v>442.6000061035156</x:v>
      </x:c>
      <x:c r="G433" s="191" t="n">
        <x:v>423.7699279785156</x:v>
      </x:c>
      <x:c r="H433" s="208" t="n">
        <x:f>E433/E432-1</x:f>
        <x:v>0.03189672152791179</x:v>
      </x:c>
      <x:c r="I433" s="208" t="n">
        <x:f>G433/G432-1</x:f>
        <x:v>0.012397816746577917</x:v>
      </x:c>
      <x:c r="J433" s="208" t="n">
        <x:f>'Beta HC3'!$E$13+'Beta HC3'!$E$12*I433</x:f>
        <x:v>0.013991534604983908</x:v>
      </x:c>
      <x:c r="K433" s="240" t="n">
        <x:f>H433-J433</x:f>
        <x:v>0.017905186922927877</x:v>
      </x:c>
      <x:c r="L433" s="240" t="n">
        <x:f>I433-'Beta HC3'!$E$9</x:f>
        <x:v>0.011833869128917478</x:v>
      </x:c>
      <x:c r="M433" s="240" t="n">
        <x:f>1/'Beta HC3'!$E$8+L433^2/'Beta HC3'!$E$11</x:f>
        <x:v>0.0017544717294045477</x:v>
      </x:c>
      <x:c r="N433" s="240" t="n">
        <x:f>K433^2/(1-M433)^2</x:f>
        <x:v>0.0003217236384813911</x:v>
      </x:c>
      <x:c r="O433" s="240" t="n">
        <x:f>N433*L433^2/'Beta HC3'!$E$11^2</x:f>
        <x:v>0.000002106935393128979</x:v>
      </x:c>
      <x:c r="P433" s="240" t="n">
        <x:f>N433*(1/'Beta HC3'!$E$8-'Beta HC3'!$E$9*L433/'Beta HC3'!$E$11)^2</x:f>
        <x:v>1.8153709607045956e-10</x:v>
      </x:c>
      <x:c r="Q433" s="240" t="n">
        <x:f>N433*(1/'Beta HC3'!$E$8-'Beta HC3'!$E$9*L433/'Beta HC3'!$E$11)*L433/'Beta HC3'!$E$11</x:f>
        <x:v>1.955727314521907e-8</x:v>
      </x:c>
      <x:c r="R433" s="240" t="n">
        <x:f>K433*L433/'Beta HC3'!$E$11</x:f>
        <x:v>0.0014489819741703676</x:v>
      </x:c>
      <x:c r="S433" s="240" t="n">
        <x:f>(K433-K432)^2</x:f>
        <x:v>0.00010268815363895294</x:v>
      </x:c>
      <x:c r="T433" s="280" t="n">
        <x:f>E433/$E$9*100</x:f>
        <x:v>119.94495793171755</x:v>
      </x:c>
    </x:row>
    <x:row r="434" ht="24" customHeight="1">
      <x:c r="C434" s="274" t="d">
        <x:v>2023-06-16T00:00:00.000Z</x:v>
      </x:c>
      <x:c r="D434" s="191" t="n">
        <x:v>342.3299865722656</x:v>
      </x:c>
      <x:c r="E434" s="191" t="n">
        <x:v>333.7888488769531</x:v>
      </x:c>
      <x:c r="F434" s="191" t="n">
        <x:v>439.4599914550781</x:v>
      </x:c>
      <x:c r="G434" s="191" t="n">
        <x:v>422.3264465332031</x:v>
      </x:c>
      <x:c r="H434" s="208" t="n">
        <x:f>E434/E433-1</x:f>
        <x:v>-0.016575871728956804</x:v>
      </x:c>
      <x:c r="I434" s="208" t="n">
        <x:f>G434/G433-1</x:f>
        <x:v>-0.0034062856989363066</x:v>
      </x:c>
      <x:c r="J434" s="208" t="n">
        <x:f>'Beta HC3'!$E$13+'Beta HC3'!$E$12*I434</x:f>
        <x:v>-0.0038325175801512752</x:v>
      </x:c>
      <x:c r="K434" s="240" t="n">
        <x:f>H434-J434</x:f>
        <x:v>-0.012743354148805529</x:v>
      </x:c>
      <x:c r="L434" s="240" t="n">
        <x:f>I434-'Beta HC3'!$E$9</x:f>
        <x:v>-0.003970233316596746</x:v>
      </x:c>
      <x:c r="M434" s="240" t="n">
        <x:f>1/'Beta HC3'!$E$8+L434^2/'Beta HC3'!$E$11</x:f>
        <x:v>0.0009046054663880911</x:v>
      </x:c>
      <x:c r="N434" s="240" t="n">
        <x:f>K434^2/(1-M434)^2</x:f>
        <x:v>0.00016268727743403954</x:v>
      </x:c>
      <x:c r="O434" s="240" t="n">
        <x:f>N434*L434^2/'Beta HC3'!$E$11^2</x:f>
        <x:v>1.199224170174538e-7</x:v>
      </x:c>
      <x:c r="P434" s="240" t="n">
        <x:f>N434*(1/'Beta HC3'!$E$8-'Beta HC3'!$E$9*L434/'Beta HC3'!$E$11)^2</x:f>
        <x:v>1.07299657867386e-10</x:v>
      </x:c>
      <x:c r="Q434" s="240" t="n">
        <x:f>N434*(1/'Beta HC3'!$E$8-'Beta HC3'!$E$9*L434/'Beta HC3'!$E$11)*L434/'Beta HC3'!$E$11</x:f>
        <x:v>-3.587148493804345e-9</x:v>
      </x:c>
      <x:c r="R434" s="240" t="n">
        <x:f>K434*L434/'Beta HC3'!$E$11</x:f>
        <x:v>0.0003459848988082282</x:v>
      </x:c>
      <x:c r="S434" s="240" t="n">
        <x:f>(K434-K433)^2</x:f>
        <x:v>0.0009393330698257294</x:v>
      </x:c>
      <x:c r="T434" s="280" t="n">
        <x:f>E434/$E$9*100</x:f>
        <x:v>117.95676569450629</x:v>
      </x:c>
    </x:row>
    <x:row r="435" ht="24" customHeight="1">
      <x:c r="C435" s="274" t="d">
        <x:v>2023-06-20T00:00:00.000Z</x:v>
      </x:c>
      <x:c r="D435" s="191" t="n">
        <x:v>338.04998779296875</x:v>
      </x:c>
      <x:c r="E435" s="191" t="n">
        <x:v>329.6156311035156</x:v>
      </x:c>
      <x:c r="F435" s="191" t="n">
        <x:v>437.17999267578125</x:v>
      </x:c>
      <x:c r="G435" s="191" t="n">
        <x:v>420.13531494140625</x:v>
      </x:c>
      <x:c r="H435" s="208" t="n">
        <x:f>E435/E434-1</x:f>
        <x:v>-0.012502567978164847</x:v>
      </x:c>
      <x:c r="I435" s="208" t="n">
        <x:f>G435/G434-1</x:f>
        <x:v>-0.005188241488979561</x:v>
      </x:c>
      <x:c r="J435" s="208" t="n">
        <x:f>'Beta HC3'!$E$13+'Beta HC3'!$E$12*I435</x:f>
        <x:v>-0.005842228229828181</x:v>
      </x:c>
      <x:c r="K435" s="240" t="n">
        <x:f>H435-J435</x:f>
        <x:v>-0.006660339748336666</x:v>
      </x:c>
      <x:c r="L435" s="240" t="n">
        <x:f>I435-'Beta HC3'!$E$9</x:f>
        <x:v>-0.005752189106640001</x:v>
      </x:c>
      <x:c r="M435" s="240" t="n">
        <x:f>1/'Beta HC3'!$E$8+L435^2/'Beta HC3'!$E$11</x:f>
        <x:v>0.0010230810271666037</x:v>
      </x:c>
      <x:c r="N435" s="240" t="n">
        <x:f>K435^2/(1-M435)^2</x:f>
        <x:v>0.00004445103305371912</x:v>
      </x:c>
      <x:c r="O435" s="240" t="n">
        <x:f>N435*L435^2/'Beta HC3'!$E$11^2</x:f>
        <x:v>6.878011410272027e-8</x:v>
      </x:c>
      <x:c r="P435" s="240" t="n">
        <x:f>N435*(1/'Beta HC3'!$E$8-'Beta HC3'!$E$9*L435/'Beta HC3'!$E$11)^2</x:f>
        <x:v>2.981574335055616e-11</x:v>
      </x:c>
      <x:c r="Q435" s="240" t="n">
        <x:f>N435*(1/'Beta HC3'!$E$8-'Beta HC3'!$E$9*L435/'Beta HC3'!$E$11)*L435/'Beta HC3'!$E$11</x:f>
        <x:v>-1.4320370908983732e-9</x:v>
      </x:c>
      <x:c r="R435" s="240" t="n">
        <x:f>K435*L435/'Beta HC3'!$E$11</x:f>
        <x:v>0.00026199131824344396</x:v>
      </x:c>
      <x:c r="S435" s="240" t="n">
        <x:f>(K435-K434)^2</x:f>
        <x:v>0.00003700306419631156</x:v>
      </x:c>
      <x:c r="T435" s="280" t="n">
        <x:f>E435/$E$9*100</x:f>
        <x:v>116.48200321292626</x:v>
      </x:c>
    </x:row>
    <x:row r="436" ht="24" customHeight="1">
      <x:c r="C436" s="274" t="d">
        <x:v>2023-06-21T00:00:00.000Z</x:v>
      </x:c>
      <x:c r="D436" s="191" t="n">
        <x:v>333.55999755859375</x:v>
      </x:c>
      <x:c r="E436" s="191" t="n">
        <x:v>325.2377014160156</x:v>
      </x:c>
      <x:c r="F436" s="191" t="n">
        <x:v>434.94000244140625</x:v>
      </x:c>
      <x:c r="G436" s="191" t="n">
        <x:v>417.982666015625</x:v>
      </x:c>
      <x:c r="H436" s="208" t="n">
        <x:f>E436/E435-1</x:f>
        <x:v>-0.013281923775408266</x:v>
      </x:c>
      <x:c r="I436" s="208" t="n">
        <x:f>G436/G435-1</x:f>
        <x:v>-0.0051237038383251665</x:v>
      </x:c>
      <x:c r="J436" s="208" t="n">
        <x:f>'Beta HC3'!$E$13+'Beta HC3'!$E$12*I436</x:f>
        <x:v>-0.005769441910128232</x:v>
      </x:c>
      <x:c r="K436" s="240" t="n">
        <x:f>H436-J436</x:f>
        <x:v>-0.007512481865280035</x:v>
      </x:c>
      <x:c r="L436" s="240" t="n">
        <x:f>I436-'Beta HC3'!$E$9</x:f>
        <x:v>-0.005687651455985606</x:v>
      </x:c>
      <x:c r="M436" s="240" t="n">
        <x:f>1/'Beta HC3'!$E$8+L436^2/'Beta HC3'!$E$11</x:f>
        <x:v>0.0010180322002211293</x:v>
      </x:c>
      <x:c r="N436" s="240" t="n">
        <x:f>K436^2/(1-M436)^2</x:f>
        <x:v>0.00005655246963595509</x:v>
      </x:c>
      <x:c r="O436" s="240" t="n">
        <x:f>N436*L436^2/'Beta HC3'!$E$11^2</x:f>
        <x:v>8.555240984391499e-8</x:v>
      </x:c>
      <x:c r="P436" s="240" t="n">
        <x:f>N436*(1/'Beta HC3'!$E$8-'Beta HC3'!$E$9*L436/'Beta HC3'!$E$11)^2</x:f>
        <x:v>3.7909788005476765e-11</x:v>
      </x:c>
      <x:c r="Q436" s="240" t="n">
        <x:f>N436*(1/'Beta HC3'!$E$8-'Beta HC3'!$E$9*L436/'Beta HC3'!$E$11)*L436/'Beta HC3'!$E$11</x:f>
        <x:v>-1.8009091372249966e-9</x:v>
      </x:c>
      <x:c r="R436" s="240" t="n">
        <x:f>K436*L436/'Beta HC3'!$E$11</x:f>
        <x:v>0.0002921956678212122</x:v>
      </x:c>
      <x:c r="S436" s="240" t="n">
        <x:f>(K436-K435)^2</x:f>
        <x:v>7.261461874687267e-7</x:v>
      </x:c>
      <x:c r="T436" s="280" t="n">
        <x:f>E436/$E$9*100</x:f>
        <x:v>114.9348981250453</x:v>
      </x:c>
    </x:row>
    <x:row r="437" ht="24" customHeight="1">
      <x:c r="C437" s="274" t="d">
        <x:v>2023-06-22T00:00:00.000Z</x:v>
      </x:c>
      <x:c r="D437" s="191" t="n">
        <x:v>339.7099914550781</x:v>
      </x:c>
      <x:c r="E437" s="191" t="n">
        <x:v>331.2342529296875</x:v>
      </x:c>
      <x:c r="F437" s="191" t="n">
        <x:v>436.510009765625</x:v>
      </x:c>
      <x:c r="G437" s="191" t="n">
        <x:v>419.4914855957031</x:v>
      </x:c>
      <x:c r="H437" s="208" t="n">
        <x:f>E437/E436-1</x:f>
        <x:v>0.018437442792038405</x:v>
      </x:c>
      <x:c r="I437" s="208" t="n">
        <x:f>G437/G436-1</x:f>
        <x:v>0.0036097659131675286</x:v>
      </x:c>
      <x:c r="J437" s="208" t="n">
        <x:f>'Beta HC3'!$E$13+'Beta HC3'!$E$12*I437</x:f>
        <x:v>0.0040802677551042285</x:v>
      </x:c>
      <x:c r="K437" s="240" t="n">
        <x:f>H437-J437</x:f>
        <x:v>0.014357175036934178</x:v>
      </x:c>
      <x:c r="L437" s="240" t="n">
        <x:f>I437-'Beta HC3'!$E$9</x:f>
        <x:v>0.0030458182955070893</x:v>
      </x:c>
      <x:c r="M437" s="240" t="n">
        <x:f>1/'Beta HC3'!$E$8+L437^2/'Beta HC3'!$E$11</x:f>
        <x:v>0.0008602530658731654</x:v>
      </x:c>
      <x:c r="N437" s="240" t="n">
        <x:f>K437^2/(1-M437)^2</x:f>
        <x:v>0.00020648357849893355</x:v>
      </x:c>
      <x:c r="O437" s="240" t="n">
        <x:f>N437*L437^2/'Beta HC3'!$E$11^2</x:f>
        <x:v>8.957941524490047e-8</x:v>
      </x:c>
      <x:c r="P437" s="240" t="n">
        <x:f>N437*(1/'Beta HC3'!$E$8-'Beta HC3'!$E$9*L437/'Beta HC3'!$E$11)^2</x:f>
        <x:v>1.2726189396134324e-10</x:v>
      </x:c>
      <x:c r="Q437" s="240" t="n">
        <x:f>N437*(1/'Beta HC3'!$E$8-'Beta HC3'!$E$9*L437/'Beta HC3'!$E$11)*L437/'Beta HC3'!$E$11</x:f>
        <x:v>3.3763954217501925e-9</x:v>
      </x:c>
      <x:c r="R437" s="240" t="n">
        <x:f>K437*L437/'Beta HC3'!$E$11</x:f>
        <x:v>0.00029904073234866547</x:v>
      </x:c>
      <x:c r="S437" s="240" t="n">
        <x:f>(K437-K436)^2</x:f>
        <x:v>0.0004782818930205658</x:v>
      </x:c>
      <x:c r="T437" s="280" t="n">
        <x:f>E437/$E$9*100</x:f>
        <x:v>117.05400373403458</x:v>
      </x:c>
    </x:row>
    <x:row r="438" ht="24" customHeight="1">
      <x:c r="C438" s="274" t="d">
        <x:v>2023-06-23T00:00:00.000Z</x:v>
      </x:c>
      <x:c r="D438" s="191" t="n">
        <x:v>335.0199890136719</x:v>
      </x:c>
      <x:c r="E438" s="191" t="n">
        <x:v>326.6612243652344</x:v>
      </x:c>
      <x:c r="F438" s="191" t="n">
        <x:v>433.2099914550781</x:v>
      </x:c>
      <x:c r="G438" s="191" t="n">
        <x:v>416.3200988769531</x:v>
      </x:c>
      <x:c r="H438" s="208" t="n">
        <x:f>E438/E437-1</x:f>
        <x:v>-0.013806025566516111</x:v>
      </x:c>
      <x:c r="I438" s="208" t="n">
        <x:f>G438/G437-1</x:f>
        <x:v>-0.007560074107932024</x:v>
      </x:c>
      <x:c r="J438" s="208" t="n">
        <x:f>'Beta HC3'!$E$13+'Beta HC3'!$E$12*I438</x:f>
        <x:v>-0.008517208888828776</x:v>
      </x:c>
      <x:c r="K438" s="240" t="n">
        <x:f>H438-J438</x:f>
        <x:v>-0.005288816677687335</x:v>
      </x:c>
      <x:c r="L438" s="240" t="n">
        <x:f>I438-'Beta HC3'!$E$9</x:f>
        <x:v>-0.008124021725592463</x:v>
      </x:c>
      <x:c r="M438" s="240" t="n">
        <x:f>1/'Beta HC3'!$E$8+L438^2/'Beta HC3'!$E$11</x:f>
        <x:v>0.0012481482689573446</x:v>
      </x:c>
      <x:c r="N438" s="240" t="n">
        <x:f>K438^2/(1-M438)^2</x:f>
        <x:v>0.00002804153815962331</x:v>
      </x:c>
      <x:c r="O438" s="240" t="n">
        <x:f>N438*L438^2/'Beta HC3'!$E$11^2</x:f>
        <x:v>8.654833299595078e-8</x:v>
      </x:c>
      <x:c r="P438" s="240" t="n">
        <x:f>N438*(1/'Beta HC3'!$E$8-'Beta HC3'!$E$9*L438/'Beta HC3'!$E$11)^2</x:f>
        <x:v>1.923148208819487e-11</x:v>
      </x:c>
      <x:c r="Q438" s="240" t="n">
        <x:f>N438*(1/'Beta HC3'!$E$8-'Beta HC3'!$E$9*L438/'Beta HC3'!$E$11)*L438/'Beta HC3'!$E$11</x:f>
        <x:v>-1.2901367042971659e-9</x:v>
      </x:c>
      <x:c r="R438" s="240" t="n">
        <x:f>K438*L438/'Beta HC3'!$E$11</x:f>
        <x:v>0.00029382378651725456</x:v>
      </x:c>
      <x:c r="S438" s="240" t="n">
        <x:f>(K438-K437)^2</x:f>
        <x:v>0.00038596499045097713</x:v>
      </x:c>
      <x:c r="T438" s="280" t="n">
        <x:f>E438/$E$9*100</x:f>
        <x:v>115.43795316581944</x:v>
      </x:c>
    </x:row>
    <x:row r="439" ht="24" customHeight="1">
      <x:c r="C439" s="274" t="d">
        <x:v>2023-06-26T00:00:00.000Z</x:v>
      </x:c>
      <x:c r="D439" s="191" t="n">
        <x:v>328.6000061035156</x:v>
      </x:c>
      <x:c r="E439" s="191" t="n">
        <x:v>320.40142822265625</x:v>
      </x:c>
      <x:c r="F439" s="191" t="n">
        <x:v>431.44000244140625</x:v>
      </x:c>
      <x:c r="G439" s="191" t="n">
        <x:v>414.61907958984375</x:v>
      </x:c>
      <x:c r="H439" s="208" t="n">
        <x:f>E439/E438-1</x:f>
        <x:v>-0.019162960509751747</x:v>
      </x:c>
      <x:c r="I439" s="208" t="n">
        <x:f>G439/G438-1</x:f>
        <x:v>-0.004085844742298006</x:v>
      </x:c>
      <x:c r="J439" s="208" t="n">
        <x:f>'Beta HC3'!$E$13+'Beta HC3'!$E$12*I439</x:f>
        <x:v>-0.004598932243275497</x:v>
      </x:c>
      <x:c r="K439" s="240" t="n">
        <x:f>H439-J439</x:f>
        <x:v>-0.01456402826647625</x:v>
      </x:c>
      <x:c r="L439" s="240" t="n">
        <x:f>I439-'Beta HC3'!$E$9</x:f>
        <x:v>-0.004649792359958446</x:v>
      </x:c>
      <x:c r="M439" s="240" t="n">
        <x:f>1/'Beta HC3'!$E$8+L439^2/'Beta HC3'!$E$11</x:f>
        <x:v>0.000944663821959578</x:v>
      </x:c>
      <x:c r="N439" s="240" t="n">
        <x:f>K439^2/(1-M439)^2</x:f>
        <x:v>0.00021251223494313096</x:v>
      </x:c>
      <x:c r="O439" s="240" t="n">
        <x:f>N439*L439^2/'Beta HC3'!$E$11^2</x:f>
        <x:v>2.1486505092038974e-7</x:v>
      </x:c>
      <x:c r="P439" s="240" t="n">
        <x:f>N439*(1/'Beta HC3'!$E$8-'Beta HC3'!$E$9*L439/'Beta HC3'!$E$11)^2</x:f>
        <x:v>1.4106754913220632e-10</x:v>
      </x:c>
      <x:c r="Q439" s="240" t="n">
        <x:f>N439*(1/'Beta HC3'!$E$8-'Beta HC3'!$E$9*L439/'Beta HC3'!$E$11)*L439/'Beta HC3'!$E$11</x:f>
        <x:v>-5.505495992869861e-9</x:v>
      </x:c>
      <x:c r="R439" s="240" t="n">
        <x:f>K439*L439/'Beta HC3'!$E$11</x:f>
        <x:v>0.00046309749749198596</x:v>
      </x:c>
      <x:c r="S439" s="240" t="n">
        <x:f>(K439-K438)^2</x:f>
        <x:v>0.0000860295500168042</x:v>
      </x:c>
      <x:c r="T439" s="280" t="n">
        <x:f>E439/$E$9*100</x:f>
        <x:v>113.22582022797627</x:v>
      </x:c>
    </x:row>
    <x:row r="440" ht="24" customHeight="1">
      <x:c r="C440" s="274" t="d">
        <x:v>2023-06-27T00:00:00.000Z</x:v>
      </x:c>
      <x:c r="D440" s="191" t="n">
        <x:v>334.57000732421875</x:v>
      </x:c>
      <x:c r="E440" s="191" t="n">
        <x:v>326.2225036621094</x:v>
      </x:c>
      <x:c r="F440" s="191" t="n">
        <x:v>436.1700134277344</x:v>
      </x:c>
      <x:c r="G440" s="191" t="n">
        <x:v>419.16473388671875</x:v>
      </x:c>
      <x:c r="H440" s="208" t="n">
        <x:f>E440/E439-1</x:f>
        <x:v>0.01816806957367212</x:v>
      </x:c>
      <x:c r="I440" s="208" t="n">
        <x:f>G440/G439-1</x:f>
        <x:v>0.010963446982159342</x:v>
      </x:c>
      <x:c r="J440" s="208" t="n">
        <x:f>'Beta HC3'!$E$13+'Beta HC3'!$E$12*I440</x:f>
        <x:v>0.012373835553619345</x:v>
      </x:c>
      <x:c r="K440" s="240" t="n">
        <x:f>H440-J440</x:f>
        <x:v>0.005794234020052774</x:v>
      </x:c>
      <x:c r="L440" s="240" t="n">
        <x:f>I440-'Beta HC3'!$E$9</x:f>
        <x:v>0.010399499364498903</x:v>
      </x:c>
      <x:c r="M440" s="240" t="n">
        <x:f>1/'Beta HC3'!$E$8+L440^2/'Beta HC3'!$E$11</x:f>
        <x:v>0.00153638775691772</x:v>
      </x:c>
      <x:c r="N440" s="240" t="n">
        <x:f>K440^2/(1-M440)^2</x:f>
        <x:v>0.00003367654886079965</x:v>
      </x:c>
      <x:c r="O440" s="240" t="n">
        <x:f>N440*L440^2/'Beta HC3'!$E$11^2</x:f>
        <x:v>1.7032059566242113e-7</x:v>
      </x:c>
      <x:c r="P440" s="240" t="n">
        <x:f>N440*(1/'Beta HC3'!$E$8-'Beta HC3'!$E$9*L440/'Beta HC3'!$E$11)^2</x:f>
        <x:v>1.9283367475877215e-11</x:v>
      </x:c>
      <x:c r="Q440" s="240" t="n">
        <x:f>N440*(1/'Beta HC3'!$E$8-'Beta HC3'!$E$9*L440/'Beta HC3'!$E$11)*L440/'Beta HC3'!$E$11</x:f>
        <x:v>1.812278851299867e-9</x:v>
      </x:c>
      <x:c r="R440" s="240" t="n">
        <x:f>K440*L440/'Beta HC3'!$E$11</x:f>
        <x:v>0.00041206509285084743</x:v>
      </x:c>
      <x:c r="S440" s="240" t="n">
        <x:f>(K440-K439)^2</x:f>
        <x:v>0.00041445884332711</x:v>
      </x:c>
      <x:c r="T440" s="280" t="n">
        <x:f>E440/$E$9*100</x:f>
        <x:v>115.28291480741424</x:v>
      </x:c>
    </x:row>
    <x:row r="441" ht="24" customHeight="1">
      <x:c r="C441" s="274" t="d">
        <x:v>2023-06-28T00:00:00.000Z</x:v>
      </x:c>
      <x:c r="D441" s="191" t="n">
        <x:v>335.8500061035156</x:v>
      </x:c>
      <x:c r="E441" s="191" t="n">
        <x:v>327.4705810546875</x:v>
      </x:c>
      <x:c r="F441" s="191" t="n">
        <x:v>436.3900146484375</x:v>
      </x:c>
      <x:c r="G441" s="191" t="n">
        <x:v>419.3761291503906</x:v>
      </x:c>
      <x:c r="H441" s="208" t="n">
        <x:f>E441/E440-1</x:f>
        <x:v>0.003825847017196793</x:v>
      </x:c>
      <x:c r="I441" s="208" t="n">
        <x:f>G441/G440-1</x:f>
        <x:v>0.0005043250220784223</x:v>
      </x:c>
      <x:c r="J441" s="208" t="n">
        <x:f>'Beta HC3'!$E$13+'Beta HC3'!$E$12*I441</x:f>
        <x:v>0.000577915078547408</x:v>
      </x:c>
      <x:c r="K441" s="240" t="n">
        <x:f>H441-J441</x:f>
        <x:v>0.0032479319386493847</x:v>
      </x:c>
      <x:c r="L441" s="240" t="n">
        <x:f>I441-'Beta HC3'!$E$9</x:f>
        <x:v>-0.00005962259558201703</x:v>
      </x:c>
      <x:c r="M441" s="240" t="n">
        <x:f>1/'Beta HC3'!$E$8+L441^2/'Beta HC3'!$E$11</x:f>
        <x:v>0.0007968370586770608</x:v>
      </x:c>
      <x:c r="N441" s="240" t="n">
        <x:f>K441^2/(1-M441)^2</x:f>
        <x:v>0.000010565893760705073</x:v>
      </x:c>
      <x:c r="O441" s="240" t="n">
        <x:f>N441*L441^2/'Beta HC3'!$E$11^2</x:f>
        <x:v>1.75647801923689e-12</x:v>
      </x:c>
      <x:c r="P441" s="240" t="n">
        <x:f>N441*(1/'Beta HC3'!$E$8-'Beta HC3'!$E$9*L441/'Beta HC3'!$E$11)^2</x:f>
        <x:v>6.7122697317162836e-12</x:v>
      </x:c>
      <x:c r="Q441" s="240" t="n">
        <x:f>N441*(1/'Beta HC3'!$E$8-'Beta HC3'!$E$9*L441/'Beta HC3'!$E$11)*L441/'Beta HC3'!$E$11</x:f>
        <x:v>-3.4336502796511976e-12</x:v>
      </x:c>
      <x:c r="R441" s="240" t="n">
        <x:f>K441*L441/'Beta HC3'!$E$11</x:f>
        <x:v>-0.0000013242657893921507</x:v>
      </x:c>
      <x:c r="S441" s="240" t="n">
        <x:f>(K441-K440)^2</x:f>
        <x:v>0.000006483654289759234</x:v>
      </x:c>
      <x:c r="T441" s="280" t="n">
        <x:f>E441/$E$9*100</x:f>
        <x:v>115.72396960316391</x:v>
      </x:c>
    </x:row>
    <x:row r="442" ht="24" customHeight="1">
      <x:c r="C442" s="274" t="d">
        <x:v>2023-06-29T00:00:00.000Z</x:v>
      </x:c>
      <x:c r="D442" s="191" t="n">
        <x:v>335.04998779296875</x:v>
      </x:c>
      <x:c r="E442" s="191" t="n">
        <x:v>326.69049072265625</x:v>
      </x:c>
      <x:c r="F442" s="191" t="n">
        <x:v>438.1099853515625</x:v>
      </x:c>
      <x:c r="G442" s="191" t="n">
        <x:v>421.0290222167969</x:v>
      </x:c>
      <x:c r="H442" s="208" t="n">
        <x:f>E442/E441-1</x:f>
        <x:v>-0.0023821691998066052</x:v>
      </x:c>
      <x:c r="I442" s="208" t="n">
        <x:f>G442/G441-1</x:f>
        <x:v>0.003941314136679308</x:v>
      </x:c>
      <x:c r="J442" s="208" t="n">
        <x:f>'Beta HC3'!$E$13+'Beta HC3'!$E$12*I442</x:f>
        <x:v>0.0044541917320043</x:v>
      </x:c>
      <x:c r="K442" s="240" t="n">
        <x:f>H442-J442</x:f>
        <x:v>-0.006836360931810905</x:v>
      </x:c>
      <x:c r="L442" s="240" t="n">
        <x:f>I442-'Beta HC3'!$E$9</x:f>
        <x:v>0.003377366519018869</x:v>
      </x:c>
      <x:c r="M442" s="240" t="n">
        <x:f>1/'Beta HC3'!$E$8+L442^2/'Beta HC3'!$E$11</x:f>
        <x:v>0.0008748161877744331</x:v>
      </x:c>
      <x:c r="N442" s="240" t="n">
        <x:f>K442^2/(1-M442)^2</x:f>
        <x:v>0.00004681770873919967</x:v>
      </x:c>
      <x:c r="O442" s="240" t="n">
        <x:f>N442*L442^2/'Beta HC3'!$E$11^2</x:f>
        <x:v>2.497360658082169e-8</x:v>
      </x:c>
      <x:c r="P442" s="240" t="n">
        <x:f>N442*(1/'Beta HC3'!$E$8-'Beta HC3'!$E$9*L442/'Beta HC3'!$E$11)^2</x:f>
        <x:v>2.8761213817395055e-11</x:v>
      </x:c>
      <x:c r="Q442" s="240" t="n">
        <x:f>N442*(1/'Beta HC3'!$E$8-'Beta HC3'!$E$9*L442/'Beta HC3'!$E$11)*L442/'Beta HC3'!$E$11</x:f>
        <x:v>8.475088428226086e-10</x:v>
      </x:c>
      <x:c r="R442" s="240" t="n">
        <x:f>K442*L442/'Beta HC3'!$E$11</x:f>
        <x:v>-0.00015789215009809308</x:v>
      </x:c>
      <x:c r="S442" s="240" t="n">
        <x:f>(K442-K441)^2</x:f>
        <x:v>0.00010169296269721622</x:v>
      </x:c>
      <x:c r="T442" s="280" t="n">
        <x:f>E442/$E$9*100</x:f>
        <x:v>115.4482955270959</x:v>
      </x:c>
    </x:row>
    <x:row r="443" ht="24" customHeight="1">
      <x:c r="C443" s="274" t="d">
        <x:v>2023-06-30T00:00:00.000Z</x:v>
      </x:c>
      <x:c r="D443" s="191" t="n">
        <x:v>340.5400085449219</x:v>
      </x:c>
      <x:c r="E443" s="191" t="n">
        <x:v>332.0435791015625</x:v>
      </x:c>
      <x:c r="F443" s="191" t="n">
        <x:v>443.2799987792969</x:v>
      </x:c>
      <x:c r="G443" s="191" t="n">
        <x:v>425.9974365234375</x:v>
      </x:c>
      <x:c r="H443" s="208" t="n">
        <x:f>E443/E442-1</x:f>
        <x:v>0.016385810211570373</x:v>
      </x:c>
      <x:c r="I443" s="208" t="n">
        <x:f>G443/G442-1</x:f>
        <x:v>0.011800645666849796</x:v>
      </x:c>
      <x:c r="J443" s="208" t="n">
        <x:f>'Beta HC3'!$E$13+'Beta HC3'!$E$12*I443</x:f>
        <x:v>0.013318038053995104</x:v>
      </x:c>
      <x:c r="K443" s="240" t="n">
        <x:f>H443-J443</x:f>
        <x:v>0.0030677721575752687</x:v>
      </x:c>
      <x:c r="L443" s="240" t="n">
        <x:f>I443-'Beta HC3'!$E$9</x:f>
        <x:v>0.011236698049189357</x:v>
      </x:c>
      <x:c r="M443" s="240" t="n">
        <x:f>1/'Beta HC3'!$E$8+L443^2/'Beta HC3'!$E$11</x:f>
        <x:v>0.0016602579555918795</x:v>
      </x:c>
      <x:c r="N443" s="240" t="n">
        <x:f>K443^2/(1-M443)^2</x:f>
        <x:v>0.00000944255413404882</x:v>
      </x:c>
      <x:c r="O443" s="240" t="n">
        <x:f>N443*L443^2/'Beta HC3'!$E$11^2</x:f>
        <x:v>5.5754718517552134e-8</x:v>
      </x:c>
      <x:c r="P443" s="240" t="n">
        <x:f>N443*(1/'Beta HC3'!$E$8-'Beta HC3'!$E$9*L443/'Beta HC3'!$E$11)^2</x:f>
        <x:v>5.360814781488681e-12</x:v>
      </x:c>
      <x:c r="Q443" s="240" t="n">
        <x:f>N443*(1/'Beta HC3'!$E$8-'Beta HC3'!$E$9*L443/'Beta HC3'!$E$11)*L443/'Beta HC3'!$E$11</x:f>
        <x:v>5.467089894693832e-10</x:v>
      </x:c>
      <x:c r="R443" s="240" t="n">
        <x:f>K443*L443/'Beta HC3'!$E$11</x:f>
        <x:v>0.0002357323435022147</x:v>
      </x:c>
      <x:c r="S443" s="240" t="n">
        <x:f>(K443-K442)^2</x:f>
        <x:v>0.00009809185225227413</x:v>
      </x:c>
      <x:c r="T443" s="280" t="n">
        <x:f>E443/$E$9*100</x:f>
        <x:v>117.34000938685219</x:v>
      </x:c>
    </x:row>
    <x:row r="444" ht="24" customHeight="1">
      <x:c r="C444" s="274" t="d">
        <x:v>2023-07-03T00:00:00.000Z</x:v>
      </x:c>
      <x:c r="D444" s="191" t="n">
        <x:v>337.989990234375</x:v>
      </x:c>
      <x:c r="E444" s="191" t="n">
        <x:v>329.55712890625</x:v>
      </x:c>
      <x:c r="F444" s="191" t="n">
        <x:v>443.7900085449219</x:v>
      </x:c>
      <x:c r="G444" s="191" t="n">
        <x:v>426.4876708984375</x:v>
      </x:c>
      <x:c r="H444" s="208" t="n">
        <x:f>E444/E443-1</x:f>
        <x:v>-0.007488324882053976</x:v>
      </x:c>
      <x:c r="I444" s="208" t="n">
        <x:f>G444/G443-1</x:f>
        <x:v>0.0011507918427884345</x:v>
      </x:c>
      <x:c r="J444" s="208" t="n">
        <x:f>'Beta HC3'!$E$13+'Beta HC3'!$E$12*I444</x:f>
        <x:v>0.0013070079446572602</x:v>
      </x:c>
      <x:c r="K444" s="240" t="n">
        <x:f>H444-J444</x:f>
        <x:v>-0.008795332826711237</x:v>
      </x:c>
      <x:c r="L444" s="240" t="n">
        <x:f>I444-'Beta HC3'!$E$9</x:f>
        <x:v>0.0005868442251279951</x:v>
      </x:c>
      <x:c r="M444" s="240" t="n">
        <x:f>1/'Beta HC3'!$E$8+L444^2/'Beta HC3'!$E$11</x:f>
        <x:v>0.0007991678147289875</x:v>
      </x:c>
      <x:c r="N444" s="240" t="n">
        <x:f>K444^2/(1-M444)^2</x:f>
        <x:v>0.00007748167176407775</x:v>
      </x:c>
      <x:c r="O444" s="240" t="n">
        <x:f>N444*L444^2/'Beta HC3'!$E$11^2</x:f>
        <x:v>1.2478413587664239e-9</x:v>
      </x:c>
      <x:c r="P444" s="240" t="n">
        <x:f>N444*(1/'Beta HC3'!$E$8-'Beta HC3'!$E$9*L444/'Beta HC3'!$E$11)^2</x:f>
        <x:v>4.891487816940932e-11</x:v>
      </x:c>
      <x:c r="Q444" s="240" t="n">
        <x:f>N444*(1/'Beta HC3'!$E$8-'Beta HC3'!$E$9*L444/'Beta HC3'!$E$11)*L444/'Beta HC3'!$E$11</x:f>
        <x:v>2.4705871374798706e-10</x:v>
      </x:c>
      <x:c r="R444" s="240" t="n">
        <x:f>K444*L444/'Beta HC3'!$E$11</x:f>
        <x:v>-0.000035296567629454205</x:v>
      </x:c>
      <x:c r="S444" s="240" t="n">
        <x:f>(K444-K443)^2</x:f>
        <x:v>0.00014073325986820333</x:v>
      </x:c>
      <x:c r="T444" s="280" t="n">
        <x:f>E444/$E$9*100</x:f>
        <x:v>116.46132927490018</x:v>
      </x:c>
    </x:row>
    <x:row r="445" ht="24" customHeight="1">
      <x:c r="C445" s="274" t="d">
        <x:v>2023-07-05T00:00:00.000Z</x:v>
      </x:c>
      <x:c r="D445" s="191" t="n">
        <x:v>338.1499938964844</x:v>
      </x:c>
      <x:c r="E445" s="191" t="n">
        <x:v>329.7132263183594</x:v>
      </x:c>
      <x:c r="F445" s="191" t="n">
        <x:v>443.1300048828125</x:v>
      </x:c>
      <x:c r="G445" s="191" t="n">
        <x:v>425.85333251953125</x:v>
      </x:c>
      <x:c r="H445" s="208" t="n">
        <x:f>E445/E444-1</x:f>
        <x:v>0.00047365812606581237</x:v>
      </x:c>
      <x:c r="I445" s="208" t="n">
        <x:f>G445/G444-1</x:f>
        <x:v>-0.0014873545525242449</x:v>
      </x:c>
      <x:c r="J445" s="208" t="n">
        <x:f>'Beta HC3'!$E$13+'Beta HC3'!$E$12*I445</x:f>
        <x:v>-0.001668324516277663</x:v>
      </x:c>
      <x:c r="K445" s="240" t="n">
        <x:f>H445-J445</x:f>
        <x:v>0.0021419826423434755</x:v>
      </x:c>
      <x:c r="L445" s="240" t="n">
        <x:f>I445-'Beta HC3'!$E$9</x:f>
        <x:v>-0.002051302170184684</x:v>
      </x:c>
      <x:c r="M445" s="240" t="n">
        <x:f>1/'Beta HC3'!$E$8+L445^2/'Beta HC3'!$E$11</x:f>
        <x:v>0.0008255878356738931</x:v>
      </x:c>
      <x:c r="N445" s="240" t="n">
        <x:f>K445^2/(1-M445)^2</x:f>
        <x:v>0.000004595674774090934</x:v>
      </x:c>
      <x:c r="O445" s="240" t="n">
        <x:f>N445*L445^2/'Beta HC3'!$E$11^2</x:f>
        <x:v>9.043224008519982e-10</x:v>
      </x:c>
      <x:c r="P445" s="240" t="n">
        <x:f>N445*(1/'Beta HC3'!$E$8-'Beta HC3'!$E$9*L445/'Beta HC3'!$E$11)^2</x:f>
        <x:v>2.976067748203525e-12</x:v>
      </x:c>
      <x:c r="Q445" s="240" t="n">
        <x:f>N445*(1/'Beta HC3'!$E$8-'Beta HC3'!$E$9*L445/'Beta HC3'!$E$11)*L445/'Beta HC3'!$E$11</x:f>
        <x:v>-5.187797925086917e-11</x:v>
      </x:c>
      <x:c r="R445" s="240" t="n">
        <x:f>K445*L445/'Beta HC3'!$E$11</x:f>
        <x:v>-0.00003004712668603325</x:v>
      </x:c>
      <x:c r="S445" s="240" t="n">
        <x:f>(K445-K444)^2</x:f>
        <x:v>0.00011962486966962351</x:v>
      </x:c>
      <x:c r="T445" s="280" t="n">
        <x:f>E445/$E$9*100</x:f>
        <x:v>116.51649212988366</x:v>
      </x:c>
    </x:row>
    <x:row r="446" ht="24" customHeight="1">
      <x:c r="C446" s="274" t="d">
        <x:v>2023-07-06T00:00:00.000Z</x:v>
      </x:c>
      <x:c r="D446" s="191" t="n">
        <x:v>341.2699890136719</x:v>
      </x:c>
      <x:c r="E446" s="191" t="n">
        <x:v>332.75531005859375</x:v>
      </x:c>
      <x:c r="F446" s="191" t="n">
        <x:v>439.6600036621094</x:v>
      </x:c>
      <x:c r="G446" s="191" t="n">
        <x:v>422.5186462402344</x:v>
      </x:c>
      <x:c r="H446" s="208" t="n">
        <x:f>E446/E445-1</x:f>
        <x:v>0.009226453467465756</x:v>
      </x:c>
      <x:c r="I446" s="208" t="n">
        <x:f>G446/G445-1</x:f>
        <x:v>-0.007830598059588856</x:v>
      </x:c>
      <x:c r="J446" s="208" t="n">
        <x:f>'Beta HC3'!$E$13+'Beta HC3'!$E$12*I446</x:f>
        <x:v>-0.008822308975865289</x:v>
      </x:c>
      <x:c r="K446" s="240" t="n">
        <x:f>H446-J446</x:f>
        <x:v>0.018048762443331045</x:v>
      </x:c>
      <x:c r="L446" s="240" t="n">
        <x:f>I446-'Beta HC3'!$E$9</x:f>
        <x:v>-0.008394545677249295</x:v>
      </x:c>
      <x:c r="M446" s="240" t="n">
        <x:f>1/'Beta HC3'!$E$8+L446^2/'Beta HC3'!$E$11</x:f>
        <x:v>0.0012787070104001022</x:v>
      </x:c>
      <x:c r="N446" s="240" t="n">
        <x:f>K446^2/(1-M446)^2</x:f>
        <x:v>0.00032659252402713403</x:v>
      </x:c>
      <x:c r="O446" s="240" t="n">
        <x:f>N446*L446^2/'Beta HC3'!$E$11^2</x:f>
        <x:v>0.0000010762554288368136</x:v>
      </x:c>
      <x:c r="P446" s="240" t="n">
        <x:f>N446*(1/'Beta HC3'!$E$8-'Beta HC3'!$E$9*L446/'Beta HC3'!$E$11)^2</x:f>
        <x:v>2.2454878433206505e-10</x:v>
      </x:c>
      <x:c r="Q446" s="240" t="n">
        <x:f>N446*(1/'Beta HC3'!$E$8-'Beta HC3'!$E$9*L446/'Beta HC3'!$E$11)*L446/'Beta HC3'!$E$11</x:f>
        <x:v>-1.5545798409090858e-8</x:v>
      </x:c>
      <x:c r="R446" s="240" t="n">
        <x:f>K446*L446/'Beta HC3'!$E$11</x:f>
        <x:v>-0.0010361007469784852</x:v>
      </x:c>
      <x:c r="S446" s="240" t="n">
        <x:f>(K446-K445)^2</x:f>
        <x:v>0.00025302564363710616</x:v>
      </x:c>
      <x:c r="T446" s="280" t="n">
        <x:f>E446/$E$9*100</x:f>
        <x:v>117.59152612271238</x:v>
      </x:c>
    </x:row>
    <x:row r="447" ht="24" customHeight="1">
      <x:c r="C447" s="274" t="d">
        <x:v>2023-07-07T00:00:00.000Z</x:v>
      </x:c>
      <x:c r="D447" s="191" t="n">
        <x:v>337.2200012207031</x:v>
      </x:c>
      <x:c r="E447" s="191" t="n">
        <x:v>328.8063659667969</x:v>
      </x:c>
      <x:c r="F447" s="191" t="n">
        <x:v>438.54998779296875</x:v>
      </x:c>
      <x:c r="G447" s="191" t="n">
        <x:v>421.45184326171875</x:v>
      </x:c>
      <x:c r="H447" s="208" t="n">
        <x:f>E447/E446-1</x:f>
        <x:v>-0.011867411195035538</x:v>
      </x:c>
      <x:c r="I447" s="208" t="n">
        <x:f>G447/G446-1</x:f>
        <x:v>-0.002524866033744355</x:v>
      </x:c>
      <x:c r="J447" s="208" t="n">
        <x:f>'Beta HC3'!$E$13+'Beta HC3'!$E$12*I447</x:f>
        <x:v>-0.0028384421390720556</x:v>
      </x:c>
      <x:c r="K447" s="240" t="n">
        <x:f>H447-J447</x:f>
        <x:v>-0.009028969055963482</x:v>
      </x:c>
      <x:c r="L447" s="240" t="n">
        <x:f>I447-'Beta HC3'!$E$9</x:f>
        <x:v>-0.0030888136514047944</x:v>
      </x:c>
      <x:c r="M447" s="240" t="n">
        <x:f>1/'Beta HC3'!$E$8+L447^2/'Beta HC3'!$E$11</x:f>
        <x:v>0.0008620567788156307</x:v>
      </x:c>
      <x:c r="N447" s="240" t="n">
        <x:f>K447^2/(1-M447)^2</x:f>
        <x:v>0.00008166301784255611</x:v>
      </x:c>
      <x:c r="O447" s="240" t="n">
        <x:f>N447*L447^2/'Beta HC3'!$E$11^2</x:f>
        <x:v>3.643540187443016e-8</x:v>
      </x:c>
      <x:c r="P447" s="240" t="n">
        <x:f>N447*(1/'Beta HC3'!$E$8-'Beta HC3'!$E$9*L447/'Beta HC3'!$E$11)^2</x:f>
        <x:v>5.3410542059629055e-11</x:v>
      </x:c>
      <x:c r="Q447" s="240" t="n">
        <x:f>N447*(1/'Beta HC3'!$E$8-'Beta HC3'!$E$9*L447/'Beta HC3'!$E$11)*L447/'Beta HC3'!$E$11</x:f>
        <x:v>-1.395003428050892e-9</x:v>
      </x:c>
      <x:c r="R447" s="240" t="n">
        <x:f>K447*L447/'Beta HC3'!$E$11</x:f>
        <x:v>0.00019071604594462976</x:v>
      </x:c>
      <x:c r="S447" s="240" t="n">
        <x:f>(K447-K446)^2</x:f>
        <x:v>0.000733203543147887</x:v>
      </x:c>
      <x:c r="T447" s="280" t="n">
        <x:f>E447/$E$9*100</x:f>
        <x:v>116.1960191291624</x:v>
      </x:c>
    </x:row>
    <x:row r="448" ht="24" customHeight="1">
      <x:c r="C448" s="274" t="d">
        <x:v>2023-07-10T00:00:00.000Z</x:v>
      </x:c>
      <x:c r="D448" s="191" t="n">
        <x:v>331.8299865722656</x:v>
      </x:c>
      <x:c r="E448" s="191" t="n">
        <x:v>323.5508728027344</x:v>
      </x:c>
      <x:c r="F448" s="191" t="n">
        <x:v>439.6600036621094</x:v>
      </x:c>
      <x:c r="G448" s="191" t="n">
        <x:v>422.5186462402344</x:v>
      </x:c>
      <x:c r="H448" s="208" t="n">
        <x:f>E448/E447-1</x:f>
        <x:v>-0.01598355052710021</x:v>
      </x:c>
      <x:c r="I448" s="208" t="n">
        <x:f>G448/G447-1</x:f>
        <x:v>0.002531257118866481</x:v>
      </x:c>
      <x:c r="J448" s="208" t="n">
        <x:f>'Beta HC3'!$E$13+'Beta HC3'!$E$12*I448</x:f>
        <x:v>0.0028639128815501538</x:v>
      </x:c>
      <x:c r="K448" s="240" t="n">
        <x:f>H448-J448</x:f>
        <x:v>-0.018847463408650365</x:v>
      </x:c>
      <x:c r="L448" s="240" t="n">
        <x:f>I448-'Beta HC3'!$E$9</x:f>
        <x:v>0.001967309501206042</x:v>
      </x:c>
      <x:c r="M448" s="240" t="n">
        <x:f>1/'Beta HC3'!$E$8+L448^2/'Beta HC3'!$E$11</x:f>
        <x:v>0.0008232796285109402</x:v>
      </x:c>
      <x:c r="N448" s="240" t="n">
        <x:f>K448^2/(1-M448)^2</x:f>
        <x:v>0.00035581250214365977</x:v>
      </x:c>
      <x:c r="O448" s="240" t="n">
        <x:f>N448*L448^2/'Beta HC3'!$E$11^2</x:f>
        <x:v>6.439932352587363e-8</x:v>
      </x:c>
      <x:c r="P448" s="240" t="n">
        <x:f>N448*(1/'Beta HC3'!$E$8-'Beta HC3'!$E$9*L448/'Beta HC3'!$E$11)^2</x:f>
        <x:v>2.2162753698399838e-10</x:v>
      </x:c>
      <x:c r="Q448" s="240" t="n">
        <x:f>N448*(1/'Beta HC3'!$E$8-'Beta HC3'!$E$9*L448/'Beta HC3'!$E$11)*L448/'Beta HC3'!$E$11</x:f>
        <x:v>3.777917873177637e-9</x:v>
      </x:c>
      <x:c r="R448" s="240" t="n">
        <x:f>K448*L448/'Beta HC3'!$E$11</x:f>
        <x:v>-0.0002535612941139708</x:v>
      </x:c>
      <x:c r="S448" s="240" t="n">
        <x:f>(K448-K447)^2</x:f>
        <x:v>0.00009640283135374423</x:v>
      </x:c>
      <x:c r="T448" s="280" t="n">
        <x:f>E448/$E$9*100</x:f>
        <x:v>114.33879418636353</x:v>
      </x:c>
    </x:row>
    <x:row r="449" ht="24" customHeight="1">
      <x:c r="C449" s="274" t="d">
        <x:v>2023-07-11T00:00:00.000Z</x:v>
      </x:c>
      <x:c r="D449" s="191" t="n">
        <x:v>332.4700012207031</x:v>
      </x:c>
      <x:c r="E449" s="191" t="n">
        <x:v>324.1748962402344</x:v>
      </x:c>
      <x:c r="F449" s="191" t="n">
        <x:v>442.4599914550781</x:v>
      </x:c>
      <x:c r="G449" s="191" t="n">
        <x:v>425.2094421386719</x:v>
      </x:c>
      <x:c r="H449" s="208" t="n">
        <x:f>E449/E448-1</x:f>
        <x:v>0.001928671779168667</x:v>
      </x:c>
      <x:c r="I449" s="208" t="n">
        <x:f>G449/G448-1</x:f>
        <x:v>0.006368466628352332</x:v>
      </x:c>
      <x:c r="J449" s="208" t="n">
        <x:f>'Beta HC3'!$E$13+'Beta HC3'!$E$12*I449</x:f>
        <x:v>0.007191562792588642</x:v>
      </x:c>
      <x:c r="K449" s="240" t="n">
        <x:f>H449-J449</x:f>
        <x:v>-0.005262891013419975</x:v>
      </x:c>
      <x:c r="L449" s="240" t="n">
        <x:f>I449-'Beta HC3'!$E$9</x:f>
        <x:v>0.005804519010691892</x:v>
      </x:c>
      <x:c r="M449" s="240" t="n">
        <x:f>1/'Beta HC3'!$E$8+L449^2/'Beta HC3'!$E$11</x:f>
        <x:v>0.0010272166549520215</x:v>
      </x:c>
      <x:c r="N449" s="240" t="n">
        <x:f>K449^2/(1-M449)^2</x:f>
        <x:v>0.000027755013356723585</x:v>
      </x:c>
      <x:c r="O449" s="240" t="n">
        <x:f>N449*L449^2/'Beta HC3'!$E$11^2</x:f>
        <x:v>4.373092254728695e-8</x:v>
      </x:c>
      <x:c r="P449" s="240" t="n">
        <x:f>N449*(1/'Beta HC3'!$E$8-'Beta HC3'!$E$9*L449/'Beta HC3'!$E$11)^2</x:f>
        <x:v>1.6645733923118982e-11</x:v>
      </x:c>
      <x:c r="Q449" s="240" t="n">
        <x:f>N449*(1/'Beta HC3'!$E$8-'Beta HC3'!$E$9*L449/'Beta HC3'!$E$11)*L449/'Beta HC3'!$E$11</x:f>
        <x:v>8.531900731575955e-10</x:v>
      </x:c>
      <x:c r="R449" s="240" t="n">
        <x:f>K449*L449/'Beta HC3'!$E$11</x:f>
        <x:v>-0.00020890458689810503</x:v>
      </x:c>
      <x:c r="S449" s="240" t="n">
        <x:f>(K449-K448)^2</x:f>
        <x:v>0.00018454060716125554</x:v>
      </x:c>
      <x:c r="T449" s="280" t="n">
        <x:f>E449/$E$9*100</x:f>
        <x:v>114.55931619197493</x:v>
      </x:c>
    </x:row>
    <x:row r="450" ht="24" customHeight="1">
      <x:c r="C450" s="274" t="d">
        <x:v>2023-07-12T00:00:00.000Z</x:v>
      </x:c>
      <x:c r="D450" s="191" t="n">
        <x:v>337.20001220703125</x:v>
      </x:c>
      <x:c r="E450" s="191" t="n">
        <x:v>328.786865234375</x:v>
      </x:c>
      <x:c r="F450" s="191" t="n">
        <x:v>446.0199890136719</x:v>
      </x:c>
      <x:c r="G450" s="191" t="n">
        <x:v>428.6306457519531</x:v>
      </x:c>
      <x:c r="H450" s="208" t="n">
        <x:f>E450/E449-1</x:f>
        <x:v>0.014226792535850352</x:v>
      </x:c>
      <x:c r="I450" s="208" t="n">
        <x:f>G450/G449-1</x:f>
        <x:v>0.008045925782065533</x:v>
      </x:c>
      <x:c r="J450" s="208" t="n">
        <x:f>'Beta HC3'!$E$13+'Beta HC3'!$E$12*I450</x:f>
        <x:v>0.009083420909637437</x:v>
      </x:c>
      <x:c r="K450" s="240" t="n">
        <x:f>H450-J450</x:f>
        <x:v>0.005143371626212916</x:v>
      </x:c>
      <x:c r="L450" s="240" t="n">
        <x:f>I450-'Beta HC3'!$E$9</x:f>
        <x:v>0.007481978164405093</x:v>
      </x:c>
      <x:c r="M450" s="240" t="n">
        <x:f>1/'Beta HC3'!$E$8+L450^2/'Beta HC3'!$E$11</x:f>
        <x:v>0.0011796288840188731</x:v>
      </x:c>
      <x:c r="N450" s="240" t="n">
        <x:f>K450^2/(1-M450)^2</x:f>
        <x:v>0.000026516794740542837</x:v>
      </x:c>
      <x:c r="O450" s="240" t="n">
        <x:f>N450*L450^2/'Beta HC3'!$E$11^2</x:f>
        <x:v>6.941744462544505e-8</x:v>
      </x:c>
      <x:c r="P450" s="240" t="n">
        <x:f>N450*(1/'Beta HC3'!$E$8-'Beta HC3'!$E$9*L450/'Beta HC3'!$E$11)^2</x:f>
        <x:v>1.5638544153682028e-11</x:v>
      </x:c>
      <x:c r="Q450" s="240" t="n">
        <x:f>N450*(1/'Beta HC3'!$E$8-'Beta HC3'!$E$9*L450/'Beta HC3'!$E$11)*L450/'Beta HC3'!$E$11</x:f>
        <x:v>1.04191543457749e-9</x:v>
      </x:c>
      <x:c r="R450" s="240" t="n">
        <x:f>K450*L450/'Beta HC3'!$E$11</x:f>
        <x:v>0.0002631611057433003</x:v>
      </x:c>
      <x:c r="S450" s="240" t="n">
        <x:f>(K450-K449)^2</x:f>
        <x:v>0.0001082903021250193</x:v>
      </x:c>
      <x:c r="T450" s="280" t="n">
        <x:f>E450/$E$9*100</x:f>
        <x:v>116.18912781648704</x:v>
      </x:c>
    </x:row>
    <x:row r="451" ht="24" customHeight="1">
      <x:c r="C451" s="274" t="d">
        <x:v>2023-07-13T00:00:00.000Z</x:v>
      </x:c>
      <x:c r="D451" s="191" t="n">
        <x:v>342.6600036621094</x:v>
      </x:c>
      <x:c r="E451" s="191" t="n">
        <x:v>334.1106262207031</x:v>
      </x:c>
      <x:c r="F451" s="191" t="n">
        <x:v>449.55999755859375</x:v>
      </x:c>
      <x:c r="G451" s="191" t="n">
        <x:v>432.0326843261719</x:v>
      </x:c>
      <x:c r="H451" s="208" t="n">
        <x:f>E451/E450-1</x:f>
        <x:v>0.016192134021330462</x:v>
      </x:c>
      <x:c r="I451" s="208" t="n">
        <x:f>G451/G450-1</x:f>
        <x:v>0.007936993324988428</x:v>
      </x:c>
      <x:c r="J451" s="208" t="n">
        <x:f>'Beta HC3'!$E$13+'Beta HC3'!$E$12*I451</x:f>
        <x:v>0.008960565606320392</x:v>
      </x:c>
      <x:c r="K451" s="240" t="n">
        <x:f>H451-J451</x:f>
        <x:v>0.00723156841501007</x:v>
      </x:c>
      <x:c r="L451" s="240" t="n">
        <x:f>I451-'Beta HC3'!$E$9</x:f>
        <x:v>0.007373045707327989</x:v>
      </x:c>
      <x:c r="M451" s="240" t="n">
        <x:f>1/'Beta HC3'!$E$8+L451^2/'Beta HC3'!$E$11</x:f>
        <x:v>0.0011685629515608468</x:v>
      </x:c>
      <x:c r="N451" s="240" t="n">
        <x:f>K451^2/(1-M451)^2</x:f>
        <x:v>0.000052418017668988836</x:v>
      </x:c>
      <x:c r="O451" s="240" t="n">
        <x:f>N451*L451^2/'Beta HC3'!$E$11^2</x:f>
        <x:v>1.3325673498801428e-7</x:v>
      </x:c>
      <x:c r="P451" s="240" t="n">
        <x:f>N451*(1/'Beta HC3'!$E$8-'Beta HC3'!$E$9*L451/'Beta HC3'!$E$11)^2</x:f>
        <x:v>3.094788012814463e-11</x:v>
      </x:c>
      <x:c r="Q451" s="240" t="n">
        <x:f>N451*(1/'Beta HC3'!$E$8-'Beta HC3'!$E$9*L451/'Beta HC3'!$E$11)*L451/'Beta HC3'!$E$11</x:f>
        <x:v>2.030766717443686e-9</x:v>
      </x:c>
      <x:c r="R451" s="240" t="n">
        <x:f>K451*L451/'Beta HC3'!$E$11</x:f>
        <x:v>0.00036461689372302344</x:v>
      </x:c>
      <x:c r="S451" s="240" t="n">
        <x:f>(K451-K450)^2</x:f>
        <x:v>0.000004360565828742749</x:v>
      </x:c>
      <x:c r="T451" s="280" t="n">
        <x:f>E451/$E$9*100</x:f>
        <x:v>118.07047774591311</x:v>
      </x:c>
    </x:row>
    <x:row r="452" ht="24" customHeight="1">
      <x:c r="C452" s="274" t="d">
        <x:v>2023-07-14T00:00:00.000Z</x:v>
      </x:c>
      <x:c r="D452" s="191" t="n">
        <x:v>345.239990234375</x:v>
      </x:c>
      <x:c r="E452" s="191" t="n">
        <x:v>336.6262512207031</x:v>
      </x:c>
      <x:c r="F452" s="191" t="n">
        <x:v>449.2799987792969</x:v>
      </x:c>
      <x:c r="G452" s="191" t="n">
        <x:v>431.7635803222656</x:v>
      </x:c>
      <x:c r="H452" s="208" t="n">
        <x:f>E452/E451-1</x:f>
        <x:v>0.007529317545076353</x:v>
      </x:c>
      <x:c r="I452" s="208" t="n">
        <x:f>G452/G451-1</x:f>
        <x:v>-0.0006228788091020565</x:v>
      </x:c>
      <x:c r="J452" s="208" t="n">
        <x:f>'Beta HC3'!$E$13+'Beta HC3'!$E$12*I452</x:f>
        <x:v>-0.0006933586289922325</x:v>
      </x:c>
      <x:c r="K452" s="240" t="n">
        <x:f>H452-J452</x:f>
        <x:v>0.008222676174068586</x:v>
      </x:c>
      <x:c r="L452" s="240" t="n">
        <x:f>I452-'Beta HC3'!$E$9</x:f>
        <x:v>-0.0011868264267624958</x:v>
      </x:c>
      <x:c r="M452" s="240" t="n">
        <x:f>1/'Beta HC3'!$E$8+L452^2/'Beta HC3'!$E$11</x:f>
        <x:v>0.0008064450884219731</x:v>
      </x:c>
      <x:c r="N452" s="240" t="n">
        <x:f>K452^2/(1-M452)^2</x:f>
        <x:v>0.00006772158690288785</x:v>
      </x:c>
      <x:c r="O452" s="240" t="n">
        <x:f>N452*L452^2/'Beta HC3'!$E$11^2</x:f>
        <x:v>4.460836085132368e-9</x:v>
      </x:c>
      <x:c r="P452" s="240" t="n">
        <x:f>N452*(1/'Beta HC3'!$E$8-'Beta HC3'!$E$9*L452/'Beta HC3'!$E$11)^2</x:f>
        <x:v>4.349253480041294e-11</x:v>
      </x:c>
      <x:c r="Q452" s="240" t="n">
        <x:f>N452*(1/'Beta HC3'!$E$8-'Beta HC3'!$E$9*L452/'Beta HC3'!$E$11)*L452/'Beta HC3'!$E$11</x:f>
        <x:v>-4.4046914610623676e-10</x:v>
      </x:c>
      <x:c r="R452" s="240" t="n">
        <x:f>K452*L452/'Beta HC3'!$E$11</x:f>
        <x:v>-0.00006673562877167874</x:v>
      </x:c>
      <x:c r="S452" s="240" t="n">
        <x:f>(K452-K451)^2</x:f>
        <x:v>9.822945900659923e-7</x:v>
      </x:c>
      <x:c r="T452" s="280" t="n">
        <x:f>E452/$E$9*100</x:f>
        <x:v>118.95946786556095</x:v>
      </x:c>
    </x:row>
    <x:row r="453" ht="24" customHeight="1">
      <x:c r="C453" s="274" t="d">
        <x:v>2023-07-17T00:00:00.000Z</x:v>
      </x:c>
      <x:c r="D453" s="191" t="n">
        <x:v>345.7300109863281</x:v>
      </x:c>
      <x:c r="E453" s="191" t="n">
        <x:v>337.1040344238281</x:v>
      </x:c>
      <x:c r="F453" s="191" t="n">
        <x:v>450.8399963378906</x:v>
      </x:c>
      <x:c r="G453" s="191" t="n">
        <x:v>433.26275634765625</x:v>
      </x:c>
      <x:c r="H453" s="208" t="n">
        <x:f>E453/E452-1</x:f>
        <x:v>0.0014193284136112538</x:v>
      </x:c>
      <x:c r="I453" s="208" t="n">
        <x:f>G453/G452-1</x:f>
        <x:v>0.003472215105015719</x:v>
      </x:c>
      <x:c r="J453" s="208" t="n">
        <x:f>'Beta HC3'!$E$13+'Beta HC3'!$E$12*I453</x:f>
        <x:v>0.0039251363396342375</x:v>
      </x:c>
      <x:c r="K453" s="240" t="n">
        <x:f>H453-J453</x:f>
        <x:v>-0.0025058079260229836</x:v>
      </x:c>
      <x:c r="L453" s="240" t="n">
        <x:f>I453-'Beta HC3'!$E$9</x:f>
        <x:v>0.00290826748735528</x:v>
      </x:c>
      <x:c r="M453" s="240" t="n">
        <x:f>1/'Beta HC3'!$E$8+L453^2/'Beta HC3'!$E$11</x:f>
        <x:v>0.000854652452473138</x:v>
      </x:c>
      <x:c r="N453" s="240" t="n">
        <x:f>K453^2/(1-M453)^2</x:f>
        <x:v>0.0000062898199879979845</x:v>
      </x:c>
      <x:c r="O453" s="240" t="n">
        <x:f>N453*L453^2/'Beta HC3'!$E$11^2</x:f>
        <x:v>2.487835355690621e-9</x:v>
      </x:c>
      <x:c r="P453" s="240" t="n">
        <x:f>N453*(1/'Beta HC3'!$E$8-'Beta HC3'!$E$9*L453/'Beta HC3'!$E$11)^2</x:f>
        <x:v>3.8818413892152284e-12</x:v>
      </x:c>
      <x:c r="Q453" s="240" t="n">
        <x:f>N453*(1/'Beta HC3'!$E$8-'Beta HC3'!$E$9*L453/'Beta HC3'!$E$11)*L453/'Beta HC3'!$E$11</x:f>
        <x:v>9.827198101835966e-11</x:v>
      </x:c>
      <x:c r="R453" s="240" t="n">
        <x:f>K453*L453/'Beta HC3'!$E$11</x:f>
        <x:v>-0.00004983557668680122</x:v>
      </x:c>
      <x:c r="S453" s="240" t="n">
        <x:f>(K453-K452)^2</x:f>
        <x:v>0.00011510037108591763</x:v>
      </x:c>
      <x:c r="T453" s="280" t="n">
        <x:f>E453/$E$9*100</x:f>
        <x:v>119.12831041837062</x:v>
      </x:c>
    </x:row>
    <x:row r="454" ht="24" customHeight="1">
      <x:c r="C454" s="274" t="d">
        <x:v>2023-07-18T00:00:00.000Z</x:v>
      </x:c>
      <x:c r="D454" s="191" t="n">
        <x:v>359.489990234375</x:v>
      </x:c>
      <x:c r="E454" s="191" t="n">
        <x:v>350.5207214355469</x:v>
      </x:c>
      <x:c r="F454" s="191" t="n">
        <x:v>454.19000244140625</x:v>
      </x:c>
      <x:c r="G454" s="191" t="n">
        <x:v>436.4821472167969</x:v>
      </x:c>
      <x:c r="H454" s="208" t="n">
        <x:f>E454/E453-1</x:f>
        <x:v>0.03979984112219337</x:v>
      </x:c>
      <x:c r="I454" s="208" t="n">
        <x:f>G454/G453-1</x:f>
        <x:v>0.007430573761473713</x:v>
      </x:c>
      <x:c r="J454" s="208" t="n">
        <x:f>'Beta HC3'!$E$13+'Beta HC3'!$E$12*I454</x:f>
        <x:v>0.008389419680205385</x:v>
      </x:c>
      <x:c r="K454" s="240" t="n">
        <x:f>H454-J454</x:f>
        <x:v>0.03141042144198798</x:v>
      </x:c>
      <x:c r="L454" s="240" t="n">
        <x:f>I454-'Beta HC3'!$E$9</x:f>
        <x:v>0.006866626143813274</x:v>
      </x:c>
      <x:c r="M454" s="240" t="n">
        <x:f>1/'Beta HC3'!$E$8+L454^2/'Beta HC3'!$E$11</x:f>
        <x:v>0.0011192492256243878</x:v>
      </x:c>
      <x:c r="N454" s="240" t="n">
        <x:f>K454^2/(1-M454)^2</x:f>
        <x:v>0.0009888268237548457</x:v>
      </x:c>
      <x:c r="O454" s="240" t="n">
        <x:f>N454*L454^2/'Beta HC3'!$E$11^2</x:f>
        <x:v>0.0000021803276741245476</x:v>
      </x:c>
      <x:c r="P454" s="240" t="n">
        <x:f>N454*(1/'Beta HC3'!$E$8-'Beta HC3'!$E$9*L454/'Beta HC3'!$E$11)^2</x:f>
        <x:v>5.867802394762775e-10</x:v>
      </x:c>
      <x:c r="Q454" s="240" t="n">
        <x:f>N454*(1/'Beta HC3'!$E$8-'Beta HC3'!$E$9*L454/'Beta HC3'!$E$11)*L454/'Beta HC3'!$E$11</x:f>
        <x:v>3.576832669778609e-8</x:v>
      </x:c>
      <x:c r="R454" s="240" t="n">
        <x:f>K454*L454/'Beta HC3'!$E$11</x:f>
        <x:v>0.001474940590444353</x:v>
      </x:c>
      <x:c r="S454" s="240" t="n">
        <x:f>(K454-K453)^2</x:f>
        <x:v>0.0011503106145435297</x:v>
      </x:c>
      <x:c r="T454" s="280" t="n">
        <x:f>E454/$E$9*100</x:f>
        <x:v>123.86959824617709</x:v>
      </x:c>
    </x:row>
    <x:row r="455" ht="24" customHeight="1">
      <x:c r="C455" s="274" t="d">
        <x:v>2023-07-19T00:00:00.000Z</x:v>
      </x:c>
      <x:c r="D455" s="191" t="n">
        <x:v>355.0799865722656</x:v>
      </x:c>
      <x:c r="E455" s="191" t="n">
        <x:v>346.2207946777344</x:v>
      </x:c>
      <x:c r="F455" s="191" t="n">
        <x:v>455.20001220703125</x:v>
      </x:c>
      <x:c r="G455" s="191" t="n">
        <x:v>437.45281982421875</x:v>
      </x:c>
      <x:c r="H455" s="208" t="n">
        <x:f>E455/E454-1</x:f>
        <x:v>-0.012267254101846814</x:v>
      </x:c>
      <x:c r="I455" s="208" t="n">
        <x:f>G455/G454-1</x:f>
        <x:v>0.0022238540879879753</x:v>
      </x:c>
      <x:c r="J455" s="208" t="n">
        <x:f>'Beta HC3'!$E$13+'Beta HC3'!$E$12*I455</x:f>
        <x:v>0.002517220136224247</x:v>
      </x:c>
      <x:c r="K455" s="240" t="n">
        <x:f>H455-J455</x:f>
        <x:v>-0.014784474238071062</x:v>
      </x:c>
      <x:c r="L455" s="240" t="n">
        <x:f>I455-'Beta HC3'!$E$9</x:f>
        <x:v>0.001659906470327536</x:v>
      </x:c>
      <x:c r="M455" s="240" t="n">
        <x:f>1/'Beta HC3'!$E$8+L455^2/'Beta HC3'!$E$11</x:f>
        <x:v>0.0008156546447750553</x:v>
      </x:c>
      <x:c r="N455" s="240" t="n">
        <x:f>K455^2/(1-M455)^2</x:f>
        <x:v>0.00021893768792272624</x:v>
      </x:c>
      <x:c r="O455" s="240" t="n">
        <x:f>N455*L455^2/'Beta HC3'!$E$11^2</x:f>
        <x:v>2.820996100945468e-8</x:v>
      </x:c>
      <x:c r="P455" s="240" t="n">
        <x:f>N455*(1/'Beta HC3'!$E$8-'Beta HC3'!$E$9*L455/'Beta HC3'!$E$11)^2</x:f>
        <x:v>1.367813181768468e-10</x:v>
      </x:c>
      <x:c r="Q455" s="240" t="n">
        <x:f>N455*(1/'Beta HC3'!$E$8-'Beta HC3'!$E$9*L455/'Beta HC3'!$E$11)*L455/'Beta HC3'!$E$11</x:f>
        <x:v>1.964330840920303e-9</x:v>
      </x:c>
      <x:c r="R455" s="240" t="n">
        <x:f>K455*L455/'Beta HC3'!$E$11</x:f>
        <x:v>-0.00016782121619711134</x:v>
      </x:c>
      <x:c r="S455" s="240" t="n">
        <x:f>(K455-K454)^2</x:f>
        <x:v>0.002133968386891538</x:v>
      </x:c>
      <x:c r="T455" s="280" t="n">
        <x:f>E455/$E$9*100</x:f>
        <x:v>122.35005840899757</x:v>
      </x:c>
    </x:row>
    <x:row r="456" ht="24" customHeight="1">
      <x:c r="C456" s="274" t="d">
        <x:v>2023-07-20T00:00:00.000Z</x:v>
      </x:c>
      <x:c r="D456" s="191" t="n">
        <x:v>346.8699951171875</x:v>
      </x:c>
      <x:c r="E456" s="191" t="n">
        <x:v>338.21563720703125</x:v>
      </x:c>
      <x:c r="F456" s="191" t="n">
        <x:v>452.17999267578125</x:v>
      </x:c>
      <x:c r="G456" s="191" t="n">
        <x:v>434.5504455566406</x:v>
      </x:c>
      <x:c r="H456" s="208" t="n">
        <x:f>E456/E455-1</x:f>
        <x:v>-0.023121538607045244</x:v>
      </x:c>
      <x:c r="I456" s="208" t="n">
        <x:f>G456/G455-1</x:f>
        <x:v>-0.0066347138160964825</x:v>
      </x:c>
      <x:c r="J456" s="208" t="n">
        <x:f>'Beta HC3'!$E$13+'Beta HC3'!$E$12*I456</x:f>
        <x:v>-0.007473576693416748</x:v>
      </x:c>
      <x:c r="K456" s="240" t="n">
        <x:f>H456-J456</x:f>
        <x:v>-0.015647961913628498</x:v>
      </x:c>
      <x:c r="L456" s="240" t="n">
        <x:f>I456-'Beta HC3'!$E$9</x:f>
        <x:v>-0.007198661433756922</x:v>
      </x:c>
      <x:c r="M456" s="240" t="n">
        <x:f>1/'Beta HC3'!$E$8+L456^2/'Beta HC3'!$E$11</x:f>
        <x:v>0.0011511859391111258</x:v>
      </x:c>
      <x:c r="N456" s="240" t="n">
        <x:f>K456^2/(1-M456)^2</x:f>
        <x:v>0.00024542344284114194</x:v>
      </x:c>
      <x:c r="O456" s="240" t="n">
        <x:f>N456*L456^2/'Beta HC3'!$E$11^2</x:f>
        <x:v>5.947497439625712e-7</x:v>
      </x:c>
      <x:c r="P456" s="240" t="n">
        <x:f>N456*(1/'Beta HC3'!$E$8-'Beta HC3'!$E$9*L456/'Beta HC3'!$E$11)^2</x:f>
        <x:v>1.668690959848707e-10</x:v>
      </x:c>
      <x:c r="Q456" s="240" t="n">
        <x:f>N456*(1/'Beta HC3'!$E$8-'Beta HC3'!$E$9*L456/'Beta HC3'!$E$11)*L456/'Beta HC3'!$E$11</x:f>
        <x:v>-9.96219614905607e-9</x:v>
      </x:c>
      <x:c r="R456" s="240" t="n">
        <x:f>K456*L456/'Beta HC3'!$E$11</x:f>
        <x:v>0.000770312402248036</x:v>
      </x:c>
      <x:c r="S456" s="240" t="n">
        <x:f>(K456-K455)^2</x:f>
        <x:v>7.456109658395838e-7</x:v>
      </x:c>
      <x:c r="T456" s="280" t="n">
        <x:f>E456/$E$9*100</x:f>
        <x:v>119.5211368099197</x:v>
      </x:c>
    </x:row>
    <x:row r="457" ht="24" customHeight="1">
      <x:c r="C457" s="274" t="d">
        <x:v>2023-07-21T00:00:00.000Z</x:v>
      </x:c>
      <x:c r="D457" s="191" t="n">
        <x:v>343.7699890136719</x:v>
      </x:c>
      <x:c r="E457" s="191" t="n">
        <x:v>335.1929016113281</x:v>
      </x:c>
      <x:c r="F457" s="191" t="n">
        <x:v>452.17999267578125</x:v>
      </x:c>
      <x:c r="G457" s="191" t="n">
        <x:v>434.5504455566406</x:v>
      </x:c>
      <x:c r="H457" s="208" t="n">
        <x:f>E457/E456-1</x:f>
        <x:v>-0.008937302901381838</x:v>
      </x:c>
      <x:c r="I457" s="208" t="n">
        <x:f>G457/G456-1</x:f>
        <x:v>0</x:v>
      </x:c>
      <x:c r="J457" s="208" t="n">
        <x:f>'Beta HC3'!$E$13+'Beta HC3'!$E$12*I457</x:f>
        <x:v>0.000009131400841832821</x:v>
      </x:c>
      <x:c r="K457" s="240" t="n">
        <x:f>H457-J457</x:f>
        <x:v>-0.008946434302223671</x:v>
      </x:c>
      <x:c r="L457" s="240" t="n">
        <x:f>I457-'Beta HC3'!$E$9</x:f>
        <x:v>-0.0005639476176604394</x:v>
      </x:c>
      <x:c r="M457" s="240" t="n">
        <x:f>1/'Beta HC3'!$E$8+L457^2/'Beta HC3'!$E$11</x:f>
        <x:v>0.0007989876269737145</x:v>
      </x:c>
      <x:c r="N457" s="240" t="n">
        <x:f>K457^2/(1-M457)^2</x:f>
        <x:v>0.00008016674001379408</x:v>
      </x:c>
      <x:c r="O457" s="240" t="n">
        <x:f>N457*L457^2/'Beta HC3'!$E$11^2</x:f>
        <x:v>1.1923025667399947e-9</x:v>
      </x:c>
      <x:c r="P457" s="240" t="n">
        <x:f>N457*(1/'Beta HC3'!$E$8-'Beta HC3'!$E$9*L457/'Beta HC3'!$E$11)^2</x:f>
        <x:v>5.117694193933912e-11</x:v>
      </x:c>
      <x:c r="Q457" s="240" t="n">
        <x:f>N457*(1/'Beta HC3'!$E$8-'Beta HC3'!$E$9*L457/'Beta HC3'!$E$11)*L457/'Beta HC3'!$E$11</x:f>
        <x:v>-2.4701902605301016e-10</x:v>
      </x:c>
      <x:c r="R457" s="240" t="n">
        <x:f>K457*L457/'Beta HC3'!$E$11</x:f>
        <x:v>0.00003450214569974892</x:v>
      </x:c>
      <x:c r="S457" s="240" t="n">
        <x:f>(K457-K456)^2</x:f>
        <x:v>0.00004491047232642128</x:v>
      </x:c>
      <x:c r="T457" s="280" t="n">
        <x:f>E457/$E$9*100</x:f>
        <x:v>118.45294020713193</x:v>
      </x:c>
    </x:row>
    <x:row r="458" ht="24" customHeight="1">
      <x:c r="C458" s="274" t="d">
        <x:v>2023-07-24T00:00:00.000Z</x:v>
      </x:c>
      <x:c r="D458" s="191" t="n">
        <x:v>345.1099853515625</x:v>
      </x:c>
      <x:c r="E458" s="191" t="n">
        <x:v>336.4994812011719</x:v>
      </x:c>
      <x:c r="F458" s="191" t="n">
        <x:v>454.20001220703125</x:v>
      </x:c>
      <x:c r="G458" s="191" t="n">
        <x:v>436.49176025390625</x:v>
      </x:c>
      <x:c r="H458" s="208" t="n">
        <x:f>E458/E457-1</x:f>
        <x:v>0.003897993017044188</x:v>
      </x:c>
      <x:c r="I458" s="208" t="n">
        <x:f>G458/G457-1</x:f>
        <x:v>0.004467409289568014</x:v>
      </x:c>
      <x:c r="J458" s="208" t="n">
        <x:f>'Beta HC3'!$E$13+'Beta HC3'!$E$12*I458</x:f>
        <x:v>0.0050475280186908335</x:v>
      </x:c>
      <x:c r="K458" s="240" t="n">
        <x:f>H458-J458</x:f>
        <x:v>-0.0011495350016466456</x:v>
      </x:c>
      <x:c r="L458" s="240" t="n">
        <x:f>I458-'Beta HC3'!$E$9</x:f>
        <x:v>0.0039034616719075747</x:v>
      </x:c>
      <x:c r="M458" s="240" t="n">
        <x:f>1/'Beta HC3'!$E$8+L458^2/'Beta HC3'!$E$11</x:f>
        <x:v>0.0009010102252688546</x:v>
      </x:c>
      <x:c r="N458" s="240" t="n">
        <x:f>K458^2/(1-M458)^2</x:f>
        <x:v>0.000001323815187352209</x:v>
      </x:c>
      <x:c r="O458" s="240" t="n">
        <x:f>N458*L458^2/'Beta HC3'!$E$11^2</x:f>
        <x:v>9.432828114482698e-10</x:v>
      </x:c>
      <x:c r="P458" s="240" t="n">
        <x:f>N458*(1/'Beta HC3'!$E$8-'Beta HC3'!$E$9*L458/'Beta HC3'!$E$11)^2</x:f>
        <x:v>8.090457590441005e-13</x:v>
      </x:c>
      <x:c r="Q458" s="240" t="n">
        <x:f>N458*(1/'Beta HC3'!$E$8-'Beta HC3'!$E$9*L458/'Beta HC3'!$E$11)*L458/'Beta HC3'!$E$11</x:f>
        <x:v>2.7625331820295273e-11</x:v>
      </x:c>
      <x:c r="R458" s="240" t="n">
        <x:f>K458*L458/'Beta HC3'!$E$11</x:f>
        <x:v>-0.00003068523687877787</x:v>
      </x:c>
      <x:c r="S458" s="240" t="n">
        <x:f>(K458-K457)^2</x:f>
        <x:v>0.00006079163870333851</x:v>
      </x:c>
      <x:c r="T458" s="280" t="n">
        <x:f>E458/$E$9*100</x:f>
        <x:v>118.9146689409077</x:v>
      </x:c>
    </x:row>
    <x:row r="459" ht="24" customHeight="1">
      <x:c r="C459" s="274" t="d">
        <x:v>2023-07-25T00:00:00.000Z</x:v>
      </x:c>
      <x:c r="D459" s="191" t="n">
        <x:v>350.9800109863281</x:v>
      </x:c>
      <x:c r="E459" s="191" t="n">
        <x:v>342.2231140136719</x:v>
      </x:c>
      <x:c r="F459" s="191" t="n">
        <x:v>455.44000244140625</x:v>
      </x:c>
      <x:c r="G459" s="191" t="n">
        <x:v>437.6833801269531</x:v>
      </x:c>
      <x:c r="H459" s="208" t="n">
        <x:f>E459/E458-1</x:f>
        <x:v>0.0170093362167123</x:v>
      </x:c>
      <x:c r="I459" s="208" t="n">
        <x:f>G459/G458-1</x:f>
        <x:v>0.002729993969081468</x:v>
      </x:c>
      <x:c r="J459" s="208" t="n">
        <x:f>'Beta HC3'!$E$13+'Beta HC3'!$E$12*I459</x:f>
        <x:v>0.0030880506332227743</x:v>
      </x:c>
      <x:c r="K459" s="240" t="n">
        <x:f>H459-J459</x:f>
        <x:v>0.013921285583489526</x:v>
      </x:c>
      <x:c r="L459" s="240" t="n">
        <x:f>I459-'Beta HC3'!$E$9</x:f>
        <x:v>0.0021660463514210286</x:v>
      </x:c>
      <x:c r="M459" s="240" t="n">
        <x:f>1/'Beta HC3'!$E$8+L459^2/'Beta HC3'!$E$11</x:f>
        <x:v>0.0008288970700367634</x:v>
      </x:c>
      <x:c r="N459" s="240" t="n">
        <x:f>K459^2/(1-M459)^2</x:f>
        <x:v>0.00019412387634496614</x:v>
      </x:c>
      <x:c r="O459" s="240" t="n">
        <x:f>N459*L459^2/'Beta HC3'!$E$11^2</x:f>
        <x:v>4.2592111381686705e-8</x:v>
      </x:c>
      <x:c r="P459" s="240" t="n">
        <x:f>N459*(1/'Beta HC3'!$E$8-'Beta HC3'!$E$9*L459/'Beta HC3'!$E$11)^2</x:f>
        <x:v>1.2068062660623597e-10</x:v>
      </x:c>
      <x:c r="Q459" s="240" t="n">
        <x:f>N459*(1/'Beta HC3'!$E$8-'Beta HC3'!$E$9*L459/'Beta HC3'!$E$11)*L459/'Beta HC3'!$E$11</x:f>
        <x:v>2.2671662246126877e-9</x:v>
      </x:c>
      <x:c r="R459" s="240" t="n">
        <x:f>K459*L459/'Beta HC3'!$E$11</x:f>
        <x:v>0.00020620749669398973</x:v>
      </x:c>
      <x:c r="S459" s="240" t="n">
        <x:f>(K459-K458)^2</x:f>
        <x:v>0.00022712963310936416</x:v>
      </x:c>
      <x:c r="T459" s="280" t="n">
        <x:f>E459/$E$9*100</x:f>
        <x:v>120.93732852602264</x:v>
      </x:c>
    </x:row>
    <x:row r="460" ht="24" customHeight="1">
      <x:c r="C460" s="274" t="d">
        <x:v>2023-07-26T00:00:00.000Z</x:v>
      </x:c>
      <x:c r="D460" s="191" t="n">
        <x:v>337.7699890136719</x:v>
      </x:c>
      <x:c r="E460" s="191" t="n">
        <x:v>329.3426513671875</x:v>
      </x:c>
      <x:c r="F460" s="191" t="n">
        <x:v>455.510009765625</x:v>
      </x:c>
      <x:c r="G460" s="191" t="n">
        <x:v>437.75067138671875</x:v>
      </x:c>
      <x:c r="H460" s="208" t="n">
        <x:f>E460/E459-1</x:f>
        <x:v>-0.03763761744617222</x:v>
      </x:c>
      <x:c r="I460" s="208" t="n">
        <x:f>G460/G459-1</x:f>
        <x:v>0.00015374415118540874</x:v>
      </x:c>
      <x:c r="J460" s="208" t="n">
        <x:f>'Beta HC3'!$E$13+'Beta HC3'!$E$12*I460</x:f>
        <x:v>0.00018252585859959353</x:v>
      </x:c>
      <x:c r="K460" s="240" t="n">
        <x:f>H460-J460</x:f>
        <x:v>-0.03782014330477181</x:v>
      </x:c>
      <x:c r="L460" s="240" t="n">
        <x:f>I460-'Beta HC3'!$E$9</x:f>
        <x:v>-0.00041020346647503063</x:v>
      </x:c>
      <x:c r="M460" s="240" t="n">
        <x:f>1/'Beta HC3'!$E$8+L460^2/'Beta HC3'!$E$11</x:f>
        <x:v>0.0007979634328430348</x:v>
      </x:c>
      <x:c r="N460" s="240" t="n">
        <x:f>K460^2/(1-M460)^2</x:f>
        <x:v>0.0014326487299578742</x:v>
      </x:c>
      <x:c r="O460" s="240" t="n">
        <x:f>N460*L460^2/'Beta HC3'!$E$11^2</x:f>
        <x:v>1.1273352687758242e-8</x:v>
      </x:c>
      <x:c r="P460" s="240" t="n">
        <x:f>N460*(1/'Beta HC3'!$E$8-'Beta HC3'!$E$9*L460/'Beta HC3'!$E$11)^2</x:f>
        <x:v>9.132191697109957e-10</x:v>
      </x:c>
      <x:c r="Q460" s="240" t="n">
        <x:f>N460*(1/'Beta HC3'!$E$8-'Beta HC3'!$E$9*L460/'Beta HC3'!$E$11)*L460/'Beta HC3'!$E$11</x:f>
        <x:v>-3.208588752298089e-9</x:v>
      </x:c>
      <x:c r="R460" s="240" t="n">
        <x:f>K460*L460/'Beta HC3'!$E$11</x:f>
        <x:v>0.00010609132113229465</x:v>
      </x:c>
      <x:c r="S460" s="240" t="n">
        <x:f>(K460-K459)^2</x:f>
        <x:v>0.002677175463399005</x:v>
      </x:c>
      <x:c r="T460" s="280" t="n">
        <x:f>E460/$E$9*100</x:f>
        <x:v>116.38553561999814</x:v>
      </x:c>
    </x:row>
    <x:row r="461" ht="24" customHeight="1">
      <x:c r="C461" s="274" t="d">
        <x:v>2023-07-27T00:00:00.000Z</x:v>
      </x:c>
      <x:c r="D461" s="191" t="n">
        <x:v>330.7200012207031</x:v>
      </x:c>
      <x:c r="E461" s="191" t="n">
        <x:v>322.4685363769531</x:v>
      </x:c>
      <x:c r="F461" s="191" t="n">
        <x:v>452.489990234375</x:v>
      </x:c>
      <x:c r="G461" s="191" t="n">
        <x:v>434.848388671875</x:v>
      </x:c>
      <x:c r="H461" s="208" t="n">
        <x:f>E461/E460-1</x:f>
        <x:v>-0.02087222824525803</x:v>
      </x:c>
      <x:c r="I461" s="208" t="n">
        <x:f>G461/G460-1</x:f>
        <x:v>-0.006629990322230328</x:v>
      </x:c>
      <x:c r="J461" s="208" t="n">
        <x:f>'Beta HC3'!$E$13+'Beta HC3'!$E$12*I461</x:f>
        <x:v>-0.0074682494816085</x:v>
      </x:c>
      <x:c r="K461" s="240" t="n">
        <x:f>H461-J461</x:f>
        <x:v>-0.01340397876364953</x:v>
      </x:c>
      <x:c r="L461" s="240" t="n">
        <x:f>I461-'Beta HC3'!$E$9</x:f>
        <x:v>-0.007193937939890768</x:v>
      </x:c>
      <x:c r="M461" s="240" t="n">
        <x:f>1/'Beta HC3'!$E$8+L461^2/'Beta HC3'!$E$11</x:f>
        <x:v>0.001150721038674722</x:v>
      </x:c>
      <x:c r="N461" s="240" t="n">
        <x:f>K461^2/(1-M461)^2</x:f>
        <x:v>0.00018008085389517996</x:v>
      </x:c>
      <x:c r="O461" s="240" t="n">
        <x:f>N461*L461^2/'Beta HC3'!$E$11^2</x:f>
        <x:v>4.3582851156116547e-7</x:v>
      </x:c>
      <x:c r="P461" s="240" t="n">
        <x:f>N461*(1/'Beta HC3'!$E$8-'Beta HC3'!$E$9*L461/'Beta HC3'!$E$11)^2</x:f>
        <x:v>1.2243574310251309e-10</x:v>
      </x:c>
      <x:c r="Q461" s="240" t="n">
        <x:f>N461*(1/'Beta HC3'!$E$8-'Beta HC3'!$E$9*L461/'Beta HC3'!$E$11)*L461/'Beta HC3'!$E$11</x:f>
        <x:v>-7.304860551595324e-9</x:v>
      </x:c>
      <x:c r="R461" s="240" t="n">
        <x:f>K461*L461/'Beta HC3'!$E$11</x:f>
        <x:v>0.0006594134170551555</x:v>
      </x:c>
      <x:c r="S461" s="240" t="n">
        <x:f>(K461-K460)^2</x:f>
        <x:v>0.0005961490908991572</x:v>
      </x:c>
      <x:c r="T461" s="280" t="n">
        <x:f>E461/$E$9*100</x:f>
        <x:v>113.95631015609094</x:v>
      </x:c>
    </x:row>
    <x:row r="462" ht="24" customHeight="1">
      <x:c r="C462" s="274" t="d">
        <x:v>2023-07-28T00:00:00.000Z</x:v>
      </x:c>
      <x:c r="D462" s="191" t="n">
        <x:v>338.3699951171875</x:v>
      </x:c>
      <x:c r="E462" s="191" t="n">
        <x:v>329.9276428222656</x:v>
      </x:c>
      <x:c r="F462" s="191" t="n">
        <x:v>456.9200134277344</x:v>
      </x:c>
      <x:c r="G462" s="191" t="n">
        <x:v>439.1056823730469</x:v>
      </x:c>
      <x:c r="H462" s="208" t="n">
        <x:f>E462/E461-1</x:f>
        <x:v>0.02313126895764217</x:v>
      </x:c>
      <x:c r="I462" s="208" t="n">
        <x:f>G462/G461-1</x:f>
        <x:v>0.009790294300444868</x:v>
      </x:c>
      <x:c r="J462" s="208" t="n">
        <x:f>'Beta HC3'!$E$13+'Beta HC3'!$E$12*I462</x:f>
        <x:v>0.011050740193278577</x:v>
      </x:c>
      <x:c r="K462" s="240" t="n">
        <x:f>H462-J462</x:f>
        <x:v>0.012080528764363593</x:v>
      </x:c>
      <x:c r="L462" s="240" t="n">
        <x:f>I462-'Beta HC3'!$E$9</x:f>
        <x:v>0.00922634668278443</x:v>
      </x:c>
      <x:c r="M462" s="240" t="n">
        <x:f>1/'Beta HC3'!$E$8+L462^2/'Beta HC3'!$E$11</x:f>
        <x:v>0.001378938619081717</x:v>
      </x:c>
      <x:c r="N462" s="240" t="n">
        <x:f>K462^2/(1-M462)^2</x:f>
        <x:v>0.00014634249158703168</x:v>
      </x:c>
      <x:c r="O462" s="240" t="n">
        <x:f>N462*L462^2/'Beta HC3'!$E$11^2</x:f>
        <x:v>5.82565425723149e-7</x:v>
      </x:c>
      <x:c r="P462" s="240" t="n">
        <x:f>N462*(1/'Beta HC3'!$E$8-'Beta HC3'!$E$9*L462/'Beta HC3'!$E$11)^2</x:f>
        <x:v>8.48014947243793e-11</x:v>
      </x:c>
      <x:c r="Q462" s="240" t="n">
        <x:f>N462*(1/'Beta HC3'!$E$8-'Beta HC3'!$E$9*L462/'Beta HC3'!$E$11)*L462/'Beta HC3'!$E$11</x:f>
        <x:v>7.028685430154589e-9</x:v>
      </x:c>
      <x:c r="R462" s="240" t="n">
        <x:f>K462*L462/'Beta HC3'!$E$11</x:f>
        <x:v>0.0007622072484091747</x:v>
      </x:c>
      <x:c r="S462" s="240" t="n">
        <x:f>(K462-K461)^2</x:f>
        <x:v>0.0006494601239453575</x:v>
      </x:c>
      <x:c r="T462" s="280" t="n">
        <x:f>E462/$E$9*100</x:f>
        <x:v>116.59226421573194</x:v>
      </x:c>
    </x:row>
    <x:row r="463" ht="24" customHeight="1">
      <x:c r="C463" s="274" t="d">
        <x:v>2023-07-31T00:00:00.000Z</x:v>
      </x:c>
      <x:c r="D463" s="191" t="n">
        <x:v>335.9200134277344</x:v>
      </x:c>
      <x:c r="E463" s="191" t="n">
        <x:v>327.5387878417969</x:v>
      </x:c>
      <x:c r="F463" s="191" t="n">
        <x:v>457.7900085449219</x:v>
      </x:c>
      <x:c r="G463" s="191" t="n">
        <x:v>439.9417724609375</x:v>
      </x:c>
      <x:c r="H463" s="208" t="n">
        <x:f>E463/E462-1</x:f>
        <x:v>-0.00724054207775382</x:v>
      </x:c>
      <x:c r="I463" s="208" t="n">
        <x:f>G463/G462-1</x:f>
        <x:v>0.001904074853625648</x:v>
      </x:c>
      <x:c r="J463" s="208" t="n">
        <x:f>'Beta HC3'!$E$13+'Beta HC3'!$E$12*I463</x:f>
        <x:v>0.0021565693633855466</x:v>
      </x:c>
      <x:c r="K463" s="240" t="n">
        <x:f>H463-J463</x:f>
        <x:v>-0.009397111441139366</x:v>
      </x:c>
      <x:c r="L463" s="240" t="n">
        <x:f>I463-'Beta HC3'!$E$9</x:f>
        <x:v>0.0013401272359652087</x:v>
      </x:c>
      <x:c r="M463" s="240" t="n">
        <x:f>1/'Beta HC3'!$E$8+L463^2/'Beta HC3'!$E$11</x:f>
        <x:v>0.0008090941929010781</x:v>
      </x:c>
      <x:c r="N463" s="240" t="n">
        <x:f>K463^2/(1-M463)^2</x:f>
        <x:v>0.00008844877231176402</x:v>
      </x:c>
      <x:c r="O463" s="240" t="n">
        <x:f>N463*L463^2/'Beta HC3'!$E$11^2</x:f>
        <x:v>7.428456751976163e-9</x:v>
      </x:c>
      <x:c r="P463" s="240" t="n">
        <x:f>N463*(1/'Beta HC3'!$E$8-'Beta HC3'!$E$9*L463/'Beta HC3'!$E$11)^2</x:f>
        <x:v>5.543093744196315e-11</x:v>
      </x:c>
      <x:c r="Q463" s="240" t="n">
        <x:f>N463*(1/'Beta HC3'!$E$8-'Beta HC3'!$E$9*L463/'Beta HC3'!$E$11)*L463/'Beta HC3'!$E$11</x:f>
        <x:v>6.416902068047475e-10</x:v>
      </x:c>
      <x:c r="R463" s="240" t="n">
        <x:f>K463*L463/'Beta HC3'!$E$11</x:f>
        <x:v>-0.00008611876086226323</x:v>
      </x:c>
      <x:c r="S463" s="240" t="n">
        <x:f>(K463-K462)^2</x:f>
        <x:v>0.00046128902879703727</x:v>
      </x:c>
      <x:c r="T463" s="280" t="n">
        <x:f>E463/$E$9*100</x:f>
        <x:v>115.74807302073735</x:v>
      </x:c>
    </x:row>
    <x:row r="464" ht="24" customHeight="1">
      <x:c r="C464" s="274" t="d">
        <x:v>2023-08-01T00:00:00.000Z</x:v>
      </x:c>
      <x:c r="D464" s="191" t="n">
        <x:v>336.3399963378906</x:v>
      </x:c>
      <x:c r="E464" s="191" t="n">
        <x:v>327.9483337402344</x:v>
      </x:c>
      <x:c r="F464" s="191" t="n">
        <x:v>456.4800109863281</x:v>
      </x:c>
      <x:c r="G464" s="191" t="n">
        <x:v>438.682861328125</x:v>
      </x:c>
      <x:c r="H464" s="208" t="n">
        <x:f>E464/E463-1</x:f>
        <x:v>0.0012503737378282143</x:v>
      </x:c>
      <x:c r="I464" s="208" t="n">
        <x:f>G464/G463-1</x:f>
        <x:v>-0.0028615403483293056</x:v>
      </x:c>
      <x:c r="J464" s="208" t="n">
        <x:f>'Beta HC3'!$E$13+'Beta HC3'!$E$12*I464</x:f>
        <x:v>-0.0032181473816345683</x:v>
      </x:c>
      <x:c r="K464" s="240" t="n">
        <x:f>H464-J464</x:f>
        <x:v>0.004468521119462783</x:v>
      </x:c>
      <x:c r="L464" s="240" t="n">
        <x:f>I464-'Beta HC3'!$E$9</x:f>
        <x:v>-0.003425487965989745</x:v>
      </x:c>
      <x:c r="M464" s="240" t="n">
        <x:f>1/'Beta HC3'!$E$8+L464^2/'Beta HC3'!$E$11</x:f>
        <x:v>0.0008770548430376997</x:v>
      </x:c>
      <x:c r="N464" s="240" t="n">
        <x:f>K464^2/(1-M464)^2</x:f>
        <x:v>0.000020002752630601084</x:v>
      </x:c>
      <x:c r="O464" s="240" t="n">
        <x:f>N464*L464^2/'Beta HC3'!$E$11^2</x:f>
        <x:v>1.0976133466323158e-8</x:v>
      </x:c>
      <x:c r="P464" s="240" t="n">
        <x:f>N464*(1/'Beta HC3'!$E$8-'Beta HC3'!$E$9*L464/'Beta HC3'!$E$11)^2</x:f>
        <x:v>1.3124558711407404e-11</x:v>
      </x:c>
      <x:c r="Q464" s="240" t="n">
        <x:f>N464*(1/'Beta HC3'!$E$8-'Beta HC3'!$E$9*L464/'Beta HC3'!$E$11)*L464/'Beta HC3'!$E$11</x:f>
        <x:v>-3.7954829482294075e-10</x:v>
      </x:c>
      <x:c r="R464" s="240" t="n">
        <x:f>K464*L464/'Beta HC3'!$E$11</x:f>
        <x:v>-0.00010467515735556676</x:v>
      </x:c>
      <x:c r="S464" s="240" t="n">
        <x:f>(K464-K463)^2</x:f>
        <x:v>0.0001922557663056305</x:v>
      </x:c>
      <x:c r="T464" s="280" t="n">
        <x:f>E464/$E$9*100</x:f>
        <x:v>115.89280137144671</x:v>
      </x:c>
    </x:row>
    <x:row r="465" ht="24" customHeight="1">
      <x:c r="C465" s="274" t="d">
        <x:v>2023-08-02T00:00:00.000Z</x:v>
      </x:c>
      <x:c r="D465" s="191" t="n">
        <x:v>327.5</x:v>
      </x:c>
      <x:c r="E465" s="191" t="n">
        <x:v>319.328857421875</x:v>
      </x:c>
      <x:c r="F465" s="191" t="n">
        <x:v>450.1300048828125</x:v>
      </x:c>
      <x:c r="G465" s="191" t="n">
        <x:v>432.58038330078125</x:v>
      </x:c>
      <x:c r="H465" s="208" t="n">
        <x:f>E465/E464-1</x:f>
        <x:v>-0.02628303129354148</x:v>
      </x:c>
      <x:c r="I465" s="208" t="n">
        <x:f>G465/G464-1</x:f>
        <x:v>-0.013910910512592856</x:v>
      </x:c>
      <x:c r="J465" s="208" t="n">
        <x:f>'Beta HC3'!$E$13+'Beta HC3'!$E$12*I465</x:f>
        <x:v>-0.015679756707421316</x:v>
      </x:c>
      <x:c r="K465" s="240" t="n">
        <x:f>H465-J465</x:f>
        <x:v>-0.010603274586120166</x:v>
      </x:c>
      <x:c r="L465" s="240" t="n">
        <x:f>I465-'Beta HC3'!$E$9</x:f>
        <x:v>-0.014474858130253294</x:v>
      </x:c>
      <x:c r="M465" s="240" t="n">
        <x:f>1/'Beta HC3'!$E$8+L465^2/'Beta HC3'!$E$11</x:f>
        <x:v>0.002229614135533086</x:v>
      </x:c>
      <x:c r="N465" s="240" t="n">
        <x:f>K465^2/(1-M465)^2</x:f>
        <x:v>0.0001129324621691815</x:v>
      </x:c>
      <x:c r="O465" s="240" t="n">
        <x:f>N465*L465^2/'Beta HC3'!$E$11^2</x:f>
        <x:v>0.0000011065273461111201</x:v>
      </x:c>
      <x:c r="P465" s="240" t="n">
        <x:f>N465*(1/'Beta HC3'!$E$8-'Beta HC3'!$E$9*L465/'Beta HC3'!$E$11)^2</x:f>
        <x:v>8.210044569511612e-11</x:v>
      </x:c>
      <x:c r="Q465" s="240" t="n">
        <x:f>N465*(1/'Beta HC3'!$E$8-'Beta HC3'!$E$9*L465/'Beta HC3'!$E$11)*L465/'Beta HC3'!$E$11</x:f>
        <x:v>-9.531337172168288e-9</x:v>
      </x:c>
      <x:c r="R465" s="240" t="n">
        <x:f>K465*L465/'Beta HC3'!$E$11</x:f>
        <x:v>0.0010495706688128977</x:v>
      </x:c>
      <x:c r="S465" s="240" t="n">
        <x:f>(K465-K464)^2</x:f>
        <x:v>0.00022715902579082862</x:v>
      </x:c>
      <x:c r="T465" s="280" t="n">
        <x:f>E465/$E$9*100</x:f>
        <x:v>112.84678724630479</x:v>
      </x:c>
    </x:row>
    <x:row r="466" ht="24" customHeight="1">
      <x:c r="C466" s="274" t="d">
        <x:v>2023-08-03T00:00:00.000Z</x:v>
      </x:c>
      <x:c r="D466" s="191" t="n">
        <x:v>326.6600036621094</x:v>
      </x:c>
      <x:c r="E466" s="191" t="n">
        <x:v>318.5098571777344</x:v>
      </x:c>
      <x:c r="F466" s="191" t="n">
        <x:v>448.8399963378906</x:v>
      </x:c>
      <x:c r="G466" s="191" t="n">
        <x:v>431.3407287597656</x:v>
      </x:c>
      <x:c r="H466" s="208" t="n">
        <x:f>E466/E465-1</x:f>
        <x:v>-0.0025647548760637795</x:v>
      </x:c>
      <x:c r="I466" s="208" t="n">
        <x:f>G466/G465-1</x:f>
        <x:v>-0.0028657206587975326</x:v>
      </x:c>
      <x:c r="J466" s="208" t="n">
        <x:f>'Beta HC3'!$E$13+'Beta HC3'!$E$12*I466</x:f>
        <x:v>-0.00322286198483286</x:v>
      </x:c>
      <x:c r="K466" s="240" t="n">
        <x:f>H466-J466</x:f>
        <x:v>0.0006581071087690803</x:v>
      </x:c>
      <x:c r="L466" s="240" t="n">
        <x:f>I466-'Beta HC3'!$E$9</x:f>
        <x:v>-0.003429668276457972</x:v>
      </x:c>
      <x:c r="M466" s="240" t="n">
        <x:f>1/'Beta HC3'!$E$8+L466^2/'Beta HC3'!$E$11</x:f>
        <x:v>0.0008772508101787308</x:v>
      </x:c>
      <x:c r="N466" s="240" t="n">
        <x:f>K466^2/(1-M466)^2</x:f>
        <x:v>4.33865851061401e-7</x:v>
      </x:c>
      <x:c r="O466" s="240" t="n">
        <x:f>N466*L466^2/'Beta HC3'!$E$11^2</x:f>
        <x:v>2.3865713585611305e-10</x:v>
      </x:c>
      <x:c r="P466" s="240" t="n">
        <x:f>N466*(1/'Beta HC3'!$E$8-'Beta HC3'!$E$9*L466/'Beta HC3'!$E$11)^2</x:f>
        <x:v>2.8468704302074813e-13</x:v>
      </x:c>
      <x:c r="Q466" s="240" t="n">
        <x:f>N466*(1/'Beta HC3'!$E$8-'Beta HC3'!$E$9*L466/'Beta HC3'!$E$11)*L466/'Beta HC3'!$E$11</x:f>
        <x:v>-8.242729784645241e-12</x:v>
      </x:c>
      <x:c r="R466" s="240" t="n">
        <x:f>K466*L466/'Beta HC3'!$E$11</x:f>
        <x:v>-0.00001543497959790272</x:v>
      </x:c>
      <x:c r="S466" s="240" t="n">
        <x:f>(K466-K465)^2</x:f>
        <x:v>0.0001268187176779866</x:v>
      </x:c>
      <x:c r="T466" s="280" t="n">
        <x:f>E466/$E$9*100</x:f>
        <x:v>112.55736289846669</x:v>
      </x:c>
    </x:row>
    <x:row r="467" ht="24" customHeight="1">
      <x:c r="C467" s="274" t="d">
        <x:v>2023-08-04T00:00:00.000Z</x:v>
      </x:c>
      <x:c r="D467" s="191" t="n">
        <x:v>327.7799987792969</x:v>
      </x:c>
      <x:c r="E467" s="191" t="n">
        <x:v>319.6018981933594</x:v>
      </x:c>
      <x:c r="F467" s="191" t="n">
        <x:v>446.80999755859375</x:v>
      </x:c>
      <x:c r="G467" s="191" t="n">
        <x:v>429.389892578125</x:v>
      </x:c>
      <x:c r="H467" s="208" t="n">
        <x:f>E467/E466-1</x:f>
        <x:v>0.0034285940953331373</x:v>
      </x:c>
      <x:c r="I467" s="208" t="n">
        <x:f>G467/G466-1</x:f>
        <x:v>-0.004522726586125736</x:v>
      </x:c>
      <x:c r="J467" s="208" t="n">
        <x:f>'Beta HC3'!$E$13+'Beta HC3'!$E$12*I467</x:f>
        <x:v>-0.005091652713164236</x:v>
      </x:c>
      <x:c r="K467" s="240" t="n">
        <x:f>H467-J467</x:f>
        <x:v>0.008520246808497374</x:v>
      </x:c>
      <x:c r="L467" s="240" t="n">
        <x:f>I467-'Beta HC3'!$E$9</x:f>
        <x:v>-0.005086674203786176</x:v>
      </x:c>
      <x:c r="M467" s="240" t="n">
        <x:f>1/'Beta HC3'!$E$8+L467^2/'Beta HC3'!$E$11</x:f>
        <x:v>0.0009737524162628321</x:v>
      </x:c>
      <x:c r="N467" s="240" t="n">
        <x:f>K467^2/(1-M467)^2</x:f>
        <x:v>0.00007273619079277529</x:v>
      </x:c>
      <x:c r="O467" s="240" t="n">
        <x:f>N467*L467^2/'Beta HC3'!$E$11^2</x:f>
        <x:v>8.801022289218102e-8</x:v>
      </x:c>
      <x:c r="P467" s="240" t="n">
        <x:f>N467*(1/'Beta HC3'!$E$8-'Beta HC3'!$E$9*L467/'Beta HC3'!$E$11)^2</x:f>
        <x:v>4.848284240783937e-11</x:v>
      </x:c>
      <x:c r="Q467" s="240" t="n">
        <x:f>N467*(1/'Beta HC3'!$E$8-'Beta HC3'!$E$9*L467/'Beta HC3'!$E$11)*L467/'Beta HC3'!$E$11</x:f>
        <x:v>-2.0656683583674392e-9</x:v>
      </x:c>
      <x:c r="R467" s="240" t="n">
        <x:f>K467*L467/'Beta HC3'!$E$11</x:f>
        <x:v>-0.0002963762912389109</x:v>
      </x:c>
      <x:c r="S467" s="240" t="n">
        <x:f>(K467-K466)^2</x:f>
        <x:v>0.0000618132406580437</x:v>
      </x:c>
      <x:c r="T467" s="280" t="n">
        <x:f>E467/$E$9*100</x:f>
        <x:v>112.94327640828665</x:v>
      </x:c>
    </x:row>
    <x:row r="468" ht="24" customHeight="1">
      <x:c r="C468" s="274" t="d">
        <x:v>2023-08-07T00:00:00.000Z</x:v>
      </x:c>
      <x:c r="D468" s="191" t="n">
        <x:v>330.1099853515625</x:v>
      </x:c>
      <x:c r="E468" s="191" t="n">
        <x:v>321.873779296875</x:v>
      </x:c>
      <x:c r="F468" s="191" t="n">
        <x:v>450.7099914550781</x:v>
      </x:c>
      <x:c r="G468" s="191" t="n">
        <x:v>433.1378173828125</x:v>
      </x:c>
      <x:c r="H468" s="208" t="n">
        <x:f>E468/E467-1</x:f>
        <x:v>0.007108471871907218</x:v>
      </x:c>
      <x:c r="I468" s="208" t="n">
        <x:f>G468/G467-1</x:f>
        <x:v>0.008728488652083533</x:v>
      </x:c>
      <x:c r="J468" s="208" t="n">
        <x:f>'Beta HC3'!$E$13+'Beta HC3'!$E$12*I468</x:f>
        <x:v>0.00985322332371187</x:v>
      </x:c>
      <x:c r="K468" s="240" t="n">
        <x:f>H468-J468</x:f>
        <x:v>-0.002744751451804651</x:v>
      </x:c>
      <x:c r="L468" s="240" t="n">
        <x:f>I468-'Beta HC3'!$E$9</x:f>
        <x:v>0.008164541034423094</x:v>
      </x:c>
      <x:c r="M468" s="240" t="n">
        <x:f>1/'Beta HC3'!$E$8+L468^2/'Beta HC3'!$E$11</x:f>
        <x:v>0.0012526616516125594</x:v>
      </x:c>
      <x:c r="N468" s="240" t="n">
        <x:f>K468^2/(1-M468)^2</x:f>
        <x:v>0.000007552570311383702</x:v>
      </x:c>
      <x:c r="O468" s="240" t="n">
        <x:f>N468*L468^2/'Beta HC3'!$E$11^2</x:f>
        <x:v>2.3543609840278895e-8</x:v>
      </x:c>
      <x:c r="P468" s="240" t="n">
        <x:f>N468*(1/'Beta HC3'!$E$8-'Beta HC3'!$E$9*L468/'Beta HC3'!$E$11)^2</x:f>
        <x:v>4.4237207656885895e-12</x:v>
      </x:c>
      <x:c r="Q468" s="240" t="n">
        <x:f>N468*(1/'Beta HC3'!$E$8-'Beta HC3'!$E$9*L468/'Beta HC3'!$E$11)*L468/'Beta HC3'!$E$11</x:f>
        <x:v>3.227233424308071e-10</x:v>
      </x:c>
      <x:c r="R468" s="240" t="n">
        <x:f>K468*L468/'Beta HC3'!$E$11</x:f>
        <x:v>-0.00015324706336378323</x:v>
      </x:c>
      <x:c r="S468" s="240" t="n">
        <x:f>(K468-K467)^2</x:f>
        <x:v>0.00012690018580460764</x:v>
      </x:c>
      <x:c r="T468" s="280" t="n">
        <x:f>E468/$E$9*100</x:f>
        <x:v>113.746130511756</x:v>
      </x:c>
    </x:row>
    <x:row r="469" ht="24" customHeight="1">
      <x:c r="C469" s="274" t="d">
        <x:v>2023-08-08T00:00:00.000Z</x:v>
      </x:c>
      <x:c r="D469" s="191" t="n">
        <x:v>326.04998779296875</x:v>
      </x:c>
      <x:c r="E469" s="191" t="n">
        <x:v>317.91510009765625</x:v>
      </x:c>
      <x:c r="F469" s="191" t="n">
        <x:v>448.75</x:v>
      </x:c>
      <x:c r="G469" s="191" t="n">
        <x:v>431.2542419433594</x:v>
      </x:c>
      <x:c r="H469" s="208" t="n">
        <x:f>E469/E468-1</x:f>
        <x:v>-0.012298855805733533</x:v>
      </x:c>
      <x:c r="I469" s="208" t="n">
        <x:f>G469/G468-1</x:f>
        <x:v>-0.004348674633940841</x:v>
      </x:c>
      <x:c r="J469" s="208" t="n">
        <x:f>'Beta HC3'!$E$13+'Beta HC3'!$E$12*I469</x:f>
        <x:v>-0.004895354879145274</x:v>
      </x:c>
      <x:c r="K469" s="240" t="n">
        <x:f>H469-J469</x:f>
        <x:v>-0.007403500926588259</x:v>
      </x:c>
      <x:c r="L469" s="240" t="n">
        <x:f>I469-'Beta HC3'!$E$9</x:f>
        <x:v>-0.004912622251601281</x:v>
      </x:c>
      <x:c r="M469" s="240" t="n">
        <x:f>1/'Beta HC3'!$E$8+L469^2/'Beta HC3'!$E$11</x:f>
        <x:v>0.0009618508065474668</x:v>
      </x:c>
      <x:c r="N469" s="240" t="n">
        <x:f>K469^2/(1-M469)^2</x:f>
        <x:v>0.000054917419891992435</x:v>
      </x:c>
      <x:c r="O469" s="240" t="n">
        <x:f>N469*L469^2/'Beta HC3'!$E$11^2</x:f>
        <x:v>6.198000259180765e-8</x:v>
      </x:c>
      <x:c r="P469" s="240" t="n">
        <x:f>N469*(1/'Beta HC3'!$E$8-'Beta HC3'!$E$9*L469/'Beta HC3'!$E$11)^2</x:f>
        <x:v>3.6545443157012495e-11</x:v>
      </x:c>
      <x:c r="Q469" s="240" t="n">
        <x:f>N469*(1/'Beta HC3'!$E$8-'Beta HC3'!$E$9*L469/'Beta HC3'!$E$11)*L469/'Beta HC3'!$E$11</x:f>
        <x:v>-1.5050204854387842e-9</x:v>
      </x:c>
      <x:c r="R469" s="240" t="n">
        <x:f>K469*L469/'Beta HC3'!$E$11</x:f>
        <x:v>0.0002487183726669058</x:v>
      </x:c>
      <x:c r="S469" s="240" t="n">
        <x:f>(K469-K468)^2</x:f>
        <x:v>0.00002170394666879654</x:v>
      </x:c>
      <x:c r="T469" s="280" t="n">
        <x:f>E469/$E$9*100</x:f>
        <x:v>112.34718325413178</x:v>
      </x:c>
    </x:row>
    <x:row r="470" ht="24" customHeight="1">
      <x:c r="C470" s="274" t="d">
        <x:v>2023-08-09T00:00:00.000Z</x:v>
      </x:c>
      <x:c r="D470" s="191" t="n">
        <x:v>322.2300109863281</x:v>
      </x:c>
      <x:c r="E470" s="191" t="n">
        <x:v>314.19036865234375</x:v>
      </x:c>
      <x:c r="F470" s="191" t="n">
        <x:v>445.75</x:v>
      </x:c>
      <x:c r="G470" s="191" t="n">
        <x:v>428.3711853027344</x:v>
      </x:c>
      <x:c r="H470" s="208" t="n">
        <x:f>E470/E469-1</x:f>
        <x:v>-0.011716119945760162</x:v>
      </x:c>
      <x:c r="I470" s="208" t="n">
        <x:f>G470/G469-1</x:f>
        <x:v>-0.006685282972830775</x:v>
      </x:c>
      <x:c r="J470" s="208" t="n">
        <x:f>'Beta HC3'!$E$13+'Beta HC3'!$E$12*I470</x:f>
        <x:v>-0.007530609181765755</x:v>
      </x:c>
      <x:c r="K470" s="240" t="n">
        <x:f>H470-J470</x:f>
        <x:v>-0.004185510763994407</x:v>
      </x:c>
      <x:c r="L470" s="240" t="n">
        <x:f>I470-'Beta HC3'!$E$9</x:f>
        <x:v>-0.007249230590491215</x:v>
      </x:c>
      <x:c r="M470" s="240" t="n">
        <x:f>1/'Beta HC3'!$E$8+L470^2/'Beta HC3'!$E$11</x:f>
        <x:v>0.0011561822282150295</x:v>
      </x:c>
      <x:c r="N470" s="240" t="n">
        <x:f>K470^2/(1-M470)^2</x:f>
        <x:v>0.000017559079875475716</x:v>
      </x:c>
      <x:c r="O470" s="240" t="n">
        <x:f>N470*L470^2/'Beta HC3'!$E$11^2</x:f>
        <x:v>4.315193809718114e-8</x:v>
      </x:c>
      <x:c r="P470" s="240" t="n">
        <x:f>N470*(1/'Beta HC3'!$E$8-'Beta HC3'!$E$9*L470/'Beta HC3'!$E$11)^2</x:f>
        <x:v>1.1944474021815338e-11</x:v>
      </x:c>
      <x:c r="Q470" s="240" t="n">
        <x:f>N470*(1/'Beta HC3'!$E$8-'Beta HC3'!$E$9*L470/'Beta HC3'!$E$11)*L470/'Beta HC3'!$E$11</x:f>
        <x:v>-7.179325898667393e-10</x:v>
      </x:c>
      <x:c r="R470" s="240" t="n">
        <x:f>K470*L470/'Beta HC3'!$E$11</x:f>
        <x:v>0.0002074902715140383</x:v>
      </x:c>
      <x:c r="S470" s="240" t="n">
        <x:f>(K470-K469)^2</x:f>
        <x:v>0.000010355460686550805</x:v>
      </x:c>
      <x:c r="T470" s="280" t="n">
        <x:f>E470/$E$9*100</x:f>
        <x:v>111.03091017955806</x:v>
      </x:c>
    </x:row>
    <x:row r="471" ht="24" customHeight="1">
      <x:c r="C471" s="274" t="d">
        <x:v>2023-08-10T00:00:00.000Z</x:v>
      </x:c>
      <x:c r="D471" s="191" t="n">
        <x:v>322.92999267578125</x:v>
      </x:c>
      <x:c r="E471" s="191" t="n">
        <x:v>314.8729248046875</x:v>
      </x:c>
      <x:c r="F471" s="191" t="n">
        <x:v>445.9100036621094</x:v>
      </x:c>
      <x:c r="G471" s="191" t="n">
        <x:v>428.52496337890625</x:v>
      </x:c>
      <x:c r="H471" s="208" t="n">
        <x:f>E471/E470-1</x:f>
        <x:v>0.002172428630678347</x:v>
      </x:c>
      <x:c r="I471" s="208" t="n">
        <x:f>G471/G470-1</x:f>
        <x:v>0.00035898324034833173</x:v>
      </x:c>
      <x:c r="J471" s="208" t="n">
        <x:f>'Beta HC3'!$E$13+'Beta HC3'!$E$12*I471</x:f>
        <x:v>0.00041399691165568657</x:v>
      </x:c>
      <x:c r="K471" s="240" t="n">
        <x:f>H471-J471</x:f>
        <x:v>0.0017584317190226604</x:v>
      </x:c>
      <x:c r="L471" s="240" t="n">
        <x:f>I471-'Beta HC3'!$E$9</x:f>
        <x:v>-0.00020496437731210764</x:v>
      </x:c>
      <x:c r="M471" s="240" t="n">
        <x:f>1/'Beta HC3'!$E$8+L471^2/'Beta HC3'!$E$11</x:f>
        <x:v>0.0007971000347882604</x:v>
      </x:c>
      <x:c r="N471" s="240" t="n">
        <x:f>K471^2/(1-M471)^2</x:f>
        <x:v>0.0000030970174080852397</x:v>
      </x:c>
      <x:c r="O471" s="240" t="n">
        <x:f>N471*L471^2/'Beta HC3'!$E$11^2</x:f>
        <x:v>6.084363387236916e-12</x:v>
      </x:c>
      <x:c r="P471" s="240" t="n">
        <x:f>N471*(1/'Beta HC3'!$E$8-'Beta HC3'!$E$9*L471/'Beta HC3'!$E$11)^2</x:f>
        <x:v>1.9702322384200573e-12</x:v>
      </x:c>
      <x:c r="Q471" s="240" t="n">
        <x:f>N471*(1/'Beta HC3'!$E$8-'Beta HC3'!$E$9*L471/'Beta HC3'!$E$11)*L471/'Beta HC3'!$E$11</x:f>
        <x:v>-3.4623126513642336e-12</x:v>
      </x:c>
      <x:c r="R471" s="240" t="n">
        <x:f>K471*L471/'Beta HC3'!$E$11</x:f>
        <x:v>-0.0000024646840691079014</x:v>
      </x:c>
      <x:c r="S471" s="240" t="n">
        <x:f>(K471-K470)^2</x:f>
        <x:v>0.000035330452241415095</x:v>
      </x:c>
      <x:c r="T471" s="280" t="n">
        <x:f>E471/$E$9*100</x:f>
        <x:v>111.2721169077224</x:v>
      </x:c>
    </x:row>
    <x:row r="472" ht="24" customHeight="1">
      <x:c r="C472" s="274" t="d">
        <x:v>2023-08-11T00:00:00.000Z</x:v>
      </x:c>
      <x:c r="D472" s="191" t="n">
        <x:v>321.010009765625</x:v>
      </x:c>
      <x:c r="E472" s="191" t="n">
        <x:v>313.0007629394531</x:v>
      </x:c>
      <x:c r="F472" s="191" t="n">
        <x:v>445.6499938964844</x:v>
      </x:c>
      <x:c r="G472" s="191" t="n">
        <x:v>428.27508544921875</x:v>
      </x:c>
      <x:c r="H472" s="208" t="n">
        <x:f>E472/E471-1</x:f>
        <x:v>-0.005945769603390549</x:v>
      </x:c>
      <x:c r="I472" s="208" t="n">
        <x:f>G472/G471-1</x:f>
        <x:v>-0.0005831117228672911</x:v>
      </x:c>
      <x:c r="J472" s="208" t="n">
        <x:f>'Beta HC3'!$E$13+'Beta HC3'!$E$12*I472</x:f>
        <x:v>-0.0006485088425052804</x:v>
      </x:c>
      <x:c r="K472" s="240" t="n">
        <x:f>H472-J472</x:f>
        <x:v>-0.005297260760885269</x:v>
      </x:c>
      <x:c r="L472" s="240" t="n">
        <x:f>I472-'Beta HC3'!$E$9</x:f>
        <x:v>-0.0011470593405277303</x:v>
      </x:c>
      <x:c r="M472" s="240" t="n">
        <x:f>1/'Beta HC3'!$E$8+L472^2/'Beta HC3'!$E$11</x:f>
        <x:v>0.00080581039977776</x:v>
      </x:c>
      <x:c r="N472" s="240" t="n">
        <x:f>K472^2/(1-M472)^2</x:f>
        <x:v>0.000028106249935565918</x:v>
      </x:c>
      <x:c r="O472" s="240" t="n">
        <x:f>N472*L472^2/'Beta HC3'!$E$11^2</x:f>
        <x:v>1.729375882842468e-9</x:v>
      </x:c>
      <x:c r="P472" s="240" t="n">
        <x:f>N472*(1/'Beta HC3'!$E$8-'Beta HC3'!$E$9*L472/'Beta HC3'!$E$11)^2</x:f>
        <x:v>1.8043644363266412e-11</x:v>
      </x:c>
      <x:c r="Q472" s="240" t="n">
        <x:f>N472*(1/'Beta HC3'!$E$8-'Beta HC3'!$E$9*L472/'Beta HC3'!$E$11)*L472/'Beta HC3'!$E$11</x:f>
        <x:v>-1.7664722868026934e-10</x:v>
      </x:c>
      <x:c r="R472" s="240" t="n">
        <x:f>K472*L472/'Beta HC3'!$E$11</x:f>
        <x:v>0.00004155225514500704</x:v>
      </x:c>
      <x:c r="S472" s="240" t="n">
        <x:f>(K472-K471)^2</x:f>
        <x:v>0.0000497827963710293</x:v>
      </x:c>
      <x:c r="T472" s="280" t="n">
        <x:f>E472/$E$9*100</x:f>
        <x:v>110.61051853730757</x:v>
      </x:c>
    </x:row>
    <x:row r="473" ht="24" customHeight="1">
      <x:c r="C473" s="274" t="d">
        <x:v>2023-08-14T00:00:00.000Z</x:v>
      </x:c>
      <x:c r="D473" s="191" t="n">
        <x:v>324.0400085449219</x:v>
      </x:c>
      <x:c r="E473" s="191" t="n">
        <x:v>315.9552307128906</x:v>
      </x:c>
      <x:c r="F473" s="191" t="n">
        <x:v>448.1099853515625</x:v>
      </x:c>
      <x:c r="G473" s="191" t="n">
        <x:v>430.63916015625</x:v>
      </x:c>
      <x:c r="H473" s="208" t="n">
        <x:f>E473/E472-1</x:f>
        <x:v>0.009439171156298443</x:v>
      </x:c>
      <x:c r="I473" s="208" t="n">
        <x:f>G473/G472-1</x:f>
        <x:v>0.0055199912097421144</x:v>
      </x:c>
      <x:c r="J473" s="208" t="n">
        <x:f>'Beta HC3'!$E$13+'Beta HC3'!$E$12*I473</x:f>
        <x:v>0.006234642259375731</x:v>
      </x:c>
      <x:c r="K473" s="240" t="n">
        <x:f>H473-J473</x:f>
        <x:v>0.0032045288969227113</x:v>
      </x:c>
      <x:c r="L473" s="240" t="n">
        <x:f>I473-'Beta HC3'!$E$9</x:f>
        <x:v>0.004956043592081675</x:v>
      </x:c>
      <x:c r="M473" s="240" t="n">
        <x:f>1/'Beta HC3'!$E$8+L473^2/'Beta HC3'!$E$11</x:f>
        <x:v>0.0009647811534198673</x:v>
      </x:c>
      <x:c r="N473" s="240" t="n">
        <x:f>K473^2/(1-M473)^2</x:f>
        <x:v>0.000010288848849244942</x:v>
      </x:c>
      <x:c r="O473" s="240" t="n">
        <x:f>N473*L473^2/'Beta HC3'!$E$11^2</x:f>
        <x:v>1.1818211157533007e-8</x:v>
      </x:c>
      <x:c r="P473" s="240" t="n">
        <x:f>N473*(1/'Beta HC3'!$E$8-'Beta HC3'!$E$9*L473/'Beta HC3'!$E$11)^2</x:f>
        <x:v>6.222867981272217e-12</x:v>
      </x:c>
      <x:c r="Q473" s="240" t="n">
        <x:f>N473*(1/'Beta HC3'!$E$8-'Beta HC3'!$E$9*L473/'Beta HC3'!$E$11)*L473/'Beta HC3'!$E$11</x:f>
        <x:v>2.7118843597787537e-10</x:v>
      </x:c>
      <x:c r="R473" s="240" t="n">
        <x:f>K473*L473/'Beta HC3'!$E$11</x:f>
        <x:v>0.00010860671334301443</x:v>
      </x:c>
      <x:c r="S473" s="240" t="n">
        <x:f>(K473-K472)^2</x:f>
        <x:v>0.00007228042738561074</x:v>
      </x:c>
      <x:c r="T473" s="280" t="n">
        <x:f>E473/$E$9*100</x:f>
        <x:v>111.65459015346812</x:v>
      </x:c>
    </x:row>
    <x:row r="474" ht="24" customHeight="1">
      <x:c r="C474" s="274" t="d">
        <x:v>2023-08-15T00:00:00.000Z</x:v>
      </x:c>
      <x:c r="D474" s="191" t="n">
        <x:v>321.8599853515625</x:v>
      </x:c>
      <x:c r="E474" s="191" t="n">
        <x:v>313.82958984375</x:v>
      </x:c>
      <x:c r="F474" s="191" t="n">
        <x:v>442.8900146484375</x:v>
      </x:c>
      <x:c r="G474" s="191" t="n">
        <x:v>425.62274169921875</x:v>
      </x:c>
      <x:c r="H474" s="208" t="n">
        <x:f>E474/E473-1</x:f>
        <x:v>-0.006727664752833928</x:v>
      </x:c>
      <x:c r="I474" s="208" t="n">
        <x:f>G474/G473-1</x:f>
        <x:v>-0.011648774475621626</x:v>
      </x:c>
      <x:c r="J474" s="208" t="n">
        <x:f>'Beta HC3'!$E$13+'Beta HC3'!$E$12*I474</x:f>
        <x:v>-0.013128493140770971</x:v>
      </x:c>
      <x:c r="K474" s="240" t="n">
        <x:f>H474-J474</x:f>
        <x:v>0.006400828387937043</x:v>
      </x:c>
      <x:c r="L474" s="240" t="n">
        <x:f>I474-'Beta HC3'!$E$9</x:f>
        <x:v>-0.012212722093282065</x:v>
      </x:c>
      <x:c r="M474" s="240" t="n">
        <x:f>1/'Beta HC3'!$E$8+L474^2/'Beta HC3'!$E$11</x:f>
        <x:v>0.001816770800597057</x:v>
      </x:c>
      <x:c r="N474" s="240" t="n">
        <x:f>K474^2/(1-M474)^2</x:f>
        <x:v>0.000041119879120660136</x:v>
      </x:c>
      <x:c r="O474" s="240" t="n">
        <x:f>N474*L474^2/'Beta HC3'!$E$11^2</x:f>
        <x:v>2.868081587079826e-7</x:v>
      </x:c>
      <x:c r="P474" s="240" t="n">
        <x:f>N474*(1/'Beta HC3'!$E$8-'Beta HC3'!$E$9*L474/'Beta HC3'!$E$11)^2</x:f>
        <x:v>2.928502178854035e-11</x:v>
      </x:c>
      <x:c r="Q474" s="240" t="n">
        <x:f>N474*(1/'Beta HC3'!$E$8-'Beta HC3'!$E$9*L474/'Beta HC3'!$E$11)*L474/'Beta HC3'!$E$11</x:f>
        <x:v>-2.8981344304387274e-9</x:v>
      </x:c>
      <x:c r="R474" s="240" t="n">
        <x:f>K474*L474/'Beta HC3'!$E$11</x:f>
        <x:v>-0.0005345717687896227</x:v>
      </x:c>
      <x:c r="S474" s="240" t="n">
        <x:f>(K474-K473)^2</x:f>
        <x:v>0.000010216330436258473</x:v>
      </x:c>
      <x:c r="T474" s="280" t="n">
        <x:f>E474/$E$9*100</x:f>
        <x:v>110.90341550280051</x:v>
      </x:c>
    </x:row>
    <x:row r="475" ht="24" customHeight="1">
      <x:c r="C475" s="274" t="d">
        <x:v>2023-08-16T00:00:00.000Z</x:v>
      </x:c>
      <x:c r="D475" s="191" t="n">
        <x:v>320.3999938964844</x:v>
      </x:c>
      <x:c r="E475" s="191" t="n">
        <x:v>313.06744384765625</x:v>
      </x:c>
      <x:c r="F475" s="191" t="n">
        <x:v>439.6400146484375</x:v>
      </x:c>
      <x:c r="G475" s="191" t="n">
        <x:v>422.49945068359375</x:v>
      </x:c>
      <x:c r="H475" s="208" t="n">
        <x:f>E475/E474-1</x:f>
        <x:v>-0.0024285345319834395</x:v>
      </x:c>
      <x:c r="I475" s="208" t="n">
        <x:f>G475/G474-1</x:f>
        <x:v>-0.007338167606260493</x:v>
      </x:c>
      <x:c r="J475" s="208" t="n">
        <x:f>'Beta HC3'!$E$13+'Beta HC3'!$E$12*I475</x:f>
        <x:v>-0.008266940132368214</x:v>
      </x:c>
      <x:c r="K475" s="240" t="n">
        <x:f>H475-J475</x:f>
        <x:v>0.0058384056003847745</x:v>
      </x:c>
      <x:c r="L475" s="240" t="n">
        <x:f>I475-'Beta HC3'!$E$9</x:f>
        <x:v>-0.007902115223920932</x:v>
      </x:c>
      <x:c r="M475" s="240" t="n">
        <x:f>1/'Beta HC3'!$E$8+L475^2/'Beta HC3'!$E$11</x:f>
        <x:v>0.001223828679575648</x:v>
      </x:c>
      <x:c r="N475" s="240" t="n">
        <x:f>K475^2/(1-M475)^2</x:f>
        <x:v>0.000034170566614251103</x:v>
      </x:c>
      <x:c r="O475" s="240" t="n">
        <x:f>N475*L475^2/'Beta HC3'!$E$11^2</x:f>
        <x:v>9.978232501275985e-8</x:v>
      </x:c>
      <x:c r="P475" s="240" t="n">
        <x:f>N475*(1/'Beta HC3'!$E$8-'Beta HC3'!$E$9*L475/'Beta HC3'!$E$11)^2</x:f>
        <x:v>2.3386490539372953e-11</x:v>
      </x:c>
      <x:c r="Q475" s="240" t="n">
        <x:f>N475*(1/'Beta HC3'!$E$8-'Beta HC3'!$E$9*L475/'Beta HC3'!$E$11)*L475/'Beta HC3'!$E$11</x:f>
        <x:v>-1.5275989002050064e-9</x:v>
      </x:c>
      <x:c r="R475" s="240" t="n">
        <x:f>K475*L475/'Beta HC3'!$E$11</x:f>
        <x:v>-0.0003154968169732758</x:v>
      </x:c>
      <x:c r="S475" s="240" t="n">
        <x:f>(K475-K474)^2</x:f>
        <x:v>3.163193919580637e-7</x:v>
      </x:c>
      <x:c r="T475" s="280" t="n">
        <x:f>E475/$E$9*100</x:f>
        <x:v>110.63408272853708</x:v>
      </x:c>
    </x:row>
    <x:row r="476" ht="24" customHeight="1">
      <x:c r="C476" s="274" t="d">
        <x:v>2023-08-17T00:00:00.000Z</x:v>
      </x:c>
      <x:c r="D476" s="191" t="n">
        <x:v>316.8800048828125</x:v>
      </x:c>
      <x:c r="E476" s="191" t="n">
        <x:v>309.6280212402344</x:v>
      </x:c>
      <x:c r="F476" s="191" t="n">
        <x:v>436.2900085449219</x:v>
      </x:c>
      <x:c r="G476" s="191" t="n">
        <x:v>419.280029296875</x:v>
      </x:c>
      <x:c r="H476" s="208" t="n">
        <x:f>E476/E475-1</x:f>
        <x:v>-0.010986203372508996</x:v>
      </x:c>
      <x:c r="I476" s="208" t="n">
        <x:f>G476/G475-1</x:f>
        <x:v>-0.007619942183379913</x:v>
      </x:c>
      <x:c r="J476" s="208" t="n">
        <x:f>'Beta HC3'!$E$13+'Beta HC3'!$E$12*I476</x:f>
        <x:v>-0.008584728806817517</x:v>
      </x:c>
      <x:c r="K476" s="240" t="n">
        <x:f>H476-J476</x:f>
        <x:v>-0.0024014745656914787</x:v>
      </x:c>
      <x:c r="L476" s="240" t="n">
        <x:f>I476-'Beta HC3'!$E$9</x:f>
        <x:v>-0.008183889801040352</x:v>
      </x:c>
      <x:c r="M476" s="240" t="n">
        <x:f>1/'Beta HC3'!$E$8+L476^2/'Beta HC3'!$E$11</x:f>
        <x:v>0.0012548248020410723</x:v>
      </x:c>
      <x:c r="N476" s="240" t="n">
        <x:f>K476^2/(1-M476)^2</x:f>
        <x:v>0.000005781580727855778</x:v>
      </x:c>
      <x:c r="O476" s="240" t="n">
        <x:f>N476*L476^2/'Beta HC3'!$E$11^2</x:f>
        <x:v>1.8108432662821616e-8</x:v>
      </x:c>
      <x:c r="P476" s="240" t="n">
        <x:f>N476*(1/'Beta HC3'!$E$8-'Beta HC3'!$E$9*L476/'Beta HC3'!$E$11)^2</x:f>
        <x:v>3.967342015253504e-12</x:v>
      </x:c>
      <x:c r="Q476" s="240" t="n">
        <x:f>N476*(1/'Beta HC3'!$E$8-'Beta HC3'!$E$9*L476/'Beta HC3'!$E$11)*L476/'Beta HC3'!$E$11</x:f>
        <x:v>-2.680342249295807e-10</x:v>
      </x:c>
      <x:c r="R476" s="240" t="n">
        <x:f>K476*L476/'Beta HC3'!$E$11</x:f>
        <x:v>0.00013439871783328292</x:v>
      </x:c>
      <x:c r="S476" s="240" t="n">
        <x:f>(K476-K475)^2</x:f>
        <x:v>0.00006789562515129682</x:v>
      </x:c>
      <x:c r="T476" s="280" t="n">
        <x:f>E476/$E$9*100</x:f>
        <x:v>109.41863419575037</x:v>
      </x:c>
    </x:row>
    <x:row r="477" ht="24" customHeight="1">
      <x:c r="C477" s="274" t="d">
        <x:v>2023-08-18T00:00:00.000Z</x:v>
      </x:c>
      <x:c r="D477" s="191" t="n">
        <x:v>316.4800109863281</x:v>
      </x:c>
      <x:c r="E477" s="191" t="n">
        <x:v>309.2371520996094</x:v>
      </x:c>
      <x:c r="F477" s="191" t="n">
        <x:v>436.5</x:v>
      </x:c>
      <x:c r="G477" s="191" t="n">
        <x:v>419.4818420410156</x:v>
      </x:c>
      <x:c r="H477" s="208" t="n">
        <x:f>E477/E476-1</x:f>
        <x:v>-0.0012623829686323473</x:v>
      </x:c>
      <x:c r="I477" s="208" t="n">
        <x:f>G477/G476-1</x:f>
        <x:v>0.00048133164004759976</x:v>
      </x:c>
      <x:c r="J477" s="208" t="n">
        <x:f>'Beta HC3'!$E$13+'Beta HC3'!$E$12*I477</x:f>
        <x:v>0.000551982872486161</x:v>
      </x:c>
      <x:c r="K477" s="240" t="n">
        <x:f>H477-J477</x:f>
        <x:v>-0.0018143658411185083</x:v>
      </x:c>
      <x:c r="L477" s="240" t="n">
        <x:f>I477-'Beta HC3'!$E$9</x:f>
        <x:v>-0.0000826159776128396</x:v>
      </x:c>
      <x:c r="M477" s="240" t="n">
        <x:f>1/'Beta HC3'!$E$8+L477^2/'Beta HC3'!$E$11</x:f>
        <x:v>0.0007968594241251544</x:v>
      </x:c>
      <x:c r="N477" s="240" t="n">
        <x:f>K477^2/(1-M477)^2</x:f>
        <x:v>0.0000032971760834306715</x:v>
      </x:c>
      <x:c r="O477" s="240" t="n">
        <x:f>N477*L477^2/'Beta HC3'!$E$11^2</x:f>
        <x:v>1.0524099765873432e-12</x:v>
      </x:c>
      <x:c r="P477" s="240" t="n">
        <x:f>N477*(1/'Beta HC3'!$E$8-'Beta HC3'!$E$9*L477/'Beta HC3'!$E$11)^2</x:f>
        <x:v>2.0950863659919785e-12</x:v>
      </x:c>
      <x:c r="Q477" s="240" t="n">
        <x:f>N477*(1/'Beta HC3'!$E$8-'Beta HC3'!$E$9*L477/'Beta HC3'!$E$11)*L477/'Beta HC3'!$E$11</x:f>
        <x:v>-1.4848871315295585e-12</x:v>
      </x:c>
      <x:c r="R477" s="240" t="n">
        <x:f>K477*L477/'Beta HC3'!$E$11</x:f>
        <x:v>0.0000010250528763122696</x:v>
      </x:c>
      <x:c r="S477" s="240" t="n">
        <x:f>(K477-K476)^2</x:f>
        <x:v>3.446966544697001e-7</x:v>
      </x:c>
      <x:c r="T477" s="280" t="n">
        <x:f>E477/$E$9*100</x:f>
        <x:v>109.28050597549066</x:v>
      </x:c>
    </x:row>
    <x:row r="478" ht="24" customHeight="1">
      <x:c r="C478" s="274" t="d">
        <x:v>2023-08-21T00:00:00.000Z</x:v>
      </x:c>
      <x:c r="D478" s="191" t="n">
        <x:v>321.8800048828125</x:v>
      </x:c>
      <x:c r="E478" s="191" t="n">
        <x:v>314.5135803222656</x:v>
      </x:c>
      <x:c r="F478" s="191" t="n">
        <x:v>439.3399963378906</x:v>
      </x:c>
      <x:c r="G478" s="191" t="n">
        <x:v>422.21112060546875</x:v>
      </x:c>
      <x:c r="H478" s="208" t="n">
        <x:f>E478/E477-1</x:f>
        <x:v>0.01706272414821819</x:v>
      </x:c>
      <x:c r="I478" s="208" t="n">
        <x:f>G478/G477-1</x:f>
        <x:v>0.0065063091912958</x:v>
      </x:c>
      <x:c r="J478" s="208" t="n">
        <x:f>'Beta HC3'!$E$13+'Beta HC3'!$E$12*I478</x:f>
        <x:v>0.007347023252536149</x:v>
      </x:c>
      <x:c r="K478" s="240" t="n">
        <x:f>H478-J478</x:f>
        <x:v>0.00971570089568204</x:v>
      </x:c>
      <x:c r="L478" s="240" t="n">
        <x:f>I478-'Beta HC3'!$E$9</x:f>
        <x:v>0.005942361573635361</x:v>
      </x:c>
      <x:c r="M478" s="240" t="n">
        <x:f>1/'Beta HC3'!$E$8+L478^2/'Beta HC3'!$E$11</x:f>
        <x:v>0.0010382896028070258</x:v>
      </x:c>
      <x:c r="N478" s="240" t="n">
        <x:f>K478^2/(1-M478)^2</x:f>
        <x:v>0.00009459116797324079</x:v>
      </x:c>
      <x:c r="O478" s="240" t="n">
        <x:f>N478*L478^2/'Beta HC3'!$E$11^2</x:f>
        <x:v>1.562008735052886e-7</x:v>
      </x:c>
      <x:c r="P478" s="240" t="n">
        <x:f>N478*(1/'Beta HC3'!$E$8-'Beta HC3'!$E$9*L478/'Beta HC3'!$E$11)^2</x:f>
        <x:v>5.6652054201828324e-11</x:v>
      </x:c>
      <x:c r="Q478" s="240" t="n">
        <x:f>N478*(1/'Beta HC3'!$E$8-'Beta HC3'!$E$9*L478/'Beta HC3'!$E$11)*L478/'Beta HC3'!$E$11</x:f>
        <x:v>2.9747437456349985e-9</x:v>
      </x:c>
      <x:c r="R478" s="240" t="n">
        <x:f>K478*L478/'Beta HC3'!$E$11</x:f>
        <x:v>0.0003948122065122686</x:v>
      </x:c>
      <x:c r="S478" s="240" t="n">
        <x:f>(K478-K477)^2</x:f>
        <x:v>0.00013294243895507443</x:v>
      </x:c>
      <x:c r="T478" s="280" t="n">
        <x:f>E478/$E$9*100</x:f>
        <x:v>111.14512910372815</x:v>
      </x:c>
    </x:row>
    <x:row r="479" ht="24" customHeight="1">
      <x:c r="C479" s="274" t="d">
        <x:v>2023-08-22T00:00:00.000Z</x:v>
      </x:c>
      <x:c r="D479" s="191" t="n">
        <x:v>322.4599914550781</x:v>
      </x:c>
      <x:c r="E479" s="191" t="n">
        <x:v>315.080322265625</x:v>
      </x:c>
      <x:c r="F479" s="191" t="n">
        <x:v>438.1499938964844</x:v>
      </x:c>
      <x:c r="G479" s="191" t="n">
        <x:v>421.0674743652344</x:v>
      </x:c>
      <x:c r="H479" s="208" t="n">
        <x:f>E479/E478-1</x:f>
        <x:v>0.0018019633453623118</x:v>
      </x:c>
      <x:c r="I479" s="208" t="n">
        <x:f>G479/G478-1</x:f>
        <x:v>-0.002708707052988868</x:v>
      </x:c>
      <x:c r="J479" s="208" t="n">
        <x:f>'Beta HC3'!$E$13+'Beta HC3'!$E$12*I479</x:f>
        <x:v>-0.003045780197786849</x:v>
      </x:c>
      <x:c r="K479" s="240" t="n">
        <x:f>H479-J479</x:f>
        <x:v>0.004847743543149161</x:v>
      </x:c>
      <x:c r="L479" s="240" t="n">
        <x:f>I479-'Beta HC3'!$E$9</x:f>
        <x:v>-0.003272654670649307</x:v>
      </x:c>
      <x:c r="M479" s="240" t="n">
        <x:f>1/'Beta HC3'!$E$8+L479^2/'Beta HC3'!$E$11</x:f>
        <x:v>0.000870054332231718</x:v>
      </x:c>
      <x:c r="N479" s="240" t="n">
        <x:f>K479^2/(1-M479)^2</x:f>
        <x:v>0.000023541564519704315</x:v>
      </x:c>
      <x:c r="O479" s="240" t="n">
        <x:f>N479*L479^2/'Beta HC3'!$E$11^2</x:f>
        <x:v>1.179099368531e-8</x:v>
      </x:c>
      <x:c r="P479" s="240" t="n">
        <x:f>N479*(1/'Beta HC3'!$E$8-'Beta HC3'!$E$9*L479/'Beta HC3'!$E$11)^2</x:f>
        <x:v>1.5424035541626103e-11</x:v>
      </x:c>
      <x:c r="Q479" s="240" t="n">
        <x:f>N479*(1/'Beta HC3'!$E$8-'Beta HC3'!$E$9*L479/'Beta HC3'!$E$11)*L479/'Beta HC3'!$E$11</x:f>
        <x:v>-4.2645598327765373e-10</x:v>
      </x:c>
      <x:c r="R479" s="240" t="n">
        <x:f>K479*L479/'Beta HC3'!$E$11</x:f>
        <x:v>-0.00010849186605802949</x:v>
      </x:c>
      <x:c r="S479" s="240" t="n">
        <x:f>(K479-K478)^2</x:f>
        <x:v>0.000023697008786078914</x:v>
      </x:c>
      <x:c r="T479" s="280" t="n">
        <x:f>E479/$E$9*100</x:f>
        <x:v>111.34540855238863</x:v>
      </x:c>
    </x:row>
    <x:row r="480" ht="24" customHeight="1">
      <x:c r="C480" s="274" t="d">
        <x:v>2023-08-23T00:00:00.000Z</x:v>
      </x:c>
      <x:c r="D480" s="191" t="n">
        <x:v>327</x:v>
      </x:c>
      <x:c r="E480" s="191" t="n">
        <x:v>319.5164794921875</x:v>
      </x:c>
      <x:c r="F480" s="191" t="n">
        <x:v>443.0299987792969</x:v>
      </x:c>
      <x:c r="G480" s="191" t="n">
        <x:v>425.75726318359375</x:v>
      </x:c>
      <x:c r="H480" s="208" t="n">
        <x:f>E480/E479-1</x:f>
        <x:v>0.01407944867728883</x:v>
      </x:c>
      <x:c r="I480" s="208" t="n">
        <x:f>G480/G479-1</x:f>
        <x:v>0.011137855816171216</x:v>
      </x:c>
      <x:c r="J480" s="208" t="n">
        <x:f>'Beta HC3'!$E$13+'Beta HC3'!$E$12*I480</x:f>
        <x:v>0.012570535883150465</x:v>
      </x:c>
      <x:c r="K480" s="240" t="n">
        <x:f>H480-J480</x:f>
        <x:v>0.0015089127941383656</x:v>
      </x:c>
      <x:c r="L480" s="240" t="n">
        <x:f>I480-'Beta HC3'!$E$9</x:f>
        <x:v>0.010573908198510777</x:v>
      </x:c>
      <x:c r="M480" s="240" t="n">
        <x:f>1/'Beta HC3'!$E$8+L480^2/'Beta HC3'!$E$11</x:f>
        <x:v>0.001561402430284776</x:v>
      </x:c>
      <x:c r="N480" s="240" t="n">
        <x:f>K480^2/(1-M480)^2</x:f>
        <x:v>0.0000022839445652986617</x:v>
      </x:c>
      <x:c r="O480" s="240" t="n">
        <x:f>N480*L480^2/'Beta HC3'!$E$11^2</x:f>
        <x:v>1.1941842877365021e-8</x:v>
      </x:c>
      <x:c r="P480" s="240" t="n">
        <x:f>N480*(1/'Beta HC3'!$E$8-'Beta HC3'!$E$9*L480/'Beta HC3'!$E$11)^2</x:f>
        <x:v>1.3054746815253447e-12</x:v>
      </x:c>
      <x:c r="Q480" s="240" t="n">
        <x:f>N480*(1/'Beta HC3'!$E$8-'Beta HC3'!$E$9*L480/'Beta HC3'!$E$11)*L480/'Beta HC3'!$E$11</x:f>
        <x:v>1.248590146010844e-10</x:v>
      </x:c>
      <x:c r="R480" s="240" t="n">
        <x:f>K480*L480/'Beta HC3'!$E$11</x:f>
        <x:v>0.00010910811127651445</x:v>
      </x:c>
      <x:c r="S480" s="240" t="n">
        <x:f>(K480-K479)^2</x:f>
        <x:v>0.000011147790770539988</x:v>
      </x:c>
      <x:c r="T480" s="280" t="n">
        <x:f>E480/$E$9*100</x:f>
        <x:v>112.91309051755375</x:v>
      </x:c>
    </x:row>
    <x:row r="481" ht="24" customHeight="1">
      <x:c r="C481" s="274" t="d">
        <x:v>2023-08-24T00:00:00.000Z</x:v>
      </x:c>
      <x:c r="D481" s="191" t="n">
        <x:v>319.9700012207031</x:v>
      </x:c>
      <x:c r="E481" s="191" t="n">
        <x:v>312.6473693847656</x:v>
      </x:c>
      <x:c r="F481" s="191" t="n">
        <x:v>436.8900146484375</x:v>
      </x:c>
      <x:c r="G481" s="191" t="n">
        <x:v>419.8566589355469</x:v>
      </x:c>
      <x:c r="H481" s="208" t="n">
        <x:f>E481/E480-1</x:f>
        <x:v>-0.02149845328271971</x:v>
      </x:c>
      <x:c r="I481" s="208" t="n">
        <x:f>G481/G480-1</x:f>
        <x:v>-0.013859080650615807</x:v>
      </x:c>
      <x:c r="J481" s="208" t="n">
        <x:f>'Beta HC3'!$E$13+'Beta HC3'!$E$12*I481</x:f>
        <x:v>-0.015621302380906277</x:v>
      </x:c>
      <x:c r="K481" s="240" t="n">
        <x:f>H481-J481</x:f>
        <x:v>-0.005877150901813432</x:v>
      </x:c>
      <x:c r="L481" s="240" t="n">
        <x:f>I481-'Beta HC3'!$E$9</x:f>
        <x:v>-0.014423028268276246</x:v>
      </x:c>
      <x:c r="M481" s="240" t="n">
        <x:f>1/'Beta HC3'!$E$8+L481^2/'Beta HC3'!$E$11</x:f>
        <x:v>0.002219371694008417</x:v>
      </x:c>
      <x:c r="N481" s="240" t="n">
        <x:f>K481^2/(1-M481)^2</x:f>
        <x:v>0.00003469473284595755</x:v>
      </x:c>
      <x:c r="O481" s="240" t="n">
        <x:f>N481*L481^2/'Beta HC3'!$E$11^2</x:f>
        <x:v>3.3751352436046057e-7</x:v>
      </x:c>
      <x:c r="P481" s="240" t="n">
        <x:f>N481*(1/'Beta HC3'!$E$8-'Beta HC3'!$E$9*L481/'Beta HC3'!$E$11)^2</x:f>
        <x:v>2.521079950991914e-11</x:v>
      </x:c>
      <x:c r="Q481" s="240" t="n">
        <x:f>N481*(1/'Beta HC3'!$E$8-'Beta HC3'!$E$9*L481/'Beta HC3'!$E$11)*L481/'Beta HC3'!$E$11</x:f>
        <x:v>-2.9170165914059835e-9</x:v>
      </x:c>
      <x:c r="R481" s="240" t="n">
        <x:f>K481*L481/'Beta HC3'!$E$11</x:f>
        <x:v>0.0005796697774561579</x:v>
      </x:c>
      <x:c r="S481" s="240" t="n">
        <x:f>(K481-K480)^2</x:f>
        <x:v>0.00005455393692065713</x:v>
      </x:c>
      <x:c r="T481" s="280" t="n">
        <x:f>E481/$E$9*100</x:f>
        <x:v>110.48563371605462</x:v>
      </x:c>
    </x:row>
    <x:row r="482" ht="24" customHeight="1">
      <x:c r="C482" s="274" t="d">
        <x:v>2023-08-25T00:00:00.000Z</x:v>
      </x:c>
      <x:c r="D482" s="191" t="n">
        <x:v>322.9800109863281</x:v>
      </x:c>
      <x:c r="E482" s="191" t="n">
        <x:v>315.58837890625</x:v>
      </x:c>
      <x:c r="F482" s="191" t="n">
        <x:v>439.9700012207031</x:v>
      </x:c>
      <x:c r="G482" s="191" t="n">
        <x:v>422.8165283203125</x:v>
      </x:c>
      <x:c r="H482" s="208" t="n">
        <x:f>E482/E481-1</x:f>
        <x:v>0.009406794393542306</x:v>
      </x:c>
      <x:c r="I482" s="208" t="n">
        <x:f>G482/G481-1</x:f>
        <x:v>0.007049714043525501</x:v>
      </x:c>
      <x:c r="J482" s="208" t="n">
        <x:f>'Beta HC3'!$E$13+'Beta HC3'!$E$12*I482</x:f>
        <x:v>0.00795988162125338</x:v>
      </x:c>
      <x:c r="K482" s="240" t="n">
        <x:f>H482-J482</x:f>
        <x:v>0.0014469127722889254</x:v>
      </x:c>
      <x:c r="L482" s="240" t="n">
        <x:f>I482-'Beta HC3'!$E$9</x:f>
        <x:v>0.0064857664258650615</x:v>
      </x:c>
      <x:c r="M482" s="240" t="n">
        <x:f>1/'Beta HC3'!$E$8+L482^2/'Beta HC3'!$E$11</x:f>
        <x:v>0.0010844730760366766</x:v>
      </x:c>
      <x:c r="N482" s="240" t="n">
        <x:f>K482^2/(1-M482)^2</x:f>
        <x:v>0.000002098104779357702</x:v>
      </x:c>
      <x:c r="O482" s="240" t="n">
        <x:f>N482*L482^2/'Beta HC3'!$E$11^2</x:f>
        <x:v>4.127285429829977e-9</x:v>
      </x:c>
      <x:c r="P482" s="240" t="n">
        <x:f>N482*(1/'Beta HC3'!$E$8-'Beta HC3'!$E$9*L482/'Beta HC3'!$E$11)^2</x:f>
        <x:v>1.2497898128036152e-12</x:v>
      </x:c>
      <x:c r="Q482" s="240" t="n">
        <x:f>N482*(1/'Beta HC3'!$E$8-'Beta HC3'!$E$9*L482/'Beta HC3'!$E$11)*L482/'Beta HC3'!$E$11</x:f>
        <x:v>7.182088334693674e-11</x:v>
      </x:c>
      <x:c r="R482" s="240" t="n">
        <x:f>K482*L482/'Beta HC3'!$E$11</x:f>
        <x:v>0.00006417428163995242</x:v>
      </x:c>
      <x:c r="S482" s="240" t="n">
        <x:f>(K482-K481)^2</x:f>
        <x:v>0.00005364190870230573</x:v>
      </x:c>
      <x:c r="T482" s="280" t="n">
        <x:f>E482/$E$9*100</x:f>
        <x:v>111.52494935586176</x:v>
      </x:c>
    </x:row>
    <x:row r="483" ht="24" customHeight="1">
      <x:c r="C483" s="274" t="d">
        <x:v>2023-08-28T00:00:00.000Z</x:v>
      </x:c>
      <x:c r="D483" s="191" t="n">
        <x:v>323.70001220703125</x:v>
      </x:c>
      <x:c r="E483" s="191" t="n">
        <x:v>316.2919616699219</x:v>
      </x:c>
      <x:c r="F483" s="191" t="n">
        <x:v>442.760009765625</x:v>
      </x:c>
      <x:c r="G483" s="191" t="n">
        <x:v>425.4977722167969</x:v>
      </x:c>
      <x:c r="H483" s="208" t="n">
        <x:f>E483/E482-1</x:f>
        <x:v>0.002229431787413416</x:v>
      </x:c>
      <x:c r="I483" s="208" t="n">
        <x:f>G483/G482-1</x:f>
        <x:v>0.006341388561927674</x:v>
      </x:c>
      <x:c r="J483" s="208" t="n">
        <x:f>'Beta HC3'!$E$13+'Beta HC3'!$E$12*I483</x:f>
        <x:v>0.0071610238315378905</x:v>
      </x:c>
      <x:c r="K483" s="240" t="n">
        <x:f>H483-J483</x:f>
        <x:v>-0.004931592044124474</x:v>
      </x:c>
      <x:c r="L483" s="240" t="n">
        <x:f>I483-'Beta HC3'!$E$9</x:f>
        <x:v>0.005777440944267235</x:v>
      </x:c>
      <x:c r="M483" s="240" t="n">
        <x:f>1/'Beta HC3'!$E$8+L483^2/'Beta HC3'!$E$11</x:f>
        <x:v>0.001025072001777483</x:v>
      </x:c>
      <x:c r="N483" s="240" t="n">
        <x:f>K483^2/(1-M483)^2</x:f>
        <x:v>0.000024370537593288735</x:v>
      </x:c>
      <x:c r="O483" s="240" t="n">
        <x:f>N483*L483^2/'Beta HC3'!$E$11^2</x:f>
        <x:v>3.804090690648128e-8</x:v>
      </x:c>
      <x:c r="P483" s="240" t="n">
        <x:f>N483*(1/'Beta HC3'!$E$8-'Beta HC3'!$E$9*L483/'Beta HC3'!$E$11)^2</x:f>
        <x:v>1.4619877496260178e-11</x:v>
      </x:c>
      <x:c r="Q483" s="240" t="n">
        <x:f>N483*(1/'Beta HC3'!$E$8-'Beta HC3'!$E$9*L483/'Beta HC3'!$E$11)*L483/'Beta HC3'!$E$11</x:f>
        <x:v>7.457569301182486e-10</x:v>
      </x:c>
      <x:c r="R483" s="240" t="n">
        <x:f>K483*L483/'Beta HC3'!$E$11</x:f>
        <x:v>-0.00019484085182948715</x:v>
      </x:c>
      <x:c r="S483" s="240" t="n">
        <x:f>(K483-K482)^2</x:f>
        <x:v>0.000040685323693008935</x:v>
      </x:c>
      <x:c r="T483" s="280" t="n">
        <x:f>E483/$E$9*100</x:f>
        <x:v>111.77358662304542</x:v>
      </x:c>
    </x:row>
    <x:row r="484" ht="24" customHeight="1">
      <x:c r="C484" s="274" t="d">
        <x:v>2023-08-29T00:00:00.000Z</x:v>
      </x:c>
      <x:c r="D484" s="191" t="n">
        <x:v>328.4100036621094</x:v>
      </x:c>
      <x:c r="E484" s="191" t="n">
        <x:v>320.8941345214844</x:v>
      </x:c>
      <x:c r="F484" s="191" t="n">
        <x:v>449.1600036621094</x:v>
      </x:c>
      <x:c r="G484" s="191" t="n">
        <x:v>431.6482849121094</x:v>
      </x:c>
      <x:c r="H484" s="208" t="n">
        <x:f>E484/E483-1</x:f>
        <x:v>0.014550394601445138</x:v>
      </x:c>
      <x:c r="I484" s="208" t="n">
        <x:f>G484/G483-1</x:f>
        <x:v>0.014454864624247055</x:v>
      </x:c>
      <x:c r="J484" s="208" t="n">
        <x:f>'Beta HC3'!$E$13+'Beta HC3'!$E$12*I484</x:f>
        <x:v>0.016311497339046237</x:v>
      </x:c>
      <x:c r="K484" s="240" t="n">
        <x:f>H484-J484</x:f>
        <x:v>-0.0017611027376010988</x:v>
      </x:c>
      <x:c r="L484" s="240" t="n">
        <x:f>I484-'Beta HC3'!$E$9</x:f>
        <x:v>0.013890917006586616</x:v>
      </x:c>
      <x:c r="M484" s="240" t="n">
        <x:f>1/'Beta HC3'!$E$8+L484^2/'Beta HC3'!$E$11</x:f>
        <x:v>0.0021163425242317225</x:v>
      </x:c>
      <x:c r="N484" s="240" t="n">
        <x:f>K484^2/(1-M484)^2</x:f>
        <x:v>0.0000031146522441373807</x:v>
      </x:c>
      <x:c r="O484" s="240" t="n">
        <x:f>N484*L484^2/'Beta HC3'!$E$11^2</x:f>
        <x:v>2.8105163749887177e-8</x:v>
      </x:c>
      <x:c r="P484" s="240" t="n">
        <x:f>N484*(1/'Beta HC3'!$E$8-'Beta HC3'!$E$9*L484/'Beta HC3'!$E$11)^2</x:f>
        <x:v>1.7205612904922342e-12</x:v>
      </x:c>
      <x:c r="Q484" s="240" t="n">
        <x:f>N484*(1/'Beta HC3'!$E$8-'Beta HC3'!$E$9*L484/'Beta HC3'!$E$11)*L484/'Beta HC3'!$E$11</x:f>
        <x:v>2.1990147068858233e-10</x:v>
      </x:c>
      <x:c r="R484" s="240" t="n">
        <x:f>K484*L484/'Beta HC3'!$E$11</x:f>
        <x:v>-0.00016729115136155878</x:v>
      </x:c>
      <x:c r="S484" s="240" t="n">
        <x:f>(K484-K483)^2</x:f>
        <x:v>0.000010052002442779075</x:v>
      </x:c>
      <x:c r="T484" s="280" t="n">
        <x:f>E484/$E$9*100</x:f>
        <x:v>113.39993641442952</x:v>
      </x:c>
    </x:row>
    <x:row r="485" ht="24" customHeight="1">
      <x:c r="C485" s="274" t="d">
        <x:v>2023-08-30T00:00:00.000Z</x:v>
      </x:c>
      <x:c r="D485" s="191" t="n">
        <x:v>328.7900085449219</x:v>
      </x:c>
      <x:c r="E485" s="191" t="n">
        <x:v>321.2654724121094</x:v>
      </x:c>
      <x:c r="F485" s="191" t="n">
        <x:v>451.010009765625</x:v>
      </x:c>
      <x:c r="G485" s="191" t="n">
        <x:v>433.4260559082031</x:v>
      </x:c>
      <x:c r="H485" s="208" t="n">
        <x:f>E485/E484-1</x:f>
        <x:v>0.001157197501221896</x:v>
      </x:c>
      <x:c r="I485" s="208" t="n">
        <x:f>G485/G484-1</x:f>
        <x:v>0.004118563789627272</x:v>
      </x:c>
      <x:c r="J485" s="208" t="n">
        <x:f>'Beta HC3'!$E$13+'Beta HC3'!$E$12*I485</x:f>
        <x:v>0.004654095970466025</x:v>
      </x:c>
      <x:c r="K485" s="240" t="n">
        <x:f>H485-J485</x:f>
        <x:v>-0.003496898469244129</x:v>
      </x:c>
      <x:c r="L485" s="240" t="n">
        <x:f>I485-'Beta HC3'!$E$9</x:f>
        <x:v>0.0035546161719668327</x:v>
      </x:c>
      <x:c r="M485" s="240" t="n">
        <x:f>1/'Beta HC3'!$E$8+L485^2/'Beta HC3'!$E$11</x:f>
        <x:v>0.000883218527257763</x:v>
      </x:c>
      <x:c r="N485" s="240" t="n">
        <x:f>K485^2/(1-M485)^2</x:f>
        <x:v>0.000012249928075206891</x:v>
      </x:c>
      <x:c r="O485" s="240" t="n">
        <x:f>N485*L485^2/'Beta HC3'!$E$11^2</x:f>
        <x:v>7.238251789910709e-9</x:v>
      </x:c>
      <x:c r="P485" s="240" t="n">
        <x:f>N485*(1/'Beta HC3'!$E$8-'Beta HC3'!$E$9*L485/'Beta HC3'!$E$11)^2</x:f>
        <x:v>7.512296799719469e-12</x:v>
      </x:c>
      <x:c r="Q485" s="240" t="n">
        <x:f>N485*(1/'Beta HC3'!$E$8-'Beta HC3'!$E$9*L485/'Beta HC3'!$E$11)*L485/'Beta HC3'!$E$11</x:f>
        <x:v>2.3318639702373285e-10</x:v>
      </x:c>
      <x:c r="R485" s="240" t="n">
        <x:f>K485*L485/'Beta HC3'!$E$11</x:f>
        <x:v>-0.00008500277360250149</x:v>
      </x:c>
      <x:c r="S485" s="240" t="n">
        <x:f>(K485-K484)^2</x:f>
        <x:v>0.000003012986821990162</x:v>
      </x:c>
      <x:c r="T485" s="280" t="n">
        <x:f>E485/$E$9*100</x:f>
        <x:v>113.531162537487</x:v>
      </x:c>
    </x:row>
    <x:row r="486" ht="24" customHeight="1">
      <x:c r="C486" s="274" t="d">
        <x:v>2023-08-31T00:00:00.000Z</x:v>
      </x:c>
      <x:c r="D486" s="191" t="n">
        <x:v>327.760009765625</x:v>
      </x:c>
      <x:c r="E486" s="191" t="n">
        <x:v>320.259033203125</x:v>
      </x:c>
      <x:c r="F486" s="191" t="n">
        <x:v>450.3500061035156</x:v>
      </x:c>
      <x:c r="G486" s="191" t="n">
        <x:v>432.7918701171875</x:v>
      </x:c>
      <x:c r="H486" s="208" t="n">
        <x:f>E486/E485-1</x:f>
        <x:v>-0.003132733814897315</x:v>
      </x:c>
      <x:c r="I486" s="208" t="n">
        <x:f>G486/G485-1</x:f>
        <x:v>-0.0014631925846884108</x:v>
      </x:c>
      <x:c r="J486" s="208" t="n">
        <x:f>'Beta HC3'!$E$13+'Beta HC3'!$E$12*I486</x:f>
        <x:v>-0.0016410743654332095</x:v>
      </x:c>
      <x:c r="K486" s="240" t="n">
        <x:f>H486-J486</x:f>
        <x:v>-0.0014916594494641055</x:v>
      </x:c>
      <x:c r="L486" s="240" t="n">
        <x:f>I486-'Beta HC3'!$E$9</x:f>
        <x:v>-0.00202714020234885</x:v>
      </x:c>
      <x:c r="M486" s="240" t="n">
        <x:f>1/'Beta HC3'!$E$8+L486^2/'Beta HC3'!$E$11</x:f>
        <x:v>0.0008249139534607713</x:v>
      </x:c>
      <x:c r="N486" s="240" t="n">
        <x:f>K486^2/(1-M486)^2</x:f>
        <x:v>0.000002228723406640184</x:v>
      </x:c>
      <x:c r="O486" s="240" t="n">
        <x:f>N486*L486^2/'Beta HC3'!$E$11^2</x:f>
        <x:v>4.28290528618718e-10</x:v>
      </x:c>
      <x:c r="P486" s="240" t="n">
        <x:f>N486*(1/'Beta HC3'!$E$8-'Beta HC3'!$E$9*L486/'Beta HC3'!$E$11)^2</x:f>
        <x:v>1.4429428095632884e-12</x:v>
      </x:c>
      <x:c r="Q486" s="240" t="n">
        <x:f>N486*(1/'Beta HC3'!$E$8-'Beta HC3'!$E$9*L486/'Beta HC3'!$E$11)*L486/'Beta HC3'!$E$11</x:f>
        <x:v>-2.485958042032164e-11</x:v>
      </x:c>
      <x:c r="R486" s="240" t="n">
        <x:f>K486*L486/'Beta HC3'!$E$11</x:f>
        <x:v>0.000020678109546009512</x:v>
      </x:c>
      <x:c r="S486" s="240" t="n">
        <x:f>(K486-K485)^2</x:f>
        <x:v>0.000004020983526448349</x:v>
      </x:c>
      <x:c r="T486" s="280" t="n">
        <x:f>E486/$E$9*100</x:f>
        <x:v>113.17549962556124</x:v>
      </x:c>
    </x:row>
    <x:row r="487" ht="24" customHeight="1">
      <x:c r="C487" s="274" t="d">
        <x:v>2023-09-01T00:00:00.000Z</x:v>
      </x:c>
      <x:c r="D487" s="191" t="n">
        <x:v>328.6600036621094</x:v>
      </x:c>
      <x:c r="E487" s="191" t="n">
        <x:v>321.13836669921875</x:v>
      </x:c>
      <x:c r="F487" s="191" t="n">
        <x:v>451.19000244140625</x:v>
      </x:c>
      <x:c r="G487" s="191" t="n">
        <x:v>433.59906005859375</x:v>
      </x:c>
      <x:c r="H487" s="208" t="n">
        <x:f>E487/E486-1</x:f>
        <x:v>0.0027456945938384436</x:v>
      </x:c>
      <x:c r="I487" s="208" t="n">
        <x:f>G487/G486-1</x:f>
        <x:v>0.0018650764885848048</x:v>
      </x:c>
      <x:c r="J487" s="208" t="n">
        <x:f>'Beta HC3'!$E$13+'Beta HC3'!$E$12*I487</x:f>
        <x:v>0.002112586549681359</x:v>
      </x:c>
      <x:c r="K487" s="240" t="n">
        <x:f>H487-J487</x:f>
        <x:v>0.0006331080441570845</x:v>
      </x:c>
      <x:c r="L487" s="240" t="n">
        <x:f>I487-'Beta HC3'!$E$9</x:f>
        <x:v>0.0013011288709243655</x:v>
      </x:c>
      <x:c r="M487" s="240" t="n">
        <x:f>1/'Beta HC3'!$E$8+L487^2/'Beta HC3'!$E$11</x:f>
        <x:v>0.0008083898011267787</x:v>
      </x:c>
      <x:c r="N487" s="240" t="n">
        <x:f>K487^2/(1-M487)^2</x:f>
        <x:v>4.014746292064425e-7</x:v>
      </x:c>
      <x:c r="O487" s="240" t="n">
        <x:f>N487*L487^2/'Beta HC3'!$E$11^2</x:f>
        <x:v>3.1784358876018856e-11</x:v>
      </x:c>
      <x:c r="P487" s="240" t="n">
        <x:f>N487*(1/'Beta HC3'!$E$8-'Beta HC3'!$E$9*L487/'Beta HC3'!$E$11)^2</x:f>
        <x:v>2.5170017669416276e-13</x:v>
      </x:c>
      <x:c r="Q487" s="240" t="n">
        <x:f>N487*(1/'Beta HC3'!$E$8-'Beta HC3'!$E$9*L487/'Beta HC3'!$E$11)*L487/'Beta HC3'!$E$11</x:f>
        <x:v>2.8284498838064335e-12</x:v>
      </x:c>
      <x:c r="R487" s="240" t="n">
        <x:f>K487*L487/'Beta HC3'!$E$11</x:f>
        <x:v>0.000005633204358427579</x:v>
      </x:c>
      <x:c r="S487" s="240" t="n">
        <x:f>(K487-K486)^2</x:f>
        <x:v>0.000004514636901949274</x:v>
      </x:c>
      <x:c r="T487" s="280" t="n">
        <x:f>E487/$E$9*100</x:f>
        <x:v>113.48624498303809</x:v>
      </x:c>
    </x:row>
    <x:row r="488" ht="24" customHeight="1">
      <x:c r="C488" s="274" t="d">
        <x:v>2023-09-05T00:00:00.000Z</x:v>
      </x:c>
      <x:c r="D488" s="191" t="n">
        <x:v>333.54998779296875</x:v>
      </x:c>
      <x:c r="E488" s="191" t="n">
        <x:v>325.9164733886719</x:v>
      </x:c>
      <x:c r="F488" s="191" t="n">
        <x:v>449.239990234375</x:v>
      </x:c>
      <x:c r="G488" s="191" t="n">
        <x:v>431.7251281738281</x:v>
      </x:c>
      <x:c r="H488" s="208" t="n">
        <x:f>E488/E487-1</x:f>
        <x:v>0.014878654140781489</x:v>
      </x:c>
      <x:c r="I488" s="208" t="n">
        <x:f>G488/G487-1</x:f>
        <x:v>-0.004321807995876226</x:v>
      </x:c>
      <x:c r="J488" s="208" t="n">
        <x:f>'Beta HC3'!$E$13+'Beta HC3'!$E$12*I488</x:f>
        <x:v>-0.004865054369479901</x:v>
      </x:c>
      <x:c r="K488" s="240" t="n">
        <x:f>H488-J488</x:f>
        <x:v>0.01974370851026139</x:v>
      </x:c>
      <x:c r="L488" s="240" t="n">
        <x:f>I488-'Beta HC3'!$E$9</x:f>
        <x:v>-0.004885755613536665</x:v>
      </x:c>
      <x:c r="M488" s="240" t="n">
        <x:f>1/'Beta HC3'!$E$8+L488^2/'Beta HC3'!$E$11</x:f>
        <x:v>0.000960050589501101</x:v>
      </x:c>
      <x:c r="N488" s="240" t="n">
        <x:f>K488^2/(1-M488)^2</x:f>
        <x:v>0.00039056358736139674</x:v>
      </x:c>
      <x:c r="O488" s="240" t="n">
        <x:f>N488*L488^2/'Beta HC3'!$E$11^2</x:f>
        <x:v>4.359833994228078e-7</x:v>
      </x:c>
      <x:c r="P488" s="240" t="n">
        <x:f>N488*(1/'Beta HC3'!$E$8-'Beta HC3'!$E$9*L488/'Beta HC3'!$E$11)^2</x:f>
        <x:v>2.598391156669252e-10</x:v>
      </x:c>
      <x:c r="Q488" s="240" t="n">
        <x:f>N488*(1/'Beta HC3'!$E$8-'Beta HC3'!$E$9*L488/'Beta HC3'!$E$11)*L488/'Beta HC3'!$E$11</x:f>
        <x:v>-1.0643568055472855e-8</x:v>
      </x:c>
      <x:c r="R488" s="240" t="n">
        <x:f>K488*L488/'Beta HC3'!$E$11</x:f>
        <x:v>-0.000659656478046112</x:v>
      </x:c>
      <x:c r="S488" s="240" t="n">
        <x:f>(K488-K487)^2</x:f>
        <x:v>0.00036521505017506615</x:v>
      </x:c>
      <x:c r="T488" s="280" t="n">
        <x:f>E488/$E$9*100</x:f>
        <x:v>115.17476757187673</x:v>
      </x:c>
    </x:row>
    <x:row r="489" ht="24" customHeight="1">
      <x:c r="C489" s="274" t="d">
        <x:v>2023-09-06T00:00:00.000Z</x:v>
      </x:c>
      <x:c r="D489" s="191" t="n">
        <x:v>332.8800048828125</x:v>
      </x:c>
      <x:c r="E489" s="191" t="n">
        <x:v>325.2618713378906</x:v>
      </x:c>
      <x:c r="F489" s="191" t="n">
        <x:v>446.2200012207031</x:v>
      </x:c>
      <x:c r="G489" s="191" t="n">
        <x:v>428.8229064941406</x:v>
      </x:c>
      <x:c r="H489" s="208" t="n">
        <x:f>E489/E488-1</x:f>
        <x:v>-0.0020084963609697803</x:v>
      </x:c>
      <x:c r="I489" s="208" t="n">
        <x:f>G489/G488-1</x:f>
        <x:v>-0.006722383040254631</x:v>
      </x:c>
      <x:c r="J489" s="208" t="n">
        <x:f>'Beta HC3'!$E$13+'Beta HC3'!$E$12*I489</x:f>
        <x:v>-0.007572451073142671</x:v>
      </x:c>
      <x:c r="K489" s="240" t="n">
        <x:f>H489-J489</x:f>
        <x:v>0.00556395471217289</x:v>
      </x:c>
      <x:c r="L489" s="240" t="n">
        <x:f>I489-'Beta HC3'!$E$9</x:f>
        <x:v>-0.007286330657915071</x:v>
      </x:c>
      <x:c r="M489" s="240" t="n">
        <x:f>1/'Beta HC3'!$E$8+L489^2/'Beta HC3'!$E$11</x:f>
        <x:v>0.0011598699985438828</x:v>
      </x:c>
      <x:c r="N489" s="240" t="n">
        <x:f>K489^2/(1-M489)^2</x:f>
        <x:v>0.000031029530738677816</x:v>
      </x:c>
      <x:c r="O489" s="240" t="n">
        <x:f>N489*L489^2/'Beta HC3'!$E$11^2</x:f>
        <x:v>7.703847591543004e-8</x:v>
      </x:c>
      <x:c r="P489" s="240" t="n">
        <x:f>N489*(1/'Beta HC3'!$E$8-'Beta HC3'!$E$9*L489/'Beta HC3'!$E$11)^2</x:f>
        <x:v>2.1115003095577745e-11</x:v>
      </x:c>
      <x:c r="Q489" s="240" t="n">
        <x:f>N489*(1/'Beta HC3'!$E$8-'Beta HC3'!$E$9*L489/'Beta HC3'!$E$11)*L489/'Beta HC3'!$E$11</x:f>
        <x:v>-1.275408819725227e-9</x:v>
      </x:c>
      <x:c r="R489" s="240" t="n">
        <x:f>K489*L489/'Beta HC3'!$E$11</x:f>
        <x:v>-0.0002772361273738936</x:v>
      </x:c>
      <x:c r="S489" s="240" t="n">
        <x:f>(K489-K488)^2</x:f>
        <x:v>0.00020106541777440527</x:v>
      </x:c>
      <x:c r="T489" s="280" t="n">
        <x:f>E489/$E$9*100</x:f>
        <x:v>114.94343947033305</x:v>
      </x:c>
    </x:row>
    <x:row r="490" ht="24" customHeight="1">
      <x:c r="C490" s="274" t="d">
        <x:v>2023-09-07T00:00:00.000Z</x:v>
      </x:c>
      <x:c r="D490" s="191" t="n">
        <x:v>329.9100036621094</x:v>
      </x:c>
      <x:c r="E490" s="191" t="n">
        <x:v>322.3598327636719</x:v>
      </x:c>
      <x:c r="F490" s="191" t="n">
        <x:v>444.8500061035156</x:v>
      </x:c>
      <x:c r="G490" s="191" t="n">
        <x:v>427.50628662109375</x:v>
      </x:c>
      <x:c r="H490" s="208" t="n">
        <x:f>E490/E489-1</x:f>
        <x:v>-0.008922160357381803</x:v>
      </x:c>
      <x:c r="I490" s="208" t="n">
        <x:f>G490/G489-1</x:f>
        <x:v>-0.0030703114341791293</x:v>
      </x:c>
      <x:c r="J490" s="208" t="n">
        <x:f>'Beta HC3'!$E$13+'Beta HC3'!$E$12*I490</x:f>
        <x:v>-0.0034536018619989875</x:v>
      </x:c>
      <x:c r="K490" s="240" t="n">
        <x:f>H490-J490</x:f>
        <x:v>-0.005468558495382816</x:v>
      </x:c>
      <x:c r="L490" s="240" t="n">
        <x:f>I490-'Beta HC3'!$E$9</x:f>
        <x:v>-0.0036342590518395686</x:v>
      </x:c>
      <x:c r="M490" s="240" t="n">
        <x:f>1/'Beta HC3'!$E$8+L490^2/'Beta HC3'!$E$11</x:f>
        <x:v>0.0008871338292264142</x:v>
      </x:c>
      <x:c r="N490" s="240" t="n">
        <x:f>K490^2/(1-M490)^2</x:f>
        <x:v>0.000029958262416186867</x:v>
      </x:c>
      <x:c r="O490" s="240" t="n">
        <x:f>N490*L490^2/'Beta HC3'!$E$11^2</x:f>
        <x:v>1.8503892855691004e-8</x:v>
      </x:c>
      <x:c r="P490" s="240" t="n">
        <x:f>N490*(1/'Beta HC3'!$E$8-'Beta HC3'!$E$9*L490/'Beta HC3'!$E$11)^2</x:f>
        <x:v>1.969583877294364e-11</x:v>
      </x:c>
      <x:c r="Q490" s="240" t="n">
        <x:f>N490*(1/'Beta HC3'!$E$8-'Beta HC3'!$E$9*L490/'Beta HC3'!$E$11)*L490/'Beta HC3'!$E$11</x:f>
        <x:v>-6.036966873832536e-10</x:v>
      </x:c>
      <x:c r="R490" s="240" t="n">
        <x:f>K490*L490/'Beta HC3'!$E$11</x:f>
        <x:v>0.0001359083388159989</x:v>
      </x:c>
      <x:c r="S490" s="240" t="n">
        <x:f>(K490-K489)^2</x:f>
        <x:v>0.00012171634767489109</x:v>
      </x:c>
      <x:c r="T490" s="280" t="n">
        <x:f>E490/$E$9*100</x:f>
        <x:v>113.91789567134974</x:v>
      </x:c>
    </x:row>
    <x:row r="491" ht="24" customHeight="1">
      <x:c r="C491" s="274" t="d">
        <x:v>2023-09-08T00:00:00.000Z</x:v>
      </x:c>
      <x:c r="D491" s="191" t="n">
        <x:v>334.2699890136719</x:v>
      </x:c>
      <x:c r="E491" s="191" t="n">
        <x:v>326.6200256347656</x:v>
      </x:c>
      <x:c r="F491" s="191" t="n">
        <x:v>445.5199890136719</x:v>
      </x:c>
      <x:c r="G491" s="191" t="n">
        <x:v>428.150146484375</x:v>
      </x:c>
      <x:c r="H491" s="208" t="n">
        <x:f>E491/E490-1</x:f>
        <x:v>0.013215644252480452</x:v>
      </x:c>
      <x:c r="I491" s="208" t="n">
        <x:f>G491/G490-1</x:f>
        <x:v>0.0015060827955775125</x:v>
      </x:c>
      <x:c r="J491" s="208" t="n">
        <x:f>'Beta HC3'!$E$13+'Beta HC3'!$E$12*I491</x:f>
        <x:v>0.001707709250236077</x:v>
      </x:c>
      <x:c r="K491" s="240" t="n">
        <x:f>H491-J491</x:f>
        <x:v>0.011507935002244375</x:v>
      </x:c>
      <x:c r="L491" s="240" t="n">
        <x:f>I491-'Beta HC3'!$E$9</x:f>
        <x:v>0.0009421351779170731</x:v>
      </x:c>
      <x:c r="M491" s="240" t="n">
        <x:f>1/'Beta HC3'!$E$8+L491^2/'Beta HC3'!$E$11</x:f>
        <x:v>0.0008028826806630949</x:v>
      </x:c>
      <x:c r="N491" s="240" t="n">
        <x:f>K491^2/(1-M491)^2</x:f>
        <x:v>0.00013264548002703638</x:v>
      </x:c>
      <x:c r="O491" s="240" t="n">
        <x:f>N491*L491^2/'Beta HC3'!$E$11^2</x:f>
        <x:v>5.5059671829717775e-9</x:v>
      </x:c>
      <x:c r="P491" s="240" t="n">
        <x:f>N491*(1/'Beta HC3'!$E$8-'Beta HC3'!$E$9*L491/'Beta HC3'!$E$11)^2</x:f>
        <x:v>8.345171921655141e-11</x:v>
      </x:c>
      <x:c r="Q491" s="240" t="n">
        <x:f>N491*(1/'Beta HC3'!$E$8-'Beta HC3'!$E$9*L491/'Beta HC3'!$E$11)*L491/'Beta HC3'!$E$11</x:f>
        <x:v>6.778513313175002e-10</x:v>
      </x:c>
      <x:c r="R491" s="240" t="n">
        <x:f>K491*L491/'Beta HC3'!$E$11</x:f>
        <x:v>0.00007414262903922835</x:v>
      </x:c>
      <x:c r="S491" s="240" t="n">
        <x:f>(K491-K490)^2</x:f>
        <x:v>0.0002882013314749783</x:v>
      </x:c>
      <x:c r="T491" s="280" t="n">
        <x:f>E491/$E$9*100</x:f>
        <x:v>115.42339405453347</x:v>
      </x:c>
    </x:row>
    <x:row r="492" ht="24" customHeight="1">
      <x:c r="C492" s="274" t="d">
        <x:v>2023-09-11T00:00:00.000Z</x:v>
      </x:c>
      <x:c r="D492" s="191" t="n">
        <x:v>337.94000244140625</x:v>
      </x:c>
      <x:c r="E492" s="191" t="n">
        <x:v>330.2060241699219</x:v>
      </x:c>
      <x:c r="F492" s="191" t="n">
        <x:v>448.45001220703125</x:v>
      </x:c>
      <x:c r="G492" s="191" t="n">
        <x:v>430.9659423828125</x:v>
      </x:c>
      <x:c r="H492" s="208" t="n">
        <x:f>E492/E491-1</x:f>
        <x:v>0.010979114119494371</x:v>
      </x:c>
      <x:c r="I492" s="208" t="n">
        <x:f>G492/G491-1</x:f>
        <x:v>0.0065766552261130595</x:v>
      </x:c>
      <x:c r="J492" s="208" t="n">
        <x:f>'Beta HC3'!$E$13+'Beta HC3'!$E$12*I492</x:f>
        <x:v>0.007426360336051199</x:v>
      </x:c>
      <x:c r="K492" s="240" t="n">
        <x:f>H492-J492</x:f>
        <x:v>0.003552753783443172</x:v>
      </x:c>
      <x:c r="L492" s="240" t="n">
        <x:f>I492-'Beta HC3'!$E$9</x:f>
        <x:v>0.00601270760845262</x:v>
      </x:c>
      <x:c r="M492" s="240" t="n">
        <x:f>1/'Beta HC3'!$E$8+L492^2/'Beta HC3'!$E$11</x:f>
        <x:v>0.0010440406784219267</x:v>
      </x:c>
      <x:c r="N492" s="240" t="n">
        <x:f>K492^2/(1-M492)^2</x:f>
        <x:v>0.000012648456665242711</x:v>
      </x:c>
      <x:c r="O492" s="240" t="n">
        <x:f>N492*L492^2/'Beta HC3'!$E$11^2</x:f>
        <x:v>2.1384171566988416e-8</x:v>
      </x:c>
      <x:c r="P492" s="240" t="n">
        <x:f>N492*(1/'Beta HC3'!$E$8-'Beta HC3'!$E$9*L492/'Beta HC3'!$E$11)^2</x:f>
        <x:v>7.570038210367527e-12</x:v>
      </x:c>
      <x:c r="Q492" s="240" t="n">
        <x:f>N492*(1/'Beta HC3'!$E$8-'Beta HC3'!$E$9*L492/'Beta HC3'!$E$11)*L492/'Beta HC3'!$E$11</x:f>
        <x:v>4.023418892672713e-10</x:v>
      </x:c>
      <x:c r="R492" s="240" t="n">
        <x:f>K492*L492/'Beta HC3'!$E$11</x:f>
        <x:v>0.00014608060441483186</x:v>
      </x:c>
      <x:c r="S492" s="240" t="n">
        <x:f>(K492-K491)^2</x:f>
        <x:v>0.0000632849082239674</x:v>
      </x:c>
      <x:c r="T492" s="280" t="n">
        <x:f>E492/$E$9*100</x:f>
        <x:v>116.69064066991754</x:v>
      </x:c>
    </x:row>
    <x:row r="493" ht="24" customHeight="1">
      <x:c r="C493" s="274" t="d">
        <x:v>2023-09-12T00:00:00.000Z</x:v>
      </x:c>
      <x:c r="D493" s="191" t="n">
        <x:v>331.7699890136719</x:v>
      </x:c>
      <x:c r="E493" s="191" t="n">
        <x:v>324.17724609375</x:v>
      </x:c>
      <x:c r="F493" s="191" t="n">
        <x:v>445.989990234375</x:v>
      </x:c>
      <x:c r="G493" s="191" t="n">
        <x:v>428.601806640625</x:v>
      </x:c>
      <x:c r="H493" s="208" t="n">
        <x:f>E493/E492-1</x:f>
        <x:v>-0.018257625951334844</x:v>
      </x:c>
      <x:c r="I493" s="208" t="n">
        <x:f>G493/G492-1</x:f>
        <x:v>-0.005485667217962065</x:v>
      </x:c>
      <x:c r="J493" s="208" t="n">
        <x:f>'Beta HC3'!$E$13+'Beta HC3'!$E$12*I493</x:f>
        <x:v>-0.006177668457001014</x:v>
      </x:c>
      <x:c r="K493" s="240" t="n">
        <x:f>H493-J493</x:f>
        <x:v>-0.01207995749433383</x:v>
      </x:c>
      <x:c r="L493" s="240" t="n">
        <x:f>I493-'Beta HC3'!$E$9</x:f>
        <x:v>-0.006049614835622504</x:v>
      </x:c>
      <x:c r="M493" s="240" t="n">
        <x:f>1/'Beta HC3'!$E$8+L493^2/'Beta HC3'!$E$11</x:f>
        <x:v>0.001047085064400366</x:v>
      </x:c>
      <x:c r="N493" s="240" t="n">
        <x:f>K493^2/(1-M493)^2</x:f>
        <x:v>0.00014623144626529618</x:v>
      </x:c>
      <x:c r="O493" s="240" t="n">
        <x:f>N493*L493^2/'Beta HC3'!$E$11^2</x:f>
        <x:v>2.502712416319014e-7</x:v>
      </x:c>
      <x:c r="P493" s="240" t="n">
        <x:f>N493*(1/'Beta HC3'!$E$8-'Beta HC3'!$E$9*L493/'Beta HC3'!$E$11)^2</x:f>
        <x:v>9.836037889083921e-11</x:v>
      </x:c>
      <x:c r="Q493" s="240" t="n">
        <x:f>N493*(1/'Beta HC3'!$E$8-'Beta HC3'!$E$9*L493/'Beta HC3'!$E$11)*L493/'Beta HC3'!$E$11</x:f>
        <x:v>-4.961529416661216e-9</x:v>
      </x:c>
      <x:c r="R493" s="240" t="n">
        <x:f>K493*L493/'Beta HC3'!$E$11</x:f>
        <x:v>0.0004997473416314957</x:v>
      </x:c>
      <x:c r="S493" s="240" t="n">
        <x:f>(K493-K492)^2</x:f>
        <x:v>0.00024438166189433633</x:v>
      </x:c>
      <x:c r="T493" s="280" t="n">
        <x:f>E493/$E$9*100</x:f>
        <x:v>114.56014660054457</x:v>
      </x:c>
    </x:row>
    <x:row r="494" ht="24" customHeight="1">
      <x:c r="C494" s="274" t="d">
        <x:v>2023-09-13T00:00:00.000Z</x:v>
      </x:c>
      <x:c r="D494" s="191" t="n">
        <x:v>336.05999755859375</x:v>
      </x:c>
      <x:c r="E494" s="191" t="n">
        <x:v>328.3690490722656</x:v>
      </x:c>
      <x:c r="F494" s="191" t="n">
        <x:v>446.510009765625</x:v>
      </x:c>
      <x:c r="G494" s="191" t="n">
        <x:v>429.1015319824219</x:v>
      </x:c>
      <x:c r="H494" s="208" t="n">
        <x:f>E494/E493-1</x:f>
        <x:v>0.012930589759231337</x:v>
      </x:c>
      <x:c r="I494" s="208" t="n">
        <x:f>G494/G493-1</x:f>
        <x:v>0.0011659431529551512</x:v>
      </x:c>
      <x:c r="J494" s="208" t="n">
        <x:f>'Beta HC3'!$E$13+'Beta HC3'!$E$12*I494</x:f>
        <x:v>0.0013240957700504305</x:v>
      </x:c>
      <x:c r="K494" s="240" t="n">
        <x:f>H494-J494</x:f>
        <x:v>0.011606493989180906</x:v>
      </x:c>
      <x:c r="L494" s="240" t="n">
        <x:f>I494-'Beta HC3'!$E$9</x:f>
        <x:v>0.0006019955352947118</x:v>
      </x:c>
      <x:c r="M494" s="240" t="n">
        <x:f>1/'Beta HC3'!$E$8+L494^2/'Beta HC3'!$E$11</x:f>
        <x:v>0.0007992909920832999</x:v>
      </x:c>
      <x:c r="N494" s="240" t="n">
        <x:f>K494^2/(1-M494)^2</x:f>
        <x:v>0.00013492630728506616</x:v>
      </x:c>
      <x:c r="O494" s="240" t="n">
        <x:f>N494*L494^2/'Beta HC3'!$E$11^2</x:f>
        <x:v>2.286640535720399e-9</x:v>
      </x:c>
      <x:c r="P494" s="240" t="n">
        <x:f>N494*(1/'Beta HC3'!$E$8-'Beta HC3'!$E$9*L494/'Beta HC3'!$E$11)^2</x:f>
        <x:v>8.516766675909606e-11</x:v>
      </x:c>
      <x:c r="Q494" s="240" t="n">
        <x:f>N494*(1/'Beta HC3'!$E$8-'Beta HC3'!$E$9*L494/'Beta HC3'!$E$11)*L494/'Beta HC3'!$E$11</x:f>
        <x:v>4.413024350080972e-10</x:v>
      </x:c>
      <x:c r="R494" s="240" t="n">
        <x:f>K494*L494/'Beta HC3'!$E$11</x:f>
        <x:v>0.00004778060918628843</x:v>
      </x:c>
      <x:c r="S494" s="240" t="n">
        <x:f>(K494-K493)^2</x:f>
        <x:v>0.0005610479838808974</x:v>
      </x:c>
      <x:c r="T494" s="280" t="n">
        <x:f>E494/$E$9*100</x:f>
        <x:v>116.0414768589936</x:v>
      </x:c>
    </x:row>
    <x:row r="495" ht="24" customHeight="1">
      <x:c r="C495" s="274" t="d">
        <x:v>2023-09-14T00:00:00.000Z</x:v>
      </x:c>
      <x:c r="D495" s="191" t="n">
        <x:v>338.70001220703125</x:v>
      </x:c>
      <x:c r="E495" s="191" t="n">
        <x:v>330.94866943359375</x:v>
      </x:c>
      <x:c r="F495" s="191" t="n">
        <x:v>450.3599853515625</x:v>
      </x:c>
      <x:c r="G495" s="191" t="n">
        <x:v>432.80145263671875</x:v>
      </x:c>
      <x:c r="H495" s="208" t="n">
        <x:f>E495/E494-1</x:f>
        <x:v>0.007855857208882044</x:v>
      </x:c>
      <x:c r="I495" s="208" t="n">
        <x:f>G495/G494-1</x:f>
        <x:v>0.008622482975540802</x:v>
      </x:c>
      <x:c r="J495" s="208" t="n">
        <x:f>'Beta HC3'!$E$13+'Beta HC3'!$E$12*I495</x:f>
        <x:v>0.009733668877824656</x:v>
      </x:c>
      <x:c r="K495" s="240" t="n">
        <x:f>H495-J495</x:f>
        <x:v>-0.0018778116689426114</x:v>
      </x:c>
      <x:c r="L495" s="240" t="n">
        <x:f>I495-'Beta HC3'!$E$9</x:f>
        <x:v>0.008058535357880363</x:v>
      </x:c>
      <x:c r="M495" s="240" t="n">
        <x:f>1/'Beta HC3'!$E$8+L495^2/'Beta HC3'!$E$11</x:f>
        <x:v>0.0012409013165125948</x:v>
      </x:c>
      <x:c r="N495" s="240" t="n">
        <x:f>K495^2/(1-M495)^2</x:f>
        <x:v>0.000003534944254741355</x:v>
      </x:c>
      <x:c r="O495" s="240" t="n">
        <x:f>N495*L495^2/'Beta HC3'!$E$11^2</x:f>
        <x:v>1.0735184772060796e-8</x:v>
      </x:c>
      <x:c r="P495" s="240" t="n">
        <x:f>N495*(1/'Beta HC3'!$E$8-'Beta HC3'!$E$9*L495/'Beta HC3'!$E$11)^2</x:f>
        <x:v>2.0727138411045104e-12</x:v>
      </x:c>
      <x:c r="Q495" s="240" t="n">
        <x:f>N495*(1/'Beta HC3'!$E$8-'Beta HC3'!$E$9*L495/'Beta HC3'!$E$11)*L495/'Beta HC3'!$E$11</x:f>
        <x:v>1.491675771200457e-10</x:v>
      </x:c>
      <x:c r="R495" s="240" t="n">
        <x:f>K495*L495/'Beta HC3'!$E$11</x:f>
        <x:v>-0.00010348216606088361</x:v>
      </x:c>
      <x:c r="S495" s="240" t="n">
        <x:f>(K495-K494)^2</x:f>
        <x:v>0.0001818264990817019</x:v>
      </x:c>
      <x:c r="T495" s="280" t="n">
        <x:f>E495/$E$9*100</x:f>
        <x:v>116.95308213150565</x:v>
      </x:c>
    </x:row>
    <x:row r="496" ht="24" customHeight="1">
      <x:c r="C496" s="274" t="d">
        <x:v>2023-09-15T00:00:00.000Z</x:v>
      </x:c>
      <x:c r="D496" s="191" t="n">
        <x:v>330.2200012207031</x:v>
      </x:c>
      <x:c r="E496" s="191" t="n">
        <x:v>322.6626892089844</x:v>
      </x:c>
      <x:c r="F496" s="191" t="n">
        <x:v>443.3699951171875</x:v>
      </x:c>
      <x:c r="G496" s="191" t="n">
        <x:v>427.58697509765625</x:v>
      </x:c>
      <x:c r="H496" s="208" t="n">
        <x:f>E496/E495-1</x:f>
        <x:v>-0.025037055561487942</x:v>
      </x:c>
      <x:c r="I496" s="208" t="n">
        <x:f>G496/G495-1</x:f>
        <x:v>-0.012048197868317678</x:v>
      </x:c>
      <x:c r="J496" s="208" t="n">
        <x:f>'Beta HC3'!$E$13+'Beta HC3'!$E$12*I496</x:f>
        <x:v>-0.0135789675299318</x:v>
      </x:c>
      <x:c r="K496" s="240" t="n">
        <x:f>H496-J496</x:f>
        <x:v>-0.011458088031556141</x:v>
      </x:c>
      <x:c r="L496" s="240" t="n">
        <x:f>I496-'Beta HC3'!$E$9</x:f>
        <x:v>-0.012612145485978117</x:v>
      </x:c>
      <x:c r="M496" s="240" t="n">
        <x:f>1/'Beta HC3'!$E$8+L496^2/'Beta HC3'!$E$11</x:f>
        <x:v>0.0018845783108357998</x:v>
      </x:c>
      <x:c r="N496" s="240" t="n">
        <x:f>K496^2/(1-M496)^2</x:f>
        <x:v>0.0001317840279315789</x:v>
      </x:c>
      <x:c r="O496" s="240" t="n">
        <x:f>N496*L496^2/'Beta HC3'!$E$11^2</x:f>
        <x:v>9.802919674076938e-7</x:v>
      </x:c>
      <x:c r="P496" s="240" t="n">
        <x:f>N496*(1/'Beta HC3'!$E$8-'Beta HC3'!$E$9*L496/'Beta HC3'!$E$11)^2</x:f>
        <x:v>9.419774025577914e-11</x:v>
      </x:c>
      <x:c r="Q496" s="240" t="n">
        <x:f>N496*(1/'Beta HC3'!$E$8-'Beta HC3'!$E$9*L496/'Beta HC3'!$E$11)*L496/'Beta HC3'!$E$11</x:f>
        <x:v>-9.609437450792667e-9</x:v>
      </x:c>
      <x:c r="R496" s="240" t="n">
        <x:f>K496*L496/'Beta HC3'!$E$11</x:f>
        <x:v>0.0009882310332544873</x:v>
      </x:c>
      <x:c r="S496" s="240" t="n">
        <x:f>(K496-K495)^2</x:f>
        <x:v>0.00009178169518405153</x:v>
      </x:c>
      <x:c r="T496" s="280" t="n">
        <x:f>E496/$E$9*100</x:f>
        <x:v>114.0249213160919</x:v>
      </x:c>
    </x:row>
    <x:row r="497" ht="24" customHeight="1">
      <x:c r="C497" s="274" t="d">
        <x:v>2023-09-18T00:00:00.000Z</x:v>
      </x:c>
      <x:c r="D497" s="191" t="n">
        <x:v>329.05999755859375</x:v>
      </x:c>
      <x:c r="E497" s="191" t="n">
        <x:v>321.5292663574219</x:v>
      </x:c>
      <x:c r="F497" s="191" t="n">
        <x:v>443.6300048828125</x:v>
      </x:c>
      <x:c r="G497" s="191" t="n">
        <x:v>427.8376770019531</x:v>
      </x:c>
      <x:c r="H497" s="208" t="n">
        <x:f>E497/E496-1</x:f>
        <x:v>-0.0035127174274196538</x:v>
      </x:c>
      <x:c r="I497" s="208" t="n">
        <x:f>G497/G496-1</x:f>
        <x:v>0.0005863179163481114</x:v>
      </x:c>
      <x:c r="J497" s="208" t="n">
        <x:f>'Beta HC3'!$E$13+'Beta HC3'!$E$12*I497</x:f>
        <x:v>0.0006703876268184438</x:v>
      </x:c>
      <x:c r="K497" s="240" t="n">
        <x:f>H497-J497</x:f>
        <x:v>-0.004183105054238098</x:v>
      </x:c>
      <x:c r="L497" s="240" t="n">
        <x:f>I497-'Beta HC3'!$E$9</x:f>
        <x:v>0.000022370298687672</x:v>
      </x:c>
      <x:c r="M497" s="240" t="n">
        <x:f>1/'Beta HC3'!$E$8+L497^2/'Beta HC3'!$E$11</x:f>
        <x:v>0.0007968161711688407</x:v>
      </x:c>
      <x:c r="N497" s="240" t="n">
        <x:f>K497^2/(1-M497)^2</x:f>
        <x:v>0.000017526287225235188</x:v>
      </x:c>
      <x:c r="O497" s="240" t="n">
        <x:f>N497*L497^2/'Beta HC3'!$E$11^2</x:f>
        <x:v>4.101551917353432e-13</x:v>
      </x:c>
      <x:c r="P497" s="240" t="n">
        <x:f>N497*(1/'Beta HC3'!$E$8-'Beta HC3'!$E$9*L497/'Beta HC3'!$E$11)^2</x:f>
        <x:v>1.1125215319039762e-11</x:v>
      </x:c>
      <x:c r="Q497" s="240" t="n">
        <x:f>N497*(1/'Beta HC3'!$E$8-'Beta HC3'!$E$9*L497/'Beta HC3'!$E$11)*L497/'Beta HC3'!$E$11</x:f>
        <x:v>2.13613314713239e-12</x:v>
      </x:c>
      <x:c r="R497" s="240" t="n">
        <x:f>K497*L497/'Beta HC3'!$E$11</x:f>
        <x:v>-6.39923288817116e-7</x:v>
      </x:c>
      <x:c r="S497" s="240" t="n">
        <x:f>(K497-K496)^2</x:f>
        <x:v>0.0000529253773202673</x:v>
      </x:c>
      <x:c r="T497" s="280" t="n">
        <x:f>E497/$E$9*100</x:f>
        <x:v>113.6243839878247</x:v>
      </x:c>
    </x:row>
    <x:row r="498" ht="24" customHeight="1">
      <x:c r="C498" s="274" t="d">
        <x:v>2023-09-19T00:00:00.000Z</x:v>
      </x:c>
      <x:c r="D498" s="191" t="n">
        <x:v>328.6499938964844</x:v>
      </x:c>
      <x:c r="E498" s="191" t="n">
        <x:v>321.1286926269531</x:v>
      </x:c>
      <x:c r="F498" s="191" t="n">
        <x:v>442.7099914550781</x:v>
      </x:c>
      <x:c r="G498" s="191" t="n">
        <x:v>426.9504089355469</x:v>
      </x:c>
      <x:c r="H498" s="208" t="n">
        <x:f>E498/E497-1</x:f>
        <x:v>-0.0012458390957900134</x:v>
      </x:c>
      <x:c r="I498" s="208" t="n">
        <x:f>G498/G497-1</x:f>
        <x:v>-0.002073842754157895</x:v>
      </x:c>
      <x:c r="J498" s="208" t="n">
        <x:f>'Beta HC3'!$E$13+'Beta HC3'!$E$12*I498</x:f>
        <x:v>-0.0023297727919974515</x:v>
      </x:c>
      <x:c r="K498" s="240" t="n">
        <x:f>H498-J498</x:f>
        <x:v>0.001083933696207438</x:v>
      </x:c>
      <x:c r="L498" s="240" t="n">
        <x:f>I498-'Beta HC3'!$E$9</x:f>
        <x:v>-0.0026377903718183345</x:v>
      </x:c>
      <x:c r="M498" s="240" t="n">
        <x:f>1/'Beta HC3'!$E$8+L498^2/'Beta HC3'!$E$11</x:f>
        <x:v>0.000844394225978535</x:v>
      </x:c>
      <x:c r="N498" s="240" t="n">
        <x:f>K498^2/(1-M498)^2</x:f>
        <x:v>0.0000011768989520023341</x:v>
      </x:c>
      <x:c r="O498" s="240" t="n">
        <x:f>N498*L498^2/'Beta HC3'!$E$11^2</x:f>
        <x:v>3.8294328313617687e-10</x:v>
      </x:c>
      <x:c r="P498" s="240" t="n">
        <x:f>N498*(1/'Beta HC3'!$E$8-'Beta HC3'!$E$9*L498/'Beta HC3'!$E$11)^2</x:f>
        <x:v>7.664266335467663e-13</x:v>
      </x:c>
      <x:c r="Q498" s="240" t="n">
        <x:f>N498*(1/'Beta HC3'!$E$8-'Beta HC3'!$E$9*L498/'Beta HC3'!$E$11)*L498/'Beta HC3'!$E$11</x:f>
        <x:v>-1.7131781324001493e-11</x:v>
      </x:c>
      <x:c r="R498" s="240" t="n">
        <x:f>K498*L498/'Beta HC3'!$E$11</x:f>
        <x:v>-0.000019552412791802424</x:v>
      </x:c>
      <x:c r="S498" s="240" t="n">
        <x:f>(K498-K497)^2</x:f>
        <x:v>0.00002774169719869487</x:v>
      </x:c>
      <x:c r="T498" s="280" t="n">
        <x:f>E498/$E$9*100</x:f>
        <x:v>113.48282628801762</x:v>
      </x:c>
    </x:row>
    <x:row r="499" ht="24" customHeight="1">
      <x:c r="C499" s="274" t="d">
        <x:v>2023-09-20T00:00:00.000Z</x:v>
      </x:c>
      <x:c r="D499" s="191" t="n">
        <x:v>320.7699890136719</x:v>
      </x:c>
      <x:c r="E499" s="191" t="n">
        <x:v>313.4289855957031</x:v>
      </x:c>
      <x:c r="F499" s="191" t="n">
        <x:v>438.6400146484375</x:v>
      </x:c>
      <x:c r="G499" s="191" t="n">
        <x:v>423.0253601074219</x:v>
      </x:c>
      <x:c r="H499" s="208" t="n">
        <x:f>E499/E498-1</x:f>
        <x:v>-0.023977013602439312</x:v>
      </x:c>
      <x:c r="I499" s="208" t="n">
        <x:f>G499/G498-1</x:f>
        <x:v>-0.009193219507414807</x:v>
      </x:c>
      <x:c r="J499" s="208" t="n">
        <x:f>'Beta HC3'!$E$13+'Beta HC3'!$E$12*I499</x:f>
        <x:v>-0.010359089433874018</x:v>
      </x:c>
      <x:c r="K499" s="240" t="n">
        <x:f>H499-J499</x:f>
        <x:v>-0.013617924168565294</x:v>
      </x:c>
      <x:c r="L499" s="240" t="n">
        <x:f>I499-'Beta HC3'!$E$9</x:f>
        <x:v>-0.009757167125075246</x:v>
      </x:c>
      <x:c r="M499" s="240" t="n">
        <x:f>1/'Beta HC3'!$E$8+L499^2/'Beta HC3'!$E$11</x:f>
        <x:v>0.0014478485165051037</x:v>
      </x:c>
      <x:c r="N499" s="240" t="n">
        <x:f>K499^2/(1-M499)^2</x:f>
        <x:v>0.00018598602797411905</x:v>
      </x:c>
      <x:c r="O499" s="240" t="n">
        <x:f>N499*L499^2/'Beta HC3'!$E$11^2</x:f>
        <x:v>8.280232471470017e-7</x:v>
      </x:c>
      <x:c r="P499" s="240" t="n">
        <x:f>N499*(1/'Beta HC3'!$E$8-'Beta HC3'!$E$9*L499/'Beta HC3'!$E$11)^2</x:f>
        <x:v>1.2950069997152625e-10</x:v>
      </x:c>
      <x:c r="Q499" s="240" t="n">
        <x:f>N499*(1/'Beta HC3'!$E$8-'Beta HC3'!$E$9*L499/'Beta HC3'!$E$11)*L499/'Beta HC3'!$E$11</x:f>
        <x:v>-1.0355172142375655e-8</x:v>
      </x:c>
      <x:c r="R499" s="240" t="n">
        <x:f>K499*L499/'Beta HC3'!$E$11</x:f>
        <x:v>0.0009086403460354363</x:v>
      </x:c>
      <x:c r="S499" s="240" t="n">
        <x:f>(K499-K498)^2</x:f>
        <x:v>0.00021614462467597982</x:v>
      </x:c>
      <x:c r="T499" s="280" t="n">
        <x:f>E499/$E$9*100</x:f>
        <x:v>110.76184701846657</x:v>
      </x:c>
    </x:row>
    <x:row r="500" ht="24" customHeight="1">
      <x:c r="C500" s="274" t="d">
        <x:v>2023-09-21T00:00:00.000Z</x:v>
      </x:c>
      <x:c r="D500" s="191" t="n">
        <x:v>319.5299987792969</x:v>
      </x:c>
      <x:c r="E500" s="191" t="n">
        <x:v>312.21734619140625</x:v>
      </x:c>
      <x:c r="F500" s="191" t="n">
        <x:v>431.3900146484375</x:v>
      </x:c>
      <x:c r="G500" s="191" t="n">
        <x:v>416.03338623046875</x:v>
      </x:c>
      <x:c r="H500" s="208" t="n">
        <x:f>E500/E499-1</x:f>
        <x:v>-0.0038657541579762977</x:v>
      </x:c>
      <x:c r="I500" s="208" t="n">
        <x:f>G500/G499-1</x:f>
        <x:v>-0.016528498138214665</x:v>
      </x:c>
      <x:c r="J500" s="208" t="n">
        <x:f>'Beta HC3'!$E$13+'Beta HC3'!$E$12*I500</x:f>
        <x:v>-0.01863190274666</x:v>
      </x:c>
      <x:c r="K500" s="240" t="n">
        <x:f>H500-J500</x:f>
        <x:v>0.014766148588683702</x:v>
      </x:c>
      <x:c r="L500" s="240" t="n">
        <x:f>I500-'Beta HC3'!$E$9</x:f>
        <x:v>-0.017092445755875103</x:v>
      </x:c>
      <x:c r="M500" s="240" t="n">
        <x:f>1/'Beta HC3'!$E$8+L500^2/'Beta HC3'!$E$11</x:f>
        <x:v>0.002794676108327894</x:v>
      </x:c>
      <x:c r="N500" s="240" t="n">
        <x:f>K500^2/(1-M500)^2</x:f>
        <x:v>0.00021926296961751216</x:v>
      </x:c>
      <x:c r="O500" s="240" t="n">
        <x:f>N500*L500^2/'Beta HC3'!$E$11^2</x:f>
        <x:v>0.0000029956318207077816</x:v>
      </x:c>
      <x:c r="P500" s="240" t="n">
        <x:f>N500*(1/'Beta HC3'!$E$8-'Beta HC3'!$E$9*L500/'Beta HC3'!$E$11)^2</x:f>
        <x:v>1.6319816949733155e-10</x:v>
      </x:c>
      <x:c r="Q500" s="240" t="n">
        <x:f>N500*(1/'Beta HC3'!$E$8-'Beta HC3'!$E$9*L500/'Beta HC3'!$E$11)*L500/'Beta HC3'!$E$11</x:f>
        <x:v>-2.211066777886793e-8</x:v>
      </x:c>
      <x:c r="R500" s="240" t="n">
        <x:f>K500*L500/'Beta HC3'!$E$11</x:f>
        <x:v>-0.0017259523677893485</x:v>
      </x:c>
      <x:c r="S500" s="240" t="n">
        <x:f>(K500-K499)^2</x:f>
        <x:v>0.0008056555862888046</x:v>
      </x:c>
      <x:c r="T500" s="280" t="n">
        <x:f>E500/$E$9*100</x:f>
        <x:v>110.33366894780978</x:v>
      </x:c>
    </x:row>
    <x:row r="501" ht="24" customHeight="1">
      <x:c r="C501" s="274" t="d">
        <x:v>2023-09-22T00:00:00.000Z</x:v>
      </x:c>
      <x:c r="D501" s="191" t="n">
        <x:v>317.010009765625</x:v>
      </x:c>
      <x:c r="E501" s="191" t="n">
        <x:v>309.75506591796875</x:v>
      </x:c>
      <x:c r="F501" s="191" t="n">
        <x:v>430.4200134277344</x:v>
      </x:c>
      <x:c r="G501" s="191" t="n">
        <x:v>415.097900390625</x:v>
      </x:c>
      <x:c r="H501" s="208" t="n">
        <x:f>E501/E500-1</x:f>
        <x:v>-0.007886430089403151</x:v>
      </x:c>
      <x:c r="I501" s="208" t="n">
        <x:f>G501/G500-1</x:f>
        <x:v>-0.0022485835771975937</x:v>
      </x:c>
      <x:c r="J501" s="208" t="n">
        <x:f>'Beta HC3'!$E$13+'Beta HC3'!$E$12*I501</x:f>
        <x:v>-0.0025268475426497477</x:v>
      </x:c>
      <x:c r="K501" s="240" t="n">
        <x:f>H501-J501</x:f>
        <x:v>-0.005359582546753404</x:v>
      </x:c>
      <x:c r="L501" s="240" t="n">
        <x:f>I501-'Beta HC3'!$E$9</x:f>
        <x:v>-0.002812531194858033</x:v>
      </x:c>
      <x:c r="M501" s="240" t="n">
        <x:f>1/'Beta HC3'!$E$8+L501^2/'Beta HC3'!$E$11</x:f>
        <x:v>0.0008509071177988693</x:v>
      </x:c>
      <x:c r="N501" s="240" t="n">
        <x:f>K501^2/(1-M501)^2</x:f>
        <x:v>0.00002877407236777183</x:v>
      </x:c>
      <x:c r="O501" s="240" t="n">
        <x:f>N501*L501^2/'Beta HC3'!$E$11^2</x:f>
        <x:v>1.0644144225449044e-8</x:v>
      </x:c>
      <x:c r="P501" s="240" t="n">
        <x:f>N501*(1/'Beta HC3'!$E$8-'Beta HC3'!$E$9*L501/'Beta HC3'!$E$11)^2</x:f>
        <x:v>1.8769719251772604e-11</x:v>
      </x:c>
      <x:c r="Q501" s="240" t="n">
        <x:f>N501*(1/'Beta HC3'!$E$8-'Beta HC3'!$E$9*L501/'Beta HC3'!$E$11)*L501/'Beta HC3'!$E$11</x:f>
        <x:v>-4.46976060642016e-10</x:v>
      </x:c>
      <x:c r="R501" s="240" t="n">
        <x:f>K501*L501/'Beta HC3'!$E$11</x:f>
        <x:v>0.00010308267350092216</x:v>
      </x:c>
      <x:c r="S501" s="240" t="n">
        <x:f>(K501-K500)^2</x:f>
        <x:v>0.0004050450537359026</x:v>
      </x:c>
      <x:c r="T501" s="280" t="n">
        <x:f>E501/$E$9*100</x:f>
        <x:v>109.46353018114554</x:v>
      </x:c>
    </x:row>
    <x:row r="502" ht="24" customHeight="1">
      <x:c r="C502" s="274" t="d">
        <x:v>2023-09-25T00:00:00.000Z</x:v>
      </x:c>
      <x:c r="D502" s="191" t="n">
        <x:v>317.5400085449219</x:v>
      </x:c>
      <x:c r="E502" s="191" t="n">
        <x:v>310.2729797363281</x:v>
      </x:c>
      <x:c r="F502" s="191" t="n">
        <x:v>432.2300109863281</x:v>
      </x:c>
      <x:c r="G502" s="191" t="n">
        <x:v>416.843505859375</x:v>
      </x:c>
      <x:c r="H502" s="208" t="n">
        <x:f>E502/E501-1</x:f>
        <x:v>0.0016720108090064745</x:v>
      </x:c>
      <x:c r="I502" s="208" t="n">
        <x:f>G502/G501-1</x:f>
        <x:v>0.004205286191780955</x:v>
      </x:c>
      <x:c r="J502" s="208" t="n">
        <x:f>'Beta HC3'!$E$13+'Beta HC3'!$E$12*I502</x:f>
        <x:v>0.004751902513225197</x:v>
      </x:c>
      <x:c r="K502" s="240" t="n">
        <x:f>H502-J502</x:f>
        <x:v>-0.003079891704218723</x:v>
      </x:c>
      <x:c r="L502" s="240" t="n">
        <x:f>I502-'Beta HC3'!$E$9</x:f>
        <x:v>0.0036413385741205155</x:v>
      </x:c>
      <x:c r="M502" s="240" t="n">
        <x:f>1/'Beta HC3'!$E$8+L502^2/'Beta HC3'!$E$11</x:f>
        <x:v>0.0008874860621819623</x:v>
      </x:c>
      <x:c r="N502" s="240" t="n">
        <x:f>K502^2/(1-M502)^2</x:f>
        <x:v>0.000009502592261547654</x:v>
      </x:c>
      <x:c r="O502" s="240" t="n">
        <x:f>N502*L502^2/'Beta HC3'!$E$11^2</x:f>
        <x:v>5.892219829653895e-9</x:v>
      </x:c>
      <x:c r="P502" s="240" t="n">
        <x:f>N502*(1/'Beta HC3'!$E$8-'Beta HC3'!$E$9*L502/'Beta HC3'!$E$11)^2</x:f>
        <x:v>5.822510213878264e-12</x:v>
      </x:c>
      <x:c r="Q502" s="240" t="n">
        <x:f>N502*(1/'Beta HC3'!$E$8-'Beta HC3'!$E$9*L502/'Beta HC3'!$E$11)*L502/'Beta HC3'!$E$11</x:f>
        <x:v>1.852228661385409e-10</x:v>
      </x:c>
      <x:c r="R502" s="240" t="n">
        <x:f>K502*L502/'Beta HC3'!$E$11</x:f>
        <x:v>-0.00007669267203979556</x:v>
      </x:c>
      <x:c r="S502" s="240" t="n">
        <x:f>(K502-K501)^2</x:f>
        <x:v>0.000005196990337536483</x:v>
      </x:c>
      <x:c r="T502" s="280" t="n">
        <x:f>E502/$E$9*100</x:f>
        <x:v>109.64655438680042</x:v>
      </x:c>
    </x:row>
    <x:row r="503" ht="24" customHeight="1">
      <x:c r="C503" s="274" t="d">
        <x:v>2023-09-26T00:00:00.000Z</x:v>
      </x:c>
      <x:c r="D503" s="191" t="n">
        <x:v>312.1400146484375</x:v>
      </x:c>
      <x:c r="E503" s="191" t="n">
        <x:v>304.9964599609375</x:v>
      </x:c>
      <x:c r="F503" s="191" t="n">
        <x:v>425.8800048828125</x:v>
      </x:c>
      <x:c r="G503" s="191" t="n">
        <x:v>410.7195739746094</x:v>
      </x:c>
      <x:c r="H503" s="208" t="n">
        <x:f>E503/E502-1</x:f>
        <x:v>-0.01700605634391572</x:v>
      </x:c>
      <x:c r="I503" s="208" t="n">
        <x:f>G503/G502-1</x:f>
        <x:v>-0.014691201370980678</x:v>
      </x:c>
      <x:c r="J503" s="208" t="n">
        <x:f>'Beta HC3'!$E$13+'Beta HC3'!$E$12*I503</x:f>
        <x:v>-0.016559777893530248</x:v>
      </x:c>
      <x:c r="K503" s="240" t="n">
        <x:f>H503-J503</x:f>
        <x:v>-0.0004462784503854733</x:v>
      </x:c>
      <x:c r="L503" s="240" t="n">
        <x:f>I503-'Beta HC3'!$E$9</x:f>
        <x:v>-0.015255148988641117</x:v>
      </x:c>
      <x:c r="M503" s="240" t="n">
        <x:f>1/'Beta HC3'!$E$8+L503^2/'Beta HC3'!$E$11</x:f>
        <x:v>0.002388252744659773</x:v>
      </x:c>
      <x:c r="N503" s="240" t="n">
        <x:f>K503^2/(1-M503)^2</x:f>
        <x:v>2.0011918423042247e-7</x:v>
      </x:c>
      <x:c r="O503" s="240" t="n">
        <x:f>N503*L503^2/'Beta HC3'!$E$11^2</x:f>
        <x:v>2.17789207057981e-9</x:v>
      </x:c>
      <x:c r="P503" s="240" t="n">
        <x:f>N503*(1/'Beta HC3'!$E$8-'Beta HC3'!$E$9*L503/'Beta HC3'!$E$11)^2</x:f>
        <x:v>1.4651279756337507e-13</x:v>
      </x:c>
      <x:c r="Q503" s="240" t="n">
        <x:f>N503*(1/'Beta HC3'!$E$8-'Beta HC3'!$E$9*L503/'Beta HC3'!$E$11)*L503/'Beta HC3'!$E$11</x:f>
        <x:v>-1.7863064128299476e-11</x:v>
      </x:c>
      <x:c r="R503" s="240" t="n">
        <x:f>K503*L503/'Beta HC3'!$E$11</x:f>
        <x:v>0.000046556436497051516</x:v>
      </x:c>
      <x:c r="S503" s="240" t="n">
        <x:f>(K503-K502)^2</x:f>
        <x:v>0.000006935918770766156</x:v>
      </x:c>
      <x:c r="T503" s="280" t="n">
        <x:f>E503/$E$9*100</x:f>
        <x:v>107.78189890498228</x:v>
      </x:c>
    </x:row>
    <x:row r="504" ht="24" customHeight="1">
      <x:c r="C504" s="274" t="d">
        <x:v>2023-09-27T00:00:00.000Z</x:v>
      </x:c>
      <x:c r="D504" s="191" t="n">
        <x:v>312.7900085449219</x:v>
      </x:c>
      <x:c r="E504" s="191" t="n">
        <x:v>305.6316223144531</x:v>
      </x:c>
      <x:c r="F504" s="191" t="n">
        <x:v>426.04998779296875</x:v>
      </x:c>
      <x:c r="G504" s="191" t="n">
        <x:v>410.8834533691406</x:v>
      </x:c>
      <x:c r="H504" s="208" t="n">
        <x:f>E504/E503-1</x:f>
        <x:v>0.002082523690920768</x:v>
      </x:c>
      <x:c r="I504" s="208" t="n">
        <x:f>G504/G503-1</x:f>
        <x:v>0.00039900556222671746</x:v>
      </x:c>
      <x:c r="J504" s="208" t="n">
        <x:f>'Beta HC3'!$E$13+'Beta HC3'!$E$12*I504</x:f>
        <x:v>0.00045913455589647684</x:v>
      </x:c>
      <x:c r="K504" s="240" t="n">
        <x:f>H504-J504</x:f>
        <x:v>0.001623389135024291</x:v>
      </x:c>
      <x:c r="L504" s="240" t="n">
        <x:f>I504-'Beta HC3'!$E$9</x:f>
        <x:v>-0.0001649420554337219</x:v>
      </x:c>
      <x:c r="M504" s="240" t="n">
        <x:f>1/'Beta HC3'!$E$8+L504^2/'Beta HC3'!$E$11</x:f>
        <x:v>0.0007969987949306424</x:v>
      </x:c>
      <x:c r="N504" s="240" t="n">
        <x:f>K504^2/(1-M504)^2</x:f>
        <x:v>0.0000026395981200650903</x:v>
      </x:c>
      <x:c r="O504" s="240" t="n">
        <x:f>N504*L504^2/'Beta HC3'!$E$11^2</x:f>
        <x:v>3.3582678954850333e-12</x:v>
      </x:c>
      <x:c r="P504" s="240" t="n">
        <x:f>N504*(1/'Beta HC3'!$E$8-'Beta HC3'!$E$9*L504/'Beta HC3'!$E$11)^2</x:f>
        <x:v>1.6785855680908831e-12</x:v>
      </x:c>
      <x:c r="Q504" s="240" t="n">
        <x:f>N504*(1/'Beta HC3'!$E$8-'Beta HC3'!$E$9*L504/'Beta HC3'!$E$11)*L504/'Beta HC3'!$E$11</x:f>
        <x:v>-2.3742662073036627e-12</x:v>
      </x:c>
      <x:c r="R504" s="240" t="n">
        <x:f>K504*L504/'Beta HC3'!$E$11</x:f>
        <x:v>-0.0000018310972005191483</x:v>
      </x:c>
      <x:c r="S504" s="240" t="n">
        <x:f>(K504-K503)^2</x:f>
        <x:v>0.000004283523914095884</x:v>
      </x:c>
      <x:c r="T504" s="280" t="n">
        <x:f>E504/$E$9*100</x:f>
        <x:v>108.00635726290433</x:v>
      </x:c>
    </x:row>
    <x:row r="505" ht="24" customHeight="1">
      <x:c r="C505" s="274" t="d">
        <x:v>2023-09-28T00:00:00.000Z</x:v>
      </x:c>
      <x:c r="D505" s="191" t="n">
        <x:v>313.6400146484375</x:v>
      </x:c>
      <x:c r="E505" s="191" t="n">
        <x:v>306.462158203125</x:v>
      </x:c>
      <x:c r="F505" s="191" t="n">
        <x:v>428.5199890136719</x:v>
      </x:c>
      <x:c r="G505" s="191" t="n">
        <x:v>413.2655029296875</x:v>
      </x:c>
      <x:c r="H505" s="208" t="n">
        <x:f>E505/E504-1</x:f>
        <x:v>0.002717440958440287</x:v>
      </x:c>
      <x:c r="I505" s="208" t="n">
        <x:f>G505/G504-1</x:f>
        <x:v>0.005797384978671438</x:v>
      </x:c>
      <x:c r="J505" s="208" t="n">
        <x:f>'Beta HC3'!$E$13+'Beta HC3'!$E$12*I505</x:f>
        <x:v>0.006547490206943356</x:v>
      </x:c>
      <x:c r="K505" s="240" t="n">
        <x:f>H505-J505</x:f>
        <x:v>-0.003830049248503069</x:v>
      </x:c>
      <x:c r="L505" s="240" t="n">
        <x:f>I505-'Beta HC3'!$E$9</x:f>
        <x:v>0.0052334373610109985</x:v>
      </x:c>
      <x:c r="M505" s="240" t="n">
        <x:f>1/'Beta HC3'!$E$8+L505^2/'Beta HC3'!$E$11</x:f>
        <x:v>0.0009841100082621998</x:v>
      </x:c>
      <x:c r="N505" s="240" t="n">
        <x:f>K505^2/(1-M505)^2</x:f>
        <x:v>0.000014698192287430614</x:v>
      </x:c>
      <x:c r="O505" s="240" t="n">
        <x:f>N505*L505^2/'Beta HC3'!$E$11^2</x:f>
        <x:v>1.882576826436048e-8</x:v>
      </x:c>
      <x:c r="P505" s="240" t="n">
        <x:f>N505*(1/'Beta HC3'!$E$8-'Beta HC3'!$E$9*L505/'Beta HC3'!$E$11)^2</x:f>
        <x:v>8.865272765014245e-12</x:v>
      </x:c>
      <x:c r="Q505" s="240" t="n">
        <x:f>N505*(1/'Beta HC3'!$E$8-'Beta HC3'!$E$9*L505/'Beta HC3'!$E$11)*L505/'Beta HC3'!$E$11</x:f>
        <x:v>4.085285432800313e-10</x:v>
      </x:c>
      <x:c r="R505" s="240" t="n">
        <x:f>K505*L505/'Beta HC3'!$E$11</x:f>
        <x:v>-0.00013707200021403034</x:v>
      </x:c>
      <x:c r="S505" s="240" t="n">
        <x:f>(K505-K504)^2</x:f>
        <x:v>0.000029739990202929513</x:v>
      </x:c>
      <x:c r="T505" s="280" t="n">
        <x:f>E505/$E$9*100</x:f>
        <x:v>108.29985816190248</x:v>
      </x:c>
    </x:row>
    <x:row r="506" ht="24" customHeight="1">
      <x:c r="C506" s="274" t="d">
        <x:v>2023-09-29T00:00:00.000Z</x:v>
      </x:c>
      <x:c r="D506" s="191" t="n">
        <x:v>315.75</x:v>
      </x:c>
      <x:c r="E506" s="191" t="n">
        <x:v>308.52386474609375</x:v>
      </x:c>
      <x:c r="F506" s="191" t="n">
        <x:v>427.4800109863281</x:v>
      </x:c>
      <x:c r="G506" s="191" t="n">
        <x:v>412.2625732421875</x:v>
      </x:c>
      <x:c r="H506" s="208" t="n">
        <x:f>E506/E505-1</x:f>
        <x:v>0.006727442484439683</x:v>
      </x:c>
      <x:c r="I506" s="208" t="n">
        <x:f>G506/G505-1</x:f>
        <x:v>-0.0024268410510679406</x:v>
      </x:c>
      <x:c r="J506" s="208" t="n">
        <x:f>'Beta HC3'!$E$13+'Beta HC3'!$E$12*I506</x:f>
        <x:v>-0.0027278884133736182</x:v>
      </x:c>
      <x:c r="K506" s="240" t="n">
        <x:f>H506-J506</x:f>
        <x:v>0.0094553308978133</x:v>
      </x:c>
      <x:c r="L506" s="240" t="n">
        <x:f>I506-'Beta HC3'!$E$9</x:f>
        <x:v>-0.00299078866872838</x:v>
      </x:c>
      <x:c r="M506" s="240" t="n">
        <x:f>1/'Beta HC3'!$E$8+L506^2/'Beta HC3'!$E$11</x:f>
        <x:v>0.0008579813875748016</x:v>
      </x:c>
      <x:c r="N506" s="240" t="n">
        <x:f>K506^2/(1-M506)^2</x:f>
        <x:v>0.0000895568927556696</x:v>
      </x:c>
      <x:c r="O506" s="240" t="n">
        <x:f>N506*L506^2/'Beta HC3'!$E$11^2</x:f>
        <x:v>3.746150257939641e-8</x:v>
      </x:c>
      <x:c r="P506" s="240" t="n">
        <x:f>N506*(1/'Beta HC3'!$E$8-'Beta HC3'!$E$9*L506/'Beta HC3'!$E$11)^2</x:f>
        <x:v>5.851867221534198e-11</x:v>
      </x:c>
      <x:c r="Q506" s="240" t="n">
        <x:f>N506*(1/'Beta HC3'!$E$8-'Beta HC3'!$E$9*L506/'Beta HC3'!$E$11)*L506/'Beta HC3'!$E$11</x:f>
        <x:v>-1.480607101880133e-9</x:v>
      </x:c>
      <x:c r="R506" s="240" t="n">
        <x:f>K506*L506/'Beta HC3'!$E$11</x:f>
        <x:v>-0.00019338367979765538</x:v>
      </x:c>
      <x:c r="S506" s="240" t="n">
        <x:f>(K506-K505)^2</x:f>
        <x:v>0.00017650132563213716</x:v>
      </x:c>
      <x:c r="T506" s="280" t="n">
        <x:f>E506/$E$9*100</x:f>
        <x:v>109.02843922875967</x:v>
      </x:c>
    </x:row>
    <x:row r="507" ht="24" customHeight="1">
      <x:c r="C507" s="274" t="d">
        <x:v>2023-10-02T00:00:00.000Z</x:v>
      </x:c>
      <x:c r="D507" s="191" t="n">
        <x:v>321.79998779296875</x:v>
      </x:c>
      <x:c r="E507" s="191" t="n">
        <x:v>314.4353942871094</x:v>
      </x:c>
      <x:c r="F507" s="191" t="n">
        <x:v>427.30999755859375</x:v>
      </x:c>
      <x:c r="G507" s="191" t="n">
        <x:v>412.0986328125</x:v>
      </x:c>
      <x:c r="H507" s="208" t="n">
        <x:f>E507/E506-1</x:f>
        <x:v>0.01916068809095406</x:v>
      </x:c>
      <x:c r="I507" s="208" t="n">
        <x:f>G507/G506-1</x:f>
        <x:v>-0.0003976602299796683</x:v>
      </x:c>
      <x:c r="J507" s="208" t="n">
        <x:f>'Beta HC3'!$E$13+'Beta HC3'!$E$12*I507</x:f>
        <x:v>-0.00043935447271831196</x:v>
      </x:c>
      <x:c r="K507" s="240" t="n">
        <x:f>H507-J507</x:f>
        <x:v>0.01960004256367237</x:v>
      </x:c>
      <x:c r="L507" s="240" t="n">
        <x:f>I507-'Beta HC3'!$E$9</x:f>
        <x:v>-0.0009616078476401077</x:v>
      </x:c>
      <x:c r="M507" s="240" t="n">
        <x:f>1/'Beta HC3'!$E$8+L507^2/'Beta HC3'!$E$11</x:f>
        <x:v>0.0008031361883802947</x:v>
      </x:c>
      <x:c r="N507" s="240" t="n">
        <x:f>K507^2/(1-M507)^2</x:f>
        <x:v>0.0003847794809557342</x:v>
      </x:c>
      <x:c r="O507" s="240" t="n">
        <x:f>N507*L507^2/'Beta HC3'!$E$11^2</x:f>
        <x:v>1.6638823892881518e-8</x:v>
      </x:c>
      <x:c r="P507" s="240" t="n">
        <x:f>N507*(1/'Beta HC3'!$E$8-'Beta HC3'!$E$9*L507/'Beta HC3'!$E$11)^2</x:f>
        <x:v>2.465798559643781e-10</x:v>
      </x:c>
      <x:c r="Q507" s="240" t="n">
        <x:f>N507*(1/'Beta HC3'!$E$8-'Beta HC3'!$E$9*L507/'Beta HC3'!$E$11)*L507/'Beta HC3'!$E$11</x:f>
        <x:v>-2.02553666936034e-9</x:v>
      </x:c>
      <x:c r="R507" s="240" t="n">
        <x:f>K507*L507/'Beta HC3'!$E$11</x:f>
        <x:v>-0.00012888796740651752</x:v>
      </x:c>
      <x:c r="S507" s="240" t="n">
        <x:f>(K507-K506)^2</x:f>
        <x:v>0.00010291517478341711</x:v>
      </x:c>
      <x:c r="T507" s="280" t="n">
        <x:f>E507/$E$9*100</x:f>
        <x:v>111.11749914586547</x:v>
      </x:c>
    </x:row>
    <x:row r="508" ht="24" customHeight="1">
      <x:c r="C508" s="274" t="d">
        <x:v>2023-10-03T00:00:00.000Z</x:v>
      </x:c>
      <x:c r="D508" s="191" t="n">
        <x:v>313.3900146484375</x:v>
      </x:c>
      <x:c r="E508" s="191" t="n">
        <x:v>306.2178955078125</x:v>
      </x:c>
      <x:c r="F508" s="191" t="n">
        <x:v>421.5899963378906</x:v>
      </x:c>
      <x:c r="G508" s="191" t="n">
        <x:v>406.5821838378906</x:v>
      </x:c>
      <x:c r="H508" s="208" t="n">
        <x:f>E508/E507-1</x:f>
        <x:v>-0.026134140521704485</x:v>
      </x:c>
      <x:c r="I508" s="208" t="n">
        <x:f>G508/G507-1</x:f>
        <x:v>-0.013386234593792734</x:v>
      </x:c>
      <x:c r="J508" s="208" t="n">
        <x:f>'Beta HC3'!$E$13+'Beta HC3'!$E$12*I508</x:f>
        <x:v>-0.01508802104959334</x:v>
      </x:c>
      <x:c r="K508" s="240" t="n">
        <x:f>H508-J508</x:f>
        <x:v>-0.011046119472111145</x:v>
      </x:c>
      <x:c r="L508" s="240" t="n">
        <x:f>I508-'Beta HC3'!$E$9</x:f>
        <x:v>-0.013950182211453173</x:v>
      </x:c>
      <x:c r="M508" s="240" t="n">
        <x:f>1/'Beta HC3'!$E$8+L508^2/'Beta HC3'!$E$11</x:f>
        <x:v>0.0021276260163384953</x:v>
      </x:c>
      <x:c r="N508" s="240" t="n">
        <x:f>K508^2/(1-M508)^2</x:f>
        <x:v>0.00012253762918540713</x:v>
      </x:c>
      <x:c r="O508" s="240" t="n">
        <x:f>N508*L508^2/'Beta HC3'!$E$11^2</x:f>
        <x:v>0.000001115177392957024</x:v>
      </x:c>
      <x:c r="P508" s="240" t="n">
        <x:f>N508*(1/'Beta HC3'!$E$8-'Beta HC3'!$E$9*L508/'Beta HC3'!$E$11)^2</x:f>
        <x:v>8.866096541467762e-11</x:v>
      </x:c>
      <x:c r="Q508" s="240" t="n">
        <x:f>N508*(1/'Beta HC3'!$E$8-'Beta HC3'!$E$9*L508/'Beta HC3'!$E$11)*L508/'Beta HC3'!$E$11</x:f>
        <x:v>-9.943475462241211e-9</x:v>
      </x:c>
      <x:c r="R508" s="240" t="n">
        <x:f>K508*L508/'Beta HC3'!$E$11</x:f>
        <x:v>0.001053772783984037</x:v>
      </x:c>
      <x:c r="S508" s="240" t="n">
        <x:f>(K508-K507)^2</x:f>
        <x:v>0.0009391872475234988</x:v>
      </x:c>
      <x:c r="T508" s="280" t="n">
        <x:f>E508/$E$9*100</x:f>
        <x:v>108.21353880876705</x:v>
      </x:c>
    </x:row>
    <x:row r="509" ht="24" customHeight="1">
      <x:c r="C509" s="274" t="d">
        <x:v>2023-10-04T00:00:00.000Z</x:v>
      </x:c>
      <x:c r="D509" s="191" t="n">
        <x:v>318.9599914550781</x:v>
      </x:c>
      <x:c r="E509" s="191" t="n">
        <x:v>311.660400390625</x:v>
      </x:c>
      <x:c r="F509" s="191" t="n">
        <x:v>424.6600036621094</x:v>
      </x:c>
      <x:c r="G509" s="191" t="n">
        <x:v>409.54296875</x:v>
      </x:c>
      <x:c r="H509" s="208" t="n">
        <x:f>E509/E508-1</x:f>
        <x:v>0.017773307708835784</x:v>
      </x:c>
      <x:c r="I509" s="208" t="n">
        <x:f>G509/G508-1</x:f>
        <x:v>0.007282131460265573</x:v>
      </x:c>
      <x:c r="J509" s="208" t="n">
        <x:f>'Beta HC3'!$E$13+'Beta HC3'!$E$12*I509</x:f>
        <x:v>0.008222004711064481</x:v>
      </x:c>
      <x:c r="K509" s="240" t="n">
        <x:f>H509-J509</x:f>
        <x:v>0.009551302997771302</x:v>
      </x:c>
      <x:c r="L509" s="240" t="n">
        <x:f>I509-'Beta HC3'!$E$9</x:f>
        <x:v>0.006718183842605133</x:v>
      </x:c>
      <x:c r="M509" s="240" t="n">
        <x:f>1/'Beta HC3'!$E$8+L509^2/'Beta HC3'!$E$11</x:f>
        <x:v>0.0011054590877604639</x:v>
      </x:c>
      <x:c r="N509" s="240" t="n">
        <x:f>K509^2/(1-M509)^2</x:f>
        <x:v>0.00009142942019172443</x:v>
      </x:c>
      <x:c r="O509" s="240" t="n">
        <x:f>N509*L509^2/'Beta HC3'!$E$11^2</x:f>
        <x:v>1.9297651391424282e-7</x:v>
      </x:c>
      <x:c r="P509" s="240" t="n">
        <x:f>N509*(1/'Beta HC3'!$E$8-'Beta HC3'!$E$9*L509/'Beta HC3'!$E$11)^2</x:f>
        <x:v>5.433584914314142e-11</x:v>
      </x:c>
      <x:c r="Q509" s="240" t="n">
        <x:f>N509*(1/'Beta HC3'!$E$8-'Beta HC3'!$E$9*L509/'Beta HC3'!$E$11)*L509/'Beta HC3'!$E$11</x:f>
        <x:v>3.238138778405525e-9</x:v>
      </x:c>
      <x:c r="R509" s="240" t="n">
        <x:f>K509*L509/'Beta HC3'!$E$11</x:f>
        <x:v>0.00043880530358823215</x:v>
      </x:c>
      <x:c r="S509" s="240" t="n">
        <x:f>(K509-K508)^2</x:f>
        <x:v>0.00042425381240281844</x:v>
      </x:c>
      <x:c r="T509" s="280" t="n">
        <x:f>E509/$E$9*100</x:f>
        <x:v>110.1368513322773</x:v>
      </x:c>
    </x:row>
    <x:row r="510" ht="24" customHeight="1">
      <x:c r="C510" s="274" t="d">
        <x:v>2023-10-05T00:00:00.000Z</x:v>
      </x:c>
      <x:c r="D510" s="191" t="n">
        <x:v>319.3599853515625</x:v>
      </x:c>
      <x:c r="E510" s="191" t="n">
        <x:v>312.0512390136719</x:v>
      </x:c>
      <x:c r="F510" s="191" t="n">
        <x:v>424.5</x:v>
      </x:c>
      <x:c r="G510" s="191" t="n">
        <x:v>409.388671875</x:v>
      </x:c>
      <x:c r="H510" s="208" t="n">
        <x:f>E510/E509-1</x:f>
        <x:v>0.0012540528811393337</x:v>
      </x:c>
      <x:c r="I510" s="208" t="n">
        <x:f>G510/G509-1</x:f>
        <x:v>-0.00037675381284396625</x:v>
      </x:c>
      <x:c r="J510" s="208" t="n">
        <x:f>'Beta HC3'!$E$13+'Beta HC3'!$E$12*I510</x:f>
        <x:v>-0.0004157759701544586</x:v>
      </x:c>
      <x:c r="K510" s="240" t="n">
        <x:f>H510-J510</x:f>
        <x:v>0.0016698288512937923</x:v>
      </x:c>
      <x:c r="L510" s="240" t="n">
        <x:f>I510-'Beta HC3'!$E$9</x:f>
        <x:v>-0.0009407014305044056</x:v>
      </x:c>
      <x:c r="M510" s="240" t="n">
        <x:f>1/'Beta HC3'!$E$8+L510^2/'Beta HC3'!$E$11</x:f>
        <x:v>0.0008028642201978338</x:v>
      </x:c>
      <x:c r="N510" s="240" t="n">
        <x:f>K510^2/(1-M510)^2</x:f>
        <x:v>0.000002792811088585971</x:v>
      </x:c>
      <x:c r="O510" s="240" t="n">
        <x:f>N510*L510^2/'Beta HC3'!$E$11^2</x:f>
        <x:v>1.155739327889806e-10</x:v>
      </x:c>
      <x:c r="P510" s="240" t="n">
        <x:f>N510*(1/'Beta HC3'!$E$8-'Beta HC3'!$E$9*L510/'Beta HC3'!$E$11)^2</x:f>
        <x:v>1.7893684026028934e-12</x:v>
      </x:c>
      <x:c r="Q510" s="240" t="n">
        <x:f>N510*(1/'Beta HC3'!$E$8-'Beta HC3'!$E$9*L510/'Beta HC3'!$E$11)*L510/'Beta HC3'!$E$11</x:f>
        <x:v>-1.43806934289398e-11</x:v>
      </x:c>
      <x:c r="R510" s="240" t="n">
        <x:f>K510*L510/'Beta HC3'!$E$11</x:f>
        <x:v>-0.000010741900527189999</x:v>
      </x:c>
      <x:c r="S510" s="240" t="n">
        <x:f>(K510-K509)^2</x:f>
        <x:v>0.0000621176347215934</x:v>
      </x:c>
      <x:c r="T510" s="280" t="n">
        <x:f>E510/$E$9*100</x:f>
        <x:v>110.27496876801015</x:v>
      </x:c>
    </x:row>
    <x:row r="511" ht="24" customHeight="1">
      <x:c r="C511" s="274" t="d">
        <x:v>2023-10-06T00:00:00.000Z</x:v>
      </x:c>
      <x:c r="D511" s="191" t="n">
        <x:v>327.260009765625</x:v>
      </x:c>
      <x:c r="E511" s="191" t="n">
        <x:v>319.7704772949219</x:v>
      </x:c>
      <x:c r="F511" s="191" t="n">
        <x:v>429.5400085449219</x:v>
      </x:c>
      <x:c r="G511" s="191" t="n">
        <x:v>414.2492370605469</x:v>
      </x:c>
      <x:c r="H511" s="208" t="n">
        <x:f>E511/E510-1</x:f>
        <x:v>0.024737085824907634</x:v>
      </x:c>
      <x:c r="I511" s="208" t="n">
        <x:f>G511/G510-1</x:f>
        <x:v>0.011872739817849531</x:v>
      </x:c>
      <x:c r="J511" s="208" t="n">
        <x:f>'Beta HC3'!$E$13+'Beta HC3'!$E$12*I511</x:f>
        <x:v>0.01339934668345334</x:v>
      </x:c>
      <x:c r="K511" s="240" t="n">
        <x:f>H511-J511</x:f>
        <x:v>0.011337739141454294</x:v>
      </x:c>
      <x:c r="L511" s="240" t="n">
        <x:f>I511-'Beta HC3'!$E$9</x:f>
        <x:v>0.011308792200189093</x:v>
      </x:c>
      <x:c r="M511" s="240" t="n">
        <x:f>1/'Beta HC3'!$E$8+L511^2/'Beta HC3'!$E$11</x:f>
        <x:v>0.0016713731503487617</x:v>
      </x:c>
      <x:c r="N511" s="240" t="n">
        <x:f>K511^2/(1-M511)^2</x:f>
        <x:v>0.00012897509958626903</x:v>
      </x:c>
      <x:c r="O511" s="240" t="n">
        <x:f>N511*L511^2/'Beta HC3'!$E$11^2</x:f>
        <x:v>7.713527684913006e-7</x:v>
      </x:c>
      <x:c r="P511" s="240" t="n">
        <x:f>N511*(1/'Beta HC3'!$E$8-'Beta HC3'!$E$9*L511/'Beta HC3'!$E$11)^2</x:f>
        <x:v>7.316891636336827e-11</x:v>
      </x:c>
      <x:c r="Q511" s="240" t="n">
        <x:f>N511*(1/'Beta HC3'!$E$8-'Beta HC3'!$E$9*L511/'Beta HC3'!$E$11)*L511/'Beta HC3'!$E$11</x:f>
        <x:v>7.512592508874187e-9</x:v>
      </x:c>
      <x:c r="R511" s="240" t="n">
        <x:f>K511*L511/'Beta HC3'!$E$11</x:f>
        <x:v>0.0008767990001378631</x:v>
      </x:c>
      <x:c r="S511" s="240" t="n">
        <x:f>(K511-K510)^2</x:f>
        <x:v>0.00009346848937859131</x:v>
      </x:c>
      <x:c r="T511" s="280" t="n">
        <x:f>E511/$E$9*100</x:f>
        <x:v>113.00285013476345</x:v>
      </x:c>
    </x:row>
    <x:row r="512" ht="24" customHeight="1">
      <x:c r="C512" s="274" t="d">
        <x:v>2023-10-09T00:00:00.000Z</x:v>
      </x:c>
      <x:c r="D512" s="191" t="n">
        <x:v>329.82000732421875</x:v>
      </x:c>
      <x:c r="E512" s="191" t="n">
        <x:v>322.2718200683594</x:v>
      </x:c>
      <x:c r="F512" s="191" t="n">
        <x:v>432.2900085449219</x:v>
      </x:c>
      <x:c r="G512" s="191" t="n">
        <x:v>416.9013671875</x:v>
      </x:c>
      <x:c r="H512" s="208" t="n">
        <x:f>E512/E511-1</x:f>
        <x:v>0.00782230678265683</x:v>
      </x:c>
      <x:c r="I512" s="208" t="n">
        <x:f>G512/G511-1</x:f>
        <x:v>0.006402257118859778</x:v>
      </x:c>
      <x:c r="J512" s="208" t="n">
        <x:f>'Beta HC3'!$E$13+'Beta HC3'!$E$12*I512</x:f>
        <x:v>0.007229672104284289</x:v>
      </x:c>
      <x:c r="K512" s="240" t="n">
        <x:f>H512-J512</x:f>
        <x:v>0.0005926346783725403</x:v>
      </x:c>
      <x:c r="L512" s="240" t="n">
        <x:f>I512-'Beta HC3'!$E$9</x:f>
        <x:v>0.005838309501199338</x:v>
      </x:c>
      <x:c r="M512" s="240" t="n">
        <x:f>1/'Beta HC3'!$E$8+L512^2/'Beta HC3'!$E$11</x:f>
        <x:v>0.001029907014710123</x:v>
      </x:c>
      <x:c r="N512" s="240" t="n">
        <x:f>K512^2/(1-M512)^2</x:f>
        <x:v>3.5194042051924883e-7</x:v>
      </x:c>
      <x:c r="O512" s="240" t="n">
        <x:f>N512*L512^2/'Beta HC3'!$E$11^2</x:f>
        <x:v>5.60993849308276e-10</x:v>
      </x:c>
      <x:c r="P512" s="240" t="n">
        <x:f>N512*(1/'Beta HC3'!$E$8-'Beta HC3'!$E$9*L512/'Beta HC3'!$E$11)^2</x:f>
        <x:v>2.1100098632441883e-13</x:v>
      </x:c>
      <x:c r="Q512" s="240" t="n">
        <x:f>N512*(1/'Beta HC3'!$E$8-'Beta HC3'!$E$9*L512/'Beta HC3'!$E$11)*L512/'Beta HC3'!$E$11</x:f>
        <x:v>1.0879809535372329e-11</x:v>
      </x:c>
      <x:c r="R512" s="240" t="n">
        <x:f>K512*L512/'Beta HC3'!$E$11</x:f>
        <x:v>0.00002366091505749458</x:v>
      </x:c>
      <x:c r="S512" s="240" t="n">
        <x:f>(K512-K511)^2</x:f>
        <x:v>0.00011545726992253941</x:v>
      </x:c>
      <x:c r="T512" s="280" t="n">
        <x:f>E512/$E$9*100</x:f>
        <x:v>113.88679309583216</x:v>
      </x:c>
    </x:row>
    <x:row r="513" ht="24" customHeight="1">
      <x:c r="C513" s="274" t="d">
        <x:v>2023-10-10T00:00:00.000Z</x:v>
      </x:c>
      <x:c r="D513" s="191" t="n">
        <x:v>328.3900146484375</x:v>
      </x:c>
      <x:c r="E513" s="191" t="n">
        <x:v>320.8746643066406</x:v>
      </x:c>
      <x:c r="F513" s="191" t="n">
        <x:v>434.5400085449219</x:v>
      </x:c>
      <x:c r="G513" s="191" t="n">
        <x:v>419.0712585449219</x:v>
      </x:c>
      <x:c r="H513" s="208" t="n">
        <x:f>E513/E512-1</x:f>
        <x:v>-0.004335333326452195</x:v>
      </x:c>
      <x:c r="I513" s="208" t="n">
        <x:f>G513/G512-1</x:f>
        <x:v>0.005204807487344976</x:v>
      </x:c>
      <x:c r="J513" s="208" t="n">
        <x:f>'Beta HC3'!$E$13+'Beta HC3'!$E$12*I513</x:f>
        <x:v>0.005879174358855616</x:v>
      </x:c>
      <x:c r="K513" s="240" t="n">
        <x:f>H513-J513</x:f>
        <x:v>-0.010214507685307812</x:v>
      </x:c>
      <x:c r="L513" s="240" t="n">
        <x:f>I513-'Beta HC3'!$E$9</x:f>
        <x:v>0.004640859869684536</x:v>
      </x:c>
      <x:c r="M513" s="240" t="n">
        <x:f>1/'Beta HC3'!$E$8+L513^2/'Beta HC3'!$E$11</x:f>
        <x:v>0.0009440963085638905</x:v>
      </x:c>
      <x:c r="N513" s="240" t="n">
        <x:f>K513^2/(1-M513)^2</x:f>
        <x:v>0.00010453345337558714</x:v>
      </x:c>
      <x:c r="O513" s="240" t="n">
        <x:f>N513*L513^2/'Beta HC3'!$E$11^2</x:f>
        <x:v>1.0528510415810164e-7</x:v>
      </x:c>
      <x:c r="P513" s="240" t="n">
        <x:f>N513*(1/'Beta HC3'!$E$8-'Beta HC3'!$E$9*L513/'Beta HC3'!$E$11)^2</x:f>
        <x:v>6.342136847562739e-11</x:v>
      </x:c>
      <x:c r="Q513" s="240" t="n">
        <x:f>N513*(1/'Beta HC3'!$E$8-'Beta HC3'!$E$9*L513/'Beta HC3'!$E$11)*L513/'Beta HC3'!$E$11</x:f>
        <x:v>2.5840521252106687e-9</x:v>
      </x:c>
      <x:c r="R513" s="240" t="n">
        <x:f>K513*L513/'Beta HC3'!$E$11</x:f>
        <x:v>-0.00032417032474337995</x:v>
      </x:c>
      <x:c r="S513" s="240" t="n">
        <x:f>(K513-K512)^2</x:f>
        <x:v>0.00011679432606885454</x:v>
      </x:c>
      <x:c r="T513" s="280" t="n">
        <x:f>E513/$E$9*100</x:f>
        <x:v>113.39305588628103</x:v>
      </x:c>
    </x:row>
    <x:row r="514" ht="24" customHeight="1">
      <x:c r="C514" s="274" t="d">
        <x:v>2023-10-11T00:00:00.000Z</x:v>
      </x:c>
      <x:c r="D514" s="191" t="n">
        <x:v>332.4200134277344</x:v>
      </x:c>
      <x:c r="E514" s="191" t="n">
        <x:v>324.8124084472656</x:v>
      </x:c>
      <x:c r="F514" s="191" t="n">
        <x:v>436.32000732421875</x:v>
      </x:c>
      <x:c r="G514" s="191" t="n">
        <x:v>420.7878723144531</x:v>
      </x:c>
      <x:c r="H514" s="208" t="n">
        <x:f>E514/E513-1</x:f>
        <x:v>0.012271907316627306</x:v>
      </x:c>
      <x:c r="I514" s="208" t="n">
        <x:f>G514/G513-1</x:f>
        <x:v>0.004096233598771759</x:v>
      </x:c>
      <x:c r="J514" s="208" t="n">
        <x:f>'Beta HC3'!$E$13+'Beta HC3'!$E$12*I514</x:f>
        <x:v>0.004628911719194251</x:v>
      </x:c>
      <x:c r="K514" s="240" t="n">
        <x:f>H514-J514</x:f>
        <x:v>0.007642995597433055</x:v>
      </x:c>
      <x:c r="L514" s="240" t="n">
        <x:f>I514-'Beta HC3'!$E$9</x:f>
        <x:v>0.00353228598111132</x:v>
      </x:c>
      <x:c r="M514" s="240" t="n">
        <x:f>1/'Beta HC3'!$E$8+L514^2/'Beta HC3'!$E$11</x:f>
        <x:v>0.0008821363304886491</x:v>
      </x:c>
      <x:c r="N514" s="240" t="n">
        <x:f>K514^2/(1-M514)^2</x:f>
        <x:v>0.00005851857889420233</x:v>
      </x:c>
      <x:c r="O514" s="240" t="n">
        <x:f>N514*L514^2/'Beta HC3'!$E$11^2</x:f>
        <x:v>3.41444568881203e-8</x:v>
      </x:c>
      <x:c r="P514" s="240" t="n">
        <x:f>N514*(1/'Beta HC3'!$E$8-'Beta HC3'!$E$9*L514/'Beta HC3'!$E$11)^2</x:f>
        <x:v>3.589454746060804e-11</x:v>
      </x:c>
      <x:c r="Q514" s="240" t="n">
        <x:f>N514*(1/'Beta HC3'!$E$8-'Beta HC3'!$E$9*L514/'Beta HC3'!$E$11)*L514/'Beta HC3'!$E$11</x:f>
        <x:v>1.1070681226949491e-9</x:v>
      </x:c>
      <x:c r="R514" s="240" t="n">
        <x:f>K514*L514/'Beta HC3'!$E$11</x:f>
        <x:v>0.00018461918461068204</x:v>
      </x:c>
      <x:c r="S514" s="240" t="n">
        <x:f>(K514-K513)^2</x:f>
        <x:v>0.0003188904234931008</x:v>
      </x:c>
      <x:c r="T514" s="280" t="n">
        <x:f>E514/$E$9*100</x:f>
        <x:v>114.78460495846663</x:v>
      </x:c>
    </x:row>
    <x:row r="515" ht="24" customHeight="1">
      <x:c r="C515" s="274" t="d">
        <x:v>2023-10-12T00:00:00.000Z</x:v>
      </x:c>
      <x:c r="D515" s="191" t="n">
        <x:v>331.1600036621094</x:v>
      </x:c>
      <x:c r="E515" s="191" t="n">
        <x:v>323.58123779296875</x:v>
      </x:c>
      <x:c r="F515" s="191" t="n">
        <x:v>433.6600036621094</x:v>
      </x:c>
      <x:c r="G515" s="191" t="n">
        <x:v>418.2225646972656</x:v>
      </x:c>
      <x:c r="H515" s="208" t="n">
        <x:f>E515/E514-1</x:f>
        <x:v>-0.003790405237849015</x:v>
      </x:c>
      <x:c r="I515" s="208" t="n">
        <x:f>G515/G514-1</x:f>
        <x:v>-0.006096439051528679</x:v>
      </x:c>
      <x:c r="J515" s="208" t="n">
        <x:f>'Beta HC3'!$E$13+'Beta HC3'!$E$12*I515</x:f>
        <x:v>-0.00686650409776162</x:v>
      </x:c>
      <x:c r="K515" s="240" t="n">
        <x:f>H515-J515</x:f>
        <x:v>0.003076098859912605</x:v>
      </x:c>
      <x:c r="L515" s="240" t="n">
        <x:f>I515-'Beta HC3'!$E$9</x:f>
        <x:v>-0.006660386669189119</x:v>
      </x:c>
      <x:c r="M515" s="240" t="n">
        <x:f>1/'Beta HC3'!$E$8+L515^2/'Beta HC3'!$E$11</x:f>
        <x:v>0.0011001713041669577</x:v>
      </x:c>
      <x:c r="N515" s="240" t="n">
        <x:f>K515^2/(1-M515)^2</x:f>
        <x:v>0.0000094832390927028</x:v>
      </x:c>
      <x:c r="O515" s="240" t="n">
        <x:f>N515*L515^2/'Beta HC3'!$E$11^2</x:f>
        <x:v>1.967298717361179e-8</x:v>
      </x:c>
      <x:c r="P515" s="240" t="n">
        <x:f>N515*(1/'Beta HC3'!$E$8-'Beta HC3'!$E$9*L515/'Beta HC3'!$E$11)^2</x:f>
        <x:v>6.415450163682118e-12</x:v>
      </x:c>
      <x:c r="Q515" s="240" t="n">
        <x:f>N515*(1/'Beta HC3'!$E$8-'Beta HC3'!$E$9*L515/'Beta HC3'!$E$11)*L515/'Beta HC3'!$E$11</x:f>
        <x:v>-3.552619720474793e-10</x:v>
      </x:c>
      <x:c r="R515" s="240" t="n">
        <x:f>K515*L515/'Beta HC3'!$E$11</x:f>
        <x:v>-0.00014010611576026824</x:v>
      </x:c>
      <x:c r="S515" s="240" t="n">
        <x:f>(K515-K514)^2</x:f>
        <x:v>0.00002085654581117493</x:v>
      </x:c>
      <x:c r="T515" s="280" t="n">
        <x:f>E515/$E$9*100</x:f>
        <x:v>114.34952479060763</x:v>
      </x:c>
    </x:row>
    <x:row r="516" ht="24" customHeight="1">
      <x:c r="C516" s="274" t="d">
        <x:v>2023-10-13T00:00:00.000Z</x:v>
      </x:c>
      <x:c r="D516" s="191" t="n">
        <x:v>327.7300109863281</x:v>
      </x:c>
      <x:c r="E516" s="191" t="n">
        <x:v>320.2297668457031</x:v>
      </x:c>
      <x:c r="F516" s="191" t="n">
        <x:v>431.5</x:v>
      </x:c>
      <x:c r="G516" s="191" t="n">
        <x:v>416.1394348144531</x:v>
      </x:c>
      <x:c r="H516" s="208" t="n">
        <x:f>E516/E515-1</x:f>
        <x:v>-0.0103574328663949</x:v>
      </x:c>
      <x:c r="I516" s="208" t="n">
        <x:f>G516/G515-1</x:f>
        <x:v>-0.004980912219120448</x:v>
      </x:c>
      <x:c r="J516" s="208" t="n">
        <x:f>'Beta HC3'!$E$13+'Beta HC3'!$E$12*I516</x:f>
        <x:v>-0.005608399846456513</x:v>
      </x:c>
      <x:c r="K516" s="240" t="n">
        <x:f>H516-J516</x:f>
        <x:v>-0.004749033019938387</x:v>
      </x:c>
      <x:c r="L516" s="240" t="n">
        <x:f>I516-'Beta HC3'!$E$9</x:f>
        <x:v>-0.005544859836780888</x:v>
      </x:c>
      <x:c r="M516" s="240" t="n">
        <x:f>1/'Beta HC3'!$E$8+L516^2/'Beta HC3'!$E$11</x:f>
        <x:v>0.0010070639602508058</x:v>
      </x:c>
      <x:c r="N516" s="240" t="n">
        <x:f>K516^2/(1-M516)^2</x:f>
        <x:v>0.000022598808596619196</x:v>
      </x:c>
      <x:c r="O516" s="240" t="n">
        <x:f>N516*L516^2/'Beta HC3'!$E$11^2</x:f>
        <x:v>3.2492371620982194e-8</x:v>
      </x:c>
      <x:c r="P516" s="240" t="n">
        <x:f>N516*(1/'Beta HC3'!$E$8-'Beta HC3'!$E$9*L516/'Beta HC3'!$E$11)^2</x:f>
        <x:v>1.512867612500811e-11</x:v>
      </x:c>
      <x:c r="Q516" s="240" t="n">
        <x:f>N516*(1/'Beta HC3'!$E$8-'Beta HC3'!$E$9*L516/'Beta HC3'!$E$11)*L516/'Beta HC3'!$E$11</x:f>
        <x:v>-7.011180833406342e-10</x:v>
      </x:c>
      <x:c r="R516" s="240" t="n">
        <x:f>K516*L516/'Beta HC3'!$E$11</x:f>
        <x:v>0.0001800748754855593</x:v>
      </x:c>
      <x:c r="S516" s="240" t="n">
        <x:f>(K516-K515)^2</x:f>
        <x:v>0.00006123268893706031</x:v>
      </x:c>
      <x:c r="T516" s="280" t="n">
        <x:f>E516/$E$9*100</x:f>
        <x:v>113.16515726428476</x:v>
      </x:c>
    </x:row>
    <x:row r="517" ht="24" customHeight="1">
      <x:c r="C517" s="274" t="d">
        <x:v>2023-10-16T00:00:00.000Z</x:v>
      </x:c>
      <x:c r="D517" s="191" t="n">
        <x:v>332.6400146484375</x:v>
      </x:c>
      <x:c r="E517" s="191" t="n">
        <x:v>325.02734375</x:v>
      </x:c>
      <x:c r="F517" s="191" t="n">
        <x:v>436.0400085449219</x:v>
      </x:c>
      <x:c r="G517" s="191" t="n">
        <x:v>420.517822265625</x:v>
      </x:c>
      <x:c r="H517" s="208" t="n">
        <x:f>E517/E516-1</x:f>
        <x:v>0.014981670665889402</x:v>
      </x:c>
      <x:c r="I517" s="208" t="n">
        <x:f>G517/G516-1</x:f>
        <x:v>0.010521443258854069</x:v>
      </x:c>
      <x:c r="J517" s="208" t="n">
        <x:f>'Beta HC3'!$E$13+'Beta HC3'!$E$12*I517</x:f>
        <x:v>0.011875338567955133</x:v>
      </x:c>
      <x:c r="K517" s="240" t="n">
        <x:f>H517-J517</x:f>
        <x:v>0.003106332097934268</x:v>
      </x:c>
      <x:c r="L517" s="240" t="n">
        <x:f>I517-'Beta HC3'!$E$9</x:f>
        <x:v>0.00995749564119363</x:v>
      </x:c>
      <x:c r="M517" s="240" t="n">
        <x:f>1/'Beta HC3'!$E$8+L517^2/'Beta HC3'!$E$11</x:f>
        <x:v>0.0014748563338667121</x:v>
      </x:c>
      <x:c r="N517" s="240" t="n">
        <x:f>K517^2/(1-M517)^2</x:f>
        <x:v>0.000009677824854008395</x:v>
      </x:c>
      <x:c r="O517" s="240" t="n">
        <x:f>N517*L517^2/'Beta HC3'!$E$11^2</x:f>
        <x:v>4.487378790149273e-8</x:v>
      </x:c>
      <x:c r="P517" s="240" t="n">
        <x:f>N517*(1/'Beta HC3'!$E$8-'Beta HC3'!$E$9*L517/'Beta HC3'!$E$11)^2</x:f>
        <x:v>5.566567582695573e-12</x:v>
      </x:c>
      <x:c r="Q517" s="240" t="n">
        <x:f>N517*(1/'Beta HC3'!$E$8-'Beta HC3'!$E$9*L517/'Beta HC3'!$E$11)*L517/'Beta HC3'!$E$11</x:f>
        <x:v>4.997929301672907e-10</x:v>
      </x:c>
      <x:c r="R517" s="240" t="n">
        <x:f>K517*L517/'Beta HC3'!$E$11</x:f>
        <x:v>0.00021152191548486898</x:v>
      </x:c>
      <x:c r="S517" s="240" t="n">
        <x:f>(K517-K516)^2</x:f>
        <x:v>0.00006170676113509048</x:v>
      </x:c>
      <x:c r="T517" s="280" t="n">
        <x:f>E517/$E$9*100</x:f>
        <x:v>114.86056038127185</x:v>
      </x:c>
    </x:row>
    <x:row r="518" ht="24" customHeight="1">
      <x:c r="C518" s="274" t="d">
        <x:v>2023-10-17T00:00:00.000Z</x:v>
      </x:c>
      <x:c r="D518" s="191" t="n">
        <x:v>332.05999755859375</x:v>
      </x:c>
      <x:c r="E518" s="191" t="n">
        <x:v>324.46063232421875</x:v>
      </x:c>
      <x:c r="F518" s="191" t="n">
        <x:v>436.0199890136719</x:v>
      </x:c>
      <x:c r="G518" s="191" t="n">
        <x:v>420.49853515625</x:v>
      </x:c>
      <x:c r="H518" s="208" t="n">
        <x:f>E518/E517-1</x:f>
        <x:v>-0.0017435807684449411</x:v>
      </x:c>
      <x:c r="I518" s="208" t="n">
        <x:f>G518/G517-1</x:f>
        <x:v>-0.000045865141389489494</x:v>
      </x:c>
      <x:c r="J518" s="208" t="n">
        <x:f>'Beta HC3'!$E$13+'Beta HC3'!$E$12*I518</x:f>
        <x:v>-0.00004259584380386999</x:v>
      </x:c>
      <x:c r="K518" s="240" t="n">
        <x:f>H518-J518</x:f>
        <x:v>-0.0017009849246410712</x:v>
      </x:c>
      <x:c r="L518" s="240" t="n">
        <x:f>I518-'Beta HC3'!$E$9</x:f>
        <x:v>-0.0006098127590499289</x:v>
      </x:c>
      <x:c r="M518" s="240" t="n">
        <x:f>1/'Beta HC3'!$E$8+L518^2/'Beta HC3'!$E$11</x:f>
        <x:v>0.0007993557725131221</x:v>
      </x:c>
      <x:c r="N518" s="240" t="n">
        <x:f>K518^2/(1-M518)^2</x:f>
        <x:v>0.0000028979808976526906</x:v>
      </x:c>
      <x:c r="O518" s="240" t="n">
        <x:f>N518*L518^2/'Beta HC3'!$E$11^2</x:f>
        <x:v>5.039683406968177e-11</x:v>
      </x:c>
      <x:c r="P518" s="240" t="n">
        <x:f>N518*(1/'Beta HC3'!$E$8-'Beta HC3'!$E$9*L518/'Beta HC3'!$E$11)^2</x:f>
        <x:v>1.8508358091551545e-12</x:v>
      </x:c>
      <x:c r="Q518" s="240" t="n">
        <x:f>N518*(1/'Beta HC3'!$E$8-'Beta HC3'!$E$9*L518/'Beta HC3'!$E$11)*L518/'Beta HC3'!$E$11</x:f>
        <x:v>-9.657963820817383e-12</x:v>
      </x:c>
      <x:c r="R518" s="240" t="n">
        <x:f>K518*L518/'Beta HC3'!$E$11</x:f>
        <x:v>0.0000070933980764700685</x:v>
      </x:c>
      <x:c r="S518" s="240" t="n">
        <x:f>(K518-K517)^2</x:f>
        <x:v>0.000023110296955542625</x:v>
      </x:c>
      <x:c r="T518" s="280" t="n">
        <x:f>E518/$E$9*100</x:f>
        <x:v>114.66029171713825</x:v>
      </x:c>
    </x:row>
    <x:row r="519" ht="24" customHeight="1">
      <x:c r="C519" s="274" t="d">
        <x:v>2023-10-18T00:00:00.000Z</x:v>
      </x:c>
      <x:c r="D519" s="191" t="n">
        <x:v>330.1099853515625</x:v>
      </x:c>
      <x:c r="E519" s="191" t="n">
        <x:v>322.55523681640625</x:v>
      </x:c>
      <x:c r="F519" s="191" t="n">
        <x:v>430.2099914550781</x:v>
      </x:c>
      <x:c r="G519" s="191" t="n">
        <x:v>414.8953857421875</x:v>
      </x:c>
      <x:c r="H519" s="208" t="n">
        <x:f>E519/E518-1</x:f>
        <x:v>-0.005872501369930561</x:v>
      </x:c>
      <x:c r="I519" s="208" t="n">
        <x:f>G519/G518-1</x:f>
        <x:v>-0.013325015298758291</x:v>
      </x:c>
      <x:c r="J519" s="208" t="n">
        <x:f>'Beta HC3'!$E$13+'Beta HC3'!$E$12*I519</x:f>
        <x:v>-0.015018977210299525</x:v>
      </x:c>
      <x:c r="K519" s="240" t="n">
        <x:f>H519-J519</x:f>
        <x:v>0.009146475840368965</x:v>
      </x:c>
      <x:c r="L519" s="240" t="n">
        <x:f>I519-'Beta HC3'!$E$9</x:f>
        <x:v>-0.01388896291641873</x:v>
      </x:c>
      <x:c r="M519" s="240" t="n">
        <x:f>1/'Beta HC3'!$E$8+L519^2/'Beta HC3'!$E$11</x:f>
        <x:v>0.0021159713034122063</x:v>
      </x:c>
      <x:c r="N519" s="240" t="n">
        <x:f>K519^2/(1-M519)^2</x:f>
        <x:v>0.0000840131831124738</x:v>
      </x:c>
      <x:c r="O519" s="240" t="n">
        <x:f>N519*L519^2/'Beta HC3'!$E$11^2</x:f>
        <x:v>7.578823606491432e-7</x:v>
      </x:c>
      <x:c r="P519" s="240" t="n">
        <x:f>N519*(1/'Beta HC3'!$E$8-'Beta HC3'!$E$9*L519/'Beta HC3'!$E$11)^2</x:f>
        <x:v>6.07532205918178e-11</x:v>
      </x:c>
      <x:c r="Q519" s="240" t="n">
        <x:f>N519*(1/'Beta HC3'!$E$8-'Beta HC3'!$E$9*L519/'Beta HC3'!$E$11)*L519/'Beta HC3'!$E$11</x:f>
        <x:v>-6.785557769201072e-9</x:v>
      </x:c>
      <x:c r="R519" s="240" t="n">
        <x:f>K519*L519/'Beta HC3'!$E$11</x:f>
        <x:v>-0.0008687223027464156</x:v>
      </x:c>
      <x:c r="S519" s="240" t="n">
        <x:f>(K519-K518)^2</x:f>
        <x:v>0.00011766740504843212</x:v>
      </x:c>
      <x:c r="T519" s="280" t="n">
        <x:f>E519/$E$9*100</x:f>
        <x:v>113.98694899695272</x:v>
      </x:c>
    </x:row>
    <x:row r="520" ht="24" customHeight="1">
      <x:c r="C520" s="274" t="d">
        <x:v>2023-10-19T00:00:00.000Z</x:v>
      </x:c>
      <x:c r="D520" s="191" t="n">
        <x:v>331.32000732421875</x:v>
      </x:c>
      <x:c r="E520" s="191" t="n">
        <x:v>323.7375793457031</x:v>
      </x:c>
      <x:c r="F520" s="191" t="n">
        <x:v>426.42999267578125</x:v>
      </x:c>
      <x:c r="G520" s="191" t="n">
        <x:v>411.24993896484375</x:v>
      </x:c>
      <x:c r="H520" s="208" t="n">
        <x:f>E520/E519-1</x:f>
        <x:v>0.003665550561096076</x:v>
      </x:c>
      <x:c r="I520" s="208" t="n">
        <x:f>G520/G519-1</x:f>
        <x:v>-0.008786424006192783</x:v>
      </x:c>
      <x:c r="J520" s="208" t="n">
        <x:f>'Beta HC3'!$E$13+'Beta HC3'!$E$12*I520</x:f>
        <x:v>-0.009900300694212463</x:v>
      </x:c>
      <x:c r="K520" s="240" t="n">
        <x:f>H520-J520</x:f>
        <x:v>0.013565851255308538</x:v>
      </x:c>
      <x:c r="L520" s="240" t="n">
        <x:f>I520-'Beta HC3'!$E$9</x:f>
        <x:v>-0.009350371623853222</x:v>
      </x:c>
      <x:c r="M520" s="240" t="n">
        <x:f>1/'Beta HC3'!$E$8+L520^2/'Beta HC3'!$E$11</x:f>
        <x:v>0.0013946942350393657</x:v>
      </x:c>
      <x:c r="N520" s="240" t="n">
        <x:f>K520^2/(1-M520)^2</x:f>
        <x:v>0.0001845467338375724</x:v>
      </x:c>
      <x:c r="O520" s="240" t="n">
        <x:f>N520*L520^2/'Beta HC3'!$E$11^2</x:f>
        <x:v>7.545340273878066e-7</x:v>
      </x:c>
      <x:c r="P520" s="240" t="n">
        <x:f>N520*(1/'Beta HC3'!$E$8-'Beta HC3'!$E$9*L520/'Beta HC3'!$E$11)^2</x:f>
        <x:v>1.2801580920134932e-10</x:v>
      </x:c>
      <x:c r="Q520" s="240" t="n">
        <x:f>N520*(1/'Beta HC3'!$E$8-'Beta HC3'!$E$9*L520/'Beta HC3'!$E$11)*L520/'Beta HC3'!$E$11</x:f>
        <x:v>-9.828137366052793e-9</x:v>
      </x:c>
      <x:c r="R520" s="240" t="n">
        <x:f>K520*L520/'Beta HC3'!$E$11</x:f>
        <x:v>-0.0008674276952979998</x:v>
      </x:c>
      <x:c r="S520" s="240" t="n">
        <x:f>(K520-K519)^2</x:f>
        <x:v>0.000019530879058172328</x:v>
      </x:c>
      <x:c r="T520" s="280" t="n">
        <x:f>E520/$E$9*100</x:f>
        <x:v>114.40477392180614</x:v>
      </x:c>
    </x:row>
    <x:row r="521" ht="24" customHeight="1">
      <x:c r="C521" s="274" t="d">
        <x:v>2023-10-20T00:00:00.000Z</x:v>
      </x:c>
      <x:c r="D521" s="191" t="n">
        <x:v>326.6700134277344</x:v>
      </x:c>
      <x:c r="E521" s="191" t="n">
        <x:v>319.19390869140625</x:v>
      </x:c>
      <x:c r="F521" s="191" t="n">
        <x:v>421.19000244140625</x:v>
      </x:c>
      <x:c r="G521" s="191" t="n">
        <x:v>406.1965026855469</x:v>
      </x:c>
      <x:c r="H521" s="208" t="n">
        <x:f>E521/E520-1</x:f>
        <x:v>-0.014035042405271425</x:v>
      </x:c>
      <x:c r="I521" s="208" t="n">
        <x:f>G521/G520-1</x:f>
        <x:v>-0.012287992776404688</x:v>
      </x:c>
      <x:c r="J521" s="208" t="n">
        <x:f>'Beta HC3'!$E$13+'Beta HC3'!$E$12*I521</x:f>
        <x:v>-0.013849411041052275</x:v>
      </x:c>
      <x:c r="K521" s="240" t="n">
        <x:f>H521-J521</x:f>
        <x:v>-0.00018563136421914997</x:v>
      </x:c>
      <x:c r="L521" s="240" t="n">
        <x:f>I521-'Beta HC3'!$E$9</x:f>
        <x:v>-0.012851940394065127</x:v>
      </x:c>
      <x:c r="M521" s="240" t="n">
        <x:f>1/'Beta HC3'!$E$8+L521^2/'Beta HC3'!$E$11</x:f>
        <x:v>0.0019263349376852682</x:v>
      </x:c>
      <x:c r="N521" s="240" t="n">
        <x:f>K521^2/(1-M521)^2</x:f>
        <x:v>3.459214714170636e-8</x:v>
      </x:c>
      <x:c r="O521" s="240" t="n">
        <x:f>N521*L521^2/'Beta HC3'!$E$11^2</x:f>
        <x:v>2.6719581261152693e-10</x:v>
      </x:c>
      <x:c r="P521" s="240" t="n">
        <x:f>N521*(1/'Beta HC3'!$E$8-'Beta HC3'!$E$9*L521/'Beta HC3'!$E$11)^2</x:f>
        <x:v>2.478019903667283e-14</x:v>
      </x:c>
      <x:c r="Q521" s="240" t="n">
        <x:f>N521*(1/'Beta HC3'!$E$8-'Beta HC3'!$E$9*L521/'Beta HC3'!$E$11)*L521/'Beta HC3'!$E$11</x:f>
        <x:v>-2.573162532425648e-12</x:v>
      </x:c>
      <x:c r="R521" s="240" t="n">
        <x:f>K521*L521/'Beta HC3'!$E$11</x:f>
        <x:v>0.000016314637196538213</x:v>
      </x:c>
      <x:c r="S521" s="240" t="n">
        <x:f>(K521-K520)^2</x:f>
        <x:v>0.0001891032742351721</x:v>
      </x:c>
      <x:c r="T521" s="280" t="n">
        <x:f>E521/$E$9*100</x:f>
        <x:v>112.7990980684481</x:v>
      </x:c>
    </x:row>
    <x:row r="522" ht="24" customHeight="1">
      <x:c r="C522" s="274" t="d">
        <x:v>2023-10-23T00:00:00.000Z</x:v>
      </x:c>
      <x:c r="D522" s="191" t="n">
        <x:v>329.32000732421875</x:v>
      </x:c>
      <x:c r="E522" s="191" t="n">
        <x:v>321.7833557128906</x:v>
      </x:c>
      <x:c r="F522" s="191" t="n">
        <x:v>420.4599914550781</x:v>
      </x:c>
      <x:c r="G522" s="191" t="n">
        <x:v>405.49249267578125</x:v>
      </x:c>
      <x:c r="H522" s="208" t="n">
        <x:f>E522/E521-1</x:f>
        <x:v>0.00811245750929368</x:v>
      </x:c>
      <x:c r="I522" s="208" t="n">
        <x:f>G522/G521-1</x:f>
        <x:v>-0.0017331759508294464</x:v>
      </x:c>
      <x:c r="J522" s="208" t="n">
        <x:f>'Beta HC3'!$E$13+'Beta HC3'!$E$12*I522</x:f>
        <x:v>-0.0019455647737817174</x:v>
      </x:c>
      <x:c r="K522" s="240" t="n">
        <x:f>H522-J522</x:f>
        <x:v>0.010058022283075398</x:v>
      </x:c>
      <x:c r="L522" s="240" t="n">
        <x:f>I522-'Beta HC3'!$E$9</x:f>
        <x:v>-0.0022971235684898857</x:v>
      </x:c>
      <x:c r="M522" s="240" t="n">
        <x:f>1/'Beta HC3'!$E$8+L522^2/'Beta HC3'!$E$11</x:f>
        <x:v>0.0008328976964231406</x:v>
      </x:c>
      <x:c r="N522" s="240" t="n">
        <x:f>K522^2/(1-M522)^2</x:f>
        <x:v>0.00010133254123090322</x:v>
      </x:c>
      <x:c r="O522" s="240" t="n">
        <x:f>N522*L522^2/'Beta HC3'!$E$11^2</x:f>
        <x:v>2.5005317443150323e-8</x:v>
      </x:c>
      <x:c r="P522" s="240" t="n">
        <x:f>N522*(1/'Beta HC3'!$E$8-'Beta HC3'!$E$9*L522/'Beta HC3'!$E$11)^2</x:f>
        <x:v>6.577564446836342e-11</x:v>
      </x:c>
      <x:c r="Q522" s="240" t="n">
        <x:f>N522*(1/'Beta HC3'!$E$8-'Beta HC3'!$E$9*L522/'Beta HC3'!$E$11)*L522/'Beta HC3'!$E$11</x:f>
        <x:v>-1.2824745104520485e-9</x:v>
      </x:c>
      <x:c r="R522" s="240" t="n">
        <x:f>K522*L522/'Beta HC3'!$E$11</x:f>
        <x:v>-0.0001579989906525038</x:v>
      </x:c>
      <x:c r="S522" s="240" t="n">
        <x:f>(K522-K521)^2</x:f>
        <x:v>0.0001049324400457309</x:v>
      </x:c>
      <x:c r="T522" s="280" t="n">
        <x:f>E522/$E$9*100</x:f>
        <x:v>113.71417595861502</x:v>
      </x:c>
    </x:row>
    <x:row r="523" ht="24" customHeight="1">
      <x:c r="C523" s="274" t="d">
        <x:v>2023-10-24T00:00:00.000Z</x:v>
      </x:c>
      <x:c r="D523" s="191" t="n">
        <x:v>330.5299987792969</x:v>
      </x:c>
      <x:c r="E523" s="191" t="n">
        <x:v>322.96563720703125</x:v>
      </x:c>
      <x:c r="F523" s="191" t="n">
        <x:v>423.6300048828125</x:v>
      </x:c>
      <x:c r="G523" s="191" t="n">
        <x:v>408.5495910644531</x:v>
      </x:c>
      <x:c r="H523" s="208" t="n">
        <x:f>E523/E522-1</x:f>
        <x:v>0.0036741536600652935</x:v>
      </x:c>
      <x:c r="I523" s="208" t="n">
        <x:f>G523/G522-1</x:f>
        <x:v>0.0075392231518234265</x:v>
      </x:c>
      <x:c r="J523" s="208" t="n">
        <x:f>'Beta HC3'!$E$13+'Beta HC3'!$E$12*I523</x:f>
        <x:v>0.008511955737545743</x:v>
      </x:c>
      <x:c r="K523" s="240" t="n">
        <x:f>H523-J523</x:f>
        <x:v>-0.0048378020774804496</x:v>
      </x:c>
      <x:c r="L523" s="240" t="n">
        <x:f>I523-'Beta HC3'!$E$9</x:f>
        <x:v>0.006975275534162987</x:v>
      </x:c>
      <x:c r="M523" s="240" t="n">
        <x:f>1/'Beta HC3'!$E$8+L523^2/'Beta HC3'!$E$11</x:f>
        <x:v>0.0011295336600920204</x:v>
      </x:c>
      <x:c r="N523" s="240" t="n">
        <x:f>K523^2/(1-M523)^2</x:f>
        <x:v>0.000023457290611617737</x:v>
      </x:c>
      <x:c r="O523" s="240" t="n">
        <x:f>N523*L523^2/'Beta HC3'!$E$11^2</x:f>
        <x:v>5.337222477097667e-8</x:v>
      </x:c>
      <x:c r="P523" s="240" t="n">
        <x:f>N523*(1/'Beta HC3'!$E$8-'Beta HC3'!$E$9*L523/'Beta HC3'!$E$11)^2</x:f>
        <x:v>1.3904664239165147e-11</x:v>
      </x:c>
      <x:c r="Q523" s="240" t="n">
        <x:f>N523*(1/'Beta HC3'!$E$8-'Beta HC3'!$E$9*L523/'Beta HC3'!$E$11)*L523/'Beta HC3'!$E$11</x:f>
        <x:v>8.614655333428515e-10</x:v>
      </x:c>
      <x:c r="R523" s="240" t="n">
        <x:f>K523*L523/'Beta HC3'!$E$11</x:f>
        <x:v>-0.00023076334504627452</x:v>
      </x:c>
      <x:c r="S523" s="240" t="n">
        <x:f>(K523-K522)^2</x:f>
        <x:v>0.00022188558338052903</x:v>
      </x:c>
      <x:c r="T523" s="280" t="n">
        <x:f>E523/$E$9*100</x:f>
        <x:v>114.13197931441468</x:v>
      </x:c>
    </x:row>
    <x:row r="524" ht="24" customHeight="1">
      <x:c r="C524" s="274" t="d">
        <x:v>2023-10-25T00:00:00.000Z</x:v>
      </x:c>
      <x:c r="D524" s="191" t="n">
        <x:v>340.6700134277344</x:v>
      </x:c>
      <x:c r="E524" s="191" t="n">
        <x:v>332.8735656738281</x:v>
      </x:c>
      <x:c r="F524" s="191" t="n">
        <x:v>417.54998779296875</x:v>
      </x:c>
      <x:c r="G524" s="191" t="n">
        <x:v>402.6860656738281</x:v>
      </x:c>
      <x:c r="H524" s="208" t="n">
        <x:f>E524/E523-1</x:f>
        <x:v>0.03067796485248242</x:v>
      </x:c>
      <x:c r="I524" s="208" t="n">
        <x:f>G524/G523-1</x:f>
        <x:v>-0.01435205301600695</x:v>
      </x:c>
      <x:c r="J524" s="208" t="n">
        <x:f>'Beta HC3'!$E$13+'Beta HC3'!$E$12*I524</x:f>
        <x:v>-0.01617728239918661</x:v>
      </x:c>
      <x:c r="K524" s="240" t="n">
        <x:f>H524-J524</x:f>
        <x:v>0.04685524725166903</x:v>
      </x:c>
      <x:c r="L524" s="240" t="n">
        <x:f>I524-'Beta HC3'!$E$9</x:f>
        <x:v>-0.014916000633667388</x:v>
      </x:c>
      <x:c r="M524" s="240" t="n">
        <x:f>1/'Beta HC3'!$E$8+L524^2/'Beta HC3'!$E$11</x:f>
        <x:v>0.002318278384684106</x:v>
      </x:c>
      <x:c r="N524" s="240" t="n">
        <x:f>K524^2/(1-M524)^2</x:f>
        <x:v>0.002205628864493295</x:v>
      </x:c>
      <x:c r="O524" s="240" t="n">
        <x:f>N524*L524^2/'Beta HC3'!$E$11^2</x:f>
        <x:v>0.00002294837540401057</x:v>
      </x:c>
      <x:c r="P524" s="240" t="n">
        <x:f>N524*(1/'Beta HC3'!$E$8-'Beta HC3'!$E$9*L524/'Beta HC3'!$E$11)^2</x:f>
        <x:v>1.6098689987594657e-9</x:v>
      </x:c>
      <x:c r="Q524" s="240" t="n">
        <x:f>N524*(1/'Beta HC3'!$E$8-'Beta HC3'!$E$9*L524/'Beta HC3'!$E$11)*L524/'Beta HC3'!$E$11</x:f>
        <x:v>-1.9220790341401378e-7</x:v>
      </x:c>
      <x:c r="R524" s="240" t="n">
        <x:f>K524*L524/'Beta HC3'!$E$11</x:f>
        <x:v>-0.004779340675529471</x:v>
      </x:c>
      <x:c r="S524" s="240" t="n">
        <x:f>(K524-K523)^2</x:f>
        <x:v>0.002672171348945881</x:v>
      </x:c>
      <x:c r="T524" s="280" t="n">
        <x:f>E524/$E$9*100</x:f>
        <x:v>117.63331616436655</x:v>
      </x:c>
    </x:row>
    <x:row r="525" ht="24" customHeight="1">
      <x:c r="C525" s="274" t="d">
        <x:v>2023-10-26T00:00:00.000Z</x:v>
      </x:c>
      <x:c r="D525" s="191" t="n">
        <x:v>327.8900146484375</x:v>
      </x:c>
      <x:c r="E525" s="191" t="n">
        <x:v>320.3860168457031</x:v>
      </x:c>
      <x:c r="F525" s="191" t="n">
        <x:v>412.54998779296875</x:v>
      </x:c>
      <x:c r="G525" s="191" t="n">
        <x:v>397.86407470703125</x:v>
      </x:c>
      <x:c r="H525" s="208" t="n">
        <x:f>E525/E524-1</x:f>
        <x:v>-0.03751439019450753</x:v>
      </x:c>
      <x:c r="I525" s="208" t="n">
        <x:f>G525/G524-1</x:f>
        <x:v>-0.011974566238660556</x:v>
      </x:c>
      <x:c r="J525" s="208" t="n">
        <x:f>'Beta HC3'!$E$13+'Beta HC3'!$E$12*I525</x:f>
        <x:v>-0.013495924914002819</x:v>
      </x:c>
      <x:c r="K525" s="240" t="n">
        <x:f>H525-J525</x:f>
        <x:v>-0.024018465280504712</x:v>
      </x:c>
      <x:c r="L525" s="240" t="n">
        <x:f>I525-'Beta HC3'!$E$9</x:f>
        <x:v>-0.012538513856320994</x:v>
      </x:c>
      <x:c r="M525" s="240" t="n">
        <x:f>1/'Beta HC3'!$E$8+L525^2/'Beta HC3'!$E$11</x:f>
        <x:v>0.0018719143036312878</x:v>
      </x:c>
      <x:c r="N525" s="240" t="n">
        <x:f>K525^2/(1-M525)^2</x:f>
        <x:v>0.0005790525187791242</x:v>
      </x:c>
      <x:c r="O525" s="240" t="n">
        <x:f>N525*L525^2/'Beta HC3'!$E$11^2</x:f>
        <x:v>0.00000425720737989373</x:v>
      </x:c>
      <x:c r="P525" s="240" t="n">
        <x:f>N525*(1/'Beta HC3'!$E$8-'Beta HC3'!$E$9*L525/'Beta HC3'!$E$11)^2</x:f>
        <x:v>4.1362223764336095e-10</x:v>
      </x:c>
      <x:c r="Q525" s="240" t="n">
        <x:f>N525*(1/'Beta HC3'!$E$8-'Beta HC3'!$E$9*L525/'Beta HC3'!$E$11)*L525/'Beta HC3'!$E$11</x:f>
        <x:v>-4.1962788784630067e-8</x:v>
      </x:c>
      <x:c r="R525" s="240" t="n">
        <x:f>K525*L525/'Beta HC3'!$E$11</x:f>
        <x:v>0.002059437797711157</x:v>
      </x:c>
      <x:c r="S525" s="240" t="n">
        <x:f>(K525-K524)^2</x:f>
        <x:v>0.005023083128093201</x:v>
      </x:c>
      <x:c r="T525" s="280" t="n">
        <x:f>E525/$E$9*100</x:f>
        <x:v>113.22037404190264</x:v>
      </x:c>
    </x:row>
    <x:row r="526" ht="24" customHeight="1">
      <x:c r="C526" s="274" t="d">
        <x:v>2023-10-27T00:00:00.000Z</x:v>
      </x:c>
      <x:c r="D526" s="191" t="n">
        <x:v>329.80999755859375</x:v>
      </x:c>
      <x:c r="E526" s="191" t="n">
        <x:v>322.2621154785156</x:v>
      </x:c>
      <x:c r="F526" s="191" t="n">
        <x:v>410.67999267578125</x:v>
      </x:c>
      <x:c r="G526" s="191" t="n">
        <x:v>396.0606689453125</x:v>
      </x:c>
      <x:c r="H526" s="208" t="n">
        <x:f>E526/E525-1</x:f>
        <x:v>0.005855744427560428</x:v>
      </x:c>
      <x:c r="I526" s="208" t="n">
        <x:f>G526/G525-1</x:f>
        <x:v>-0.004532718273311587</x:v>
      </x:c>
      <x:c r="J526" s="208" t="n">
        <x:f>'Beta HC3'!$E$13+'Beta HC3'!$E$12*I526</x:f>
        <x:v>-0.005102921455216</x:v>
      </x:c>
      <x:c r="K526" s="240" t="n">
        <x:f>H526-J526</x:f>
        <x:v>0.010958665882776428</x:v>
      </x:c>
      <x:c r="L526" s="240" t="n">
        <x:f>I526-'Beta HC3'!$E$9</x:f>
        <x:v>-0.005096665890972026</x:v>
      </x:c>
      <x:c r="M526" s="240" t="n">
        <x:f>1/'Beta HC3'!$E$8+L526^2/'Beta HC3'!$E$11</x:f>
        <x:v>0.0009744482194897802</x:v>
      </x:c>
      <x:c r="N526" s="240" t="n">
        <x:f>K526^2/(1-M526)^2</x:f>
        <x:v>0.00012032674804492352</x:v>
      </x:c>
      <x:c r="O526" s="240" t="n">
        <x:f>N526*L526^2/'Beta HC3'!$E$11^2</x:f>
        <x:v>1.4616696574448015e-7</x:v>
      </x:c>
      <x:c r="P526" s="240" t="n">
        <x:f>N526*(1/'Beta HC3'!$E$8-'Beta HC3'!$E$9*L526/'Beta HC3'!$E$11)^2</x:f>
        <x:v>8.021224907010114e-11</x:v>
      </x:c>
      <x:c r="Q526" s="240" t="n">
        <x:f>N526*(1/'Beta HC3'!$E$8-'Beta HC3'!$E$9*L526/'Beta HC3'!$E$11)*L526/'Beta HC3'!$E$11</x:f>
        <x:v>-3.4240883548934866e-9</x:v>
      </x:c>
      <x:c r="R526" s="240" t="n">
        <x:f>K526*L526/'Beta HC3'!$E$11</x:f>
        <x:v>-0.000381945336740991</x:v>
      </x:c>
      <x:c r="S526" s="240" t="n">
        <x:f>(K526-K525)^2</x:f>
        <x:v>0.0012233997044133727</x:v>
      </x:c>
      <x:c r="T526" s="280" t="n">
        <x:f>E526/$E$9*100</x:f>
        <x:v>113.88336361628481</x:v>
      </x:c>
    </x:row>
    <x:row r="527" ht="24" customHeight="1">
      <x:c r="C527" s="274" t="d">
        <x:v>2023-10-30T00:00:00.000Z</x:v>
      </x:c>
      <x:c r="D527" s="191" t="n">
        <x:v>337.30999755859375</x:v>
      </x:c>
      <x:c r="E527" s="191" t="n">
        <x:v>329.5904846191406</x:v>
      </x:c>
      <x:c r="F527" s="191" t="n">
        <x:v>415.5899963378906</x:v>
      </x:c>
      <x:c r="G527" s="191" t="n">
        <x:v>400.7958679199219</x:v>
      </x:c>
      <x:c r="H527" s="208" t="n">
        <x:f>E527/E526-1</x:f>
        <x:v>0.0227403991615438</x:v>
      </x:c>
      <x:c r="I527" s="208" t="n">
        <x:f>G527/G526-1</x:f>
        <x:v>0.011955741495915051</x:v>
      </x:c>
      <x:c r="J527" s="208" t="n">
        <x:f>'Beta HC3'!$E$13+'Beta HC3'!$E$12*I527</x:f>
        <x:v>0.013492956949926494</x:v>
      </x:c>
      <x:c r="K527" s="240" t="n">
        <x:f>H527-J527</x:f>
        <x:v>0.009247442211617307</x:v>
      </x:c>
      <x:c r="L527" s="240" t="n">
        <x:f>I527-'Beta HC3'!$E$9</x:f>
        <x:v>0.011391793878254612</x:v>
      </x:c>
      <x:c r="M527" s="240" t="n">
        <x:f>1/'Beta HC3'!$E$8+L527^2/'Beta HC3'!$E$11</x:f>
        <x:v>0.0016842580578144075</x:v>
      </x:c>
      <x:c r="N527" s="240" t="n">
        <x:f>K527^2/(1-M527)^2</x:f>
        <x:v>0.00008580397613128303</x:v>
      </x:c>
      <x:c r="O527" s="240" t="n">
        <x:f>N527*L527^2/'Beta HC3'!$E$11^2</x:f>
        <x:v>5.207225350132791e-7</x:v>
      </x:c>
      <x:c r="P527" s="240" t="n">
        <x:f>N527*(1/'Beta HC3'!$E$8-'Beta HC3'!$E$9*L527/'Beta HC3'!$E$11)^2</x:f>
        <x:v>4.863612318359921e-11</x:v>
      </x:c>
      <x:c r="Q527" s="240" t="n">
        <x:f>N527*(1/'Beta HC3'!$E$8-'Beta HC3'!$E$9*L527/'Beta HC3'!$E$11)*L527/'Beta HC3'!$E$11</x:f>
        <x:v>5.032486995252138e-9</x:v>
      </x:c>
      <x:c r="R527" s="240" t="n">
        <x:f>K527*L527/'Beta HC3'!$E$11</x:f>
        <x:v>0.0007203956898184885</x:v>
      </x:c>
      <x:c r="S527" s="240" t="n">
        <x:f>(K527-K526)^2</x:f>
        <x:v>0.000002928286452735299</x:v>
      </x:c>
      <x:c r="T527" s="280" t="n">
        <x:f>E527/$E$9*100</x:f>
        <x:v>116.47311676277836</x:v>
      </x:c>
    </x:row>
    <x:row r="528" ht="24" customHeight="1">
      <x:c r="C528" s="274" t="d">
        <x:v>2023-10-31T00:00:00.000Z</x:v>
      </x:c>
      <x:c r="D528" s="191" t="n">
        <x:v>338.1099853515625</x:v>
      </x:c>
      <x:c r="E528" s="191" t="n">
        <x:v>330.37213134765625</x:v>
      </x:c>
      <x:c r="F528" s="191" t="n">
        <x:v>418.20001220703125</x:v>
      </x:c>
      <x:c r="G528" s="191" t="n">
        <x:v>403.31292724609375</x:v>
      </x:c>
      <x:c r="H528" s="208" t="n">
        <x:f>E528/E527-1</x:f>
        <x:v>0.002371569462688905</x:v>
      </x:c>
      <x:c r="I528" s="208" t="n">
        <x:f>G528/G527-1</x:f>
        <x:v>0.006280152884896362</x:v>
      </x:c>
      <x:c r="J528" s="208" t="n">
        <x:f>'Beta HC3'!$E$13+'Beta HC3'!$E$12*I528</x:f>
        <x:v>0.007091961516435776</x:v>
      </x:c>
      <x:c r="K528" s="240" t="n">
        <x:f>H528-J528</x:f>
        <x:v>-0.004720392053746871</x:v>
      </x:c>
      <x:c r="L528" s="240" t="n">
        <x:f>I528-'Beta HC3'!$E$9</x:f>
        <x:v>0.005716205267235922</x:v>
      </x:c>
      <x:c r="M528" s="240" t="n">
        <x:f>1/'Beta HC3'!$E$8+L528^2/'Beta HC3'!$E$11</x:f>
        <x:v>0.001020258959127414</x:v>
      </x:c>
      <x:c r="N528" s="240" t="n">
        <x:f>K528^2/(1-M528)^2</x:f>
        <x:v>0.000022327637844699938</x:v>
      </x:c>
      <x:c r="O528" s="240" t="n">
        <x:f>N528*L528^2/'Beta HC3'!$E$11^2</x:f>
        <x:v>3.4117180538001994e-8</x:v>
      </x:c>
      <x:c r="P528" s="240" t="n">
        <x:f>N528*(1/'Beta HC3'!$E$8-'Beta HC3'!$E$9*L528/'Beta HC3'!$E$11)^2</x:f>
        <x:v>1.3402511797164562e-11</x:v>
      </x:c>
      <x:c r="Q528" s="240" t="n">
        <x:f>N528*(1/'Beta HC3'!$E$8-'Beta HC3'!$E$9*L528/'Beta HC3'!$E$11)*L528/'Beta HC3'!$E$11</x:f>
        <x:v>6.762070057656641e-10</x:v>
      </x:c>
      <x:c r="R528" s="240" t="n">
        <x:f>K528*L528/'Beta HC3'!$E$11</x:f>
        <x:v>-0.00018451991581759977</x:v>
      </x:c>
      <x:c r="S528" s="240" t="n">
        <x:f>(K528-K527)^2</x:f>
        <x:v>0.00019510039406468163</x:v>
      </x:c>
      <x:c r="T528" s="280" t="n">
        <x:f>E528/$E$9*100</x:f>
        <x:v>116.74934084971717</x:v>
      </x:c>
    </x:row>
    <x:row r="529" ht="24" customHeight="1">
      <x:c r="C529" s="274" t="d">
        <x:v>2023-11-01T00:00:00.000Z</x:v>
      </x:c>
      <x:c r="D529" s="191" t="n">
        <x:v>346.07000732421875</x:v>
      </x:c>
      <x:c r="E529" s="191" t="n">
        <x:v>338.1499328613281</x:v>
      </x:c>
      <x:c r="F529" s="191" t="n">
        <x:v>422.6600036621094</x:v>
      </x:c>
      <x:c r="G529" s="191" t="n">
        <x:v>407.6141357421875</x:v>
      </x:c>
      <x:c r="H529" s="208" t="n">
        <x:f>E529/E528-1</x:f>
        <x:v>0.023542547254045365</x:v>
      </x:c>
      <x:c r="I529" s="208" t="n">
        <x:f>G529/G528-1</x:f>
        <x:v>0.010664692861355407</x:v>
      </x:c>
      <x:c r="J529" s="208" t="n">
        <x:f>'Beta HC3'!$E$13+'Beta HC3'!$E$12*I529</x:f>
        <x:v>0.012036897150562805</x:v>
      </x:c>
      <x:c r="K529" s="240" t="n">
        <x:f>H529-J529</x:f>
        <x:v>0.01150565010348256</x:v>
      </x:c>
      <x:c r="L529" s="240" t="n">
        <x:f>I529-'Beta HC3'!$E$9</x:f>
        <x:v>0.010100745243694968</x:v>
      </x:c>
      <x:c r="M529" s="240" t="n">
        <x:f>1/'Beta HC3'!$E$8+L529^2/'Beta HC3'!$E$11</x:f>
        <x:v>0.0014945054775995265</x:v>
      </x:c>
      <x:c r="N529" s="240" t="n">
        <x:f>K529^2/(1-M529)^2</x:f>
        <x:v>0.0001327765583285726</x:v>
      </x:c>
      <x:c r="O529" s="240" t="n">
        <x:f>N529*L529^2/'Beta HC3'!$E$11^2</x:f>
        <x:v>6.334946701979625e-7</x:v>
      </x:c>
      <x:c r="P529" s="240" t="n">
        <x:f>N529*(1/'Beta HC3'!$E$8-'Beta HC3'!$E$9*L529/'Beta HC3'!$E$11)^2</x:f>
        <x:v>7.626024618916785e-11</x:v>
      </x:c>
      <x:c r="Q529" s="240" t="n">
        <x:f>N529*(1/'Beta HC3'!$E$8-'Beta HC3'!$E$9*L529/'Beta HC3'!$E$11)*L529/'Beta HC3'!$E$11</x:f>
        <x:v>6.950572602945912e-9</x:v>
      </x:c>
      <x:c r="R529" s="240" t="n">
        <x:f>K529*L529/'Beta HC3'!$E$11</x:f>
        <x:v>0.0007947342717088282</x:v>
      </x:c>
      <x:c r="S529" s="240" t="n">
        <x:f>(K529-K528)^2</x:f>
        <x:v>0.0002632844440881867</x:v>
      </x:c>
      <x:c r="T529" s="280" t="n">
        <x:f>E529/$E$9*100</x:f>
        <x:v>119.4979177235503</x:v>
      </x:c>
    </x:row>
    <x:row r="530" ht="24" customHeight="1">
      <x:c r="C530" s="274" t="d">
        <x:v>2023-11-02T00:00:00.000Z</x:v>
      </x:c>
      <x:c r="D530" s="191" t="n">
        <x:v>348.32000732421875</x:v>
      </x:c>
      <x:c r="E530" s="191" t="n">
        <x:v>340.3484802246094</x:v>
      </x:c>
      <x:c r="F530" s="191" t="n">
        <x:v>430.760009765625</x:v>
      </x:c>
      <x:c r="G530" s="191" t="n">
        <x:v>415.42584228515625</x:v>
      </x:c>
      <x:c r="H530" s="208" t="n">
        <x:f>E530/E529-1</x:f>
        <x:v>0.006501693922213114</x:v>
      </x:c>
      <x:c r="I530" s="208" t="n">
        <x:f>G530/G529-1</x:f>
        <x:v>0.019164464276355764</x:v>
      </x:c>
      <x:c r="J530" s="208" t="n">
        <x:f>'Beta HC3'!$E$13+'Beta HC3'!$E$12*I530</x:f>
        <x:v>0.02162303908965711</x:v>
      </x:c>
      <x:c r="K530" s="240" t="n">
        <x:f>H530-J530</x:f>
        <x:v>-0.015121345167443994</x:v>
      </x:c>
      <x:c r="L530" s="240" t="n">
        <x:f>I530-'Beta HC3'!$E$9</x:f>
        <x:v>0.018600516658695325</x:v>
      </x:c>
      <x:c r="M530" s="240" t="n">
        <x:f>1/'Beta HC3'!$E$8+L530^2/'Beta HC3'!$E$11</x:f>
        <x:v>0.003162772632617628</x:v>
      </x:c>
      <x:c r="N530" s="240" t="n">
        <x:f>K530^2/(1-M530)^2</x:f>
        <x:v>0.00023010833858079085</x:v>
      </x:c>
      <x:c r="O530" s="240" t="n">
        <x:f>N530*L530^2/'Beta HC3'!$E$11^2</x:f>
        <x:v>0.000003723034792241668</x:v>
      </x:c>
      <x:c r="P530" s="240" t="n">
        <x:f>N530*(1/'Beta HC3'!$E$8-'Beta HC3'!$E$9*L530/'Beta HC3'!$E$11)^2</x:f>
        <x:v>1.209771877346293e-10</x:v>
      </x:c>
      <x:c r="Q530" s="240" t="n">
        <x:f>N530*(1/'Beta HC3'!$E$8-'Beta HC3'!$E$9*L530/'Beta HC3'!$E$11)*L530/'Beta HC3'!$E$11</x:f>
        <x:v>2.1222683124515073e-8</x:v>
      </x:c>
      <x:c r="R530" s="240" t="n">
        <x:f>K530*L530/'Beta HC3'!$E$11</x:f>
        <x:v>-0.0019234141023562812</x:v>
      </x:c>
      <x:c r="S530" s="240" t="n">
        <x:f>(K530-K529)^2</x:f>
        <x:v>0.000708996877157945</x:v>
      </x:c>
      <x:c r="T530" s="280" t="n">
        <x:f>E530/$E$9*100</x:f>
        <x:v>120.27485660893062</x:v>
      </x:c>
    </x:row>
    <x:row r="531" ht="24" customHeight="1">
      <x:c r="C531" s="274" t="d">
        <x:v>2023-11-03T00:00:00.000Z</x:v>
      </x:c>
      <x:c r="D531" s="191" t="n">
        <x:v>352.79998779296875</x:v>
      </x:c>
      <x:c r="E531" s="191" t="n">
        <x:v>344.7259216308594</x:v>
      </x:c>
      <x:c r="F531" s="191" t="n">
        <x:v>434.69000244140625</x:v>
      </x:c>
      <x:c r="G531" s="191" t="n">
        <x:v>419.2159118652344</x:v>
      </x:c>
      <x:c r="H531" s="208" t="n">
        <x:f>E531/E530-1</x:f>
        <x:v>0.012861645227154161</x:v>
      </x:c>
      <x:c r="I531" s="208" t="n">
        <x:f>G531/G530-1</x:f>
        <x:v>0.009123336091057421</x:v>
      </x:c>
      <x:c r="J531" s="208" t="n">
        <x:f>'Beta HC3'!$E$13+'Beta HC3'!$E$12*I531</x:f>
        <x:v>0.010298536898570094</x:v>
      </x:c>
      <x:c r="K531" s="240" t="n">
        <x:f>H531-J531</x:f>
        <x:v>0.0025631083285840676</x:v>
      </x:c>
      <x:c r="L531" s="240" t="n">
        <x:f>I531-'Beta HC3'!$E$9</x:f>
        <x:v>0.008559388473396982</x:v>
      </x:c>
      <x:c r="M531" s="240" t="n">
        <x:f>1/'Beta HC3'!$E$8+L531^2/'Beta HC3'!$E$11</x:f>
        <x:v>0.001297818644675693</x:v>
      </x:c>
      <x:c r="N531" s="240" t="n">
        <x:f>K531^2/(1-M531)^2</x:f>
        <x:v>0.000006586609659654462</x:v>
      </x:c>
      <x:c r="O531" s="240" t="n">
        <x:f>N531*L531^2/'Beta HC3'!$E$11^2</x:f>
        <x:v>2.256639182805052e-8</x:v>
      </x:c>
      <x:c r="P531" s="240" t="n">
        <x:f>N531*(1/'Beta HC3'!$E$8-'Beta HC3'!$E$9*L531/'Beta HC3'!$E$11)^2</x:f>
        <x:v>3.842597859775133e-12</x:v>
      </x:c>
      <x:c r="Q531" s="240" t="n">
        <x:f>N531*(1/'Beta HC3'!$E$8-'Beta HC3'!$E$9*L531/'Beta HC3'!$E$11)*L531/'Beta HC3'!$E$11</x:f>
        <x:v>2.9447167765561764e-10</x:v>
      </x:c>
      <x:c r="R531" s="240" t="n">
        <x:f>K531*L531/'Beta HC3'!$E$11</x:f>
        <x:v>0.00015002618327898386</x:v>
      </x:c>
      <x:c r="S531" s="240" t="n">
        <x:f>(K531-K530)^2</x:f>
        <x:v>0.00031273989545317914</x:v>
      </x:c>
      <x:c r="T531" s="280" t="n">
        <x:f>E531/$E$9*100</x:f>
        <x:v>121.82178914438151</x:v>
      </x:c>
    </x:row>
    <x:row r="532" ht="24" customHeight="1">
      <x:c r="C532" s="274" t="d">
        <x:v>2023-11-06T00:00:00.000Z</x:v>
      </x:c>
      <x:c r="D532" s="191" t="n">
        <x:v>356.5299987792969</x:v>
      </x:c>
      <x:c r="E532" s="191" t="n">
        <x:v>348.37054443359375</x:v>
      </x:c>
      <x:c r="F532" s="191" t="n">
        <x:v>435.69000244140625</x:v>
      </x:c>
      <x:c r="G532" s="191" t="n">
        <x:v>420.1802978515625</x:v>
      </x:c>
      <x:c r="H532" s="208" t="n">
        <x:f>E532/E531-1</x:f>
        <x:v>0.010572523196086037</x:v>
      </x:c>
      <x:c r="I532" s="208" t="n">
        <x:f>G532/G531-1</x:f>
        <x:v>0.0023004517696794125</x:v>
      </x:c>
      <x:c r="J532" s="208" t="n">
        <x:f>'Beta HC3'!$E$13+'Beta HC3'!$E$12*I532</x:f>
        <x:v>0.0026036079004415095</x:v>
      </x:c>
      <x:c r="K532" s="240" t="n">
        <x:f>H532-J532</x:f>
        <x:v>0.007968915295644526</x:v>
      </x:c>
      <x:c r="L532" s="240" t="n">
        <x:f>I532-'Beta HC3'!$E$9</x:f>
        <x:v>0.0017365041520189732</x:v>
      </x:c>
      <x:c r="M532" s="240" t="n">
        <x:f>1/'Beta HC3'!$E$8+L532^2/'Beta HC3'!$E$11</x:f>
        <x:v>0.000817433715352649</x:v>
      </x:c>
      <x:c r="N532" s="240" t="n">
        <x:f>K532^2/(1-M532)^2</x:f>
        <x:v>0.00006360755841231666</x:v>
      </x:c>
      <x:c r="O532" s="240" t="n">
        <x:f>N532*L532^2/'Beta HC3'!$E$11^2</x:f>
        <x:v>8.969641807969894e-9</x:v>
      </x:c>
      <x:c r="P532" s="240" t="n">
        <x:f>N532*(1/'Beta HC3'!$E$8-'Beta HC3'!$E$9*L532/'Beta HC3'!$E$11)^2</x:f>
        <x:v>3.970912376015739e-11</x:v>
      </x:c>
      <x:c r="Q532" s="240" t="n">
        <x:f>N532*(1/'Beta HC3'!$E$8-'Beta HC3'!$E$9*L532/'Beta HC3'!$E$11)*L532/'Beta HC3'!$E$11</x:f>
        <x:v>5.968053423327898e-10</x:v>
      </x:c>
      <x:c r="R532" s="240" t="n">
        <x:f>K532*L532/'Beta HC3'!$E$11</x:f>
        <x:v>0.00009463077525947139</x:v>
      </x:c>
      <x:c r="S532" s="240" t="n">
        <x:f>(K532-K531)^2</x:f>
        <x:v>0.000029222748965119395</x:v>
      </x:c>
      <x:c r="T532" s="280" t="n">
        <x:f>E532/$E$9*100</x:f>
        <x:v>123.10975283589917</x:v>
      </x:c>
    </x:row>
    <x:row r="533" ht="24" customHeight="1">
      <x:c r="C533" s="274" t="d">
        <x:v>2023-11-07T00:00:00.000Z</x:v>
      </x:c>
      <x:c r="D533" s="191" t="n">
        <x:v>360.5299987792969</x:v>
      </x:c>
      <x:c r="E533" s="191" t="n">
        <x:v>352.279052734375</x:v>
      </x:c>
      <x:c r="F533" s="191" t="n">
        <x:v>436.92999267578125</x:v>
      </x:c>
      <x:c r="G533" s="191" t="n">
        <x:v>421.37615966796875</x:v>
      </x:c>
      <x:c r="H533" s="208" t="n">
        <x:f>E533/E532-1</x:f>
        <x:v>0.011219399467701896</x:v>
      </x:c>
      <x:c r="I533" s="208" t="n">
        <x:f>G533/G532-1</x:f>
        <x:v>0.0028460682771678236</x:v>
      </x:c>
      <x:c r="J533" s="208" t="n">
        <x:f>'Beta HC3'!$E$13+'Beta HC3'!$E$12*I533</x:f>
        <x:v>0.003218960599911322</x:v>
      </x:c>
      <x:c r="K533" s="240" t="n">
        <x:f>H533-J533</x:f>
        <x:v>0.008000438867790574</x:v>
      </x:c>
      <x:c r="L533" s="240" t="n">
        <x:f>I533-'Beta HC3'!$E$9</x:f>
        <x:v>0.0022821206595073844</x:v>
      </x:c>
      <x:c r="M533" s="240" t="n">
        <x:f>1/'Beta HC3'!$E$8+L533^2/'Beta HC3'!$E$11</x:f>
        <x:v>0.0008324278816783783</x:v>
      </x:c>
      <x:c r="N533" s="240" t="n">
        <x:f>K533^2/(1-M533)^2</x:f>
        <x:v>0.0000641137177430343</x:v>
      </x:c>
      <x:c r="O533" s="240" t="n">
        <x:f>N533*L533^2/'Beta HC3'!$E$11^2</x:f>
        <x:v>1.5615032369853202e-8</x:v>
      </x:c>
      <x:c r="P533" s="240" t="n">
        <x:f>N533*(1/'Beta HC3'!$E$8-'Beta HC3'!$E$9*L533/'Beta HC3'!$E$11)^2</x:f>
        <x:v>3.9812209968394933e-11</x:v>
      </x:c>
      <x:c r="Q533" s="240" t="n">
        <x:f>N533*(1/'Beta HC3'!$E$8-'Beta HC3'!$E$9*L533/'Beta HC3'!$E$11)*L533/'Beta HC3'!$E$11</x:f>
        <x:v>7.884598578062674e-10</x:v>
      </x:c>
      <x:c r="R533" s="240" t="n">
        <x:f>K533*L533/'Beta HC3'!$E$11</x:f>
        <x:v>0.00012485610282816817</x:v>
      </x:c>
      <x:c r="S533" s="240" t="n">
        <x:f>(K533-K532)^2</x:f>
        <x:v>9.93735600847085e-10</x:v>
      </x:c>
      <x:c r="T533" s="280" t="n">
        <x:f>E533/$E$9*100</x:f>
        <x:v>124.49097033133518</x:v>
      </x:c>
    </x:row>
    <x:row r="534" ht="24" customHeight="1">
      <x:c r="C534" s="274" t="d">
        <x:v>2023-11-08T00:00:00.000Z</x:v>
      </x:c>
      <x:c r="D534" s="191" t="n">
        <x:v>363.20001220703125</x:v>
      </x:c>
      <x:c r="E534" s="191" t="n">
        <x:v>354.88800048828125</x:v>
      </x:c>
      <x:c r="F534" s="191" t="n">
        <x:v>437.25</x:v>
      </x:c>
      <x:c r="G534" s="191" t="n">
        <x:v>421.6847839355469</x:v>
      </x:c>
      <x:c r="H534" s="208" t="n">
        <x:f>E534/E533-1</x:f>
        <x:v>0.007405912255229685</x:v>
      </x:c>
      <x:c r="I534" s="208" t="n">
        <x:f>G534/G533-1</x:f>
        <x:v>0.0007324198593041675</x:v>
      </x:c>
      <x:c r="J534" s="208" t="n">
        <x:f>'Beta HC3'!$E$13+'Beta HC3'!$E$12*I534</x:f>
        <x:v>0.0008351631124606249</x:v>
      </x:c>
      <x:c r="K534" s="240" t="n">
        <x:f>H534-J534</x:f>
        <x:v>0.00657074914276906</x:v>
      </x:c>
      <x:c r="L534" s="240" t="n">
        <x:f>I534-'Beta HC3'!$E$9</x:f>
        <x:v>0.00016847224164372816</x:v>
      </x:c>
      <x:c r="M534" s="240" t="n">
        <x:f>1/'Beta HC3'!$E$8+L534^2/'Beta HC3'!$E$11</x:f>
        <x:v>0.0007970068438799893</x:v>
      </x:c>
      <x:c r="N534" s="240" t="n">
        <x:f>K534^2/(1-M534)^2</x:f>
        <x:v>0.000043243647794467366</x:v>
      </x:c>
      <x:c r="O534" s="240" t="n">
        <x:f>N534*L534^2/'Beta HC3'!$E$11^2</x:f>
        <x:v>5.739760263784116e-11</x:v>
      </x:c>
      <x:c r="P534" s="240" t="n">
        <x:f>N534*(1/'Beta HC3'!$E$8-'Beta HC3'!$E$9*L534/'Beta HC3'!$E$11)^2</x:f>
        <x:v>2.741109202128428e-11</x:v>
      </x:c>
      <x:c r="Q534" s="240" t="n">
        <x:f>N534*(1/'Beta HC3'!$E$8-'Beta HC3'!$E$9*L534/'Beta HC3'!$E$11)*L534/'Beta HC3'!$E$11</x:f>
        <x:v>3.9665236261832274e-11</x:v>
      </x:c>
      <x:c r="R534" s="240" t="n">
        <x:f>K534*L534/'Beta HC3'!$E$11</x:f>
        <x:v>0.000007570082333349604</x:v>
      </x:c>
      <x:c r="S534" s="240" t="n">
        <x:f>(K534-K533)^2</x:f>
        <x:v>0.000002044012709832092</x:v>
      </x:c>
      <x:c r="T534" s="280" t="n">
        <x:f>E534/$E$9*100</x:f>
        <x:v>125.41293953417747</x:v>
      </x:c>
    </x:row>
    <x:row r="535" ht="24" customHeight="1">
      <x:c r="C535" s="274" t="d">
        <x:v>2023-11-09T00:00:00.000Z</x:v>
      </x:c>
      <x:c r="D535" s="191" t="n">
        <x:v>360.69000244140625</x:v>
      </x:c>
      <x:c r="E535" s="191" t="n">
        <x:v>352.4353942871094</x:v>
      </x:c>
      <x:c r="F535" s="191" t="n">
        <x:v>433.8399963378906</x:v>
      </x:c>
      <x:c r="G535" s="191" t="n">
        <x:v>418.39617919921875</x:v>
      </x:c>
      <x:c r="H535" s="208" t="n">
        <x:f>E535/E534-1</x:f>
        <x:v>-0.006910930202760901</x:v>
      </x:c>
      <x:c r="I535" s="208" t="n">
        <x:f>G535/G534-1</x:f>
        <x:v>-0.007798727536800998</x:v>
      </x:c>
      <x:c r="J535" s="208" t="n">
        <x:f>'Beta HC3'!$E$13+'Beta HC3'!$E$12*I535</x:f>
        <x:v>-0.008786365026292908</x:v>
      </x:c>
      <x:c r="K535" s="240" t="n">
        <x:f>H535-J535</x:f>
        <x:v>0.001875434823532007</x:v>
      </x:c>
      <x:c r="L535" s="240" t="n">
        <x:f>I535-'Beta HC3'!$E$9</x:f>
        <x:v>-0.008362675154461437</x:v>
      </x:c>
      <x:c r="M535" s="240" t="n">
        <x:f>1/'Beta HC3'!$E$8+L535^2/'Beta HC3'!$E$11</x:f>
        <x:v>0.0012750548609432707</x:v>
      </x:c>
      <x:c r="N535" s="240" t="n">
        <x:f>K535^2/(1-M535)^2</x:f>
        <x:v>0.000003526242349372358</x:v>
      </x:c>
      <x:c r="O535" s="240" t="n">
        <x:f>N535*L535^2/'Beta HC3'!$E$11^2</x:f>
        <x:v>1.1532337237641137e-8</x:v>
      </x:c>
      <x:c r="P535" s="240" t="n">
        <x:f>N535*(1/'Beta HC3'!$E$8-'Beta HC3'!$E$9*L535/'Beta HC3'!$E$11)^2</x:f>
        <x:v>2.4237502471732583e-12</x:v>
      </x:c>
      <x:c r="Q535" s="240" t="n">
        <x:f>N535*(1/'Beta HC3'!$E$8-'Beta HC3'!$E$9*L535/'Beta HC3'!$E$11)*L535/'Beta HC3'!$E$11</x:f>
        <x:v>-1.6718703666916904e-10</x:v>
      </x:c>
      <x:c r="R535" s="240" t="n">
        <x:f>K535*L535/'Beta HC3'!$E$11</x:f>
        <x:v>-0.00010725179374352876</x:v>
      </x:c>
      <x:c r="S535" s="240" t="n">
        <x:f>(K535-K534)^2</x:f>
        <x:v>0.000022045976556432514</x:v>
      </x:c>
      <x:c r="T535" s="280" t="n">
        <x:f>E535/$E$9*100</x:f>
        <x:v>124.54621946253368</x:v>
      </x:c>
    </x:row>
    <x:row r="536" ht="24" customHeight="1">
      <x:c r="C536" s="274" t="d">
        <x:v>2023-11-10T00:00:00.000Z</x:v>
      </x:c>
      <x:c r="D536" s="191" t="n">
        <x:v>369.6700134277344</x:v>
      </x:c>
      <x:c r="E536" s="191" t="n">
        <x:v>361.2098693847656</x:v>
      </x:c>
      <x:c r="F536" s="191" t="n">
        <x:v>440.6099853515625</x:v>
      </x:c>
      <x:c r="G536" s="191" t="n">
        <x:v>424.9252014160156</x:v>
      </x:c>
      <x:c r="H536" s="208" t="n">
        <x:f>E536/E535-1</x:f>
        <x:v>0.02489669096772995</x:v>
      </x:c>
      <x:c r="I536" s="208" t="n">
        <x:f>G536/G535-1</x:f>
        <x:v>0.015604880114567399</x:v>
      </x:c>
      <x:c r="J536" s="208" t="n">
        <x:f>'Beta HC3'!$E$13+'Beta HC3'!$E$12*I536</x:f>
        <x:v>0.017608498303438348</x:v>
      </x:c>
      <x:c r="K536" s="240" t="n">
        <x:f>H536-J536</x:f>
        <x:v>0.007288192664291603</x:v>
      </x:c>
      <x:c r="L536" s="240" t="n">
        <x:f>I536-'Beta HC3'!$E$9</x:f>
        <x:v>0.01504093249690696</x:v>
      </x:c>
      <x:c r="M536" s="240" t="n">
        <x:f>1/'Beta HC3'!$E$8+L536^2/'Beta HC3'!$E$11</x:f>
        <x:v>0.0023438717813948793</x:v>
      </x:c>
      <x:c r="N536" s="240" t="n">
        <x:f>K536^2/(1-M536)^2</x:f>
        <x:v>0.0000533676329018018</x:v>
      </x:c>
      <x:c r="O536" s="240" t="n">
        <x:f>N536*L536^2/'Beta HC3'!$E$11^2</x:f>
        <x:v>5.646017077733552e-7</x:v>
      </x:c>
      <x:c r="P536" s="240" t="n">
        <x:f>N536*(1/'Beta HC3'!$E$8-'Beta HC3'!$E$9*L536/'Beta HC3'!$E$11)^2</x:f>
        <x:v>2.9129965275345723e-11</x:v>
      </x:c>
      <x:c r="Q536" s="240" t="n">
        <x:f>N536*(1/'Beta HC3'!$E$8-'Beta HC3'!$E$9*L536/'Beta HC3'!$E$11)*L536/'Beta HC3'!$E$11</x:f>
        <x:v>4.055468917627003e-9</x:v>
      </x:c>
      <x:c r="R536" s="240" t="n">
        <x:f>K536*L536/'Beta HC3'!$E$11</x:f>
        <x:v>0.0007496386472990323</x:v>
      </x:c>
      <x:c r="S536" s="240" t="n">
        <x:f>(K536-K535)^2</x:f>
        <x:v>0.00002929794744270449</x:v>
      </x:c>
      <x:c r="T536" s="280" t="n">
        <x:f>E536/$E$9*100</x:f>
        <x:v>127.64700819969148</x:v>
      </x:c>
    </x:row>
    <x:row r="537" ht="24" customHeight="1">
      <x:c r="C537" s="274" t="d">
        <x:v>2023-11-13T00:00:00.000Z</x:v>
      </x:c>
      <x:c r="D537" s="191" t="n">
        <x:v>366.67999267578125</x:v>
      </x:c>
      <x:c r="E537" s="191" t="n">
        <x:v>358.2882995605469</x:v>
      </x:c>
      <x:c r="F537" s="191" t="n">
        <x:v>440.19000244140625</x:v>
      </x:c>
      <x:c r="G537" s="191" t="n">
        <x:v>424.5201416015625</x:v>
      </x:c>
      <x:c r="H537" s="208" t="n">
        <x:f>E537/E536-1</x:f>
        <x:v>-0.008088289030404816</x:v>
      </x:c>
      <x:c r="I537" s="208" t="n">
        <x:f>G537/G536-1</x:f>
        <x:v>-0.0009532496851288874</x:v>
      </x:c>
      <x:c r="J537" s="208" t="n">
        <x:f>'Beta HC3'!$E$13+'Beta HC3'!$E$12*I537</x:f>
        <x:v>-0.0010659547795836533</x:v>
      </x:c>
      <x:c r="K537" s="240" t="n">
        <x:f>H537-J537</x:f>
        <x:v>-0.007022334250821162</x:v>
      </x:c>
      <x:c r="L537" s="240" t="n">
        <x:f>I537-'Beta HC3'!$E$9</x:f>
        <x:v>-0.0015171973027893267</x:v>
      </x:c>
      <x:c r="M537" s="240" t="n">
        <x:f>1/'Beta HC3'!$E$8+L537^2/'Beta HC3'!$E$11</x:f>
        <x:v>0.0008125540812440537</x:v>
      </x:c>
      <x:c r="N537" s="240" t="n">
        <x:f>K537^2/(1-M537)^2</x:f>
        <x:v>0.00004939341536101957</x:v>
      </x:c>
      <x:c r="O537" s="240" t="n">
        <x:f>N537*L537^2/'Beta HC3'!$E$11^2</x:f>
        <x:v>5.317015222615405e-9</x:v>
      </x:c>
      <x:c r="P537" s="240" t="n">
        <x:f>N537*(1/'Beta HC3'!$E$8-'Beta HC3'!$E$9*L537/'Beta HC3'!$E$11)^2</x:f>
        <x:v>3.1822659606556243e-11</x:v>
      </x:c>
      <x:c r="Q537" s="240" t="n">
        <x:f>N537*(1/'Beta HC3'!$E$8-'Beta HC3'!$E$9*L537/'Beta HC3'!$E$11)*L537/'Beta HC3'!$E$11</x:f>
        <x:v>-4.113411790134412e-10</x:v>
      </x:c>
      <x:c r="R537" s="240" t="n">
        <x:f>K537*L537/'Beta HC3'!$E$11</x:f>
        <x:v>0.00007285861656870226</x:v>
      </x:c>
      <x:c r="S537" s="240" t="n">
        <x:f>(K537-K536)^2</x:f>
        <x:v>0.00020479118058816688</x:v>
      </x:c>
      <x:c r="T537" s="280" t="n">
        <x:f>E537/$E$9*100</x:f>
        <x:v>126.61456230350592</x:v>
      </x:c>
    </x:row>
    <x:row r="538" ht="24" customHeight="1">
      <x:c r="C538" s="274" t="d">
        <x:v>2023-11-14T00:00:00.000Z</x:v>
      </x:c>
      <x:c r="D538" s="191" t="n">
        <x:v>370.2699890136719</x:v>
      </x:c>
      <x:c r="E538" s="191" t="n">
        <x:v>361.796142578125</x:v>
      </x:c>
      <x:c r="F538" s="191" t="n">
        <x:v>448.7300109863281</x:v>
      </x:c>
      <x:c r="G538" s="191" t="n">
        <x:v>432.75616455078125</x:v>
      </x:c>
      <x:c r="H538" s="208" t="n">
        <x:f>E538/E537-1</x:f>
        <x:v>0.009790559786296615</x:v>
      </x:c>
      <x:c r="I538" s="208" t="n">
        <x:f>G538/G537-1</x:f>
        <x:v>0.019400782535658134</x:v>
      </x:c>
      <x:c r="J538" s="208" t="n">
        <x:f>'Beta HC3'!$E$13+'Beta HC3'!$E$12*I538</x:f>
        <x:v>0.021889561595482884</x:v>
      </x:c>
      <x:c r="K538" s="240" t="n">
        <x:f>H538-J538</x:f>
        <x:v>-0.012099001809186268</x:v>
      </x:c>
      <x:c r="L538" s="240" t="n">
        <x:f>I538-'Beta HC3'!$E$9</x:f>
        <x:v>0.018836834917997695</x:v>
      </x:c>
      <x:c r="M538" s="240" t="n">
        <x:f>1/'Beta HC3'!$E$8+L538^2/'Beta HC3'!$E$11</x:f>
        <x:v>0.0032232732432992415</x:v>
      </x:c>
      <x:c r="N538" s="240" t="n">
        <x:f>K538^2/(1-M538)^2</x:f>
        <x:v>0.00014733411024311235</x:v>
      </x:c>
      <x:c r="O538" s="240" t="n">
        <x:f>N538*L538^2/'Beta HC3'!$E$11^2</x:f>
        <x:v>0.000002444746826235177</x:v>
      </x:c>
      <x:c r="P538" s="240" t="n">
        <x:f>N538*(1/'Beta HC3'!$E$8-'Beta HC3'!$E$9*L538/'Beta HC3'!$E$11)^2</x:f>
        <x:v>7.726485581296094e-11</x:v>
      </x:c>
      <x:c r="Q538" s="240" t="n">
        <x:f>N538*(1/'Beta HC3'!$E$8-'Beta HC3'!$E$9*L538/'Beta HC3'!$E$11)*L538/'Beta HC3'!$E$11</x:f>
        <x:v>1.3743835382754513e-8</x:v>
      </x:c>
      <x:c r="R538" s="240" t="n">
        <x:f>K538*L538/'Beta HC3'!$E$11</x:f>
        <x:v>-0.0015585288100787781</x:v>
      </x:c>
      <x:c r="S538" s="240" t="n">
        <x:f>(K538-K537)^2</x:f>
        <x:v>0.000025772553498156725</x:v>
      </x:c>
      <x:c r="T538" s="280" t="n">
        <x:f>E538/$E$9*100</x:f>
        <x:v>127.85418974555418</x:v>
      </x:c>
    </x:row>
    <x:row r="539" ht="24" customHeight="1">
      <x:c r="C539" s="274" t="d">
        <x:v>2023-11-15T00:00:00.000Z</x:v>
      </x:c>
      <x:c r="D539" s="191" t="n">
        <x:v>369.6700134277344</x:v>
      </x:c>
      <x:c r="E539" s="191" t="n">
        <x:v>361.9429931640625</x:v>
      </x:c>
      <x:c r="F539" s="191" t="n">
        <x:v>449.67999267578125</x:v>
      </x:c>
      <x:c r="G539" s="191" t="n">
        <x:v>433.6723327636719</x:v>
      </x:c>
      <x:c r="H539" s="208" t="n">
        <x:f>E539/E538-1</x:f>
        <x:v>0.00040589317755301835</x:v>
      </x:c>
      <x:c r="I539" s="208" t="n">
        <x:f>G539/G538-1</x:f>
        <x:v>0.0021170541009893906</x:v>
      </x:c>
      <x:c r="J539" s="208" t="n">
        <x:f>'Beta HC3'!$E$13+'Beta HC3'!$E$12*I539</x:f>
        <x:v>0.0023967698576843953</x:v>
      </x:c>
      <x:c r="K539" s="240" t="n">
        <x:f>H539-J539</x:f>
        <x:v>-0.001990876680131377</x:v>
      </x:c>
      <x:c r="L539" s="240" t="n">
        <x:f>I539-'Beta HC3'!$E$9</x:f>
        <x:v>0.0015531064833289514</x:v>
      </x:c>
      <x:c r="M539" s="240" t="n">
        <x:f>1/'Beta HC3'!$E$8+L539^2/'Beta HC3'!$E$11</x:f>
        <x:v>0.0008133080341232677</x:v>
      </x:c>
      <x:c r="N539" s="240" t="n">
        <x:f>K539^2/(1-M539)^2</x:f>
        <x:v>0.000003970045068525513</x:v>
      </x:c>
      <x:c r="O539" s="240" t="n">
        <x:f>N539*L539^2/'Beta HC3'!$E$11^2</x:f>
        <x:v>4.478294241746307e-10</x:v>
      </x:c>
      <x:c r="P539" s="240" t="n">
        <x:f>N539*(1/'Beta HC3'!$E$8-'Beta HC3'!$E$9*L539/'Beta HC3'!$E$11)^2</x:f>
        <x:v>2.4828712001356114e-12</x:v>
      </x:c>
      <x:c r="Q539" s="240" t="n">
        <x:f>N539*(1/'Beta HC3'!$E$8-'Beta HC3'!$E$9*L539/'Beta HC3'!$E$11)*L539/'Beta HC3'!$E$11</x:f>
        <x:v>3.334520625002199e-11</x:v>
      </x:c>
      <x:c r="R539" s="240" t="n">
        <x:f>K539*L539/'Beta HC3'!$E$11</x:f>
        <x:v>-0.00002114476942090278</x:v>
      </x:c>
      <x:c r="S539" s="240" t="n">
        <x:f>(K539-K538)^2</x:f>
        <x:v>0.00010217419362463095</x:v>
      </x:c>
      <x:c r="T539" s="280" t="n">
        <x:f>E539/$E$9*100</x:f>
        <x:v>127.9060848888935</x:v>
      </x:c>
    </x:row>
    <x:row r="540" ht="24" customHeight="1">
      <x:c r="C540" s="274" t="d">
        <x:v>2023-11-16T00:00:00.000Z</x:v>
      </x:c>
      <x:c r="D540" s="191" t="n">
        <x:v>376.1700134277344</x:v>
      </x:c>
      <x:c r="E540" s="191" t="n">
        <x:v>368.30718994140625</x:v>
      </x:c>
      <x:c r="F540" s="191" t="n">
        <x:v>450.2300109863281</x:v>
      </x:c>
      <x:c r="G540" s="191" t="n">
        <x:v>434.20269775390625</x:v>
      </x:c>
      <x:c r="H540" s="208" t="n">
        <x:f>E540/E539-1</x:f>
        <x:v>0.017583423073641136</x:v>
      </x:c>
      <x:c r="I540" s="208" t="n">
        <x:f>G540/G539-1</x:f>
        <x:v>0.0012229624768878011</x:v>
      </x:c>
      <x:c r="J540" s="208" t="n">
        <x:f>'Beta HC3'!$E$13+'Beta HC3'!$E$12*I540</x:f>
        <x:v>0.0013884028326527202</x:v>
      </x:c>
      <x:c r="K540" s="240" t="n">
        <x:f>H540-J540</x:f>
        <x:v>0.016195020240988414</x:v>
      </x:c>
      <x:c r="L540" s="240" t="n">
        <x:f>I540-'Beta HC3'!$E$9</x:f>
        <x:v>0.0006590148592273618</x:v>
      </x:c>
      <x:c r="M540" s="240" t="n">
        <x:f>1/'Beta HC3'!$E$8+L540^2/'Beta HC3'!$E$11</x:f>
        <x:v>0.00079978268968677</x:v>
      </x:c>
      <x:c r="N540" s="240" t="n">
        <x:f>K540^2/(1-M540)^2</x:f>
        <x:v>0.00026269871634203957</x:v>
      </x:c>
      <x:c r="O540" s="240" t="n">
        <x:f>N540*L540^2/'Beta HC3'!$E$11^2</x:f>
        <x:v>5.335352125342965e-9</x:v>
      </x:c>
      <x:c r="P540" s="240" t="n">
        <x:f>N540*(1/'Beta HC3'!$E$8-'Beta HC3'!$E$9*L540/'Beta HC3'!$E$11)^2</x:f>
        <x:v>1.657279000260047e-10</x:v>
      </x:c>
      <x:c r="Q540" s="240" t="n">
        <x:f>N540*(1/'Beta HC3'!$E$8-'Beta HC3'!$E$9*L540/'Beta HC3'!$E$11)*L540/'Beta HC3'!$E$11</x:f>
        <x:v>9.403279766296285e-10</x:v>
      </x:c>
      <x:c r="R540" s="240" t="n">
        <x:f>K540*L540/'Beta HC3'!$E$11</x:f>
        <x:v>0.00007298507582764457</x:v>
      </x:c>
      <x:c r="S540" s="240" t="n">
        <x:f>(K540-K539)^2</x:f>
        <x:v>0.00033072684682559434</x:v>
      </x:c>
      <x:c r="T540" s="280" t="n">
        <x:f>E540/$E$9*100</x:f>
        <x:v>130.155111693188</x:v>
      </x:c>
    </x:row>
    <x:row r="541" ht="24" customHeight="1">
      <x:c r="C541" s="274" t="d">
        <x:v>2023-11-17T00:00:00.000Z</x:v>
      </x:c>
      <x:c r="D541" s="191" t="n">
        <x:v>369.8500061035156</x:v>
      </x:c>
      <x:c r="E541" s="191" t="n">
        <x:v>362.11932373046875</x:v>
      </x:c>
      <x:c r="F541" s="191" t="n">
        <x:v>450.7900085449219</x:v>
      </x:c>
      <x:c r="G541" s="191" t="n">
        <x:v>434.7427978515625</x:v>
      </x:c>
      <x:c r="H541" s="208" t="n">
        <x:f>E541/E540-1</x:f>
        <x:v>-0.016800829253216354</x:v>
      </x:c>
      <x:c r="I541" s="208" t="n">
        <x:f>G541/G540-1</x:f>
        <x:v>0.0012438893181689892</x:v>
      </x:c>
      <x:c r="J541" s="208" t="n">
        <x:f>'Beta HC3'!$E$13+'Beta HC3'!$E$12*I541</x:f>
        <x:v>0.0014120043698075116</x:v>
      </x:c>
      <x:c r="K541" s="240" t="n">
        <x:f>H541-J541</x:f>
        <x:v>-0.018212833623023866</x:v>
      </x:c>
      <x:c r="L541" s="240" t="n">
        <x:f>I541-'Beta HC3'!$E$9</x:f>
        <x:v>0.0006799417005085498</x:v>
      </x:c>
      <x:c r="M541" s="240" t="n">
        <x:f>1/'Beta HC3'!$E$8+L541^2/'Beta HC3'!$E$11</x:f>
        <x:v>0.0007999743038156491</x:v>
      </x:c>
      <x:c r="N541" s="240" t="n">
        <x:f>K541^2/(1-M541)^2</x:f>
        <x:v>0.00033223866074352305</x:v>
      </x:c>
      <x:c r="O541" s="240" t="n">
        <x:f>N541*L541^2/'Beta HC3'!$E$11^2</x:f>
        <x:v>7.18303933074016e-9</x:v>
      </x:c>
      <x:c r="P541" s="240" t="n">
        <x:f>N541*(1/'Beta HC3'!$E$8-'Beta HC3'!$E$9*L541/'Beta HC3'!$E$11)^2</x:f>
        <x:v>2.0955575074175533e-10</x:v>
      </x:c>
      <x:c r="Q541" s="240" t="n">
        <x:f>N541*(1/'Beta HC3'!$E$8-'Beta HC3'!$E$9*L541/'Beta HC3'!$E$11)*L541/'Beta HC3'!$E$11</x:f>
        <x:v>1.226885161521163e-9</x:v>
      </x:c>
      <x:c r="R541" s="240" t="n">
        <x:f>K541*L541/'Beta HC3'!$E$11</x:f>
        <x:v>-0.00008468501304135363</x:v>
      </x:c>
      <x:c r="S541" s="240" t="n">
        <x:f>(K541-K540)^2</x:f>
        <x:v>0.0011839004075272247</x:v>
      </x:c>
      <x:c r="T541" s="280" t="n">
        <x:f>E541/$E$9*100</x:f>
        <x:v>127.96839788519743</x:v>
      </x:c>
    </x:row>
    <x:row r="542" ht="24" customHeight="1">
      <x:c r="C542" s="274" t="d">
        <x:v>2023-11-20T00:00:00.000Z</x:v>
      </x:c>
      <x:c r="D542" s="191" t="n">
        <x:v>377.44000244140625</x:v>
      </x:c>
      <x:c r="E542" s="191" t="n">
        <x:v>369.5506591796875</x:v>
      </x:c>
      <x:c r="F542" s="191" t="n">
        <x:v>454.260009765625</x:v>
      </x:c>
      <x:c r="G542" s="191" t="n">
        <x:v>438.0892639160156</x:v>
      </x:c>
      <x:c r="H542" s="208" t="n">
        <x:f>E542/E541-1</x:f>
        <x:v>0.020521786500269812</x:v>
      </x:c>
      <x:c r="I542" s="208" t="n">
        <x:f>G542/G541-1</x:f>
        <x:v>0.007697576776408699</x:v>
      </x:c>
      <x:c r="J542" s="208" t="n">
        <x:f>'Beta HC3'!$E$13+'Beta HC3'!$E$12*I542</x:f>
        <x:v>0.00869054881349194</x:v>
      </x:c>
      <x:c r="K542" s="240" t="n">
        <x:f>H542-J542</x:f>
        <x:v>0.011831237686777872</x:v>
      </x:c>
      <x:c r="L542" s="240" t="n">
        <x:f>I542-'Beta HC3'!$E$9</x:f>
        <x:v>0.007133629158748259</x:v>
      </x:c>
      <x:c r="M542" s="240" t="n">
        <x:f>1/'Beta HC3'!$E$8+L542^2/'Beta HC3'!$E$11</x:f>
        <x:v>0.0011448120880126228</x:v>
      </x:c>
      <x:c r="N542" s="240" t="n">
        <x:f>K542^2/(1-M542)^2</x:f>
        <x:v>0.00014029923384328377</x:v>
      </x:c>
      <x:c r="O542" s="240" t="n">
        <x:f>N542*L542^2/'Beta HC3'!$E$11^2</x:f>
        <x:v>3.338805189575523e-7</x:v>
      </x:c>
      <x:c r="P542" s="240" t="n">
        <x:f>N542*(1/'Beta HC3'!$E$8-'Beta HC3'!$E$9*L542/'Beta HC3'!$E$11)^2</x:f>
        <x:v>8.303261564161594e-11</x:v>
      </x:c>
      <x:c r="Q542" s="240" t="n">
        <x:f>N542*(1/'Beta HC3'!$E$8-'Beta HC3'!$E$9*L542/'Beta HC3'!$E$11)*L542/'Beta HC3'!$E$11</x:f>
        <x:v>5.2652609432796124e-9</x:v>
      </x:c>
      <x:c r="R542" s="240" t="n">
        <x:f>K542*L542/'Beta HC3'!$E$11</x:f>
        <x:v>0.0005771624516819224</x:v>
      </x:c>
      <x:c r="S542" s="240" t="n">
        <x:f>(K542-K541)^2</x:f>
        <x:v>0.0009026462208684519</x:v>
      </x:c>
      <x:c r="T542" s="280" t="n">
        <x:f>E542/$E$9*100</x:f>
        <x:v>130.59453802537902</x:v>
      </x:c>
    </x:row>
    <x:row r="543" ht="24" customHeight="1">
      <x:c r="C543" s="274" t="d">
        <x:v>2023-11-21T00:00:00.000Z</x:v>
      </x:c>
      <x:c r="D543" s="191" t="n">
        <x:v>373.07000732421875</x:v>
      </x:c>
      <x:c r="E543" s="191" t="n">
        <x:v>365.2719421386719</x:v>
      </x:c>
      <x:c r="F543" s="191" t="n">
        <x:v>453.2699890136719</x:v>
      </x:c>
      <x:c r="G543" s="191" t="n">
        <x:v>437.134521484375</x:v>
      </x:c>
      <x:c r="H543" s="208" t="n">
        <x:f>E543/E542-1</x:f>
        <x:v>-0.011578161030786238</x:v>
      </x:c>
      <x:c r="I543" s="208" t="n">
        <x:f>G543/G542-1</x:f>
        <x:v>-0.0021793330955118817</x:v>
      </x:c>
      <x:c r="J543" s="208" t="n">
        <x:f>'Beta HC3'!$E$13+'Beta HC3'!$E$12*I543</x:f>
        <x:v>-0.0024487460368117983</x:v>
      </x:c>
      <x:c r="K543" s="240" t="n">
        <x:f>H543-J543</x:f>
        <x:v>-0.00912941499397444</x:v>
      </x:c>
      <x:c r="L543" s="240" t="n">
        <x:f>I543-'Beta HC3'!$E$9</x:f>
        <x:v>-0.002743280713172321</x:v>
      </x:c>
      <x:c r="M543" s="240" t="n">
        <x:f>1/'Beta HC3'!$E$8+L543^2/'Beta HC3'!$E$11</x:f>
        <x:v>0.0008482760763237384</x:v>
      </x:c>
      <x:c r="N543" s="240" t="n">
        <x:f>K543^2/(1-M543)^2</x:f>
        <x:v>0.00008348779946259538</x:v>
      </x:c>
      <x:c r="O543" s="240" t="n">
        <x:f>N543*L543^2/'Beta HC3'!$E$11^2</x:f>
        <x:v>2.9381789121200045e-8</x:v>
      </x:c>
      <x:c r="P543" s="240" t="n">
        <x:f>N543*(1/'Beta HC3'!$E$8-'Beta HC3'!$E$9*L543/'Beta HC3'!$E$11)^2</x:f>
        <x:v>5.442421809558354e-11</x:v>
      </x:c>
      <x:c r="Q543" s="240" t="n">
        <x:f>N543*(1/'Beta HC3'!$E$8-'Beta HC3'!$E$9*L543/'Beta HC3'!$E$11)*L543/'Beta HC3'!$E$11</x:f>
        <x:v>-1.2645477053755766e-9</x:v>
      </x:c>
      <x:c r="R543" s="240" t="n">
        <x:f>K543*L543/'Beta HC3'!$E$11</x:f>
        <x:v>0.00017126576577337183</x:v>
      </x:c>
      <x:c r="S543" s="240" t="n">
        <x:f>(K543-K542)^2</x:f>
        <x:v>0.00043934896080312906</x:v>
      </x:c>
      <x:c r="T543" s="280" t="n">
        <x:f>E543/$E$9*100</x:f>
        <x:v>129.08249343438004</x:v>
      </x:c>
    </x:row>
    <x:row r="544" ht="24" customHeight="1">
      <x:c r="C544" s="274" t="d">
        <x:v>2023-11-22T00:00:00.000Z</x:v>
      </x:c>
      <x:c r="D544" s="191" t="n">
        <x:v>377.8500061035156</x:v>
      </x:c>
      <x:c r="E544" s="191" t="n">
        <x:v>369.9520263671875</x:v>
      </x:c>
      <x:c r="F544" s="191" t="n">
        <x:v>455.0199890136719</x:v>
      </x:c>
      <x:c r="G544" s="191" t="n">
        <x:v>438.8222351074219</x:v>
      </x:c>
      <x:c r="H544" s="208" t="n">
        <x:f>E544/E543-1</x:f>
        <x:v>0.0128126025807338</x:v>
      </x:c>
      <x:c r="I544" s="208" t="n">
        <x:f>G544/G543-1</x:f>
        <x:v>0.0038608564185593774</x:v>
      </x:c>
      <x:c r="J544" s="208" t="n">
        <x:f>'Beta HC3'!$E$13+'Beta HC3'!$E$12*I544</x:f>
        <x:v>0.004363450573408889</x:v>
      </x:c>
      <x:c r="K544" s="240" t="n">
        <x:f>H544-J544</x:f>
        <x:v>0.008449152007324913</x:v>
      </x:c>
      <x:c r="L544" s="240" t="n">
        <x:f>I544-'Beta HC3'!$E$9</x:f>
        <x:v>0.003296908800898938</x:v>
      </x:c>
      <x:c r="M544" s="240" t="n">
        <x:f>1/'Beta HC3'!$E$8+L544^2/'Beta HC3'!$E$11</x:f>
        <x:v>0.0008711439635563463</x:v>
      </x:c>
      <x:c r="N544" s="240" t="n">
        <x:f>K544^2/(1-M544)^2</x:f>
        <x:v>0.00007151271110566668</x:v>
      </x:c>
      <x:c r="O544" s="240" t="n">
        <x:f>N544*L544^2/'Beta HC3'!$E$11^2</x:f>
        <x:v>3.635062089647983e-8</x:v>
      </x:c>
      <x:c r="P544" s="240" t="n">
        <x:f>N544*(1/'Beta HC3'!$E$8-'Beta HC3'!$E$9*L544/'Beta HC3'!$E$11)^2</x:f>
        <x:v>4.396672210242889e-11</x:v>
      </x:c>
      <x:c r="Q544" s="240" t="n">
        <x:f>N544*(1/'Beta HC3'!$E$8-'Beta HC3'!$E$9*L544/'Beta HC3'!$E$11)*L544/'Beta HC3'!$E$11</x:f>
        <x:v>1.2642063309469199e-9</x:v>
      </x:c>
      <x:c r="R544" s="240" t="n">
        <x:f>K544*L544/'Beta HC3'!$E$11</x:f>
        <x:v>0.00019049229704829843</x:v>
      </x:c>
      <x:c r="S544" s="240" t="n">
        <x:f>(K544-K543)^2</x:f>
        <x:v>0.0003090060178191705</x:v>
      </x:c>
      <x:c r="T544" s="280" t="n">
        <x:f>E544/$E$9*100</x:f>
        <x:v>130.73637612288493</x:v>
      </x:c>
    </x:row>
    <x:row r="545" ht="24" customHeight="1">
      <x:c r="C545" s="274" t="d">
        <x:v>2023-11-24T00:00:00.000Z</x:v>
      </x:c>
      <x:c r="D545" s="191" t="n">
        <x:v>377.42999267578125</x:v>
      </x:c>
      <x:c r="E545" s="191" t="n">
        <x:v>369.540771484375</x:v>
      </x:c>
      <x:c r="F545" s="191" t="n">
        <x:v>455.29998779296875</x:v>
      </x:c>
      <x:c r="G545" s="191" t="n">
        <x:v>439.0921936035156</x:v>
      </x:c>
      <x:c r="H545" s="208" t="n">
        <x:f>E545/E544-1</x:f>
        <x:v>-0.001111643817310326</x:v>
      </x:c>
      <x:c r="I545" s="208" t="n">
        <x:f>G545/G544-1</x:f>
        <x:v>0.0006151887358845087</x:v>
      </x:c>
      <x:c r="J545" s="208" t="n">
        <x:f>'Beta HC3'!$E$13+'Beta HC3'!$E$12*I545</x:f>
        <x:v>0.0007029484758649789</x:v>
      </x:c>
      <x:c r="K545" s="240" t="n">
        <x:f>H545-J545</x:f>
        <x:v>-0.001814592293175305</x:v>
      </x:c>
      <x:c r="L545" s="240" t="n">
        <x:f>I545-'Beta HC3'!$E$9</x:f>
        <x:v>0.00005124111822406936</x:v>
      </x:c>
      <x:c r="M545" s="240" t="n">
        <x:f>1/'Beta HC3'!$E$8+L545^2/'Beta HC3'!$E$11</x:f>
        <x:v>0.0007968307043822482</x:v>
      </x:c>
      <x:c r="N545" s="240" t="n">
        <x:f>K545^2/(1-M545)^2</x:f>
        <x:v>0.0000032979989901391954</x:v>
      </x:c>
      <x:c r="O545" s="240" t="n">
        <x:f>N545*L545^2/'Beta HC3'!$E$11^2</x:f>
        <x:v>4.0495096528081255e-13</x:v>
      </x:c>
      <x:c r="P545" s="240" t="n">
        <x:f>N545*(1/'Beta HC3'!$E$8-'Beta HC3'!$E$9*L545/'Beta HC3'!$E$11)^2</x:f>
        <x:v>2.0928958968785065e-12</x:v>
      </x:c>
      <x:c r="Q545" s="240" t="n">
        <x:f>N545*(1/'Beta HC3'!$E$8-'Beta HC3'!$E$9*L545/'Beta HC3'!$E$11)*L545/'Beta HC3'!$E$11</x:f>
        <x:v>9.206086104709226e-13</x:v>
      </x:c>
      <x:c r="R545" s="240" t="n">
        <x:f>K545*L545/'Beta HC3'!$E$11</x:f>
        <x:v>-6.358505073318988e-7</x:v>
      </x:c>
      <x:c r="S545" s="240" t="n">
        <x:f>(K545-K544)^2</x:f>
        <x:v>0.00010534444706605072</x:v>
      </x:c>
      <x:c r="T545" s="280" t="n">
        <x:f>E545/$E$9*100</x:f>
        <x:v>130.59104383867037</x:v>
      </x:c>
    </x:row>
    <x:row r="546" ht="24" customHeight="1">
      <x:c r="C546" s="274" t="d">
        <x:v>2023-11-27T00:00:00.000Z</x:v>
      </x:c>
      <x:c r="D546" s="191" t="n">
        <x:v>378.6099853515625</x:v>
      </x:c>
      <x:c r="E546" s="191" t="n">
        <x:v>370.6961364746094</x:v>
      </x:c>
      <x:c r="F546" s="191" t="n">
        <x:v>454.4800109863281</x:v>
      </x:c>
      <x:c r="G546" s="191" t="n">
        <x:v>438.30145263671875</x:v>
      </x:c>
      <x:c r="H546" s="208" t="n">
        <x:f>E546/E545-1</x:f>
        <x:v>0.003126488548458317</x:v>
      </x:c>
      <x:c r="I546" s="208" t="n">
        <x:f>G546/G545-1</x:f>
        <x:v>-0.0018008540764695713</x:v>
      </x:c>
      <x:c r="J546" s="208" t="n">
        <x:f>'Beta HC3'!$E$13+'Beta HC3'!$E$12*I546</x:f>
        <x:v>-0.002021892958021254</x:v>
      </x:c>
      <x:c r="K546" s="240" t="n">
        <x:f>H546-J546</x:f>
        <x:v>0.005148381506479571</x:v>
      </x:c>
      <x:c r="L546" s="240" t="n">
        <x:f>I546-'Beta HC3'!$E$9</x:f>
        <x:v>-0.0023648016941300106</x:v>
      </x:c>
      <x:c r="M546" s="240" t="n">
        <x:f>1/'Beta HC3'!$E$8+L546^2/'Beta HC3'!$E$11</x:f>
        <x:v>0.0008350552967071127</x:v>
      </x:c>
      <x:c r="N546" s="240" t="n">
        <x:f>K546^2/(1-M546)^2</x:f>
        <x:v>0.00002655015531803038</x:v>
      </x:c>
      <x:c r="O546" s="240" t="n">
        <x:f>N546*L546^2/'Beta HC3'!$E$11^2</x:f>
        <x:v>6.943384962562576e-9</x:v>
      </x:c>
      <x:c r="P546" s="240" t="n">
        <x:f>N546*(1/'Beta HC3'!$E$8-'Beta HC3'!$E$9*L546/'Beta HC3'!$E$11)^2</x:f>
        <x:v>1.7245054975766442e-11</x:v>
      </x:c>
      <x:c r="Q546" s="240" t="n">
        <x:f>N546*(1/'Beta HC3'!$E$8-'Beta HC3'!$E$9*L546/'Beta HC3'!$E$11)*L546/'Beta HC3'!$E$11</x:f>
        <x:v>-3.4603331544419483e-10</x:v>
      </x:c>
      <x:c r="R546" s="240" t="n">
        <x:f>K546*L546/'Beta HC3'!$E$11</x:f>
        <x:v>-0.00008325739356672918</x:v>
      </x:c>
      <x:c r="S546" s="240" t="n">
        <x:f>(K546-K545)^2</x:f>
        <x:v>0.000048483004134680265</x:v>
      </x:c>
      <x:c r="T546" s="280" t="n">
        <x:f>E546/$E$9*100</x:f>
        <x:v>130.99933524176322</x:v>
      </x:c>
    </x:row>
    <x:row r="547" ht="24" customHeight="1">
      <x:c r="C547" s="274" t="d">
        <x:v>2023-11-28T00:00:00.000Z</x:v>
      </x:c>
      <x:c r="D547" s="191" t="n">
        <x:v>382.70001220703125</x:v>
      </x:c>
      <x:c r="E547" s="191" t="n">
        <x:v>374.7006530761719</x:v>
      </x:c>
      <x:c r="F547" s="191" t="n">
        <x:v>454.92999267578125</x:v>
      </x:c>
      <x:c r="G547" s="191" t="n">
        <x:v>438.7353515625</x:v>
      </x:c>
      <x:c r="H547" s="208" t="n">
        <x:f>E547/E546-1</x:f>
        <x:v>0.010802693115839368</x:v>
      </x:c>
      <x:c r="I547" s="208" t="n">
        <x:f>G547/G546-1</x:f>
        <x:v>0.0009899554819428058</x:v>
      </x:c>
      <x:c r="J547" s="208" t="n">
        <x:f>'Beta HC3'!$E$13+'Beta HC3'!$E$12*I547</x:f>
        <x:v>0.0011256148096239313</x:v>
      </x:c>
      <x:c r="K547" s="240" t="n">
        <x:f>H547-J547</x:f>
        <x:v>0.009677078306215437</x:v>
      </x:c>
      <x:c r="L547" s="240" t="n">
        <x:f>I547-'Beta HC3'!$E$9</x:f>
        <x:v>0.00042600786428236643</x:v>
      </x:c>
      <x:c r="M547" s="240" t="n">
        <x:f>1/'Beta HC3'!$E$8+L547^2/'Beta HC3'!$E$11</x:f>
        <x:v>0.0007980538084780906</x:v>
      </x:c>
      <x:c r="N547" s="240" t="n">
        <x:f>K547^2/(1-M547)^2</x:f>
        <x:v>0.00009379549250725233</x:v>
      </x:c>
      <x:c r="O547" s="240" t="n">
        <x:f>N547*L547^2/'Beta HC3'!$E$11^2</x:f>
        <x:v>7.960345613203197e-10</x:v>
      </x:c>
      <x:c r="P547" s="240" t="n">
        <x:f>N547*(1/'Beta HC3'!$E$8-'Beta HC3'!$E$9*L547/'Beta HC3'!$E$11)^2</x:f>
        <x:v>5.93064277852506e-11</x:v>
      </x:c>
      <x:c r="Q547" s="240" t="n">
        <x:f>N547*(1/'Beta HC3'!$E$8-'Beta HC3'!$E$9*L547/'Beta HC3'!$E$11)*L547/'Beta HC3'!$E$11</x:f>
        <x:v>2.1727854524896653e-10</x:v>
      </x:c>
      <x:c r="R547" s="240" t="n">
        <x:f>K547*L547/'Beta HC3'!$E$11</x:f>
        <x:v>0.000028191568091895725</x:v>
      </x:c>
      <x:c r="S547" s="240" t="n">
        <x:f>(K547-K546)^2</x:f>
        <x:v>0.000020509094703937878</x:v>
      </x:c>
      <x:c r="T547" s="280" t="n">
        <x:f>E547/$E$9*100</x:f>
        <x:v>132.41448085875894</x:v>
      </x:c>
    </x:row>
    <x:row r="548" ht="24" customHeight="1">
      <x:c r="C548" s="274" t="d">
        <x:v>2023-11-29T00:00:00.000Z</x:v>
      </x:c>
      <x:c r="D548" s="191" t="n">
        <x:v>378.8500061035156</x:v>
      </x:c>
      <x:c r="E548" s="191" t="n">
        <x:v>370.93115234375</x:v>
      </x:c>
      <x:c r="F548" s="191" t="n">
        <x:v>454.6099853515625</x:v>
      </x:c>
      <x:c r="G548" s="191" t="n">
        <x:v>438.4267883300781</x:v>
      </x:c>
      <x:c r="H548" s="208" t="n">
        <x:f>E548/E547-1</x:f>
        <x:v>-0.01006003245917908</x:v>
      </x:c>
      <x:c r="I548" s="208" t="n">
        <x:f>G548/G547-1</x:f>
        <x:v>-0.0007033015035668999</x:v>
      </x:c>
      <x:c r="J548" s="208" t="n">
        <x:f>'Beta HC3'!$E$13+'Beta HC3'!$E$12*I548</x:f>
        <x:v>-0.0007840602874984654</x:v>
      </x:c>
      <x:c r="K548" s="240" t="n">
        <x:f>H548-J548</x:f>
        <x:v>-0.009275972171680615</x:v>
      </x:c>
      <x:c r="L548" s="240" t="n">
        <x:f>I548-'Beta HC3'!$E$9</x:f>
        <x:v>-0.0012672491212273392</x:v>
      </x:c>
      <x:c r="M548" s="240" t="n">
        <x:f>1/'Beta HC3'!$E$8+L548^2/'Beta HC3'!$E$11</x:f>
        <x:v>0.0008077947469685132</x:v>
      </x:c>
      <x:c r="N548" s="240" t="n">
        <x:f>K548^2/(1-M548)^2</x:f>
        <x:v>0.00008618283958288982</x:v>
      </x:c>
      <x:c r="O548" s="240" t="n">
        <x:f>N548*L548^2/'Beta HC3'!$E$11^2</x:f>
        <x:v>6.472313119868674e-9</x:v>
      </x:c>
      <x:c r="P548" s="240" t="n">
        <x:f>N548*(1/'Beta HC3'!$E$8-'Beta HC3'!$E$9*L548/'Beta HC3'!$E$11)^2</x:f>
        <x:v>5.539167359052486e-11</x:v>
      </x:c>
      <x:c r="Q548" s="240" t="n">
        <x:f>N548*(1/'Beta HC3'!$E$8-'Beta HC3'!$E$9*L548/'Beta HC3'!$E$11)*L548/'Beta HC3'!$E$11</x:f>
        <x:v>-5.987589295463052e-10</x:v>
      </x:c>
      <x:c r="R548" s="240" t="n">
        <x:f>K548*L548/'Beta HC3'!$E$11</x:f>
        <x:v>0.00008038569986125925</x:v>
      </x:c>
      <x:c r="S548" s="240" t="n">
        <x:f>(K548-K547)^2</x:f>
        <x:v>0.00035921812241767573</x:v>
      </x:c>
      <x:c r="T548" s="280" t="n">
        <x:f>E548/$E$9*100</x:f>
        <x:v>131.0823868832545</x:v>
      </x:c>
    </x:row>
    <x:row r="549" ht="24" customHeight="1">
      <x:c r="C549" s="274" t="d">
        <x:v>2023-11-30T00:00:00.000Z</x:v>
      </x:c>
      <x:c r="D549" s="191" t="n">
        <x:v>378.9100036621094</x:v>
      </x:c>
      <x:c r="E549" s="191" t="n">
        <x:v>370.9898681640625</x:v>
      </x:c>
      <x:c r="F549" s="191" t="n">
        <x:v>456.3999938964844</x:v>
      </x:c>
      <x:c r="G549" s="191" t="n">
        <x:v>440.153076171875</x:v>
      </x:c>
      <x:c r="H549" s="208" t="n">
        <x:f>E549/E548-1</x:f>
        <x:v>0.00015829304155645652</x:v>
      </x:c>
      <x:c r="I549" s="208" t="n">
        <x:f>G549/G548-1</x:f>
        <x:v>0.003937459771498286</x:v>
      </x:c>
      <x:c r="J549" s="208" t="n">
        <x:f>'Beta HC3'!$E$13+'Beta HC3'!$E$12*I549</x:f>
        <x:v>0.0044498447337255964</x:v>
      </x:c>
      <x:c r="K549" s="240" t="n">
        <x:f>H549-J549</x:f>
        <x:v>-0.00429155169216914</x:v>
      </x:c>
      <x:c r="L549" s="240" t="n">
        <x:f>I549-'Beta HC3'!$E$9</x:f>
        <x:v>0.003373512153837847</x:v>
      </x:c>
      <x:c r="M549" s="240" t="n">
        <x:f>1/'Beta HC3'!$E$8+L549^2/'Beta HC3'!$E$11</x:f>
        <x:v>0.0008746382490292096</x:v>
      </x:c>
      <x:c r="N549" s="240" t="n">
        <x:f>K549^2/(1-M549)^2</x:f>
        <x:v>0.000018449675396272003</x:v>
      </x:c>
      <x:c r="O549" s="240" t="n">
        <x:f>N549*L549^2/'Beta HC3'!$E$11^2</x:f>
        <x:v>9.819016971506735e-9</x:v>
      </x:c>
      <x:c r="P549" s="240" t="n">
        <x:f>N549*(1/'Beta HC3'!$E$8-'Beta HC3'!$E$9*L549/'Beta HC3'!$E$11)^2</x:f>
        <x:v>1.1334497144184144e-11</x:v>
      </x:c>
      <x:c r="Q549" s="240" t="n">
        <x:f>N549*(1/'Beta HC3'!$E$8-'Beta HC3'!$E$9*L549/'Beta HC3'!$E$11)*L549/'Beta HC3'!$E$11</x:f>
        <x:v>3.336069840729338e-10</x:v>
      </x:c>
      <x:c r="R549" s="240" t="n">
        <x:f>K549*L549/'Beta HC3'!$E$11</x:f>
        <x:v>-0.00009900428428787578</x:v>
      </x:c>
      <x:c r="S549" s="240" t="n">
        <x:f>(K549-K548)^2</x:f>
        <x:v>0.000024844447516573398</x:v>
      </x:c>
      <x:c r="T549" s="280" t="n">
        <x:f>E549/$E$9*100</x:f>
        <x:v>131.1031363129687</x:v>
      </x:c>
    </x:row>
    <x:row r="550" ht="24" customHeight="1">
      <x:c r="C550" s="274" t="d">
        <x:v>2023-12-01T00:00:00.000Z</x:v>
      </x:c>
      <x:c r="D550" s="191" t="n">
        <x:v>374.510009765625</x:v>
      </x:c>
      <x:c r="E550" s="191" t="n">
        <x:v>366.68182373046875</x:v>
      </x:c>
      <x:c r="F550" s="191" t="n">
        <x:v>459.1000061035156</x:v>
      </x:c>
      <x:c r="G550" s="191" t="n">
        <x:v>442.7569580078125</x:v>
      </x:c>
      <x:c r="H550" s="208" t="n">
        <x:f>E550/E549-1</x:f>
        <x:v>-0.011612296731749572</x:v>
      </x:c>
      <x:c r="I550" s="208" t="n">
        <x:f>G550/G549-1</x:f>
        <x:v>0.005915855135181891</x:v>
      </x:c>
      <x:c r="J550" s="208" t="n">
        <x:f>'Beta HC3'!$E$13+'Beta HC3'!$E$12*I550</x:f>
        <x:v>0.006681102239597751</x:v>
      </x:c>
      <x:c r="K550" s="240" t="n">
        <x:f>H550-J550</x:f>
        <x:v>-0.018293398971347324</x:v>
      </x:c>
      <x:c r="L550" s="240" t="n">
        <x:f>I550-'Beta HC3'!$E$9</x:f>
        <x:v>0.005351907517521451</x:v>
      </x:c>
      <x:c r="M550" s="240" t="n">
        <x:f>1/'Beta HC3'!$E$8+L550^2/'Beta HC3'!$E$11</x:f>
        <x:v>0.0009926857429359572</x:v>
      </x:c>
      <x:c r="N550" s="240" t="n">
        <x:f>K550^2/(1-M550)^2</x:f>
        <x:v>0.000335313838031103</x:v>
      </x:c>
      <x:c r="O550" s="240" t="n">
        <x:f>N550*L550^2/'Beta HC3'!$E$11^2</x:f>
        <x:v>4.491417219177961e-7</x:v>
      </x:c>
      <x:c r="P550" s="240" t="n">
        <x:f>N550*(1/'Beta HC3'!$E$8-'Beta HC3'!$E$9*L550/'Beta HC3'!$E$11)^2</x:f>
        <x:v>2.020079783667549e-10</x:v>
      </x:c>
      <x:c r="Q550" s="240" t="n">
        <x:f>N550*(1/'Beta HC3'!$E$8-'Beta HC3'!$E$9*L550/'Beta HC3'!$E$11)*L550/'Beta HC3'!$E$11</x:f>
        <x:v>9.525240744714917e-9</x:v>
      </x:c>
      <x:c r="R550" s="240" t="n">
        <x:f>K550*L550/'Beta HC3'!$E$11</x:f>
        <x:v>-0.0006695150867198285</x:v>
      </x:c>
      <x:c r="S550" s="240" t="n">
        <x:f>(K550-K549)^2</x:f>
        <x:v>0.00019605172722942955</x:v>
      </x:c>
      <x:c r="T550" s="280" t="n">
        <x:f>E550/$E$9*100</x:f>
        <x:v>129.5807277916395</x:v>
      </x:c>
    </x:row>
    <x:row r="551" ht="24" customHeight="1">
      <x:c r="C551" s="274" t="d">
        <x:v>2023-12-04T00:00:00.000Z</x:v>
      </x:c>
      <x:c r="D551" s="191" t="n">
        <x:v>369.1400146484375</x:v>
      </x:c>
      <x:c r="E551" s="191" t="n">
        <x:v>361.4241027832031</x:v>
      </x:c>
      <x:c r="F551" s="191" t="n">
        <x:v>456.69000244140625</x:v>
      </x:c>
      <x:c r="G551" s="191" t="n">
        <x:v>440.4327697753906</x:v>
      </x:c>
      <x:c r="H551" s="208" t="n">
        <x:f>E551/E550-1</x:f>
        <x:v>-0.014338646224063556</x:v>
      </x:c>
      <x:c r="I551" s="208" t="n">
        <x:f>G551/G550-1</x:f>
        <x:v>-0.005249354505640236</x:v>
      </x:c>
      <x:c r="J551" s="208" t="n">
        <x:f>'Beta HC3'!$E$13+'Beta HC3'!$E$12*I551</x:f>
        <x:v>-0.00591115220712498</x:v>
      </x:c>
      <x:c r="K551" s="240" t="n">
        <x:f>H551-J551</x:f>
        <x:v>-0.008427494016938576</x:v>
      </x:c>
      <x:c r="L551" s="240" t="n">
        <x:f>I551-'Beta HC3'!$E$9</x:f>
        <x:v>-0.0058133021233006755</x:v>
      </x:c>
      <x:c r="M551" s="240" t="n">
        <x:f>1/'Beta HC3'!$E$8+L551^2/'Beta HC3'!$E$11</x:f>
        <x:v>0.00102791445420178</x:v>
      </x:c>
      <x:c r="N551" s="240" t="n">
        <x:f>K551^2/(1-M551)^2</x:f>
        <x:v>0.00007116889127196265</x:v>
      </x:c>
      <x:c r="O551" s="240" t="n">
        <x:f>N551*L551^2/'Beta HC3'!$E$11^2</x:f>
        <x:v>1.1247362988608819e-7</x:v>
      </x:c>
      <x:c r="P551" s="240" t="n">
        <x:f>N551*(1/'Beta HC3'!$E$8-'Beta HC3'!$E$9*L551/'Beta HC3'!$E$11)^2</x:f>
        <x:v>4.776435332313522e-11</x:v>
      </x:c>
      <x:c r="Q551" s="240" t="n">
        <x:f>N551*(1/'Beta HC3'!$E$8-'Beta HC3'!$E$9*L551/'Beta HC3'!$E$11)*L551/'Beta HC3'!$E$11</x:f>
        <x:v>-2.317807195910535e-9</x:v>
      </x:c>
      <x:c r="R551" s="240" t="n">
        <x:f>K551*L551/'Beta HC3'!$E$11</x:f>
        <x:v>0.0003350261514969936</x:v>
      </x:c>
      <x:c r="S551" s="240" t="n">
        <x:f>(K551-K550)^2</x:f>
        <x:v>0.00009733608056942708</x:v>
      </x:c>
      <x:c r="T551" s="280" t="n">
        <x:f>E551/$E$9*100</x:f>
        <x:v>127.72271557837848</x:v>
      </x:c>
    </x:row>
    <x:row r="552" ht="24" customHeight="1">
      <x:c r="C552" s="274" t="d">
        <x:v>2023-12-05T00:00:00.000Z</x:v>
      </x:c>
      <x:c r="D552" s="191" t="n">
        <x:v>372.5199890136719</x:v>
      </x:c>
      <x:c r="E552" s="191" t="n">
        <x:v>364.7333984375</x:v>
      </x:c>
      <x:c r="F552" s="191" t="n">
        <x:v>456.6000061035156</x:v>
      </x:c>
      <x:c r="G552" s="191" t="n">
        <x:v>440.345947265625</x:v>
      </x:c>
      <x:c r="H552" s="208" t="n">
        <x:f>E552/E551-1</x:f>
        <x:v>0.00915626719085183</x:v>
      </x:c>
      <x:c r="I552" s="208" t="n">
        <x:f>G552/G551-1</x:f>
        <x:v>-0.00019712999514065466</x:v>
      </x:c>
      <x:c r="J552" s="208" t="n">
        <x:f>'Beta HC3'!$E$13+'Beta HC3'!$E$12*I552</x:f>
        <x:v>-0.00021319412082294078</x:v>
      </x:c>
      <x:c r="K552" s="240" t="n">
        <x:f>H552-J552</x:f>
        <x:v>0.00936946131167477</x:v>
      </x:c>
      <x:c r="L552" s="240" t="n">
        <x:f>I552-'Beta HC3'!$E$9</x:f>
        <x:v>-0.000761077612801094</x:v>
      </x:c>
      <x:c r="M552" s="240" t="n">
        <x:f>1/'Beta HC3'!$E$8+L552^2/'Beta HC3'!$E$11</x:f>
        <x:v>0.0008007738439828132</x:v>
      </x:c>
      <x:c r="N552" s="240" t="n">
        <x:f>K552^2/(1-M552)^2</x:f>
        <x:v>0.00008792756908337981</x:v>
      </x:c>
      <x:c r="O552" s="240" t="n">
        <x:f>N552*L552^2/'Beta HC3'!$E$11^2</x:f>
        <x:v>2.381758281110449e-9</x:v>
      </x:c>
      <x:c r="P552" s="240" t="n">
        <x:f>N552*(1/'Beta HC3'!$E$8-'Beta HC3'!$E$9*L552/'Beta HC3'!$E$11)^2</x:f>
        <x:v>5.623817823030236e-11</x:v>
      </x:c>
      <x:c r="Q552" s="240" t="n">
        <x:f>N552*(1/'Beta HC3'!$E$8-'Beta HC3'!$E$9*L552/'Beta HC3'!$E$11)*L552/'Beta HC3'!$E$11</x:f>
        <x:v>-3.659859925114458e-10</x:v>
      </x:c>
      <x:c r="R552" s="240" t="n">
        <x:f>K552*L552/'Beta HC3'!$E$11</x:f>
        <x:v>-0.000048764180593113064</x:v>
      </x:c>
      <x:c r="S552" s="240" t="n">
        <x:f>(K552-K551)^2</x:f>
        <x:v>0.00031673161896865904</x:v>
      </x:c>
      <x:c r="T552" s="280" t="n">
        <x:f>E552/$E$9*100</x:f>
        <x:v>128.8921788885553</x:v>
      </x:c>
    </x:row>
    <x:row r="553" ht="24" customHeight="1">
      <x:c r="C553" s="274" t="d">
        <x:v>2023-12-06T00:00:00.000Z</x:v>
      </x:c>
      <x:c r="D553" s="191" t="n">
        <x:v>368.79998779296875</x:v>
      </x:c>
      <x:c r="E553" s="191" t="n">
        <x:v>361.0911560058594</x:v>
      </x:c>
      <x:c r="F553" s="191" t="n">
        <x:v>454.760009765625</x:v>
      </x:c>
      <x:c r="G553" s="191" t="n">
        <x:v>438.5715637207031</x:v>
      </x:c>
      <x:c r="H553" s="208" t="n">
        <x:f>E553/E552-1</x:f>
        <x:v>-0.009986040344108327</x:v>
      </x:c>
      <x:c r="I553" s="208" t="n">
        <x:f>G553/G552-1</x:f>
        <x:v>-0.004029521688436288</x:v>
      </x:c>
      <x:c r="J553" s="208" t="n">
        <x:f>'Beta HC3'!$E$13+'Beta HC3'!$E$12*I553</x:f>
        <x:v>-0.004535410442229315</x:v>
      </x:c>
      <x:c r="K553" s="240" t="n">
        <x:f>H553-J553</x:f>
        <x:v>-0.005450629901879012</x:v>
      </x:c>
      <x:c r="L553" s="240" t="n">
        <x:f>I553-'Beta HC3'!$E$9</x:f>
        <x:v>-0.004593469306096728</x:v>
      </x:c>
      <x:c r="M553" s="240" t="n">
        <x:f>1/'Beta HC3'!$E$8+L553^2/'Beta HC3'!$E$11</x:f>
        <x:v>0.0009411036678042327</x:v>
      </x:c>
      <x:c r="N553" s="240" t="n">
        <x:f>K553^2/(1-M553)^2</x:f>
        <x:v>0.000029765364552292596</x:v>
      </x:c>
      <x:c r="O553" s="240" t="n">
        <x:f>N553*L553^2/'Beta HC3'!$E$11^2</x:f>
        <x:v>2.9370244791473458e-8</x:v>
      </x:c>
      <x:c r="P553" s="240" t="n">
        <x:f>N553*(1/'Beta HC3'!$E$8-'Beta HC3'!$E$9*L553/'Beta HC3'!$E$11)^2</x:f>
        <x:v>1.9747985122233303e-11</x:v>
      </x:c>
      <x:c r="Q553" s="240" t="n">
        <x:f>N553*(1/'Beta HC3'!$E$8-'Beta HC3'!$E$9*L553/'Beta HC3'!$E$11)*L553/'Beta HC3'!$E$11</x:f>
        <x:v>-7.615793833727172e-10</x:v>
      </x:c>
      <x:c r="R553" s="240" t="n">
        <x:f>K553*L553/'Beta HC3'!$E$11</x:f>
        <x:v>0.0001712162080931668</x:v>
      </x:c>
      <x:c r="S553" s="240" t="n">
        <x:f>(K553-K552)^2</x:f>
        <x:v>0.00021963510357805405</x:v>
      </x:c>
      <x:c r="T553" s="280" t="n">
        <x:f>E553/$E$9*100</x:f>
        <x:v>127.60505639013415</x:v>
      </x:c>
    </x:row>
    <x:row r="554" ht="24" customHeight="1">
      <x:c r="C554" s="274" t="d">
        <x:v>2023-12-07T00:00:00.000Z</x:v>
      </x:c>
      <x:c r="D554" s="191" t="n">
        <x:v>370.95001220703125</x:v>
      </x:c>
      <x:c r="E554" s="191" t="n">
        <x:v>363.1962585449219</x:v>
      </x:c>
      <x:c r="F554" s="191" t="n">
        <x:v>458.2300109863281</x:v>
      </x:c>
      <x:c r="G554" s="191" t="n">
        <x:v>441.9179382324219</x:v>
      </x:c>
      <x:c r="H554" s="208" t="n">
        <x:f>E554/E553-1</x:f>
        <x:v>0.005829836882043082</x:v>
      </x:c>
      <x:c r="I554" s="208" t="n">
        <x:f>G554/G553-1</x:f>
        <x:v>0.00763016754513024</x:v>
      </x:c>
      <x:c r="J554" s="208" t="n">
        <x:f>'Beta HC3'!$E$13+'Beta HC3'!$E$12*I554</x:f>
        <x:v>0.008614523891468726</x:v>
      </x:c>
      <x:c r="K554" s="240" t="n">
        <x:f>H554-J554</x:f>
        <x:v>-0.0027846870094256435</x:v>
      </x:c>
      <x:c r="L554" s="240" t="n">
        <x:f>I554-'Beta HC3'!$E$9</x:f>
        <x:v>0.0070662199274698</x:v>
      </x:c>
      <x:c r="M554" s="240" t="n">
        <x:f>1/'Beta HC3'!$E$8+L554^2/'Beta HC3'!$E$11</x:f>
        <x:v>0.001138266322181411</x:v>
      </x:c>
      <x:c r="N554" s="240" t="n">
        <x:f>K554^2/(1-M554)^2</x:f>
        <x:v>0.0000077721652583844</x:v>
      </x:c>
      <x:c r="O554" s="240" t="n">
        <x:f>N554*L554^2/'Beta HC3'!$E$11^2</x:f>
        <x:v>1.8148095232672902e-8</x:v>
      </x:c>
      <x:c r="P554" s="240" t="n">
        <x:f>N554*(1/'Beta HC3'!$E$8-'Beta HC3'!$E$9*L554/'Beta HC3'!$E$11)^2</x:f>
        <x:v>4.602872163148441e-12</x:v>
      </x:c>
      <x:c r="Q554" s="240" t="n">
        <x:f>N554*(1/'Beta HC3'!$E$8-'Beta HC3'!$E$9*L554/'Beta HC3'!$E$11)*L554/'Beta HC3'!$E$11</x:f>
        <x:v>2.890213873758083e-10</x:v>
      </x:c>
      <x:c r="R554" s="240" t="n">
        <x:f>K554*L554/'Beta HC3'!$E$11</x:f>
        <x:v>-0.00013456152501746665</x:v>
      </x:c>
      <x:c r="S554" s="240" t="n">
        <x:f>(K554-K553)^2</x:f>
        <x:v>0.000007107251505822632</x:v>
      </x:c>
      <x:c r="T554" s="280" t="n">
        <x:f>E554/$E$9*100</x:f>
        <x:v>128.3489730542125</x:v>
      </x:c>
    </x:row>
    <x:row r="555" ht="24" customHeight="1">
      <x:c r="C555" s="274" t="d">
        <x:v>2023-12-08T00:00:00.000Z</x:v>
      </x:c>
      <x:c r="D555" s="191" t="n">
        <x:v>374.2300109863281</x:v>
      </x:c>
      <x:c r="E555" s="191" t="n">
        <x:v>366.4076843261719</x:v>
      </x:c>
      <x:c r="F555" s="191" t="n">
        <x:v>460.20001220703125</x:v>
      </x:c>
      <x:c r="G555" s="191" t="n">
        <x:v>443.81787109375</x:v>
      </x:c>
      <x:c r="H555" s="208" t="n">
        <x:f>E555/E554-1</x:f>
        <x:v>0.008842122421954368</x:v>
      </x:c>
      <x:c r="I555" s="208" t="n">
        <x:f>G555/G554-1</x:f>
        <x:v>0.004299288842918303</x:v>
      </x:c>
      <x:c r="J555" s="208" t="n">
        <x:f>'Beta HC3'!$E$13+'Beta HC3'!$E$12*I555</x:f>
        <x:v>0.004857919806215393</x:v>
      </x:c>
      <x:c r="K555" s="240" t="n">
        <x:f>H555-J555</x:f>
        <x:v>0.0039842026157389755</x:v>
      </x:c>
      <x:c r="L555" s="240" t="n">
        <x:f>I555-'Beta HC3'!$E$9</x:f>
        <x:v>0.0037353412252578637</x:v>
      </x:c>
      <x:c r="M555" s="240" t="n">
        <x:f>1/'Beta HC3'!$E$8+L555^2/'Beta HC3'!$E$11</x:f>
        <x:v>0.0008922280277466357</x:v>
      </x:c>
      <x:c r="N555" s="240" t="n">
        <x:f>K555^2/(1-M555)^2</x:f>
        <x:v>0.000015902234662895856</x:v>
      </x:c>
      <x:c r="O555" s="240" t="n">
        <x:f>N555*L555^2/'Beta HC3'!$E$11^2</x:f>
        <x:v>1.0376083133095175e-8</x:v>
      </x:c>
      <x:c r="P555" s="240" t="n">
        <x:f>N555*(1/'Beta HC3'!$E$8-'Beta HC3'!$E$9*L555/'Beta HC3'!$E$11)^2</x:f>
        <x:v>9.734731107480019e-12</x:v>
      </x:c>
      <x:c r="Q555" s="240" t="n">
        <x:f>N555*(1/'Beta HC3'!$E$8-'Beta HC3'!$E$9*L555/'Beta HC3'!$E$11)*L555/'Beta HC3'!$E$11</x:f>
        <x:v>3.178181543737556e-10</x:v>
      </x:c>
      <x:c r="R555" s="240" t="n">
        <x:f>K555*L555/'Beta HC3'!$E$11</x:f>
        <x:v>0.00010177217561206687</x:v>
      </x:c>
      <x:c r="S555" s="240" t="n">
        <x:f>(K555-K554)^2</x:f>
        <x:v>0.000045817866757661214</x:v>
      </x:c>
      <x:c r="T555" s="280" t="n">
        <x:f>E555/$E$9*100</x:f>
        <x:v>129.48385038669</x:v>
      </x:c>
    </x:row>
    <x:row r="556" ht="24" customHeight="1">
      <x:c r="C556" s="274" t="d">
        <x:v>2023-12-11T00:00:00.000Z</x:v>
      </x:c>
      <x:c r="D556" s="191" t="n">
        <x:v>371.29998779296875</x:v>
      </x:c>
      <x:c r="E556" s="191" t="n">
        <x:v>363.5389099121094</x:v>
      </x:c>
      <x:c r="F556" s="191" t="n">
        <x:v>461.989990234375</x:v>
      </x:c>
      <x:c r="G556" s="191" t="n">
        <x:v>445.54412841796875</x:v>
      </x:c>
      <x:c r="H556" s="208" t="n">
        <x:f>E556/E555-1</x:f>
        <x:v>-0.007829460289126344</x:v>
      </x:c>
      <x:c r="I556" s="208" t="n">
        <x:f>G556/G555-1</x:f>
        <x:v>0.0038895624458847866</x:v>
      </x:c>
      <x:c r="J556" s="208" t="n">
        <x:f>'Beta HC3'!$E$13+'Beta HC3'!$E$12*I556</x:f>
        <x:v>0.004395825567866181</x:v>
      </x:c>
      <x:c r="K556" s="240" t="n">
        <x:f>H556-J556</x:f>
        <x:v>-0.012225285856992524</x:v>
      </x:c>
      <x:c r="L556" s="240" t="n">
        <x:f>I556-'Beta HC3'!$E$9</x:f>
        <x:v>0.0033256148282243474</x:v>
      </x:c>
      <x:c r="M556" s="240" t="n">
        <x:f>1/'Beta HC3'!$E$8+L556^2/'Beta HC3'!$E$11</x:f>
        <x:v>0.0008724439953449026</x:v>
      </x:c>
      <x:c r="N556" s="240" t="n">
        <x:f>K556^2/(1-M556)^2</x:f>
        <x:v>0.00014971874276171015</x:v>
      </x:c>
      <x:c r="O556" s="240" t="n">
        <x:f>N556*L556^2/'Beta HC3'!$E$11^2</x:f>
        <x:v>7.743455202730415e-8</x:v>
      </x:c>
      <x:c r="P556" s="240" t="n">
        <x:f>N556*(1/'Beta HC3'!$E$8-'Beta HC3'!$E$9*L556/'Beta HC3'!$E$11)^2</x:f>
        <x:v>9.202257335024875e-11</x:v>
      </x:c>
      <x:c r="Q556" s="240" t="n">
        <x:f>N556*(1/'Beta HC3'!$E$8-'Beta HC3'!$E$9*L556/'Beta HC3'!$E$11)*L556/'Beta HC3'!$E$11</x:f>
        <x:v>2.669405691118577e-9</x:v>
      </x:c>
      <x:c r="R556" s="240" t="n">
        <x:f>K556*L556/'Beta HC3'!$E$11</x:f>
        <x:v>-0.00027802786973139343</x:v>
      </x:c>
      <x:c r="S556" s="240" t="n">
        <x:f>(K556-K555)^2</x:f>
        <x:v>0.0002627475165476154</x:v>
      </x:c>
      <x:c r="T556" s="280" t="n">
        <x:f>E556/$E$9*100</x:f>
        <x:v>128.47006172200423</x:v>
      </x:c>
    </x:row>
    <x:row r="557" ht="24" customHeight="1">
      <x:c r="C557" s="274" t="d">
        <x:v>2023-12-12T00:00:00.000Z</x:v>
      </x:c>
      <x:c r="D557" s="191" t="n">
        <x:v>374.3800048828125</x:v>
      </x:c>
      <x:c r="E557" s="191" t="n">
        <x:v>366.5545959472656</x:v>
      </x:c>
      <x:c r="F557" s="191" t="n">
        <x:v>464.1000061035156</x:v>
      </x:c>
      <x:c r="G557" s="191" t="n">
        <x:v>447.5790100097656</x:v>
      </x:c>
      <x:c r="H557" s="208" t="n">
        <x:f>E557/E556-1</x:f>
        <x:v>0.008295359734355134</x:v>
      </x:c>
      <x:c r="I557" s="208" t="n">
        <x:f>G557/G556-1</x:f>
        <x:v>0.004567183051030987</x:v>
      </x:c>
      <x:c r="J557" s="208" t="n">
        <x:f>'Beta HC3'!$E$13+'Beta HC3'!$E$12*I557</x:f>
        <x:v>0.0051600540376251156</x:v>
      </x:c>
      <x:c r="K557" s="240" t="n">
        <x:f>H557-J557</x:f>
        <x:v>0.003135305696730019</x:v>
      </x:c>
      <x:c r="L557" s="240" t="n">
        <x:f>I557-'Beta HC3'!$E$9</x:f>
        <x:v>0.004003235433370548</x:v>
      </x:c>
      <x:c r="M557" s="240" t="n">
        <x:f>1/'Beta HC3'!$E$8+L557^2/'Beta HC3'!$E$11</x:f>
        <x:v>0.0009064049440279669</x:v>
      </x:c>
      <x:c r="N557" s="240" t="n">
        <x:f>K557^2/(1-M557)^2</x:f>
        <x:v>0.000009847986247986198</x:v>
      </x:c>
      <x:c r="O557" s="240" t="n">
        <x:f>N557*L557^2/'Beta HC3'!$E$11^2</x:f>
        <x:v>7.3804768166890425e-9</x:v>
      </x:c>
      <x:c r="P557" s="240" t="n">
        <x:f>N557*(1/'Beta HC3'!$E$8-'Beta HC3'!$E$9*L557/'Beta HC3'!$E$11)^2</x:f>
        <x:v>6.012644644395041e-12</x:v>
      </x:c>
      <x:c r="Q557" s="240" t="n">
        <x:f>N557*(1/'Beta HC3'!$E$8-'Beta HC3'!$E$9*L557/'Beta HC3'!$E$11)*L557/'Beta HC3'!$E$11</x:f>
        <x:v>2.1065655557078477e-10</x:v>
      </x:c>
      <x:c r="R557" s="240" t="n">
        <x:f>K557*L557/'Beta HC3'!$E$11</x:f>
        <x:v>0.00008583183255013812</x:v>
      </x:c>
      <x:c r="S557" s="240" t="n">
        <x:f>(K557-K556)^2</x:f>
        <x:v>0.00023594777288029234</x:v>
      </x:c>
      <x:c r="T557" s="280" t="n">
        <x:f>E557/$E$9*100</x:f>
        <x:v>129.53576709908305</x:v>
      </x:c>
    </x:row>
    <x:row r="558" ht="24" customHeight="1">
      <x:c r="C558" s="274" t="d">
        <x:v>2023-12-13T00:00:00.000Z</x:v>
      </x:c>
      <x:c r="D558" s="191" t="n">
        <x:v>374.3699951171875</x:v>
      </x:c>
      <x:c r="E558" s="191" t="n">
        <x:v>366.54473876953125</x:v>
      </x:c>
      <x:c r="F558" s="191" t="n">
        <x:v>470.5</x:v>
      </x:c>
      <x:c r="G558" s="191" t="n">
        <x:v>453.7511291503906</x:v>
      </x:c>
      <x:c r="H558" s="208" t="n">
        <x:f>E558/E557-1</x:f>
        <x:v>-0.000026891431299302937</x:v>
      </x:c>
      <x:c r="I558" s="208" t="n">
        <x:f>G558/G557-1</x:f>
        <x:v>0.01379001026096005</x:v>
      </x:c>
      <x:c r="J558" s="208" t="n">
        <x:f>'Beta HC3'!$E$13+'Beta HC3'!$E$12*I558</x:f>
        <x:v>0.015561666786656596</x:v>
      </x:c>
      <x:c r="K558" s="240" t="n">
        <x:f>H558-J558</x:f>
        <x:v>-0.015588558217955899</x:v>
      </x:c>
      <x:c r="L558" s="240" t="n">
        <x:f>I558-'Beta HC3'!$E$9</x:f>
        <x:v>0.013226062643299612</x:v>
      </x:c>
      <x:c r="M558" s="240" t="n">
        <x:f>1/'Beta HC3'!$E$8+L558^2/'Beta HC3'!$E$11</x:f>
        <x:v>0.0019930532772935708</x:v>
      </x:c>
      <x:c r="N558" s="240" t="n">
        <x:f>K558^2/(1-M558)^2</x:f>
        <x:v>0.00024397468728350994</x:v>
      </x:c>
      <x:c r="O558" s="240" t="n">
        <x:f>N558*L558^2/'Beta HC3'!$E$11^2</x:f>
        <x:v>0.000001995816659822664</x:v>
      </x:c>
      <x:c r="P558" s="240" t="n">
        <x:f>N558*(1/'Beta HC3'!$E$8-'Beta HC3'!$E$9*L558/'Beta HC3'!$E$11)^2</x:f>
        <x:v>1.3570524847789136e-10</x:v>
      </x:c>
      <x:c r="Q558" s="240" t="n">
        <x:f>N558*(1/'Beta HC3'!$E$8-'Beta HC3'!$E$9*L558/'Beta HC3'!$E$11)*L558/'Beta HC3'!$E$11</x:f>
        <x:v>1.6457302201076268e-8</x:v>
      </x:c>
      <x:c r="R558" s="240" t="n">
        <x:f>K558*L558/'Beta HC3'!$E$11</x:f>
        <x:v>-0.001409918100408177</x:v>
      </x:c>
      <x:c r="S558" s="240" t="n">
        <x:f>(K558-K557)^2</x:f>
        <x:v>0.00035058307989567744</x:v>
      </x:c>
      <x:c r="T558" s="280" t="n">
        <x:f>E558/$E$9*100</x:f>
        <x:v>129.53228369690132</x:v>
      </x:c>
    </x:row>
    <x:row r="559" ht="24" customHeight="1">
      <x:c r="C559" s="274" t="d">
        <x:v>2023-12-14T00:00:00.000Z</x:v>
      </x:c>
      <x:c r="D559" s="191" t="n">
        <x:v>365.92999267578125</x:v>
      </x:c>
      <x:c r="E559" s="191" t="n">
        <x:v>358.2811584472656</x:v>
      </x:c>
      <x:c r="F559" s="191" t="n">
        <x:v>472.010009765625</x:v>
      </x:c>
      <x:c r="G559" s="191" t="n">
        <x:v>455.2073974609375</x:v>
      </x:c>
      <x:c r="H559" s="208" t="n">
        <x:f>E559/E558-1</x:f>
        <x:v>-0.022544533990600857</x:v>
      </x:c>
      <x:c r="I559" s="208" t="n">
        <x:f>G559/G558-1</x:f>
        <x:v>0.0032093987584640438</x:v>
      </x:c>
      <x:c r="J559" s="208" t="n">
        <x:f>'Beta HC3'!$E$13+'Beta HC3'!$E$12*I559</x:f>
        <x:v>0.00362872898007721</x:v>
      </x:c>
      <x:c r="K559" s="240" t="n">
        <x:f>H559-J559</x:f>
        <x:v>-0.02617326297067807</x:v>
      </x:c>
      <x:c r="L559" s="240" t="n">
        <x:f>I559-'Beta HC3'!$E$9</x:f>
        <x:v>0.0026454511408036045</x:v>
      </x:c>
      <x:c r="M559" s="240" t="n">
        <x:f>1/'Beta HC3'!$E$8+L559^2/'Beta HC3'!$E$11</x:f>
        <x:v>0.0008446710031021125</x:v>
      </x:c>
      <x:c r="N559" s="240" t="n">
        <x:f>K559^2/(1-M559)^2</x:f>
        <x:v>0.0006861984287812215</x:v>
      </x:c>
      <x:c r="O559" s="240" t="n">
        <x:f>N559*L559^2/'Beta HC3'!$E$11^2</x:f>
        <x:v>2.2457630494489792e-7</x:v>
      </x:c>
      <x:c r="P559" s="240" t="n">
        <x:f>N559*(1/'Beta HC3'!$E$8-'Beta HC3'!$E$9*L559/'Beta HC3'!$E$11)^2</x:f>
        <x:v>4.2458945018600734e-10</x:v>
      </x:c>
      <x:c r="Q559" s="240" t="n">
        <x:f>N559*(1/'Beta HC3'!$E$8-'Beta HC3'!$E$9*L559/'Beta HC3'!$E$11)*L559/'Beta HC3'!$E$11</x:f>
        <x:v>9.764872238865151e-9</x:v>
      </x:c>
      <x:c r="R559" s="240" t="n">
        <x:f>K559*L559/'Beta HC3'!$E$11</x:f>
        <x:v>-0.0004734945395541656</x:v>
      </x:c>
      <x:c r="S559" s="240" t="n">
        <x:f>(K559-K558)^2</x:f>
        <x:v>0.00011203597470229928</x:v>
      </x:c>
      <x:c r="T559" s="280" t="n">
        <x:f>E559/$E$9*100</x:f>
        <x:v>126.61203872421636</x:v>
      </x:c>
    </x:row>
    <x:row r="560" ht="24" customHeight="1">
      <x:c r="C560" s="274" t="d">
        <x:v>2023-12-15T00:00:00.000Z</x:v>
      </x:c>
      <x:c r="D560" s="191" t="n">
        <x:v>370.7300109863281</x:v>
      </x:c>
      <x:c r="E560" s="191" t="n">
        <x:v>362.98089599609375</x:v>
      </x:c>
      <x:c r="F560" s="191" t="n">
        <x:v>469.3299865722656</x:v>
      </x:c>
      <x:c r="G560" s="191" t="n">
        <x:v>454.4579162597656</x:v>
      </x:c>
      <x:c r="H560" s="208" t="n">
        <x:f>E560/E559-1</x:f>
        <x:v>0.013117456606415168</x:v>
      </x:c>
      <x:c r="I560" s="208" t="n">
        <x:f>G560/G559-1</x:f>
        <x:v>-0.0016464609436321886</x:v>
      </x:c>
      <x:c r="J560" s="208" t="n">
        <x:f>'Beta HC3'!$E$13+'Beta HC3'!$E$12*I560</x:f>
        <x:v>-0.0018477665711411745</x:v>
      </x:c>
      <x:c r="K560" s="240" t="n">
        <x:f>H560-J560</x:f>
        <x:v>0.014965223177556343</x:v>
      </x:c>
      <x:c r="L560" s="240" t="n">
        <x:f>I560-'Beta HC3'!$E$9</x:f>
        <x:v>-0.002210408561292628</x:v>
      </x:c>
      <x:c r="M560" s="240" t="n">
        <x:f>1/'Beta HC3'!$E$8+L560^2/'Beta HC3'!$E$11</x:f>
        <x:v>0.0008302247487496197</x:v>
      </x:c>
      <x:c r="N560" s="240" t="n">
        <x:f>K560^2/(1-M560)^2</x:f>
        <x:v>0.00022433023916215337</x:v>
      </x:c>
      <x:c r="O560" s="240" t="n">
        <x:f>N560*L560^2/'Beta HC3'!$E$11^2</x:f>
        <x:v>5.125634689007113e-8</x:v>
      </x:c>
      <x:c r="P560" s="240" t="n">
        <x:f>N560*(1/'Beta HC3'!$E$8-'Beta HC3'!$E$9*L560/'Beta HC3'!$E$11)^2</x:f>
        <x:v>1.4549343188399309e-10</x:v>
      </x:c>
      <x:c r="Q560" s="240" t="n">
        <x:f>N560*(1/'Beta HC3'!$E$8-'Beta HC3'!$E$9*L560/'Beta HC3'!$E$11)*L560/'Beta HC3'!$E$11</x:f>
        <x:v>-2.7308353694195635e-9</x:v>
      </x:c>
      <x:c r="R560" s="240" t="n">
        <x:f>K560*L560/'Beta HC3'!$E$11</x:f>
        <x:v>-0.00022621068419563362</x:v>
      </x:c>
      <x:c r="S560" s="240" t="n">
        <x:f>(K560-K559)^2</x:f>
        <x:v>0.0016923750425684747</x:v>
      </x:c>
      <x:c r="T560" s="280" t="n">
        <x:f>E560/$E$9*100</x:f>
        <x:v>128.27286664803103</x:v>
      </x:c>
    </x:row>
    <x:row r="561" ht="24" customHeight="1">
      <x:c r="C561" s="274" t="d">
        <x:v>2023-12-18T00:00:00.000Z</x:v>
      </x:c>
      <x:c r="D561" s="191" t="n">
        <x:v>372.6499938964844</x:v>
      </x:c>
      <x:c r="E561" s="191" t="n">
        <x:v>364.8607177734375</x:v>
      </x:c>
      <x:c r="F561" s="191" t="n">
        <x:v>471.9700012207031</x:v>
      </x:c>
      <x:c r="G561" s="191" t="n">
        <x:v>457.0142517089844</x:v>
      </x:c>
      <x:c r="H561" s="208" t="n">
        <x:f>E561/E560-1</x:f>
        <x:v>0.005178844942197669</x:v>
      </x:c>
      <x:c r="I561" s="208" t="n">
        <x:f>G561/G560-1</x:f>
        <x:v>0.005625021278664599</x:v>
      </x:c>
      <x:c r="J561" s="208" t="n">
        <x:f>'Beta HC3'!$E$13+'Beta HC3'!$E$12*I561</x:f>
        <x:v>0.006353096403540943</x:v>
      </x:c>
      <x:c r="K561" s="240" t="n">
        <x:f>H561-J561</x:f>
        <x:v>-0.0011742514613432738</x:v>
      </x:c>
      <x:c r="L561" s="240" t="n">
        <x:f>I561-'Beta HC3'!$E$9</x:f>
        <x:v>0.0050610736610041595</x:v>
      </x:c>
      <x:c r="M561" s="240" t="n">
        <x:f>1/'Beta HC3'!$E$8+L561^2/'Beta HC3'!$E$11</x:f>
        <x:v>0.0009719758713034629</x:v>
      </x:c>
      <x:c r="N561" s="240" t="n">
        <x:f>K561^2/(1-M561)^2</x:f>
        <x:v>0.000001381550857461333</x:v>
      </x:c>
      <x:c r="O561" s="240" t="n">
        <x:f>N561*L561^2/'Beta HC3'!$E$11^2</x:f>
        <x:v>1.6548815574882738e-9</x:v>
      </x:c>
      <x:c r="P561" s="240" t="n">
        <x:f>N561*(1/'Beta HC3'!$E$8-'Beta HC3'!$E$9*L561/'Beta HC3'!$E$11)^2</x:f>
        <x:v>8.347149079711022e-13</x:v>
      </x:c>
      <x:c r="Q561" s="240" t="n">
        <x:f>N561*(1/'Beta HC3'!$E$8-'Beta HC3'!$E$9*L561/'Beta HC3'!$E$11)*L561/'Beta HC3'!$E$11</x:f>
        <x:v>3.716657513091432e-11</x:v>
      </x:c>
      <x:c r="R561" s="240" t="n">
        <x:f>K561*L561/'Beta HC3'!$E$11</x:f>
        <x:v>-0.000040640695257694357</x:v>
      </x:c>
      <x:c r="S561" s="240" t="n">
        <x:f>(K561-K560)^2</x:f>
        <x:v>0.00026048264161968385</x:v>
      </x:c>
      <x:c r="T561" s="280" t="n">
        <x:f>E561/$E$9*100</x:f>
        <x:v>128.93717193469237</x:v>
      </x:c>
    </x:row>
    <x:row r="562" ht="24" customHeight="1">
      <x:c r="C562" s="274" t="d">
        <x:v>2023-12-19T00:00:00.000Z</x:v>
      </x:c>
      <x:c r="D562" s="191" t="n">
        <x:v>373.260009765625</x:v>
      </x:c>
      <x:c r="E562" s="191" t="n">
        <x:v>365.4580078125</x:v>
      </x:c>
      <x:c r="F562" s="191" t="n">
        <x:v>474.8399963378906</x:v>
      </x:c>
      <x:c r="G562" s="191" t="n">
        <x:v>459.7933349609375</x:v>
      </x:c>
      <x:c r="H562" s="208" t="n">
        <x:f>E562/E561-1</x:f>
        <x:v>0.0016370357508133093</x:v>
      </x:c>
      <x:c r="I562" s="208" t="n">
        <x:f>G562/G561-1</x:f>
        <x:v>0.006080955334677007</x:v>
      </x:c>
      <x:c r="J562" s="208" t="n">
        <x:f>'Beta HC3'!$E$13+'Beta HC3'!$E$12*I562</x:f>
        <x:v>0.006867304181892325</x:v>
      </x:c>
      <x:c r="K562" s="240" t="n">
        <x:f>H562-J562</x:f>
        <x:v>-0.005230268431079016</x:v>
      </x:c>
      <x:c r="L562" s="240" t="n">
        <x:f>I562-'Beta HC3'!$E$9</x:f>
        <x:v>0.005517007717016568</x:v>
      </x:c>
      <x:c r="M562" s="240" t="n">
        <x:f>1/'Beta HC3'!$E$8+L562^2/'Beta HC3'!$E$11</x:f>
        <x:v>0.0010049570595400369</x:v>
      </x:c>
      <x:c r="N562" s="240" t="n">
        <x:f>K562^2/(1-M562)^2</x:f>
        <x:v>0.000027410773478570533</x:v>
      </x:c>
      <x:c r="O562" s="240" t="n">
        <x:f>N562*L562^2/'Beta HC3'!$E$11^2</x:f>
        <x:v>3.901604076499975e-8</x:v>
      </x:c>
      <x:c r="P562" s="240" t="n">
        <x:f>N562*(1/'Beta HC3'!$E$8-'Beta HC3'!$E$9*L562/'Beta HC3'!$E$11)^2</x:f>
        <x:v>1.648638812874771e-11</x:v>
      </x:c>
      <x:c r="Q562" s="240" t="n">
        <x:f>N562*(1/'Beta HC3'!$E$8-'Beta HC3'!$E$9*L562/'Beta HC3'!$E$11)*L562/'Beta HC3'!$E$11</x:f>
        <x:v>8.02018448228486e-10</x:v>
      </x:c>
      <x:c r="R562" s="240" t="n">
        <x:f>K562*L562/'Beta HC3'!$E$11</x:f>
        <x:v>-0.00019732628126431802</x:v>
      </x:c>
      <x:c r="S562" s="240" t="n">
        <x:f>(K562-K561)^2</x:f>
        <x:v>0.000016451273658784312</x:v>
      </x:c>
      <x:c r="T562" s="280" t="n">
        <x:f>E562/$E$9*100</x:f>
        <x:v>129.1482466947582</x:v>
      </x:c>
    </x:row>
    <x:row r="563" ht="24" customHeight="1">
      <x:c r="C563" s="274" t="d">
        <x:v>2023-12-20T00:00:00.000Z</x:v>
      </x:c>
      <x:c r="D563" s="191" t="n">
        <x:v>370.6199951171875</x:v>
      </x:c>
      <x:c r="E563" s="191" t="n">
        <x:v>362.87310791015625</x:v>
      </x:c>
      <x:c r="F563" s="191" t="n">
        <x:v>468.260009765625</x:v>
      </x:c>
      <x:c r="G563" s="191" t="n">
        <x:v>453.42181396484375</x:v>
      </x:c>
      <x:c r="H563" s="208" t="n">
        <x:f>E563/E562-1</x:f>
        <x:v>-0.007073042174711164</x:v>
      </x:c>
      <x:c r="I563" s="208" t="n">
        <x:f>G563/G562-1</x:f>
        <x:v>-0.013857358320853108</x:v>
      </x:c>
      <x:c r="J563" s="208" t="n">
        <x:f>'Beta HC3'!$E$13+'Beta HC3'!$E$12*I563</x:f>
        <x:v>-0.015619359917189898</x:v>
      </x:c>
      <x:c r="K563" s="240" t="n">
        <x:f>H563-J563</x:f>
        <x:v>0.008546317742478734</x:v>
      </x:c>
      <x:c r="L563" s="240" t="n">
        <x:f>I563-'Beta HC3'!$E$9</x:f>
        <x:v>-0.014421305938513547</x:v>
      </x:c>
      <x:c r="M563" s="240" t="n">
        <x:f>1/'Beta HC3'!$E$8+L563^2/'Beta HC3'!$E$11</x:f>
        <x:v>0.0022190319637833906</x:v>
      </x:c>
      <x:c r="N563" s="240" t="n">
        <x:f>K563^2/(1-M563)^2</x:f>
        <x:v>0.00007336478329797632</x:v>
      </x:c>
      <x:c r="O563" s="240" t="n">
        <x:f>N563*L563^2/'Beta HC3'!$E$11^2</x:f>
        <x:v>7.135288578288078e-7</x:v>
      </x:c>
      <x:c r="P563" s="240" t="n">
        <x:f>N563*(1/'Beta HC3'!$E$8-'Beta HC3'!$E$9*L563/'Beta HC3'!$E$11)^2</x:f>
        <x:v>5.330941809173806e-11</x:v>
      </x:c>
      <x:c r="Q563" s="240" t="n">
        <x:f>N563*(1/'Beta HC3'!$E$8-'Beta HC3'!$E$9*L563/'Beta HC3'!$E$11)*L563/'Beta HC3'!$E$11</x:f>
        <x:v>-6.167479890726539e-9</x:v>
      </x:c>
      <x:c r="R563" s="240" t="n">
        <x:f>K563*L563/'Beta HC3'!$E$11</x:f>
        <x:v>-0.0008428319432918325</x:v>
      </x:c>
      <x:c r="S563" s="240" t="n">
        <x:f>(K563-K562)^2</x:f>
        <x:v>0.00018979432659746258</x:v>
      </x:c>
      <x:c r="T563" s="280" t="n">
        <x:f>E563/$E$9*100</x:f>
        <x:v>128.23477569909616</x:v>
      </x:c>
    </x:row>
    <x:row r="564" ht="24" customHeight="1">
      <x:c r="C564" s="274" t="d">
        <x:v>2023-12-21T00:00:00.000Z</x:v>
      </x:c>
      <x:c r="D564" s="191" t="n">
        <x:v>373.5400085449219</x:v>
      </x:c>
      <x:c r="E564" s="191" t="n">
        <x:v>365.73211669921875</x:v>
      </x:c>
      <x:c r="F564" s="191" t="n">
        <x:v>472.70001220703125</x:v>
      </x:c>
      <x:c r="G564" s="191" t="n">
        <x:v>457.72113037109375</x:v>
      </x:c>
      <x:c r="H564" s="208" t="n">
        <x:f>E564/E563-1</x:f>
        <x:v>0.007878811426749177</x:v>
      </x:c>
      <x:c r="I564" s="208" t="n">
        <x:f>G564/G563-1</x:f>
        <x:v>0.009481935526338248</x:v>
      </x:c>
      <x:c r="J564" s="208" t="n">
        <x:f>'Beta HC3'!$E$13+'Beta HC3'!$E$12*I564</x:f>
        <x:v>0.010702969549525205</x:v>
      </x:c>
      <x:c r="K564" s="240" t="n">
        <x:f>H564-J564</x:f>
        <x:v>-0.0028241581227760274</x:v>
      </x:c>
      <x:c r="L564" s="240" t="n">
        <x:f>I564-'Beta HC3'!$E$9</x:f>
        <x:v>0.008917987908677809</x:v>
      </x:c>
      <x:c r="M564" s="240" t="n">
        <x:f>1/'Beta HC3'!$E$8+L564^2/'Beta HC3'!$E$11</x:f>
        <x:v>0.001340677759944055</x:v>
      </x:c>
      <x:c r="N564" s="240" t="n">
        <x:f>K564^2/(1-M564)^2</x:f>
        <x:v>0.000007997298327978918</x:v>
      </x:c>
      <x:c r="O564" s="240" t="n">
        <x:f>N564*L564^2/'Beta HC3'!$E$11^2</x:f>
        <x:v>2.9743479893716385e-8</x:v>
      </x:c>
      <x:c r="P564" s="240" t="n">
        <x:f>N564*(1/'Beta HC3'!$E$8-'Beta HC3'!$E$9*L564/'Beta HC3'!$E$11)^2</x:f>
        <x:v>4.648707361948424e-12</x:v>
      </x:c>
      <x:c r="Q564" s="240" t="n">
        <x:f>N564*(1/'Beta HC3'!$E$8-'Beta HC3'!$E$9*L564/'Beta HC3'!$E$11)*L564/'Beta HC3'!$E$11</x:f>
        <x:v>3.7184504024107175e-10</x:v>
      </x:c>
      <x:c r="R564" s="240" t="n">
        <x:f>K564*L564/'Beta HC3'!$E$11</x:f>
        <x:v>-0.00017223176394368954</x:v>
      </x:c>
      <x:c r="S564" s="240" t="n">
        <x:f>(K564-K563)^2</x:f>
        <x:v>0.00012928772140234103</x:v>
      </x:c>
      <x:c r="T564" s="280" t="n">
        <x:f>E564/$E$9*100</x:f>
        <x:v>129.24511331518082</x:v>
      </x:c>
    </x:row>
    <x:row r="565" ht="24" customHeight="1">
      <x:c r="C565" s="274" t="d">
        <x:v>2023-12-22T00:00:00.000Z</x:v>
      </x:c>
      <x:c r="D565" s="191" t="n">
        <x:v>374.5799865722656</x:v>
      </x:c>
      <x:c r="E565" s="191" t="n">
        <x:v>366.7503662109375</x:v>
      </x:c>
      <x:c r="F565" s="191" t="n">
        <x:v>473.6499938964844</x:v>
      </x:c>
      <x:c r="G565" s="191" t="n">
        <x:v>458.6409912109375</x:v>
      </x:c>
      <x:c r="H565" s="208" t="n">
        <x:f>E565/E564-1</x:f>
        <x:v>0.0027841402633943524</x:v>
      </x:c>
      <x:c r="I565" s="208" t="n">
        <x:f>G565/G564-1</x:f>
        <x:v>0.00200965343045878</x:v>
      </x:c>
      <x:c r="J565" s="208" t="n">
        <x:f>'Beta HC3'!$E$13+'Beta HC3'!$E$12*I565</x:f>
        <x:v>0.002275642121208638</x:v>
      </x:c>
      <x:c r="K565" s="240" t="n">
        <x:f>H565-J565</x:f>
        <x:v>0.0005084981421857142</x:v>
      </x:c>
      <x:c r="L565" s="240" t="n">
        <x:f>I565-'Beta HC3'!$E$9</x:f>
        <x:v>0.0014457058127983406</x:v>
      </x:c>
      <x:c r="M565" s="240" t="n">
        <x:f>1/'Beta HC3'!$E$8+L565^2/'Beta HC3'!$E$11</x:f>
        <x:v>0.0008111055456859179</x:v>
      </x:c>
      <x:c r="N565" s="240" t="n">
        <x:f>K565^2/(1-M565)^2</x:f>
        <x:v>2.5899032719994677e-7</x:v>
      </x:c>
      <x:c r="O565" s="240" t="n">
        <x:f>N565*L565^2/'Beta HC3'!$E$11^2</x:f>
        <x:v>2.5313845291804706e-11</x:v>
      </x:c>
      <x:c r="P565" s="240" t="n">
        <x:f>N565*(1/'Beta HC3'!$E$8-'Beta HC3'!$E$9*L565/'Beta HC3'!$E$11)^2</x:f>
        <x:v>1.6214258864956937e-13</x:v>
      </x:c>
      <x:c r="Q565" s="240" t="n">
        <x:f>N565*(1/'Beta HC3'!$E$8-'Beta HC3'!$E$9*L565/'Beta HC3'!$E$11)*L565/'Beta HC3'!$E$11</x:f>
        <x:v>2.0259448176808593e-12</x:v>
      </x:c>
      <x:c r="R565" s="240" t="n">
        <x:f>K565*L565/'Beta HC3'!$E$11</x:f>
        <x:v>0.0000050272057392739166</x:v>
      </x:c>
      <x:c r="S565" s="240" t="n">
        <x:f>(K565-K564)^2</x:f>
        <x:v>0.000011106597780388745</x:v>
      </x:c>
      <x:c r="T565" s="280" t="n">
        <x:f>E565/$E$9*100</x:f>
        <x:v>129.60494983900858</x:v>
      </x:c>
    </x:row>
    <x:row r="566" ht="24" customHeight="1">
      <x:c r="C566" s="274" t="d">
        <x:v>2023-12-26T00:00:00.000Z</x:v>
      </x:c>
      <x:c r="D566" s="191" t="n">
        <x:v>374.6600036621094</x:v>
      </x:c>
      <x:c r="E566" s="191" t="n">
        <x:v>366.8287353515625</x:v>
      </x:c>
      <x:c r="F566" s="191" t="n">
        <x:v>475.6499938964844</x:v>
      </x:c>
      <x:c r="G566" s="191" t="n">
        <x:v>460.57763671875</x:v>
      </x:c>
      <x:c r="H566" s="208" t="n">
        <x:f>E566/E565-1</x:f>
        <x:v>0.0002136852416390056</x:v>
      </x:c>
      <x:c r="I566" s="208" t="n">
        <x:f>G566/G565-1</x:f>
        <x:v>0.004222573962914256</x:v>
      </x:c>
      <x:c r="J566" s="208" t="n">
        <x:f>'Beta HC3'!$E$13+'Beta HC3'!$E$12*I566</x:f>
        <x:v>0.00477139986436595</x:v>
      </x:c>
      <x:c r="K566" s="240" t="n">
        <x:f>H566-J566</x:f>
        <x:v>-0.004557714622726945</x:v>
      </x:c>
      <x:c r="L566" s="240" t="n">
        <x:f>I566-'Beta HC3'!$E$9</x:f>
        <x:v>0.0036586263452538163</x:v>
      </x:c>
      <x:c r="M566" s="240" t="n">
        <x:f>1/'Beta HC3'!$E$8+L566^2/'Beta HC3'!$E$11</x:f>
        <x:v>0.0008883490747868658</x:v>
      </x:c>
      <x:c r="N566" s="240" t="n">
        <x:f>K566^2/(1-M566)^2</x:f>
        <x:v>0.00002080971874873051</x:v>
      </x:c>
      <x:c r="O566" s="240" t="n">
        <x:f>N566*L566^2/'Beta HC3'!$E$11^2</x:f>
        <x:v>1.3026179190348069e-8</x:v>
      </x:c>
      <x:c r="P566" s="240" t="n">
        <x:f>N566*(1/'Beta HC3'!$E$8-'Beta HC3'!$E$9*L566/'Beta HC3'!$E$11)^2</x:f>
        <x:v>1.274853825256653e-11</x:v>
      </x:c>
      <x:c r="Q566" s="240" t="n">
        <x:f>N566*(1/'Beta HC3'!$E$8-'Beta HC3'!$E$9*L566/'Beta HC3'!$E$11)*L566/'Beta HC3'!$E$11</x:f>
        <x:v>4.0751042157586404e-10</x:v>
      </x:c>
      <x:c r="R566" s="240" t="n">
        <x:f>K566*L566/'Beta HC3'!$E$11</x:f>
        <x:v>-0.000114030898802374</x:v>
      </x:c>
      <x:c r="S566" s="240" t="n">
        <x:f>(K566-K565)^2</x:f>
        <x:v>0.00002566651177936397</x:v>
      </x:c>
      <x:c r="T566" s="280" t="n">
        <x:f>E566/$E$9*100</x:f>
        <x:v>129.63264450403256</x:v>
      </x:c>
    </x:row>
    <x:row r="567" ht="24" customHeight="1">
      <x:c r="C567" s="274" t="d">
        <x:v>2023-12-27T00:00:00.000Z</x:v>
      </x:c>
      <x:c r="D567" s="191" t="n">
        <x:v>374.07000732421875</x:v>
      </x:c>
      <x:c r="E567" s="191" t="n">
        <x:v>366.2510986328125</x:v>
      </x:c>
      <x:c r="F567" s="191" t="n">
        <x:v>476.510009765625</x:v>
      </x:c>
      <x:c r="G567" s="191" t="n">
        <x:v>461.4103698730469</x:v>
      </x:c>
      <x:c r="H567" s="208" t="n">
        <x:f>E567/E566-1</x:f>
        <x:v>-0.0015746768534815603</x:v>
      </x:c>
      <x:c r="I567" s="208" t="n">
        <x:f>G567/G566-1</x:f>
        <x:v>0.0018080190784541816</x:v>
      </x:c>
      <x:c r="J567" s="208" t="n">
        <x:f>'Beta HC3'!$E$13+'Beta HC3'!$E$12*I567</x:f>
        <x:v>0.0020482365330180877</x:v>
      </x:c>
      <x:c r="K567" s="240" t="n">
        <x:f>H567-J567</x:f>
        <x:v>-0.003622913386499648</x:v>
      </x:c>
      <x:c r="L567" s="240" t="n">
        <x:f>I567-'Beta HC3'!$E$9</x:f>
        <x:v>0.0012440714607937424</x:v>
      </x:c>
      <x:c r="M567" s="240" t="n">
        <x:f>1/'Beta HC3'!$E$8+L567^2/'Beta HC3'!$E$11</x:f>
        <x:v>0.0008073967047727466</x:v>
      </x:c>
      <x:c r="N567" s="240" t="n">
        <x:f>K567^2/(1-M567)^2</x:f>
        <x:v>0.000013146722076034577</x:v>
      </x:c>
      <x:c r="O567" s="240" t="n">
        <x:f>N567*L567^2/'Beta HC3'!$E$11^2</x:f>
        <x:v>9.515308199979193e-10</x:v>
      </x:c>
      <x:c r="P567" s="240" t="n">
        <x:f>N567*(1/'Beta HC3'!$E$8-'Beta HC3'!$E$9*L567/'Beta HC3'!$E$11)^2</x:f>
        <x:v>8.246776940967121e-12</x:v>
      </x:c>
      <x:c r="Q567" s="240" t="n">
        <x:f>N567*(1/'Beta HC3'!$E$8-'Beta HC3'!$E$9*L567/'Beta HC3'!$E$11)*L567/'Beta HC3'!$E$11</x:f>
        <x:v>8.858364648725167e-11</x:v>
      </x:c>
      <x:c r="R567" s="240" t="n">
        <x:f>K567*L567/'Beta HC3'!$E$11</x:f>
        <x:v>-0.000030821987518550774</x:v>
      </x:c>
      <x:c r="S567" s="240" t="n">
        <x:f>(K567-K566)^2</x:f>
        <x:v>8.738533512520822e-7</x:v>
      </x:c>
      <x:c r="T567" s="280" t="n">
        <x:f>E567/$E$9*100</x:f>
        <x:v>129.42851497927646</x:v>
      </x:c>
    </x:row>
    <x:row r="568" ht="24" customHeight="1">
      <x:c r="C568" s="274" t="d">
        <x:v>2023-12-28T00:00:00.000Z</x:v>
      </x:c>
      <x:c r="D568" s="191" t="n">
        <x:v>375.2799987792969</x:v>
      </x:c>
      <x:c r="E568" s="191" t="n">
        <x:v>367.4357604980469</x:v>
      </x:c>
      <x:c r="F568" s="191" t="n">
        <x:v>476.69000244140625</x:v>
      </x:c>
      <x:c r="G568" s="191" t="n">
        <x:v>461.5847473144531</x:v>
      </x:c>
      <x:c r="H568" s="208" t="n">
        <x:f>E568/E567-1</x:f>
        <x:v>0.0032345619430402817</x:v>
      </x:c>
      <x:c r="I568" s="208" t="n">
        <x:f>G568/G567-1</x:f>
        <x:v>0.00037792267532754664</x:v>
      </x:c>
      <x:c r="J568" s="208" t="n">
        <x:f>'Beta HC3'!$E$13+'Beta HC3'!$E$12*I568</x:f>
        <x:v>0.00043535702866266777</x:v>
      </x:c>
      <x:c r="K568" s="240" t="n">
        <x:f>H568-J568</x:f>
        <x:v>0.002799204914377614</x:v>
      </x:c>
      <x:c r="L568" s="240" t="n">
        <x:f>I568-'Beta HC3'!$E$9</x:f>
        <x:v>-0.00018602494233289273</x:v>
      </x:c>
      <x:c r="M568" s="240" t="n">
        <x:f>1/'Beta HC3'!$E$8+L568^2/'Beta HC3'!$E$11</x:f>
        <x:v>0.0007970493953039681</x:v>
      </x:c>
      <x:c r="N568" s="240" t="n">
        <x:f>K568^2/(1-M568)^2</x:f>
        <x:v>0.000007848053739878841</x:v>
      </x:c>
      <x:c r="O568" s="240" t="n">
        <x:f>N568*L568^2/'Beta HC3'!$E$11^2</x:f>
        <x:v>1.2700448220224311e-11</x:v>
      </x:c>
      <x:c r="P568" s="240" t="n">
        <x:f>N568*(1/'Beta HC3'!$E$8-'Beta HC3'!$E$9*L568/'Beta HC3'!$E$11)^2</x:f>
        <x:v>4.991788753289449e-12</x:v>
      </x:c>
      <x:c r="Q568" s="240" t="n">
        <x:f>N568*(1/'Beta HC3'!$E$8-'Beta HC3'!$E$9*L568/'Beta HC3'!$E$11)*L568/'Beta HC3'!$E$11</x:f>
        <x:v>-7.962283252148891e-12</x:v>
      </x:c>
      <x:c r="R568" s="240" t="n">
        <x:f>K568*L568/'Beta HC3'!$E$11</x:f>
        <x:v>-0.000003560928322715202</x:v>
      </x:c>
      <x:c r="S568" s="240" t="n">
        <x:f>(K568-K567)^2</x:f>
        <x:v>0.000041243603470462645</x:v>
      </x:c>
      <x:c r="T568" s="280" t="n">
        <x:f>E568/$E$9*100</x:f>
        <x:v>129.84715952817263</x:v>
      </x:c>
    </x:row>
    <x:row r="569" ht="24" customHeight="1">
      <x:c r="C569" s="274" t="d">
        <x:v>2023-12-29T00:00:00.000Z</x:v>
      </x:c>
      <x:c r="D569" s="191" t="n">
        <x:v>376.0400085449219</x:v>
      </x:c>
      <x:c r="E569" s="191" t="n">
        <x:v>368.17987060546875</x:v>
      </x:c>
      <x:c r="F569" s="191" t="n">
        <x:v>475.30999755859375</x:v>
      </x:c>
      <x:c r="G569" s="191" t="n">
        <x:v>460.2484130859375</x:v>
      </x:c>
      <x:c r="H569" s="208" t="n">
        <x:f>E569/E568-1</x:f>
        <x:v>0.00202514340578408</x:v>
      </x:c>
      <x:c r="I569" s="208" t="n">
        <x:f>G569/G568-1</x:f>
        <x:v>-0.00289510049084285</x:v>
      </x:c>
      <x:c r="J569" s="208" t="n">
        <x:f>'Beta HC3'!$E$13+'Beta HC3'!$E$12*I569</x:f>
        <x:v>-0.003255996904159764</x:v>
      </x:c>
      <x:c r="K569" s="240" t="n">
        <x:f>H569-J569</x:f>
        <x:v>0.005281140309943844</x:v>
      </x:c>
      <x:c r="L569" s="240" t="n">
        <x:f>I569-'Beta HC3'!$E$9</x:f>
        <x:v>-0.0034590481085032894</x:v>
      </x:c>
      <x:c r="M569" s="240" t="n">
        <x:f>1/'Beta HC3'!$E$8+L569^2/'Beta HC3'!$E$11</x:f>
        <x:v>0.0008786348384930152</x:v>
      </x:c>
      <x:c r="N569" s="240" t="n">
        <x:f>K569^2/(1-M569)^2</x:f>
        <x:v>0.000027939518672981895</x:v>
      </x:c>
      <x:c r="O569" s="240" t="n">
        <x:f>N569*L569^2/'Beta HC3'!$E$11^2</x:f>
        <x:v>1.5633162684277744e-8</x:v>
      </x:c>
      <x:c r="P569" s="240" t="n">
        <x:f>N569*(1/'Beta HC3'!$E$8-'Beta HC3'!$E$9*L569/'Beta HC3'!$E$11)^2</x:f>
        <x:v>1.8338028271640724e-11</x:v>
      </x:c>
      <x:c r="Q569" s="240" t="n">
        <x:f>N569*(1/'Beta HC3'!$E$8-'Beta HC3'!$E$9*L569/'Beta HC3'!$E$11)*L569/'Beta HC3'!$E$11</x:f>
        <x:v>-5.354263528062884e-10</x:v>
      </x:c>
      <x:c r="R569" s="240" t="n">
        <x:f>K569*L569/'Beta HC3'!$E$11</x:f>
        <x:v>-0.00012492278843480092</x:v>
      </x:c>
      <x:c r="S569" s="240" t="n">
        <x:f>(K569-K568)^2</x:f>
        <x:v>0.0000061600033077644995</x:v>
      </x:c>
      <x:c r="T569" s="280" t="n">
        <x:f>E569/$E$9*100</x:f>
        <x:v>130.1101186470509</x:v>
      </x:c>
    </x:row>
    <x:row r="570" ht="24" customHeight="1">
      <x:c r="C570" s="274" t="d">
        <x:v>2024-01-02T00:00:00.000Z</x:v>
      </x:c>
      <x:c r="D570" s="191" t="n">
        <x:v>370.8699951171875</x:v>
      </x:c>
      <x:c r="E570" s="191" t="n">
        <x:v>363.117919921875</x:v>
      </x:c>
      <x:c r="F570" s="191" t="n">
        <x:v>472.6499938964844</x:v>
      </x:c>
      <x:c r="G570" s="191" t="n">
        <x:v>457.6727294921875</x:v>
      </x:c>
      <x:c r="H570" s="208" t="n">
        <x:f>E570/E569-1</x:f>
        <x:v>-0.01374858075556773</x:v>
      </x:c>
      <x:c r="I570" s="208" t="n">
        <x:f>G570/G569-1</x:f>
        <x:v>-0.005596290004522109</x:v>
      </x:c>
      <x:c r="J570" s="208" t="n">
        <x:f>'Beta HC3'!$E$13+'Beta HC3'!$E$12*I570</x:f>
        <x:v>-0.006302430133743432</x:v>
      </x:c>
      <x:c r="K570" s="240" t="n">
        <x:f>H570-J570</x:f>
        <x:v>-0.007446150621824298</x:v>
      </x:c>
      <x:c r="L570" s="240" t="n">
        <x:f>I570-'Beta HC3'!$E$9</x:f>
        <x:v>-0.006160237622182548</x:v>
      </x:c>
      <x:c r="M570" s="240" t="n">
        <x:f>1/'Beta HC3'!$E$8+L570^2/'Beta HC3'!$E$11</x:f>
        <x:v>0.001056321669398093</x:v>
      </x:c>
      <x:c r="N570" s="240" t="n">
        <x:f>K570^2/(1-M570)^2</x:f>
        <x:v>0.000055562480790347524</x:v>
      </x:c>
      <x:c r="O570" s="240" t="n">
        <x:f>N570*L570^2/'Beta HC3'!$E$11^2</x:f>
        <x:v>9.860326153980223e-8</x:v>
      </x:c>
      <x:c r="P570" s="240" t="n">
        <x:f>N570*(1/'Beta HC3'!$E$8-'Beta HC3'!$E$9*L570/'Beta HC3'!$E$11)^2</x:f>
        <x:v>3.741215700597832e-11</x:v>
      </x:c>
      <x:c r="Q570" s="240" t="n">
        <x:f>N570*(1/'Beta HC3'!$E$8-'Beta HC3'!$E$9*L570/'Beta HC3'!$E$11)*L570/'Beta HC3'!$E$11</x:f>
        <x:v>-1.920666733722596e-9</x:v>
      </x:c>
      <x:c r="R570" s="240" t="n">
        <x:f>K570*L570/'Beta HC3'!$E$11</x:f>
        <x:v>0.0003136798655304021</x:v>
      </x:c>
      <x:c r="S570" s="240" t="n">
        <x:f>(K570-K569)^2</x:f>
        <x:v>0.0001619839344618676</x:v>
      </x:c>
      <x:c r="T570" s="280" t="n">
        <x:f>E570/$E$9*100</x:f>
        <x:v>128.32128917371543</x:v>
      </x:c>
    </x:row>
    <x:row r="571" ht="24" customHeight="1">
      <x:c r="C571" s="274" t="d">
        <x:v>2024-01-03T00:00:00.000Z</x:v>
      </x:c>
      <x:c r="D571" s="191" t="n">
        <x:v>370.6000061035156</x:v>
      </x:c>
      <x:c r="E571" s="191" t="n">
        <x:v>362.8536071777344</x:v>
      </x:c>
      <x:c r="F571" s="191" t="n">
        <x:v>468.7900085449219</x:v>
      </x:c>
      <x:c r="G571" s="191" t="n">
        <x:v>453.9350280761719</x:v>
      </x:c>
      <x:c r="H571" s="208" t="n">
        <x:f>E571/E570-1</x:f>
        <x:v>-0.0007278978250302437</x:v>
      </x:c>
      <x:c r="I571" s="208" t="n">
        <x:f>G571/G570-1</x:f>
        <x:v>-0.008166755795484648</x:v>
      </x:c>
      <x:c r="J571" s="208" t="n">
        <x:f>'Beta HC3'!$E$13+'Beta HC3'!$E$12*I571</x:f>
        <x:v>-0.009201431614920577</x:v>
      </x:c>
      <x:c r="K571" s="240" t="n">
        <x:f>H571-J571</x:f>
        <x:v>0.008473533789890334</x:v>
      </x:c>
      <x:c r="L571" s="240" t="n">
        <x:f>I571-'Beta HC3'!$E$9</x:f>
        <x:v>-0.008730703413145087</x:v>
      </x:c>
      <x:c r="M571" s="240" t="n">
        <x:f>1/'Beta HC3'!$E$8+L571^2/'Beta HC3'!$E$11</x:f>
        <x:v>0.0013180744680098221</x:v>
      </x:c>
      <x:c r="N571" s="240" t="n">
        <x:f>K571^2/(1-M571)^2</x:f>
        <x:v>0.00007199042730632942</x:v>
      </x:c>
      <x:c r="O571" s="240" t="n">
        <x:f>N571*L571^2/'Beta HC3'!$E$11^2</x:f>
        <x:v>2.566184897141592e-7</x:v>
      </x:c>
      <x:c r="P571" s="240" t="n">
        <x:f>N571*(1/'Beta HC3'!$E$8-'Beta HC3'!$E$9*L571/'Beta HC3'!$E$11)^2</x:f>
        <x:v>4.9651933465216615e-11</x:v>
      </x:c>
      <x:c r="Q571" s="240" t="n">
        <x:f>N571*(1/'Beta HC3'!$E$8-'Beta HC3'!$E$9*L571/'Beta HC3'!$E$11)*L571/'Beta HC3'!$E$11</x:f>
        <x:v>-3.56953837032631e-9</x:v>
      </x:c>
      <x:c r="R571" s="240" t="n">
        <x:f>K571*L571/'Beta HC3'!$E$11</x:f>
        <x:v>-0.0005059075518155947</x:v>
      </x:c>
      <x:c r="S571" s="240" t="n">
        <x:f>(K571-K570)^2</x:f>
        <x:v>0.0002534363517685898</x:v>
      </x:c>
      <x:c r="T571" s="280" t="n">
        <x:f>E571/$E$9*100</x:f>
        <x:v>128.2278843864208</x:v>
      </x:c>
    </x:row>
    <x:row r="572" ht="24" customHeight="1">
      <x:c r="C572" s="274" t="d">
        <x:v>2024-01-04T00:00:00.000Z</x:v>
      </x:c>
      <x:c r="D572" s="191" t="n">
        <x:v>367.94000244140625</x:v>
      </x:c>
      <x:c r="E572" s="191" t="n">
        <x:v>360.2492370605469</x:v>
      </x:c>
      <x:c r="F572" s="191" t="n">
        <x:v>467.2799987792969</x:v>
      </x:c>
      <x:c r="G572" s="191" t="n">
        <x:v>452.4728698730469</x:v>
      </x:c>
      <x:c r="H572" s="208" t="n">
        <x:f>E572/E571-1</x:f>
        <x:v>-0.007177467897988454</x:v>
      </x:c>
      <x:c r="I572" s="208" t="n">
        <x:f>G572/G571-1</x:f>
        <x:v>-0.003221073749963277</x:v>
      </x:c>
      <x:c r="J572" s="208" t="n">
        <x:f>'Beta HC3'!$E$13+'Beta HC3'!$E$12*I572</x:f>
        <x:v>-0.0036236333708020195</x:v>
      </x:c>
      <x:c r="K572" s="240" t="n">
        <x:f>H572-J572</x:f>
        <x:v>-0.0035538345271864348</x:v>
      </x:c>
      <x:c r="L572" s="240" t="n">
        <x:f>I572-'Beta HC3'!$E$9</x:f>
        <x:v>-0.003785021367623716</x:v>
      </x:c>
      <x:c r="M572" s="240" t="n">
        <x:f>1/'Beta HC3'!$E$8+L572^2/'Beta HC3'!$E$11</x:f>
        <x:v>0.0008947829575572682</x:v>
      </x:c>
      <x:c r="N572" s="240" t="n">
        <x:f>K572^2/(1-M572)^2</x:f>
        <x:v>0.000012652371970294488</x:v>
      </x:c>
      <x:c r="O572" s="240" t="n">
        <x:f>N572*L572^2/'Beta HC3'!$E$11^2</x:f>
        <x:v>8.476632312073133e-9</x:v>
      </x:c>
      <x:c r="P572" s="240" t="n">
        <x:f>N572*(1/'Beta HC3'!$E$8-'Beta HC3'!$E$9*L572/'Beta HC3'!$E$11)^2</x:f>
        <x:v>8.330142388635514e-12</x:v>
      </x:c>
      <x:c r="Q572" s="240" t="n">
        <x:f>N572*(1/'Beta HC3'!$E$8-'Beta HC3'!$E$9*L572/'Beta HC3'!$E$11)*L572/'Beta HC3'!$E$11</x:f>
        <x:v>-2.657283465038645e-10</x:v>
      </x:c>
      <x:c r="R572" s="240" t="n">
        <x:f>K572*L572/'Beta HC3'!$E$11</x:f>
        <x:v>0.00009198624683350258</x:v>
      </x:c>
      <x:c r="S572" s="240" t="n">
        <x:f>(K572-K571)^2</x:f>
        <x:v>0.00014465758863462205</x:v>
      </x:c>
      <x:c r="T572" s="280" t="n">
        <x:f>E572/$E$9*100</x:f>
        <x:v>127.3075328626103</x:v>
      </x:c>
    </x:row>
    <x:row r="573" ht="24" customHeight="1">
      <x:c r="C573" s="274" t="d">
        <x:v>2024-01-05T00:00:00.000Z</x:v>
      </x:c>
      <x:c r="D573" s="191" t="n">
        <x:v>367.75</x:v>
      </x:c>
      <x:c r="E573" s="191" t="n">
        <x:v>360.0631408691406</x:v>
      </x:c>
      <x:c r="F573" s="191" t="n">
        <x:v>467.9200134277344</x:v>
      </x:c>
      <x:c r="G573" s="191" t="n">
        <x:v>453.09259033203125</x:v>
      </x:c>
      <x:c r="H573" s="208" t="n">
        <x:f>E573/E572-1</x:f>
        <x:v>-0.0005165762262946405</x:v>
      </x:c>
      <x:c r="I573" s="208" t="n">
        <x:f>G573/G572-1</x:f>
        <x:v>0.0013696300933097039</x:v>
      </x:c>
      <x:c r="J573" s="208" t="n">
        <x:f>'Beta HC3'!$E$13+'Beta HC3'!$E$12*I573</x:f>
        <x:v>0.001553816291467358</x:v>
      </x:c>
      <x:c r="K573" s="240" t="n">
        <x:f>H573-J573</x:f>
        <x:v>-0.0020703925177619985</x:v>
      </x:c>
      <x:c r="L573" s="240" t="n">
        <x:f>I573-'Beta HC3'!$E$9</x:f>
        <x:v>0.0008056824756492645</x:v>
      </x:c>
      <x:c r="M573" s="240" t="n">
        <x:f>1/'Beta HC3'!$E$8+L573^2/'Beta HC3'!$E$11</x:f>
        <x:v>0.0008012517495278386</x:v>
      </x:c>
      <x:c r="N573" s="240" t="n">
        <x:f>K573^2/(1-M573)^2</x:f>
        <x:v>0.000004293402613933327</x:v>
      </x:c>
      <x:c r="O573" s="240" t="n">
        <x:f>N573*L573^2/'Beta HC3'!$E$11^2</x:f>
        <x:v>1.303299336167166e-10</x:v>
      </x:c>
      <x:c r="P573" s="240" t="n">
        <x:f>N573*(1/'Beta HC3'!$E$8-'Beta HC3'!$E$9*L573/'Beta HC3'!$E$11)^2</x:f>
        <x:v>2.704708845036984e-12</x:v>
      </x:c>
      <x:c r="Q573" s="240" t="n">
        <x:f>N573*(1/'Beta HC3'!$E$8-'Beta HC3'!$E$9*L573/'Beta HC3'!$E$11)*L573/'Beta HC3'!$E$11</x:f>
        <x:v>1.8775103840624058e-11</x:v>
      </x:c>
      <x:c r="R573" s="240" t="n">
        <x:f>K573*L573/'Beta HC3'!$E$11</x:f>
        <x:v>-0.000011407066367583319</x:v>
      </x:c>
      <x:c r="S573" s="240" t="n">
        <x:f>(K573-K572)^2</x:f>
        <x:v>0.000002200600195325209</x:v>
      </x:c>
      <x:c r="T573" s="280" t="n">
        <x:f>E573/$E$9*100</x:f>
        <x:v>127.24176881770526</x:v>
      </x:c>
    </x:row>
    <x:row r="574" ht="24" customHeight="1">
      <x:c r="C574" s="274" t="d">
        <x:v>2024-01-08T00:00:00.000Z</x:v>
      </x:c>
      <x:c r="D574" s="191" t="n">
        <x:v>374.69000244140625</x:v>
      </x:c>
      <x:c r="E574" s="191" t="n">
        <x:v>366.85809326171875</x:v>
      </x:c>
      <x:c r="F574" s="191" t="n">
        <x:v>474.6000061035156</x:v>
      </x:c>
      <x:c r="G574" s="191" t="n">
        <x:v>459.5609130859375</x:v>
      </x:c>
      <x:c r="H574" s="208" t="n">
        <x:f>E574/E573-1</x:f>
        <x:v>0.018871557850037357</x:v>
      </x:c>
      <x:c r="I574" s="208" t="n">
        <x:f>G574/G573-1</x:f>
        <x:v>0.014275940264585119</x:v>
      </x:c>
      <x:c r="J574" s="208" t="n">
        <x:f>'Beta HC3'!$E$13+'Beta HC3'!$E$12*I574</x:f>
        <x:v>0.016109704346701302</x:v>
      </x:c>
      <x:c r="K574" s="240" t="n">
        <x:f>H574-J574</x:f>
        <x:v>0.002761853503336055</x:v>
      </x:c>
      <x:c r="L574" s="240" t="n">
        <x:f>I574-'Beta HC3'!$E$9</x:f>
        <x:v>0.01371199264692468</x:v>
      </x:c>
      <x:c r="M574" s="240" t="n">
        <x:f>1/'Beta HC3'!$E$8+L574^2/'Beta HC3'!$E$11</x:f>
        <x:v>0.0020825685866061035</x:v>
      </x:c>
      <x:c r="N574" s="240" t="n">
        <x:f>K574^2/(1-M574)^2</x:f>
        <x:v>0.00000765970527622565</x:v>
      </x:c>
      <x:c r="O574" s="240" t="n">
        <x:f>N574*L574^2/'Beta HC3'!$E$11^2</x:f>
        <x:v>6.734849973003011e-8</x:v>
      </x:c>
      <x:c r="P574" s="240" t="n">
        <x:f>N574*(1/'Beta HC3'!$E$8-'Beta HC3'!$E$9*L574/'Beta HC3'!$E$11)^2</x:f>
        <x:v>4.239148862290445e-12</x:v>
      </x:c>
      <x:c r="Q574" s="240" t="n">
        <x:f>N574*(1/'Beta HC3'!$E$8-'Beta HC3'!$E$9*L574/'Beta HC3'!$E$11)*L574/'Beta HC3'!$E$11</x:f>
        <x:v>5.343222960045047e-10</x:v>
      </x:c>
      <x:c r="R574" s="240" t="n">
        <x:f>K574*L574/'Beta HC3'!$E$11</x:f>
        <x:v>0.0002589754352962426</x:v>
      </x:c>
      <x:c r="S574" s="240" t="n">
        <x:f>(K574-K573)^2</x:f>
        <x:v>0.000023350601608417975</x:v>
      </x:c>
      <x:c r="T574" s="280" t="n">
        <x:f>E574/$E$9*100</x:f>
        <x:v>129.64301921888966</x:v>
      </x:c>
    </x:row>
    <x:row r="575" ht="24" customHeight="1">
      <x:c r="C575" s="274" t="d">
        <x:v>2024-01-09T00:00:00.000Z</x:v>
      </x:c>
      <x:c r="D575" s="191" t="n">
        <x:v>375.7900085449219</x:v>
      </x:c>
      <x:c r="E575" s="191" t="n">
        <x:v>367.9351501464844</x:v>
      </x:c>
      <x:c r="F575" s="191" t="n">
        <x:v>473.8800048828125</x:v>
      </x:c>
      <x:c r="G575" s="191" t="n">
        <x:v>458.8637390136719</x:v>
      </x:c>
      <x:c r="H575" s="208" t="n">
        <x:f>E575/E574-1</x:f>
        <x:v>0.0029358951173450443</x:v>
      </x:c>
      <x:c r="I575" s="208" t="n">
        <x:f>G575/G574-1</x:f>
        <x:v>-0.0015170438834410938</x:v>
      </x:c>
      <x:c r="J575" s="208" t="n">
        <x:f>'Beta HC3'!$E$13+'Beta HC3'!$E$12*I575</x:f>
        <x:v>-0.0017018084920635747</x:v>
      </x:c>
      <x:c r="K575" s="240" t="n">
        <x:f>H575-J575</x:f>
        <x:v>0.004637703609408619</x:v>
      </x:c>
      <x:c r="L575" s="240" t="n">
        <x:f>I575-'Beta HC3'!$E$9</x:f>
        <x:v>-0.002080991501101533</x:v>
      </x:c>
      <x:c r="M575" s="240" t="n">
        <x:f>1/'Beta HC3'!$E$8+L575^2/'Beta HC3'!$E$11</x:f>
        <x:v>0.0008264268105388743</x:v>
      </x:c>
      <x:c r="N575" s="240" t="n">
        <x:f>K575^2/(1-M575)^2</x:f>
        <x:v>0.000021543888949511326</x:v>
      </x:c>
      <x:c r="O575" s="240" t="n">
        <x:f>N575*L575^2/'Beta HC3'!$E$11^2</x:f>
        <x:v>4.362941980482317e-9</x:v>
      </x:c>
      <x:c r="P575" s="240" t="n">
        <x:f>N575*(1/'Beta HC3'!$E$8-'Beta HC3'!$E$9*L575/'Beta HC3'!$E$11)^2</x:f>
        <x:v>1.3955365129720794e-11</x:v>
      </x:c>
      <x:c r="Q575" s="240" t="n">
        <x:f>N575*(1/'Beta HC3'!$E$8-'Beta HC3'!$E$9*L575/'Beta HC3'!$E$11)*L575/'Beta HC3'!$E$11</x:f>
        <x:v>-2.467517950844896e-10</x:v>
      </x:c>
      <x:c r="R575" s="240" t="n">
        <x:f>K575*L575/'Beta HC3'!$E$11</x:f>
        <x:v>-0.00006599798221035999</x:v>
      </x:c>
      <x:c r="S575" s="240" t="n">
        <x:f>(K575-K574)^2</x:f>
        <x:v>0.00000351881362045245</x:v>
      </x:c>
      <x:c r="T575" s="280" t="n">
        <x:f>E575/$E$9*100</x:f>
        <x:v>130.02363752601227</x:v>
      </x:c>
    </x:row>
    <x:row r="576" ht="24" customHeight="1">
      <x:c r="C576" s="274" t="d">
        <x:v>2024-01-10T00:00:00.000Z</x:v>
      </x:c>
      <x:c r="D576" s="191" t="n">
        <x:v>382.7699890136719</x:v>
      </x:c>
      <x:c r="E576" s="191" t="n">
        <x:v>374.7691650390625</x:v>
      </x:c>
      <x:c r="F576" s="191" t="n">
        <x:v>476.55999755859375</x:v>
      </x:c>
      <x:c r="G576" s="191" t="n">
        <x:v>461.4587707519531</x:v>
      </x:c>
      <x:c r="H576" s="208" t="n">
        <x:f>E576/E575-1</x:f>
        <x:v>0.018573965792225478</x:v>
      </x:c>
      <x:c r="I576" s="208" t="n">
        <x:f>G576/G575-1</x:f>
        <x:v>0.005655342790561901</x:v>
      </x:c>
      <x:c r="J576" s="208" t="n">
        <x:f>'Beta HC3'!$E$13+'Beta HC3'!$E$12*I576</x:f>
        <x:v>0.006387293360454691</x:v>
      </x:c>
      <x:c r="K576" s="240" t="n">
        <x:f>H576-J576</x:f>
        <x:v>0.012186672431770787</x:v>
      </x:c>
      <x:c r="L576" s="240" t="n">
        <x:f>I576-'Beta HC3'!$E$9</x:f>
        <x:v>0.005091395172901462</x:v>
      </x:c>
      <x:c r="M576" s="240" t="n">
        <x:f>1/'Beta HC3'!$E$8+L576^2/'Beta HC3'!$E$11</x:f>
        <x:v>0.0009740810059489309</x:v>
      </x:c>
      <x:c r="N576" s="240" t="n">
        <x:f>K576^2/(1-M576)^2</x:f>
        <x:v>0.00014880473950901654</x:v>
      </x:c>
      <x:c r="O576" s="240" t="n">
        <x:f>N576*L576^2/'Beta HC3'!$E$11^2</x:f>
        <x:v>1.8038694342637658e-7</x:v>
      </x:c>
      <x:c r="P576" s="240" t="n">
        <x:f>N576*(1/'Beta HC3'!$E$8-'Beta HC3'!$E$9*L576/'Beta HC3'!$E$11)^2</x:f>
        <x:v>8.987882320223955e-11</x:v>
      </x:c>
      <x:c r="Q576" s="240" t="n">
        <x:f>N576*(1/'Beta HC3'!$E$8-'Beta HC3'!$E$9*L576/'Beta HC3'!$E$11)*L576/'Beta HC3'!$E$11</x:f>
        <x:v>4.0265327760011696e-9</x:v>
      </x:c>
      <x:c r="R576" s="240" t="n">
        <x:f>K576*L576/'Beta HC3'!$E$11</x:f>
        <x:v>0.0004243061295727191</x:v>
      </x:c>
      <x:c r="S576" s="240" t="n">
        <x:f>(K576-K575)^2</x:f>
        <x:v>0.00005698693028099605</x:v>
      </x:c>
      <x:c r="T576" s="280" t="n">
        <x:f>E576/$E$9*100</x:f>
        <x:v>132.43869212160115</x:v>
      </x:c>
    </x:row>
    <x:row r="577" ht="24" customHeight="1">
      <x:c r="C577" s="274" t="d">
        <x:v>2024-01-11T00:00:00.000Z</x:v>
      </x:c>
      <x:c r="D577" s="191" t="n">
        <x:v>384.6300048828125</x:v>
      </x:c>
      <x:c r="E577" s="191" t="n">
        <x:v>376.5903015136719</x:v>
      </x:c>
      <x:c r="F577" s="191" t="n">
        <x:v>476.3500061035156</x:v>
      </x:c>
      <x:c r="G577" s="191" t="n">
        <x:v>461.2554626464844</x:v>
      </x:c>
      <x:c r="H577" s="208" t="n">
        <x:f>E577/E576-1</x:f>
        <x:v>0.004859355156445533</x:v>
      </x:c>
      <x:c r="I577" s="208" t="n">
        <x:f>G577/G576-1</x:f>
        <x:v>-0.00044057696668642343</x:v>
      </x:c>
      <x:c r="J577" s="208" t="n">
        <x:f>'Beta HC3'!$E$13+'Beta HC3'!$E$12*I577</x:f>
        <x:v>-0.00048775647196592066</x:v>
      </x:c>
      <x:c r="K577" s="240" t="n">
        <x:f>H577-J577</x:f>
        <x:v>0.005347111628411454</x:v>
      </x:c>
      <x:c r="L577" s="240" t="n">
        <x:f>I577-'Beta HC3'!$E$9</x:f>
        <x:v>-0.0010045245843468627</x:v>
      </x:c>
      <x:c r="M577" s="240" t="n">
        <x:f>1/'Beta HC3'!$E$8+L577^2/'Beta HC3'!$E$11</x:f>
        <x:v>0.0008037132162908203</x:v>
      </x:c>
      <x:c r="N577" s="240" t="n">
        <x:f>K577^2/(1-M577)^2</x:f>
        <x:v>0.000028637617130825145</x:v>
      </x:c>
      <x:c r="O577" s="240" t="n">
        <x:f>N577*L577^2/'Beta HC3'!$E$11^2</x:f>
        <x:v>1.351365232278267e-9</x:v>
      </x:c>
      <x:c r="P577" s="240" t="n">
        <x:f>N577*(1/'Beta HC3'!$E$8-'Beta HC3'!$E$9*L577/'Beta HC3'!$E$11)^2</x:f>
        <x:v>1.835955424404311e-11</x:v>
      </x:c>
      <x:c r="Q577" s="240" t="n">
        <x:f>N577*(1/'Beta HC3'!$E$8-'Beta HC3'!$E$9*L577/'Beta HC3'!$E$11)*L577/'Beta HC3'!$E$11</x:f>
        <x:v>-1.5751337494170695e-10</x:v>
      </x:c>
      <x:c r="R577" s="240" t="n">
        <x:f>K577*L577/'Beta HC3'!$E$11</x:f>
        <x:v>-0.00003673137466805279</x:v>
      </x:c>
      <x:c r="S577" s="240" t="n">
        <x:f>(K577-K576)^2</x:f>
        <x:v>0.000046779591982849365</x:v>
      </x:c>
      <x:c r="T577" s="280" t="n">
        <x:f>E577/$E$9*100</x:f>
        <x:v>133.08225876307515</x:v>
      </x:c>
    </x:row>
    <x:row r="578" ht="24" customHeight="1">
      <x:c r="C578" s="274" t="d">
        <x:v>2024-01-12T00:00:00.000Z</x:v>
      </x:c>
      <x:c r="D578" s="191" t="n">
        <x:v>388.4700012207031</x:v>
      </x:c>
      <x:c r="E578" s="191" t="n">
        <x:v>380.35003662109375</x:v>
      </x:c>
      <x:c r="F578" s="191" t="n">
        <x:v>476.67999267578125</x:v>
      </x:c>
      <x:c r="G578" s="191" t="n">
        <x:v>461.5750732421875</x:v>
      </x:c>
      <x:c r="H578" s="208" t="n">
        <x:f>E578/E577-1</x:f>
        <x:v>0.009983621703240741</x:v>
      </x:c>
      <x:c r="I578" s="208" t="n">
        <x:f>G578/G577-1</x:f>
        <x:v>0.000692914494430763</x:v>
      </x:c>
      <x:c r="J578" s="208" t="n">
        <x:f>'Beta HC3'!$E$13+'Beta HC3'!$E$12*I578</x:f>
        <x:v>0.000790608498396083</x:v>
      </x:c>
      <x:c r="K578" s="240" t="n">
        <x:f>H578-J578</x:f>
        <x:v>0.009193013204844658</x:v>
      </x:c>
      <x:c r="L578" s="240" t="n">
        <x:f>I578-'Beta HC3'!$E$9</x:f>
        <x:v>0.00012896687677032366</x:v>
      </x:c>
      <x:c r="M578" s="240" t="n">
        <x:f>1/'Beta HC3'!$E$8+L578^2/'Beta HC3'!$E$11</x:f>
        <x:v>0.0007969264891355977</x:v>
      </x:c>
      <x:c r="N578" s="240" t="n">
        <x:f>K578^2/(1-M578)^2</x:f>
        <x:v>0.00008464635186626367</x:v>
      </x:c>
      <x:c r="O578" s="240" t="n">
        <x:f>N578*L578^2/'Beta HC3'!$E$11^2</x:f>
        <x:v>6.583840987206564e-11</x:v>
      </x:c>
      <x:c r="P578" s="240" t="n">
        <x:f>N578*(1/'Beta HC3'!$E$8-'Beta HC3'!$E$9*L578/'Beta HC3'!$E$11)^2</x:f>
        <x:v>5.3675791643873986e-11</x:v>
      </x:c>
      <x:c r="Q578" s="240" t="n">
        <x:f>N578*(1/'Beta HC3'!$E$8-'Beta HC3'!$E$9*L578/'Beta HC3'!$E$11)*L578/'Beta HC3'!$E$11</x:f>
        <x:v>5.94468566911403e-11</x:v>
      </x:c>
      <x:c r="R578" s="240" t="n">
        <x:f>K578*L578/'Beta HC3'!$E$11</x:f>
        <x:v>0.000008107620794033386</x:v>
      </x:c>
      <x:c r="S578" s="240" t="n">
        <x:f>(K578-K577)^2</x:f>
        <x:v>0.000014790958935611409</x:v>
      </x:c>
      <x:c r="T578" s="280" t="n">
        <x:f>E578/$E$9*100</x:f>
        <x:v>134.4109016899785</x:v>
      </x:c>
    </x:row>
    <x:row r="579" ht="24" customHeight="1">
      <x:c r="C579" s="274" t="d">
        <x:v>2024-01-16T00:00:00.000Z</x:v>
      </x:c>
      <x:c r="D579" s="191" t="n">
        <x:v>390.2699890136719</x:v>
      </x:c>
      <x:c r="E579" s="191" t="n">
        <x:v>382.1123962402344</x:v>
      </x:c>
      <x:c r="F579" s="191" t="n">
        <x:v>474.92999267578125</x:v>
      </x:c>
      <x:c r="G579" s="191" t="n">
        <x:v>459.8804931640625</x:v>
      </x:c>
      <x:c r="H579" s="208" t="n">
        <x:f>E579/E578-1</x:f>
        <x:v>0.004633520308810368</x:v>
      </x:c>
      <x:c r="I579" s="208" t="n">
        <x:f>G579/G578-1</x:f>
        <x:v>-0.0036712989421676667</x:v>
      </x:c>
      <x:c r="J579" s="208" t="n">
        <x:f>'Beta HC3'!$E$13+'Beta HC3'!$E$12*I579</x:f>
        <x:v>-0.00413140262556228</x:v>
      </x:c>
      <x:c r="K579" s="240" t="n">
        <x:f>H579-J579</x:f>
        <x:v>0.008764922934372648</x:v>
      </x:c>
      <x:c r="L579" s="240" t="n">
        <x:f>I579-'Beta HC3'!$E$9</x:f>
        <x:v>-0.004235246559828106</x:v>
      </x:c>
      <x:c r="M579" s="240" t="n">
        <x:f>1/'Beta HC3'!$E$8+L579^2/'Beta HC3'!$E$11</x:f>
        <x:v>0.0009194760811577326</x:v>
      </x:c>
      <x:c r="N579" s="240" t="n">
        <x:f>K579^2/(1-M579)^2</x:f>
        <x:v>0.00007696534456300579</x:v>
      </x:c>
      <x:c r="O579" s="240" t="n">
        <x:f>N579*L579^2/'Beta HC3'!$E$11^2</x:f>
        <x:v>6.456056724324131e-8</x:v>
      </x:c>
      <x:c r="P579" s="240" t="n">
        <x:f>N579*(1/'Beta HC3'!$E$8-'Beta HC3'!$E$9*L579/'Beta HC3'!$E$11)^2</x:f>
        <x:v>5.0889990045901964e-11</x:v>
      </x:c>
      <x:c r="Q579" s="240" t="n">
        <x:f>N579*(1/'Beta HC3'!$E$8-'Beta HC3'!$E$9*L579/'Beta HC3'!$E$11)*L579/'Beta HC3'!$E$11</x:f>
        <x:v>-1.8125911354650102e-9</x:v>
      </x:c>
      <x:c r="R579" s="240" t="n">
        <x:f>K579*L579/'Beta HC3'!$E$11</x:f>
        <x:v>-0.0002538540880709897</x:v>
      </x:c>
      <x:c r="S579" s="240" t="n">
        <x:f>(K579-K578)^2</x:f>
        <x:v>1.832612796727988e-7</x:v>
      </x:c>
      <x:c r="T579" s="280" t="n">
        <x:f>E579/$E$9*100</x:f>
        <x:v>135.03369733268454</x:v>
      </x:c>
    </x:row>
    <x:row r="580" ht="24" customHeight="1">
      <x:c r="C580" s="274" t="d">
        <x:v>2024-01-17T00:00:00.000Z</x:v>
      </x:c>
      <x:c r="D580" s="191" t="n">
        <x:v>389.4700012207031</x:v>
      </x:c>
      <x:c r="E580" s="191" t="n">
        <x:v>381.32916259765625</x:v>
      </x:c>
      <x:c r="F580" s="191" t="n">
        <x:v>472.2900085449219</x:v>
      </x:c>
      <x:c r="G580" s="191" t="n">
        <x:v>457.3241882324219</x:v>
      </x:c>
      <x:c r="H580" s="208" t="n">
        <x:f>E580/E579-1</x:f>
        <x:v>-0.00204974675065428</x:v>
      </x:c>
      <x:c r="I580" s="208" t="n">
        <x:f>G580/G579-1</x:f>
        <x:v>-0.005558628751684558</x:v>
      </x:c>
      <x:c r="J580" s="208" t="n">
        <x:f>'Beta HC3'!$E$13+'Beta HC3'!$E$12*I580</x:f>
        <x:v>-0.00625995533087194</x:v>
      </x:c>
      <x:c r="K580" s="240" t="n">
        <x:f>H580-J580</x:f>
        <x:v>0.00421020858021766</x:v>
      </x:c>
      <x:c r="L580" s="240" t="n">
        <x:f>I580-'Beta HC3'!$E$9</x:f>
        <x:v>-0.0061225763693449975</x:v>
      </x:c>
      <x:c r="M580" s="240" t="n">
        <x:f>1/'Beta HC3'!$E$8+L580^2/'Beta HC3'!$E$11</x:f>
        <x:v>0.00105315829934033</x:v>
      </x:c>
      <x:c r="N580" s="240" t="n">
        <x:f>K580^2/(1-M580)^2</x:f>
        <x:v>0.000017763251618693813</x:v>
      </x:c>
      <x:c r="O580" s="240" t="n">
        <x:f>N580*L580^2/'Beta HC3'!$E$11^2</x:f>
        <x:v>3.1139068181674995e-8</x:v>
      </x:c>
      <x:c r="P580" s="240" t="n">
        <x:f>N580*(1/'Beta HC3'!$E$8-'Beta HC3'!$E$9*L580/'Beta HC3'!$E$11)^2</x:f>
        <x:v>1.1956383407576121e-11</x:v>
      </x:c>
      <x:c r="Q580" s="240" t="n">
        <x:f>N580*(1/'Beta HC3'!$E$8-'Beta HC3'!$E$9*L580/'Beta HC3'!$E$11)*L580/'Beta HC3'!$E$11</x:f>
        <x:v>-6.101726297817369e-10</x:v>
      </x:c>
      <x:c r="R580" s="240" t="n">
        <x:f>K580*L580/'Beta HC3'!$E$11</x:f>
        <x:v>-0.00017627681067899264</x:v>
      </x:c>
      <x:c r="S580" s="240" t="n">
        <x:f>(K580-K579)^2</x:f>
        <x:v>0.00002074542284794549</x:v>
      </x:c>
      <x:c r="T580" s="280" t="n">
        <x:f>E580/$E$9*100</x:f>
        <x:v>134.75691245034804</x:v>
      </x:c>
    </x:row>
    <x:row r="581" ht="24" customHeight="1">
      <x:c r="C581" s="274" t="d">
        <x:v>2024-01-18T00:00:00.000Z</x:v>
      </x:c>
      <x:c r="D581" s="191" t="n">
        <x:v>393.8699951171875</x:v>
      </x:c>
      <x:c r="E581" s="191" t="n">
        <x:v>385.63720703125</x:v>
      </x:c>
      <x:c r="F581" s="191" t="n">
        <x:v>476.489990234375</x:v>
      </x:c>
      <x:c r="G581" s="191" t="n">
        <x:v>461.3910217285156</x:v>
      </x:c>
      <x:c r="H581" s="208" t="n">
        <x:f>E581/E580-1</x:f>
        <x:v>0.011297442881753161</x:v>
      </x:c>
      <x:c r="I581" s="208" t="n">
        <x:f>G581/G580-1</x:f>
        <x:v>0.008892670890232601</x:v>
      </x:c>
      <x:c r="J581" s="208" t="n">
        <x:f>'Beta HC3'!$E$13+'Beta HC3'!$E$12*I581</x:f>
        <x:v>0.01003838997842891</x:v>
      </x:c>
      <x:c r="K581" s="240" t="n">
        <x:f>H581-J581</x:f>
        <x:v>0.0012590529033242506</x:v>
      </x:c>
      <x:c r="L581" s="240" t="n">
        <x:f>I581-'Beta HC3'!$E$9</x:f>
        <x:v>0.008328723272572162</x:v>
      </x:c>
      <x:c r="M581" s="240" t="n">
        <x:f>1/'Beta HC3'!$E$8+L581^2/'Beta HC3'!$E$11</x:f>
        <x:v>0.0012711794841275784</x:v>
      </x:c>
      <x:c r="N581" s="240" t="n">
        <x:f>K581^2/(1-M581)^2</x:f>
        <x:v>0.0000015892520946166534</x:v>
      </x:c>
      <x:c r="O581" s="240" t="n">
        <x:f>N581*L581^2/'Beta HC3'!$E$11^2</x:f>
        <x:v>5.155423899542598e-9</x:v>
      </x:c>
      <x:c r="P581" s="240" t="n">
        <x:f>N581*(1/'Beta HC3'!$E$8-'Beta HC3'!$E$9*L581/'Beta HC3'!$E$11)^2</x:f>
        <x:v>9.293232846813138e-13</x:v>
      </x:c>
      <x:c r="Q581" s="240" t="n">
        <x:f>N581*(1/'Beta HC3'!$E$8-'Beta HC3'!$E$9*L581/'Beta HC3'!$E$11)*L581/'Beta HC3'!$E$11</x:f>
        <x:v>6.921745063383564e-11</x:v>
      </x:c>
      <x:c r="R581" s="240" t="n">
        <x:f>K581*L581/'Beta HC3'!$E$11</x:f>
        <x:v>0.00007171000831119669</x:v>
      </x:c>
      <x:c r="S581" s="240" t="n">
        <x:f>(K581-K580)^2</x:f>
        <x:v>0.0000087093198292602</x:v>
      </x:c>
      <x:c r="T581" s="280" t="n">
        <x:f>E581/$E$9*100</x:f>
        <x:v>136.27932097167727</x:v>
      </x:c>
    </x:row>
    <x:row r="582" ht="24" customHeight="1">
      <x:c r="C582" s="274" t="d">
        <x:v>2024-01-19T00:00:00.000Z</x:v>
      </x:c>
      <x:c r="D582" s="191" t="n">
        <x:v>398.6700134277344</x:v>
      </x:c>
      <x:c r="E582" s="191" t="n">
        <x:v>390.3368835449219</x:v>
      </x:c>
      <x:c r="F582" s="191" t="n">
        <x:v>482.42999267578125</x:v>
      </x:c>
      <x:c r="G582" s="191" t="n">
        <x:v>467.1427917480469</x:v>
      </x:c>
      <x:c r="H582" s="208" t="n">
        <x:f>E582/E581-1</x:f>
        <x:v>0.012186781845692218</x:v>
      </x:c>
      <x:c r="I582" s="208" t="n">
        <x:f>G582/G581-1</x:f>
        <x:v>0.012466150723920322</x:v>
      </x:c>
      <x:c r="J582" s="208" t="n">
        <x:f>'Beta HC3'!$E$13+'Beta HC3'!$E$12*I582</x:f>
        <x:v>0.014068602466469113</x:v>
      </x:c>
      <x:c r="K582" s="240" t="n">
        <x:f>H582-J582</x:f>
        <x:v>-0.0018818206207768945</x:v>
      </x:c>
      <x:c r="L582" s="240" t="n">
        <x:f>I582-'Beta HC3'!$E$9</x:f>
        <x:v>0.011902203106259883</x:v>
      </x:c>
      <x:c r="M582" s="240" t="n">
        <x:f>1/'Beta HC3'!$E$8+L582^2/'Beta HC3'!$E$11</x:f>
        <x:v>0.0017655635520242513</x:v>
      </x:c>
      <x:c r="N582" s="240" t="n">
        <x:f>K582^2/(1-M582)^2</x:f>
        <x:v>0.0000035537866432031474</x:v>
      </x:c>
      <x:c r="O582" s="240" t="n">
        <x:f>N582*L582^2/'Beta HC3'!$E$11^2</x:f>
        <x:v>2.354294497962155e-8</x:v>
      </x:c>
      <x:c r="P582" s="240" t="n">
        <x:f>N582*(1/'Beta HC3'!$E$8-'Beta HC3'!$E$9*L582/'Beta HC3'!$E$11)^2</x:f>
        <x:v>2.0038674286162747e-12</x:v>
      </x:c>
      <x:c r="Q582" s="240" t="n">
        <x:f>N582*(1/'Beta HC3'!$E$8-'Beta HC3'!$E$9*L582/'Beta HC3'!$E$11)*L582/'Beta HC3'!$E$11</x:f>
        <x:v>2.1720253363708416e-10</x:v>
      </x:c>
      <x:c r="R582" s="240" t="n">
        <x:f>K582*L582/'Beta HC3'!$E$11</x:f>
        <x:v>-0.0001531662013530009</x:v>
      </x:c>
      <x:c r="S582" s="240" t="n">
        <x:f>(K582-K581)^2</x:f>
        <x:v>0.000009865086494399546</x:v>
      </x:c>
      <x:c r="T582" s="280" t="n">
        <x:f>E582/$E$9*100</x:f>
        <x:v>137.94012732643813</x:v>
      </x:c>
    </x:row>
    <x:row r="583" ht="24" customHeight="1">
      <x:c r="C583" s="274" t="d">
        <x:v>2024-01-22T00:00:00.000Z</x:v>
      </x:c>
      <x:c r="D583" s="191" t="n">
        <x:v>396.510009765625</x:v>
      </x:c>
      <x:c r="E583" s="191" t="n">
        <x:v>388.2220153808594</x:v>
      </x:c>
      <x:c r="F583" s="191" t="n">
        <x:v>483.45001220703125</x:v>
      </x:c>
      <x:c r="G583" s="191" t="n">
        <x:v>468.13055419921875</x:v>
      </x:c>
      <x:c r="H583" s="208" t="n">
        <x:f>E583/E582-1</x:f>
        <x:v>-0.005418058741607723</x:v>
      </x:c>
      <x:c r="I583" s="208" t="n">
        <x:f>G583/G582-1</x:f>
        <x:v>0.002114476491172468</x:v>
      </x:c>
      <x:c r="J583" s="208" t="n">
        <x:f>'Beta HC3'!$E$13+'Beta HC3'!$E$12*I583</x:f>
        <x:v>0.0023938627990869113</x:v>
      </x:c>
      <x:c r="K583" s="240" t="n">
        <x:f>H583-J583</x:f>
        <x:v>-0.007811921540694634</x:v>
      </x:c>
      <x:c r="L583" s="240" t="n">
        <x:f>I583-'Beta HC3'!$E$9</x:f>
        <x:v>0.0015505288735120286</x:v>
      </x:c>
      <x:c r="M583" s="240" t="n">
        <x:f>1/'Beta HC3'!$E$8+L583^2/'Beta HC3'!$E$11</x:f>
        <x:v>0.0008132533268298274</x:v>
      </x:c>
      <x:c r="N583" s="240" t="n">
        <x:f>K583^2/(1-M583)^2</x:f>
        <x:v>0.00006112549876117024</x:v>
      </x:c>
      <x:c r="O583" s="240" t="n">
        <x:f>N583*L583^2/'Beta HC3'!$E$11^2</x:f>
        <x:v>6.87221684267977e-9</x:v>
      </x:c>
      <x:c r="P583" s="240" t="n">
        <x:f>N583*(1/'Beta HC3'!$E$8-'Beta HC3'!$E$9*L583/'Beta HC3'!$E$11)^2</x:f>
        <x:v>3.822892518254945e-11</x:v>
      </x:c>
      <x:c r="Q583" s="240" t="n">
        <x:f>N583*(1/'Beta HC3'!$E$8-'Beta HC3'!$E$9*L583/'Beta HC3'!$E$11)*L583/'Beta HC3'!$E$11</x:f>
        <x:v>5.125597170253054e-10</x:v>
      </x:c>
      <x:c r="R583" s="240" t="n">
        <x:f>K583*L583/'Beta HC3'!$E$11</x:f>
        <x:v>-0.00008283141723653668</x:v>
      </x:c>
      <x:c r="S583" s="240" t="n">
        <x:f>(K583-K582)^2</x:f>
        <x:v>0.00003516609692040923</x:v>
      </x:c>
      <x:c r="T583" s="280" t="n">
        <x:f>E583/$E$9*100</x:f>
        <x:v>137.19275961375862</x:v>
      </x:c>
    </x:row>
    <x:row r="584" ht="24" customHeight="1">
      <x:c r="C584" s="274" t="d">
        <x:v>2024-01-23T00:00:00.000Z</x:v>
      </x:c>
      <x:c r="D584" s="191" t="n">
        <x:v>398.8999938964844</x:v>
      </x:c>
      <x:c r="E584" s="191" t="n">
        <x:v>390.5620422363281</x:v>
      </x:c>
      <x:c r="F584" s="191" t="n">
        <x:v>484.8599853515625</x:v>
      </x:c>
      <x:c r="G584" s="191" t="n">
        <x:v>469.4958190917969</x:v>
      </x:c>
      <x:c r="H584" s="208" t="n">
        <x:f>E584/E583-1</x:f>
        <x:v>0.006027548059512</x:v>
      </x:c>
      <x:c r="I584" s="208" t="n">
        <x:f>G584/G583-1</x:f>
        <x:v>0.0029164191064467992</x:v>
      </x:c>
      <x:c r="J584" s="208" t="n">
        <x:f>'Beta HC3'!$E$13+'Beta HC3'!$E$12*I584</x:f>
        <x:v>0.003298303090676554</x:v>
      </x:c>
      <x:c r="K584" s="240" t="n">
        <x:f>H584-J584</x:f>
        <x:v>0.002729244968835446</x:v>
      </x:c>
      <x:c r="L584" s="240" t="n">
        <x:f>I584-'Beta HC3'!$E$9</x:f>
        <x:v>0.00235247148878636</x:v>
      </x:c>
      <x:c r="M584" s="240" t="n">
        <x:f>1/'Beta HC3'!$E$8+L584^2/'Beta HC3'!$E$11</x:f>
        <x:v>0.0008346575389132663</x:v>
      </x:c>
      <x:c r="N584" s="240" t="n">
        <x:f>K584^2/(1-M584)^2</x:f>
        <x:v>0.000007461228042495589</x:v>
      </x:c>
      <x:c r="O584" s="240" t="n">
        <x:f>N584*L584^2/'Beta HC3'!$E$11^2</x:f>
        <x:v>1.9309622073442066e-9</x:v>
      </x:c>
      <x:c r="P584" s="240" t="n">
        <x:f>N584*(1/'Beta HC3'!$E$8-'Beta HC3'!$E$9*L584/'Beta HC3'!$E$11)^2</x:f>
        <x:v>4.629952495607661e-12</x:v>
      </x:c>
      <x:c r="Q584" s="240" t="n">
        <x:f>N584*(1/'Beta HC3'!$E$8-'Beta HC3'!$E$9*L584/'Beta HC3'!$E$11)*L584/'Beta HC3'!$E$11</x:f>
        <x:v>9.455296553158651e-11</x:v>
      </x:c>
      <x:c r="R584" s="240" t="n">
        <x:f>K584*L584/'Beta HC3'!$E$11</x:f>
        <x:v>0.00004390603794727769</x:v>
      </x:c>
      <x:c r="S584" s="240" t="n">
        <x:f>(K584-K583)^2</x:f>
        <x:v>0.00011111619138163859</x:v>
      </x:c>
      <x:c r="T584" s="280" t="n">
        <x:f>E584/$E$9*100</x:f>
        <x:v>138.01969556574764</x:v>
      </x:c>
    </x:row>
    <x:row r="585" ht="24" customHeight="1">
      <x:c r="C585" s="274" t="d">
        <x:v>2024-01-24T00:00:00.000Z</x:v>
      </x:c>
      <x:c r="D585" s="191" t="n">
        <x:v>402.55999755859375</x:v>
      </x:c>
      <x:c r="E585" s="191" t="n">
        <x:v>394.1455993652344</x:v>
      </x:c>
      <x:c r="F585" s="191" t="n">
        <x:v>485.3900146484375</x:v>
      </x:c>
      <x:c r="G585" s="191" t="n">
        <x:v>470.00909423828125</x:v>
      </x:c>
      <x:c r="H585" s="208" t="n">
        <x:f>E585/E584-1</x:f>
        <x:v>0.009175385064014607</x:v>
      </x:c>
      <x:c r="I585" s="208" t="n">
        <x:f>G585/G584-1</x:f>
        <x:v>0.0010932475340830194</x:v>
      </x:c>
      <x:c r="J585" s="208" t="n">
        <x:f>'Beta HC3'!$E$13+'Beta HC3'!$E$12*I585</x:f>
        <x:v>0.0012421087980680166</x:v>
      </x:c>
      <x:c r="K585" s="240" t="n">
        <x:f>H585-J585</x:f>
        <x:v>0.00793327626594659</x:v>
      </x:c>
      <x:c r="L585" s="240" t="n">
        <x:f>I585-'Beta HC3'!$E$9</x:f>
        <x:v>0.0005292999164225801</x:v>
      </x:c>
      <x:c r="M585" s="240" t="n">
        <x:f>1/'Beta HC3'!$E$8+L585^2/'Beta HC3'!$E$11</x:f>
        <x:v>0.0007987285968376258</x:v>
      </x:c>
      <x:c r="N585" s="240" t="n">
        <x:f>K585^2/(1-M585)^2</x:f>
        <x:v>0.00006303753185467578</x:v>
      </x:c>
      <x:c r="O585" s="240" t="n">
        <x:f>N585*L585^2/'Beta HC3'!$E$11^2</x:f>
        <x:v>8.258811888633537e-10</x:v>
      </x:c>
      <x:c r="P585" s="240" t="n">
        <x:f>N585*(1/'Beta HC3'!$E$8-'Beta HC3'!$E$9*L585/'Beta HC3'!$E$11)^2</x:f>
        <x:v>3.9818395954351103e-11</x:v>
      </x:c>
      <x:c r="Q585" s="240" t="n">
        <x:f>N585*(1/'Beta HC3'!$E$8-'Beta HC3'!$E$9*L585/'Beta HC3'!$E$11)*L585/'Beta HC3'!$E$11</x:f>
        <x:v>1.81342946345898e-10</x:v>
      </x:c>
      <x:c r="R585" s="240" t="n">
        <x:f>K585*L585/'Beta HC3'!$E$11</x:f>
        <x:v>0.00002871519468682624</x:v>
      </x:c>
      <x:c r="S585" s="240" t="n">
        <x:f>(K585-K584)^2</x:f>
        <x:v>0.0000270819417413123</x:v>
      </x:c>
      <x:c r="T585" s="280" t="n">
        <x:f>E585/$E$9*100</x:f>
        <x:v>139.28607941898144</x:v>
      </x:c>
    </x:row>
    <x:row r="586" ht="24" customHeight="1">
      <x:c r="C586" s="274" t="d">
        <x:v>2024-01-25T00:00:00.000Z</x:v>
      </x:c>
      <x:c r="D586" s="191" t="n">
        <x:v>404.8699951171875</x:v>
      </x:c>
      <x:c r="E586" s="191" t="n">
        <x:v>396.4072570800781</x:v>
      </x:c>
      <x:c r="F586" s="191" t="n">
        <x:v>488.0299987792969</x:v>
      </x:c>
      <x:c r="G586" s="191" t="n">
        <x:v>472.5653076171875</x:v>
      </x:c>
      <x:c r="H586" s="208" t="n">
        <x:f>E586/E585-1</x:f>
        <x:v>0.005738127530755532</x:v>
      </x:c>
      <x:c r="I586" s="208" t="n">
        <x:f>G586/G585-1</x:f>
        <x:v>0.005438646635229416</x:v>
      </x:c>
      <x:c r="J586" s="208" t="n">
        <x:f>'Beta HC3'!$E$13+'Beta HC3'!$E$12*I586</x:f>
        <x:v>0.006142900893734086</x:v>
      </x:c>
      <x:c r="K586" s="240" t="n">
        <x:f>H586-J586</x:f>
        <x:v>-0.00040477336297855323</x:v>
      </x:c>
      <x:c r="L586" s="240" t="n">
        <x:f>I586-'Beta HC3'!$E$9</x:f>
        <x:v>0.004874699017568976</x:v>
      </x:c>
      <x:c r="M586" s="240" t="n">
        <x:f>1/'Beta HC3'!$E$8+L586^2/'Beta HC3'!$E$11</x:f>
        <x:v>0.0009593126022687642</x:v>
      </x:c>
      <x:c r="N586" s="240" t="n">
        <x:f>K586^2/(1-M586)^2</x:f>
        <x:v>1.6415627868087789e-7</x:v>
      </x:c>
      <x:c r="O586" s="240" t="n">
        <x:f>N586*L586^2/'Beta HC3'!$E$11^2</x:f>
        <x:v>1.824180600808609e-10</x:v>
      </x:c>
      <x:c r="P586" s="240" t="n">
        <x:f>N586*(1/'Beta HC3'!$E$8-'Beta HC3'!$E$9*L586/'Beta HC3'!$E$11)^2</x:f>
        <x:v>9.936457932005014e-14</x:v>
      </x:c>
      <x:c r="Q586" s="240" t="n">
        <x:f>N586*(1/'Beta HC3'!$E$8-'Beta HC3'!$E$9*L586/'Beta HC3'!$E$11)*L586/'Beta HC3'!$E$11</x:f>
        <x:v>4.2574515617108765e-12</x:v>
      </x:c>
      <x:c r="R586" s="240" t="n">
        <x:f>K586*L586/'Beta HC3'!$E$11</x:f>
        <x:v>-0.00001349326632320141</x:v>
      </x:c>
      <x:c r="S586" s="240" t="n">
        <x:f>(K586-K585)^2</x:f>
        <x:v>0.00006952307161441875</x:v>
      </x:c>
      <x:c r="T586" s="280" t="n">
        <x:f>E586/$E$9*100</x:f>
        <x:v>140.08532070594651</x:v>
      </x:c>
    </x:row>
    <x:row r="587" ht="24" customHeight="1">
      <x:c r="C587" s="274" t="d">
        <x:v>2024-01-26T00:00:00.000Z</x:v>
      </x:c>
      <x:c r="D587" s="191" t="n">
        <x:v>403.92999267578125</x:v>
      </x:c>
      <x:c r="E587" s="191" t="n">
        <x:v>395.4869079589844</x:v>
      </x:c>
      <x:c r="F587" s="191" t="n">
        <x:v>487.4100036621094</x:v>
      </x:c>
      <x:c r="G587" s="191" t="n">
        <x:v>471.9649963378906</x:v>
      </x:c>
      <x:c r="H587" s="208" t="n">
        <x:f>E587/E586-1</x:f>
        <x:v>-0.0023217262162983365</x:v>
      </x:c>
      <x:c r="I587" s="208" t="n">
        <x:f>G587/G586-1</x:f>
        <x:v>-0.0012703244813374592</x:v>
      </x:c>
      <x:c r="J587" s="208" t="n">
        <x:f>'Beta HC3'!$E$13+'Beta HC3'!$E$12*I587</x:f>
        <x:v>-0.001423555455338372</x:v>
      </x:c>
      <x:c r="K587" s="240" t="n">
        <x:f>H587-J587</x:f>
        <x:v>-0.0008981707609599645</x:v>
      </x:c>
      <x:c r="L587" s="240" t="n">
        <x:f>I587-'Beta HC3'!$E$9</x:f>
        <x:v>-0.0018342720989978985</x:v>
      </x:c>
      <x:c r="M587" s="240" t="n">
        <x:f>1/'Beta HC3'!$E$8+L587^2/'Beta HC3'!$E$11</x:f>
        <x:v>0.0008198210675555697</x:v>
      </x:c>
      <x:c r="N587" s="240" t="n">
        <x:f>K587^2/(1-M587)^2</x:f>
        <x:v>8.080350610905291e-7</x:v>
      </x:c>
      <x:c r="O587" s="240" t="n">
        <x:f>N587*L587^2/'Beta HC3'!$E$11^2</x:f>
        <x:v>1.2713714318250404e-10</x:v>
      </x:c>
      <x:c r="P587" s="240" t="n">
        <x:f>N587*(1/'Beta HC3'!$E$8-'Beta HC3'!$E$9*L587/'Beta HC3'!$E$11)^2</x:f>
        <x:v>5.221795437353214e-13</x:v>
      </x:c>
      <x:c r="Q587" s="240" t="n">
        <x:f>N587*(1/'Beta HC3'!$E$8-'Beta HC3'!$E$9*L587/'Beta HC3'!$E$11)*L587/'Beta HC3'!$E$11</x:f>
        <x:v>-8.147908653074862e-12</x:v>
      </x:c>
      <x:c r="R587" s="240" t="n">
        <x:f>K587*L587/'Beta HC3'!$E$11</x:f>
        <x:v>0.000011266266871298374</x:v>
      </x:c>
      <x:c r="S587" s="240" t="n">
        <x:f>(K587-K586)^2</x:f>
        <x:v>2.4344099233482716e-7</x:v>
      </x:c>
      <x:c r="T587" s="280" t="n">
        <x:f>E587/$E$9*100</x:f>
        <x:v>139.76008094434494</x:v>
      </x:c>
    </x:row>
    <x:row r="588" ht="24" customHeight="1">
      <x:c r="C588" s="274" t="d">
        <x:v>2024-01-29T00:00:00.000Z</x:v>
      </x:c>
      <x:c r="D588" s="191" t="n">
        <x:v>409.7200012207031</x:v>
      </x:c>
      <x:c r="E588" s="191" t="n">
        <x:v>401.1558837890625</x:v>
      </x:c>
      <x:c r="F588" s="191" t="n">
        <x:v>491.2699890136719</x:v>
      </x:c>
      <x:c r="G588" s="191" t="n">
        <x:v>475.70269775390625</x:v>
      </x:c>
      <x:c r="H588" s="208" t="n">
        <x:f>E588/E587-1</x:f>
        <x:v>0.014334168125398561</x:v>
      </x:c>
      <x:c r="I588" s="208" t="n">
        <x:f>G588/G587-1</x:f>
        <x:v>0.007919446240754136</x:v>
      </x:c>
      <x:c r="J588" s="208" t="n">
        <x:f>'Beta HC3'!$E$13+'Beta HC3'!$E$12*I588</x:f>
        <x:v>0.008940775798821531</x:v>
      </x:c>
      <x:c r="K588" s="240" t="n">
        <x:f>H588-J588</x:f>
        <x:v>0.00539339232657703</x:v>
      </x:c>
      <x:c r="L588" s="240" t="n">
        <x:f>I588-'Beta HC3'!$E$9</x:f>
        <x:v>0.007355498623093696</x:v>
      </x:c>
      <x:c r="M588" s="240" t="n">
        <x:f>1/'Beta HC3'!$E$8+L588^2/'Beta HC3'!$E$11</x:f>
        <x:v>0.0011667956032524285</x:v>
      </x:c>
      <x:c r="N588" s="240" t="n">
        <x:f>K588^2/(1-M588)^2</x:f>
        <x:v>0.000029156680868210282</x:v>
      </x:c>
      <x:c r="O588" s="240" t="n">
        <x:f>N588*L588^2/'Beta HC3'!$E$11^2</x:f>
        <x:v>7.376953453675898e-8</x:v>
      </x:c>
      <x:c r="P588" s="240" t="n">
        <x:f>N588*(1/'Beta HC3'!$E$8-'Beta HC3'!$E$9*L588/'Beta HC3'!$E$11)^2</x:f>
        <x:v>1.7217293757794507e-11</x:v>
      </x:c>
      <x:c r="Q588" s="240" t="n">
        <x:f>N588*(1/'Beta HC3'!$E$8-'Beta HC3'!$E$9*L588/'Beta HC3'!$E$11)*L588/'Beta HC3'!$E$11</x:f>
        <x:v>1.126992345357832e-9</x:v>
      </x:c>
      <x:c r="R588" s="240" t="n">
        <x:f>K588*L588/'Beta HC3'!$E$11</x:f>
        <x:v>0.0002712885678210273</x:v>
      </x:c>
      <x:c r="S588" s="240" t="n">
        <x:f>(K588-K587)^2</x:f>
        <x:v>0.000039583766084458034</x:v>
      </x:c>
      <x:c r="T588" s="280" t="n">
        <x:f>E588/$E$9*100</x:f>
        <x:v>141.7634254418205</x:v>
      </x:c>
    </x:row>
    <x:row r="589" ht="24" customHeight="1">
      <x:c r="C589" s="274" t="d">
        <x:v>2024-01-30T00:00:00.000Z</x:v>
      </x:c>
      <x:c r="D589" s="191" t="n">
        <x:v>408.5899963378906</x:v>
      </x:c>
      <x:c r="E589" s="191" t="n">
        <x:v>400.0494689941406</x:v>
      </x:c>
      <x:c r="F589" s="191" t="n">
        <x:v>490.8900146484375</x:v>
      </x:c>
      <x:c r="G589" s="191" t="n">
        <x:v>475.3347473144531</x:v>
      </x:c>
      <x:c r="H589" s="208" t="n">
        <x:f>E589/E588-1</x:f>
        <x:v>-0.0027580669750406628</x:v>
      </x:c>
      <x:c r="I589" s="208" t="n">
        <x:f>G589/G588-1</x:f>
        <x:v>-0.0007734882337023796</x:v>
      </x:c>
      <x:c r="J589" s="208" t="n">
        <x:f>'Beta HC3'!$E$13+'Beta HC3'!$E$12*I589</x:f>
        <x:v>-0.0008632177053241055</x:v>
      </x:c>
      <x:c r="K589" s="240" t="n">
        <x:f>H589-J589</x:f>
        <x:v>-0.0018948492697165573</x:v>
      </x:c>
      <x:c r="L589" s="240" t="n">
        <x:f>I589-'Beta HC3'!$E$9</x:f>
        <x:v>-0.0013374358513628189</x:v>
      </x:c>
      <x:c r="M589" s="240" t="n">
        <x:f>1/'Beta HC3'!$E$8+L589^2/'Beta HC3'!$E$11</x:f>
        <x:v>0.000809044912658482</x:v>
      </x:c>
      <x:c r="N589" s="240" t="n">
        <x:f>K589^2/(1-M589)^2</x:f>
        <x:v>0.000003596270489681762</x:v>
      </x:c>
      <x:c r="O589" s="240" t="n">
        <x:f>N589*L589^2/'Beta HC3'!$E$11^2</x:f>
        <x:v>3.0082435457198363e-10</x:v>
      </x:c>
      <x:c r="P589" s="240" t="n">
        <x:f>N589*(1/'Beta HC3'!$E$8-'Beta HC3'!$E$9*L589/'Beta HC3'!$E$11)^2</x:f>
        <x:v>2.3129659959982594e-12</x:v>
      </x:c>
      <x:c r="Q589" s="240" t="n">
        <x:f>N589*(1/'Beta HC3'!$E$8-'Beta HC3'!$E$9*L589/'Beta HC3'!$E$11)*L589/'Beta HC3'!$E$11</x:f>
        <x:v>-2.637795486562826e-11</x:v>
      </x:c>
      <x:c r="R589" s="240" t="n">
        <x:f>K589*L589/'Beta HC3'!$E$11</x:f>
        <x:v>0.000017330256508497756</x:v>
      </x:c>
      <x:c r="S589" s="240" t="n">
        <x:f>(K589-K588)^2</x:f>
        <x:v>0.00005311846556594409</x:v>
      </x:c>
      <x:c r="T589" s="280" t="n">
        <x:f>E589/$E$9*100</x:f>
        <x:v>141.37243241984078</x:v>
      </x:c>
    </x:row>
    <x:row r="590" ht="24" customHeight="1">
      <x:c r="C590" s="274" t="d">
        <x:v>2024-01-31T00:00:00.000Z</x:v>
      </x:c>
      <x:c r="D590" s="191" t="n">
        <x:v>397.5799865722656</x:v>
      </x:c>
      <x:c r="E590" s="191" t="n">
        <x:v>389.2696228027344</x:v>
      </x:c>
      <x:c r="F590" s="191" t="n">
        <x:v>482.8800048828125</x:v>
      </x:c>
      <x:c r="G590" s="191" t="n">
        <x:v>467.5784912109375</x:v>
      </x:c>
      <x:c r="H590" s="208" t="n">
        <x:f>E590/E589-1</x:f>
        <x:v>-0.02694628296473034</x:v>
      </x:c>
      <x:c r="I590" s="208" t="n">
        <x:f>G590/G589-1</x:f>
        <x:v>-0.01631746079439156</x:v>
      </x:c>
      <x:c r="J590" s="208" t="n">
        <x:f>'Beta HC3'!$E$13+'Beta HC3'!$E$12*I590</x:f>
        <x:v>-0.018393892353960793</x:v>
      </x:c>
      <x:c r="K590" s="240" t="n">
        <x:f>H590-J590</x:f>
        <x:v>-0.008552390610769546</x:v>
      </x:c>
      <x:c r="L590" s="240" t="n">
        <x:f>I590-'Beta HC3'!$E$9</x:f>
        <x:v>-0.016881408412051997</x:v>
      </x:c>
      <x:c r="M590" s="240" t="n">
        <x:f>1/'Beta HC3'!$E$8+L590^2/'Beta HC3'!$E$11</x:f>
        <x:v>0.0027456461536556802</x:v>
      </x:c>
      <x:c r="N590" s="240" t="n">
        <x:f>K590^2/(1-M590)^2</x:f>
        <x:v>0.00007354669713424992</x:v>
      </x:c>
      <x:c r="O590" s="240" t="n">
        <x:f>N590*L590^2/'Beta HC3'!$E$11^2</x:f>
        <x:v>9.801561079759745e-7</x:v>
      </x:c>
      <x:c r="P590" s="240" t="n">
        <x:f>N590*(1/'Beta HC3'!$E$8-'Beta HC3'!$E$9*L590/'Beta HC3'!$E$11)^2</x:f>
        <x:v>5.463782226129222e-11</x:v>
      </x:c>
      <x:c r="Q590" s="240" t="n">
        <x:f>N590*(1/'Beta HC3'!$E$8-'Beta HC3'!$E$9*L590/'Beta HC3'!$E$11)*L590/'Beta HC3'!$E$11</x:f>
        <x:v>-7.318032195604994e-9</x:v>
      </x:c>
      <x:c r="R590" s="240" t="n">
        <x:f>K590*L590/'Beta HC3'!$E$11</x:f>
        <x:v>0.0009873100694606828</x:v>
      </x:c>
      <x:c r="S590" s="240" t="n">
        <x:f>(K590-K589)^2</x:f>
        <x:v>0.00004432285670782963</x:v>
      </x:c>
      <x:c r="T590" s="280" t="n">
        <x:f>E590/$E$9*100</x:f>
        <x:v>137.5629708524435</x:v>
      </x:c>
    </x:row>
    <x:row r="591" ht="24" customHeight="1">
      <x:c r="C591" s="274" t="d">
        <x:v>2024-02-01T00:00:00.000Z</x:v>
      </x:c>
      <x:c r="D591" s="191" t="n">
        <x:v>403.7799987792969</x:v>
      </x:c>
      <x:c r="E591" s="191" t="n">
        <x:v>395.3400573730469</x:v>
      </x:c>
      <x:c r="F591" s="191" t="n">
        <x:v>489.20001220703125</x:v>
      </x:c>
      <x:c r="G591" s="191" t="n">
        <x:v>473.69830322265625</x:v>
      </x:c>
      <x:c r="H591" s="208" t="n">
        <x:f>E591/E590-1</x:f>
        <x:v>0.01559442148761958</x:v>
      </x:c>
      <x:c r="I591" s="208" t="n">
        <x:f>G591/G590-1</x:f>
        <x:v>0.013088309506858575</x:v>
      </x:c>
      <x:c r="J591" s="208" t="n">
        <x:f>'Beta HC3'!$E$13+'Beta HC3'!$E$12*I591</x:f>
        <x:v>0.014770280442346776</x:v>
      </x:c>
      <x:c r="K591" s="240" t="n">
        <x:f>H591-J591</x:f>
        <x:v>0.0008241410452728051</x:v>
      </x:c>
      <x:c r="L591" s="240" t="n">
        <x:f>I591-'Beta HC3'!$E$9</x:f>
        <x:v>0.012524361889198136</x:v>
      </x:c>
      <x:c r="M591" s="240" t="n">
        <x:f>1/'Beta HC3'!$E$8+L591^2/'Beta HC3'!$E$11</x:f>
        <x:v>0.001869488782439634</x:v>
      </x:c>
      <x:c r="N591" s="240" t="n">
        <x:f>K591^2/(1-M591)^2</x:f>
        <x:v>6.8175514697637e-7</x:v>
      </x:c>
      <x:c r="O591" s="240" t="n">
        <x:f>N591*L591^2/'Beta HC3'!$E$11^2</x:f>
        <x:v>5.000971322800495e-9</x:v>
      </x:c>
      <x:c r="P591" s="240" t="n">
        <x:f>N591*(1/'Beta HC3'!$E$8-'Beta HC3'!$E$9*L591/'Beta HC3'!$E$11)^2</x:f>
        <x:v>3.819673439261956e-13</x:v>
      </x:c>
      <x:c r="Q591" s="240" t="n">
        <x:f>N591*(1/'Beta HC3'!$E$8-'Beta HC3'!$E$9*L591/'Beta HC3'!$E$11)*L591/'Beta HC3'!$E$11</x:f>
        <x:v>4.370592331962772e-11</x:v>
      </x:c>
      <x:c r="R591" s="240" t="n">
        <x:f>K591*L591/'Beta HC3'!$E$11</x:f>
        <x:v>0.00007058534041540241</x:v>
      </x:c>
      <x:c r="S591" s="240" t="n">
        <x:f>(K591-K590)^2</x:f>
        <x:v>0.00008791934589676431</x:v>
      </x:c>
      <x:c r="T591" s="280" t="n">
        <x:f>E591/$E$9*100</x:f>
        <x:v>139.70818580100564</x:v>
      </x:c>
    </x:row>
    <x:row r="592" ht="24" customHeight="1">
      <x:c r="C592" s="274" t="d">
        <x:v>2024-02-02T00:00:00.000Z</x:v>
      </x:c>
      <x:c r="D592" s="191" t="n">
        <x:v>411.2200012207031</x:v>
      </x:c>
      <x:c r="E592" s="191" t="n">
        <x:v>402.62451171875</x:v>
      </x:c>
      <x:c r="F592" s="191" t="n">
        <x:v>494.3500061035156</x:v>
      </x:c>
      <x:c r="G592" s="191" t="n">
        <x:v>478.6850891113281</x:v>
      </x:c>
      <x:c r="H592" s="208" t="n">
        <x:f>E592/E591-1</x:f>
        <x:v>0.01842579371821529</x:v>
      </x:c>
      <x:c r="I592" s="208" t="n">
        <x:f>G592/G591-1</x:f>
        <x:v>0.010527345896630624</x:v>
      </x:c>
      <x:c r="J592" s="208" t="n">
        <x:f>'Beta HC3'!$E$13+'Beta HC3'!$E$12*I592</x:f>
        <x:v>0.011881995632101737</x:v>
      </x:c>
      <x:c r="K592" s="240" t="n">
        <x:f>H592-J592</x:f>
        <x:v>0.006543798086113552</x:v>
      </x:c>
      <x:c r="L592" s="240" t="n">
        <x:f>I592-'Beta HC3'!$E$9</x:f>
        <x:v>0.009963398278970186</x:v>
      </x:c>
      <x:c r="M592" s="240" t="n">
        <x:f>1/'Beta HC3'!$E$8+L592^2/'Beta HC3'!$E$11</x:f>
        <x:v>0.0014756604380420494</x:v>
      </x:c>
      <x:c r="N592" s="240" t="n">
        <x:f>K592^2/(1-M592)^2</x:f>
        <x:v>0.00004294795305993999</x:v>
      </x:c>
      <x:c r="O592" s="240" t="n">
        <x:f>N592*L592^2/'Beta HC3'!$E$11^2</x:f>
        <x:v>1.9937567699419856e-7</x:v>
      </x:c>
      <x:c r="P592" s="240" t="n">
        <x:f>N592*(1/'Beta HC3'!$E$8-'Beta HC3'!$E$9*L592/'Beta HC3'!$E$11)^2</x:f>
        <x:v>2.47016592639831e-11</x:v>
      </x:c>
      <x:c r="Q592" s="240" t="n">
        <x:f>N592*(1/'Beta HC3'!$E$8-'Beta HC3'!$E$9*L592/'Beta HC3'!$E$11)*L592/'Beta HC3'!$E$11</x:f>
        <x:v>2.2192138334636994e-9</x:v>
      </x:c>
      <x:c r="R592" s="240" t="n">
        <x:f>K592*L592/'Beta HC3'!$E$11</x:f>
        <x:v>0.0004458561310016254</x:v>
      </x:c>
      <x:c r="S592" s="240" t="n">
        <x:f>(K592-K591)^2</x:f>
        <x:v>0.00003271447666483913</x:v>
      </x:c>
      <x:c r="T592" s="280" t="n">
        <x:f>E592/$E$9*100</x:f>
        <x:v>142.28242001332106</x:v>
      </x:c>
    </x:row>
    <x:row r="593" ht="24" customHeight="1">
      <x:c r="C593" s="274" t="d">
        <x:v>2024-02-05T00:00:00.000Z</x:v>
      </x:c>
      <x:c r="D593" s="191" t="n">
        <x:v>405.6499938964844</x:v>
      </x:c>
      <x:c r="E593" s="191" t="n">
        <x:v>397.1709289550781</x:v>
      </x:c>
      <x:c r="F593" s="191" t="n">
        <x:v>492.54998779296875</x:v>
      </x:c>
      <x:c r="G593" s="191" t="n">
        <x:v>476.94207763671875</x:v>
      </x:c>
      <x:c r="H593" s="208" t="n">
        <x:f>E593/E592-1</x:f>
        <x:v>-0.013545083831064453</x:v>
      </x:c>
      <x:c r="I593" s="208" t="n">
        <x:f>G593/G592-1</x:f>
        <x:v>-0.003641248733787017</x:v>
      </x:c>
      <x:c r="J593" s="208" t="n">
        <x:f>'Beta HC3'!$E$13+'Beta HC3'!$E$12*I593</x:f>
        <x:v>-0.004097511647938118</x:v>
      </x:c>
      <x:c r="K593" s="240" t="n">
        <x:f>H593-J593</x:f>
        <x:v>-0.009447572183126335</x:v>
      </x:c>
      <x:c r="L593" s="240" t="n">
        <x:f>I593-'Beta HC3'!$E$9</x:f>
        <x:v>-0.004205196351447457</x:v>
      </x:c>
      <x:c r="M593" s="240" t="n">
        <x:f>1/'Beta HC3'!$E$8+L593^2/'Beta HC3'!$E$11</x:f>
        <x:v>0.0009177415980038965</x:v>
      </x:c>
      <x:c r="N593" s="240" t="n">
        <x:f>K593^2/(1-M593)^2</x:f>
        <x:v>0.00008942067498716575</x:v>
      </x:c>
      <x:c r="O593" s="240" t="n">
        <x:f>N593*L593^2/'Beta HC3'!$E$11^2</x:f>
        <x:v>7.394779430091227e-8</x:v>
      </x:c>
      <x:c r="P593" s="240" t="n">
        <x:f>N593*(1/'Beta HC3'!$E$8-'Beta HC3'!$E$9*L593/'Beta HC3'!$E$11)^2</x:f>
        <x:v>5.910868420869437e-11</x:v>
      </x:c>
      <x:c r="Q593" s="240" t="n">
        <x:f>N593*(1/'Beta HC3'!$E$8-'Beta HC3'!$E$9*L593/'Beta HC3'!$E$11)*L593/'Beta HC3'!$E$11</x:f>
        <x:v>-2.090683338351868e-9</x:v>
      </x:c>
      <x:c r="R593" s="240" t="n">
        <x:f>K593*L593/'Beta HC3'!$E$11</x:f>
        <x:v>0.00027168387263434363</x:v>
      </x:c>
      <x:c r="S593" s="240" t="n">
        <x:f>(K593-K592)^2</x:f>
        <x:v>0.0002557239230879293</x:v>
      </x:c>
      <x:c r="T593" s="280" t="n">
        <x:f>E593/$E$9*100</x:f>
        <x:v>140.35519270655388</x:v>
      </x:c>
    </x:row>
    <x:row r="594" ht="24" customHeight="1">
      <x:c r="C594" s="274" t="d">
        <x:v>2024-02-06T00:00:00.000Z</x:v>
      </x:c>
      <x:c r="D594" s="191" t="n">
        <x:v>405.489990234375</x:v>
      </x:c>
      <x:c r="E594" s="191" t="n">
        <x:v>397.0142822265625</x:v>
      </x:c>
      <x:c r="F594" s="191" t="n">
        <x:v>493.9800109863281</x:v>
      </x:c>
      <x:c r="G594" s="191" t="n">
        <x:v>478.32684326171875</x:v>
      </x:c>
      <x:c r="H594" s="208" t="n">
        <x:f>E594/E593-1</x:f>
        <x:v>-0.00039440633011023074</x:v>
      </x:c>
      <x:c r="I594" s="208" t="n">
        <x:f>G594/G593-1</x:f>
        <x:v>0.0029034251535566824</x:v>
      </x:c>
      <x:c r="J594" s="208" t="n">
        <x:f>'Beta HC3'!$E$13+'Beta HC3'!$E$12*I594</x:f>
        <x:v>0.0032836483581346015</x:v>
      </x:c>
      <x:c r="K594" s="240" t="n">
        <x:f>H594-J594</x:f>
        <x:v>-0.0036780546882448323</x:v>
      </x:c>
      <x:c r="L594" s="240" t="n">
        <x:f>I594-'Beta HC3'!$E$9</x:f>
        <x:v>0.002339477535896243</x:v>
      </x:c>
      <x:c r="M594" s="240" t="n">
        <x:f>1/'Beta HC3'!$E$8+L594^2/'Beta HC3'!$E$11</x:f>
        <x:v>0.0008342406196761603</x:v>
      </x:c>
      <x:c r="N594" s="240" t="n">
        <x:f>K594^2/(1-M594)^2</x:f>
        <x:v>0.000013550685924264483</x:v>
      </x:c>
      <x:c r="O594" s="240" t="n">
        <x:f>N594*L594^2/'Beta HC3'!$E$11^2</x:f>
        <x:v>3.468276880773922e-9</x:v>
      </x:c>
      <x:c r="P594" s="240" t="n">
        <x:f>N594*(1/'Beta HC3'!$E$8-'Beta HC3'!$E$9*L594/'Beta HC3'!$E$11)^2</x:f>
        <x:v>8.409743570328029e-12</x:v>
      </x:c>
      <x:c r="Q594" s="240" t="n">
        <x:f>N594*(1/'Beta HC3'!$E$8-'Beta HC3'!$E$9*L594/'Beta HC3'!$E$11)*L594/'Beta HC3'!$E$11</x:f>
        <x:v>1.7078442317203824e-10</x:v>
      </x:c>
      <x:c r="R594" s="240" t="n">
        <x:f>K594*L594/'Beta HC3'!$E$11</x:f>
        <x:v>-0.000058842948087587106</x:v>
      </x:c>
      <x:c r="S594" s="240" t="n">
        <x:f>(K594-K593)^2</x:f>
        <x:v>0.000033287332123743724</x:v>
      </x:c>
      <x:c r="T594" s="280" t="n">
        <x:f>E594/$E$9*100</x:f>
        <x:v>140.29983573008658</x:v>
      </x:c>
    </x:row>
    <x:row r="595" ht="24" customHeight="1">
      <x:c r="C595" s="274" t="d">
        <x:v>2024-02-07T00:00:00.000Z</x:v>
      </x:c>
      <x:c r="D595" s="191" t="n">
        <x:v>414.04998779296875</x:v>
      </x:c>
      <x:c r="E595" s="191" t="n">
        <x:v>405.3953857421875</x:v>
      </x:c>
      <x:c r="F595" s="191" t="n">
        <x:v>498.1000061035156</x:v>
      </x:c>
      <x:c r="G595" s="191" t="n">
        <x:v>482.3162841796875</x:v>
      </x:c>
      <x:c r="H595" s="208" t="n">
        <x:f>E595/E594-1</x:f>
        <x:v>0.021110332526632414</x:v>
      </x:c>
      <x:c r="I595" s="208" t="n">
        <x:f>G595/G594-1</x:f>
        <x:v>0.008340407765461633</x:v>
      </x:c>
      <x:c r="J595" s="208" t="n">
        <x:f>'Beta HC3'!$E$13+'Beta HC3'!$E$12*I595</x:f>
        <x:v>0.009415541145995689</x:v>
      </x:c>
      <x:c r="K595" s="240" t="n">
        <x:f>H595-J595</x:f>
        <x:v>0.011694791380636725</x:v>
      </x:c>
      <x:c r="L595" s="240" t="n">
        <x:f>I595-'Beta HC3'!$E$9</x:f>
        <x:v>0.007776460147801193</x:v>
      </x:c>
      <x:c r="M595" s="240" t="n">
        <x:f>1/'Beta HC3'!$E$8+L595^2/'Beta HC3'!$E$11</x:f>
        <x:v>0.0012103563097151063</x:v>
      </x:c>
      <x:c r="N595" s="240" t="n">
        <x:f>K595^2/(1-M595)^2</x:f>
        <x:v>0.00013709982386427843</x:v>
      </x:c>
      <x:c r="O595" s="240" t="n">
        <x:f>N595*L595^2/'Beta HC3'!$E$11^2</x:f>
        <x:v>3.8771760473450295e-7</x:v>
      </x:c>
      <x:c r="P595" s="240" t="n">
        <x:f>N595*(1/'Beta HC3'!$E$8-'Beta HC3'!$E$9*L595/'Beta HC3'!$E$11)^2</x:f>
        <x:v>8.06170213154638e-11</x:v>
      </x:c>
      <x:c r="Q595" s="240" t="n">
        <x:f>N595*(1/'Beta HC3'!$E$8-'Beta HC3'!$E$9*L595/'Beta HC3'!$E$11)*L595/'Beta HC3'!$E$11</x:f>
        <x:v>5.590763669237146e-9</x:v>
      </x:c>
      <x:c r="R595" s="240" t="n">
        <x:f>K595*L595/'Beta HC3'!$E$11</x:f>
        <x:v>0.000621916087448828</x:v>
      </x:c>
      <x:c r="S595" s="240" t="n">
        <x:f>(K595-K594)^2</x:f>
        <x:v>0.00023632439625752717</x:v>
      </x:c>
      <x:c r="T595" s="280" t="n">
        <x:f>E595/$E$9*100</x:f>
        <x:v>143.2616119157806</x:v>
      </x:c>
    </x:row>
    <x:row r="596" ht="24" customHeight="1">
      <x:c r="C596" s="274" t="d">
        <x:v>2024-02-08T00:00:00.000Z</x:v>
      </x:c>
      <x:c r="D596" s="191" t="n">
        <x:v>414.1099853515625</x:v>
      </x:c>
      <x:c r="E596" s="191" t="n">
        <x:v>405.4541015625</x:v>
      </x:c>
      <x:c r="F596" s="191" t="n">
        <x:v>498.32000732421875</x:v>
      </x:c>
      <x:c r="G596" s="191" t="n">
        <x:v>482.5293273925781</x:v>
      </x:c>
      <x:c r="H596" s="208" t="n">
        <x:f>E596/E595-1</x:f>
        <x:v>0.00014483593641556602</x:v>
      </x:c>
      <x:c r="I596" s="208" t="n">
        <x:f>G596/G595-1</x:f>
        <x:v>0.00044170852172853436</x:v>
      </x:c>
      <x:c r="J596" s="208" t="n">
        <x:f>'Beta HC3'!$E$13+'Beta HC3'!$E$12*I596</x:f>
        <x:v>0.0005072954547038709</x:v>
      </x:c>
      <x:c r="K596" s="240" t="n">
        <x:f>H596-J596</x:f>
        <x:v>-0.00036245951828830483</x:v>
      </x:c>
      <x:c r="L596" s="240" t="n">
        <x:f>I596-'Beta HC3'!$E$9</x:f>
        <x:v>-0.000122239095931905</x:v>
      </x:c>
      <x:c r="M596" s="240" t="n">
        <x:f>1/'Beta HC3'!$E$8+L596^2/'Beta HC3'!$E$11</x:f>
        <x:v>0.0007969149317618466</x:v>
      </x:c>
      <x:c r="N596" s="240" t="n">
        <x:f>K596^2/(1-M596)^2</x:f>
        <x:v>1.3158654539636472e-7</x:v>
      </x:c>
      <x:c r="O596" s="240" t="n">
        <x:f>N596*L596^2/'Beta HC3'!$E$11^2</x:f>
        <x:v>9.194888487827132e-14</x:v>
      </x:c>
      <x:c r="P596" s="240" t="n">
        <x:f>N596*(1/'Beta HC3'!$E$8-'Beta HC3'!$E$9*L596/'Beta HC3'!$E$11)^2</x:f>
        <x:v>8.364457229393755e-14</x:v>
      </x:c>
      <x:c r="Q596" s="240" t="n">
        <x:f>N596*(1/'Beta HC3'!$E$8-'Beta HC3'!$E$9*L596/'Beta HC3'!$E$11)*L596/'Beta HC3'!$E$11</x:f>
        <x:v>-8.769849000152459e-14</x:v>
      </x:c>
      <x:c r="R596" s="240" t="n">
        <x:f>K596*L596/'Beta HC3'!$E$11</x:f>
        <x:v>3.0298909616342033e-7</x:v>
      </x:c>
      <x:c r="S596" s="240" t="n">
        <x:f>(K596-K595)^2</x:f>
        <x:v>0.00014537729923962844</x:v>
      </x:c>
      <x:c r="T596" s="280" t="n">
        <x:f>E596/$E$9*100</x:f>
        <x:v>143.28236134549485</x:v>
      </x:c>
    </x:row>
    <x:row r="597" ht="24" customHeight="1">
      <x:c r="C597" s="274" t="d">
        <x:v>2024-02-09T00:00:00.000Z</x:v>
      </x:c>
      <x:c r="D597" s="191" t="n">
        <x:v>420.54998779296875</x:v>
      </x:c>
      <x:c r="E597" s="191" t="n">
        <x:v>411.75946044921875</x:v>
      </x:c>
      <x:c r="F597" s="191" t="n">
        <x:v>501.20001220703125</x:v>
      </x:c>
      <x:c r="G597" s="191" t="n">
        <x:v>485.3180236816406</x:v>
      </x:c>
      <x:c r="H597" s="208" t="n">
        <x:f>E597/E596-1</x:f>
        <x:v>0.015551350602743375</x:v>
      </x:c>
      <x:c r="I597" s="208" t="n">
        <x:f>G597/G596-1</x:f>
        <x:v>0.005779330147934525</x:v>
      </x:c>
      <x:c r="J597" s="208" t="n">
        <x:f>'Beta HC3'!$E$13+'Beta HC3'!$E$12*I597</x:f>
        <x:v>0.006527127756980887</x:v>
      </x:c>
      <x:c r="K597" s="240" t="n">
        <x:f>H597-J597</x:f>
        <x:v>0.009024222845762488</x:v>
      </x:c>
      <x:c r="L597" s="240" t="n">
        <x:f>I597-'Beta HC3'!$E$9</x:f>
        <x:v>0.005215382530274085</x:v>
      </x:c>
      <x:c r="M597" s="240" t="n">
        <x:f>1/'Beta HC3'!$E$8+L597^2/'Beta HC3'!$E$11</x:f>
        <x:v>0.0009828199241526086</x:v>
      </x:c>
      <x:c r="N597" s="240" t="n">
        <x:f>K597^2/(1-M597)^2</x:f>
        <x:v>0.00008159690928906792</x:v>
      </x:c>
      <x:c r="O597" s="240" t="n">
        <x:f>N597*L597^2/'Beta HC3'!$E$11^2</x:f>
        <x:v>1.0379125603665523e-7</x:v>
      </x:c>
      <x:c r="P597" s="240" t="n">
        <x:f>N597*(1/'Beta HC3'!$E$8-'Beta HC3'!$E$9*L597/'Beta HC3'!$E$11)^2</x:f>
        <x:v>4.922432355224271e-11</x:v>
      </x:c>
      <x:c r="Q597" s="240" t="n">
        <x:f>N597*(1/'Beta HC3'!$E$8-'Beta HC3'!$E$9*L597/'Beta HC3'!$E$11)*L597/'Beta HC3'!$E$11</x:f>
        <x:v>2.260321740160454e-9</x:v>
      </x:c>
      <x:c r="R597" s="240" t="n">
        <x:f>K597*L597/'Beta HC3'!$E$11</x:f>
        <x:v>0.00032184987193331486</x:v>
      </x:c>
      <x:c r="S597" s="240" t="n">
        <x:f>(K597-K596)^2</x:f>
        <x:v>0.00008810980580358219</x:v>
      </x:c>
      <x:c r="T597" s="280" t="n">
        <x:f>E597/$E$9*100</x:f>
        <x:v>145.51059558196758</x:v>
      </x:c>
    </x:row>
    <x:row r="598" ht="24" customHeight="1">
      <x:c r="C598" s="274" t="d">
        <x:v>2024-02-12T00:00:00.000Z</x:v>
      </x:c>
      <x:c r="D598" s="191" t="n">
        <x:v>415.260009765625</x:v>
      </x:c>
      <x:c r="E598" s="191" t="n">
        <x:v>406.580078125</x:v>
      </x:c>
      <x:c r="F598" s="191" t="n">
        <x:v>500.9800109863281</x:v>
      </x:c>
      <x:c r="G598" s="191" t="n">
        <x:v>485.10498046875</x:v>
      </x:c>
      <x:c r="H598" s="208" t="n">
        <x:f>E598/E597-1</x:f>
        <x:v>-0.012578660168653277</x:v>
      </x:c>
      <x:c r="I598" s="208" t="n">
        <x:f>G598/G597-1</x:f>
        <x:v>-0.0004389765112666755</x:v>
      </x:c>
      <x:c r="J598" s="208" t="n">
        <x:f>'Beta HC3'!$E$13+'Beta HC3'!$E$12*I598</x:f>
        <x:v>-0.0004859514595636082</x:v>
      </x:c>
      <x:c r="K598" s="240" t="n">
        <x:f>H598-J598</x:f>
        <x:v>-0.01209270870908967</x:v>
      </x:c>
      <x:c r="L598" s="240" t="n">
        <x:f>I598-'Beta HC3'!$E$9</x:f>
        <x:v>-0.0010029241289271147</x:v>
      </x:c>
      <x:c r="M598" s="240" t="n">
        <x:f>1/'Beta HC3'!$E$8+L598^2/'Beta HC3'!$E$11</x:f>
        <x:v>0.0008036912455145557</x:v>
      </x:c>
      <x:c r="N598" s="240" t="n">
        <x:f>K598^2/(1-M598)^2</x:f>
        <x:v>0.00014646894092685617</x:v>
      </x:c>
      <x:c r="O598" s="240" t="n">
        <x:f>N598*L598^2/'Beta HC3'!$E$11^2</x:f>
        <x:v>6.889638325411144e-9</x:v>
      </x:c>
      <x:c r="P598" s="240" t="n">
        <x:f>N598*(1/'Beta HC3'!$E$8-'Beta HC3'!$E$9*L598/'Beta HC3'!$E$11)^2</x:f>
        <x:v>9.389967731177226e-11</x:v>
      </x:c>
      <x:c r="Q598" s="240" t="n">
        <x:f>N598*(1/'Beta HC3'!$E$8-'Beta HC3'!$E$9*L598/'Beta HC3'!$E$11)*L598/'Beta HC3'!$E$11</x:f>
        <x:v>-8.043225817735851e-10</x:v>
      </x:c>
      <x:c r="R598" s="240" t="n">
        <x:f>K598*L598/'Beta HC3'!$E$11</x:f>
        <x:v>0.00008293713578096312</x:v>
      </x:c>
      <x:c r="S598" s="240" t="n">
        <x:f>(K598-K597)^2</x:f>
        <x:v>0.00044592479829231067</x:v>
      </x:c>
      <x:c r="T598" s="280" t="n">
        <x:f>E598/$E$9*100</x:f>
        <x:v>143.68026724920367</x:v>
      </x:c>
    </x:row>
    <x:row r="599" ht="24" customHeight="1">
      <x:c r="C599" s="274" t="d">
        <x:v>2024-02-13T00:00:00.000Z</x:v>
      </x:c>
      <x:c r="D599" s="191" t="n">
        <x:v>406.32000732421875</x:v>
      </x:c>
      <x:c r="E599" s="191" t="n">
        <x:v>397.82696533203125</x:v>
      </x:c>
      <x:c r="F599" s="191" t="n">
        <x:v>494.0799865722656</x:v>
      </x:c>
      <x:c r="G599" s="191" t="n">
        <x:v>478.4236145019531</x:v>
      </x:c>
      <x:c r="H599" s="208" t="n">
        <x:f>E599/E598-1</x:f>
        <x:v>-0.02152863178475184</x:v>
      </x:c>
      <x:c r="I599" s="208" t="n">
        <x:f>G599/G598-1</x:f>
        <x:v>-0.01377303106709138</x:v>
      </x:c>
      <x:c r="J599" s="208" t="n">
        <x:f>'Beta HC3'!$E$13+'Beta HC3'!$E$12*I599</x:f>
        <x:v>-0.015524254650892107</x:v>
      </x:c>
      <x:c r="K599" s="240" t="n">
        <x:f>H599-J599</x:f>
        <x:v>-0.006004377133859732</x:v>
      </x:c>
      <x:c r="L599" s="240" t="n">
        <x:f>I599-'Beta HC3'!$E$9</x:f>
        <x:v>-0.014336978684751818</x:v>
      </x:c>
      <x:c r="M599" s="240" t="n">
        <x:f>1/'Beta HC3'!$E$8+L599^2/'Beta HC3'!$E$11</x:f>
        <x:v>0.002202448001698135</x:v>
      </x:c>
      <x:c r="N599" s="240" t="n">
        <x:f>K599^2/(1-M599)^2</x:f>
        <x:v>0.00003621187866948889</x:v>
      </x:c>
      <x:c r="O599" s="240" t="n">
        <x:f>N599*L599^2/'Beta HC3'!$E$11^2</x:f>
        <x:v>3.4808159353237443e-7</x:v>
      </x:c>
      <x:c r="P599" s="240" t="n">
        <x:f>N599*(1/'Beta HC3'!$E$8-'Beta HC3'!$E$9*L599/'Beta HC3'!$E$11)^2</x:f>
        <x:v>2.629274447803743e-11</x:v>
      </x:c>
      <x:c r="Q599" s="240" t="n">
        <x:f>N599*(1/'Beta HC3'!$E$8-'Beta HC3'!$E$9*L599/'Beta HC3'!$E$11)*L599/'Beta HC3'!$E$11</x:f>
        <x:v>-3.025230635216893e-9</x:v>
      </x:c>
      <x:c r="R599" s="240" t="n">
        <x:f>K599*L599/'Beta HC3'!$E$11</x:f>
        <x:v>0.000588684991127195</x:v>
      </x:c>
      <x:c r="S599" s="240" t="n">
        <x:f>(K599-K598)^2</x:f>
        <x:v>0.00003706778136994185</x:v>
      </x:c>
      <x:c r="T599" s="280" t="n">
        <x:f>E599/$E$9*100</x:f>
        <x:v>140.5870276808608</x:v>
      </x:c>
    </x:row>
    <x:row r="600" ht="24" customHeight="1">
      <x:c r="C600" s="274" t="d">
        <x:v>2024-02-14T00:00:00.000Z</x:v>
      </x:c>
      <x:c r="D600" s="191" t="n">
        <x:v>409.489990234375</x:v>
      </x:c>
      <x:c r="E600" s="191" t="n">
        <x:v>401.6720886230469</x:v>
      </x:c>
      <x:c r="F600" s="191" t="n">
        <x:v>498.57000732421875</x:v>
      </x:c>
      <x:c r="G600" s="191" t="n">
        <x:v>482.7713928222656</x:v>
      </x:c>
      <x:c r="H600" s="208" t="n">
        <x:f>E600/E599-1</x:f>
        <x:v>0.009665315893824467</x:v>
      </x:c>
      <x:c r="I600" s="208" t="n">
        <x:f>G600/G599-1</x:f>
        <x:v>0.009087716802688828</x:v>
      </x:c>
      <x:c r="J600" s="208" t="n">
        <x:f>'Beta HC3'!$E$13+'Beta HC3'!$E$12*I600</x:f>
        <x:v>0.010258365047187329</x:v>
      </x:c>
      <x:c r="K600" s="240" t="n">
        <x:f>H600-J600</x:f>
        <x:v>-0.0005930491533628623</x:v>
      </x:c>
      <x:c r="L600" s="240" t="n">
        <x:f>I600-'Beta HC3'!$E$9</x:f>
        <x:v>0.008523769185028389</x:v>
      </x:c>
      <x:c r="M600" s="240" t="n">
        <x:f>1/'Beta HC3'!$E$8+L600^2/'Beta HC3'!$E$11</x:f>
        <x:v>0.00129365751980299</x:v>
      </x:c>
      <x:c r="N600" s="240" t="n">
        <x:f>K600^2/(1-M600)^2</x:f>
        <x:v>3.526190447365821e-7</x:v>
      </x:c>
      <x:c r="O600" s="240" t="n">
        <x:f>N600*L600^2/'Beta HC3'!$E$11^2</x:f>
        <x:v>1.1980745679111192e-9</x:v>
      </x:c>
      <x:c r="P600" s="240" t="n">
        <x:f>N600*(1/'Beta HC3'!$E$8-'Beta HC3'!$E$9*L600/'Beta HC3'!$E$11)^2</x:f>
        <x:v>2.0579033409714816e-13</x:v>
      </x:c>
      <x:c r="Q600" s="240" t="n">
        <x:f>N600*(1/'Beta HC3'!$E$8-'Beta HC3'!$E$9*L600/'Beta HC3'!$E$11)*L600/'Beta HC3'!$E$11</x:f>
        <x:v>1.570197967148492e-11</x:v>
      </x:c>
      <x:c r="R600" s="240" t="n">
        <x:f>K600*L600/'Beta HC3'!$E$11</x:f>
        <x:v>-0.00003456843613183016</x:v>
      </x:c>
      <x:c r="S600" s="240" t="n">
        <x:f>(K600-K599)^2</x:f>
        <x:v>0.000029282470512508334</x:v>
      </x:c>
      <x:c r="T600" s="280" t="n">
        <x:f>E600/$E$9*100</x:f>
        <x:v>141.9458457139702</x:v>
      </x:c>
    </x:row>
    <x:row r="601" ht="24" customHeight="1">
      <x:c r="C601" s="274" t="d">
        <x:v>2024-02-15T00:00:00.000Z</x:v>
      </x:c>
      <x:c r="D601" s="191" t="n">
        <x:v>406.55999755859375</x:v>
      </x:c>
      <x:c r="E601" s="191" t="n">
        <x:v>398.7979736328125</x:v>
      </x:c>
      <x:c r="F601" s="191" t="n">
        <x:v>502.010009765625</x:v>
      </x:c>
      <x:c r="G601" s="191" t="n">
        <x:v>486.10235595703125</x:v>
      </x:c>
      <x:c r="H601" s="208" t="n">
        <x:f>E601/E600-1</x:f>
        <x:v>-0.007155376416835391</x:v>
      </x:c>
      <x:c r="I601" s="208" t="n">
        <x:f>G601/G600-1</x:f>
        <x:v>0.006899669666201369</x:v>
      </x:c>
      <x:c r="J601" s="208" t="n">
        <x:f>'Beta HC3'!$E$13+'Beta HC3'!$E$12*I601</x:f>
        <x:v>0.007790659811869924</x:v>
      </x:c>
      <x:c r="K601" s="240" t="n">
        <x:f>H601-J601</x:f>
        <x:v>-0.014946036228705314</x:v>
      </x:c>
      <x:c r="L601" s="240" t="n">
        <x:f>I601-'Beta HC3'!$E$9</x:f>
        <x:v>0.006335722048540929</x:v>
      </x:c>
      <x:c r="M601" s="240" t="n">
        <x:f>1/'Beta HC3'!$E$8+L601^2/'Beta HC3'!$E$11</x:f>
        <x:v>0.001071317328419902</x:v>
      </x:c>
      <x:c r="N601" s="240" t="n">
        <x:f>K601^2/(1-M601)^2</x:f>
        <x:v>0.00022386339949524427</x:v>
      </x:c>
      <x:c r="O601" s="240" t="n">
        <x:f>N601*L601^2/'Beta HC3'!$E$11^2</x:f>
        <x:v>4.202328995836124e-7</x:v>
      </x:c>
      <x:c r="P601" s="240" t="n">
        <x:f>N601*(1/'Beta HC3'!$E$8-'Beta HC3'!$E$9*L601/'Beta HC3'!$E$11)^2</x:f>
        <x:v>1.3354999437602214e-10</x:v>
      </x:c>
      <x:c r="Q601" s="240" t="n">
        <x:f>N601*(1/'Beta HC3'!$E$8-'Beta HC3'!$E$9*L601/'Beta HC3'!$E$11)*L601/'Beta HC3'!$E$11</x:f>
        <x:v>7.491468572717297e-9</x:v>
      </x:c>
      <x:c r="R601" s="240" t="n">
        <x:f>K601*L601/'Beta HC3'!$E$11</x:f>
        <x:v>-0.0006475592454123929</x:v>
      </x:c>
      <x:c r="S601" s="240" t="n">
        <x:f>(K601-K600)^2</x:f>
        <x:v>0.0002060082379849475</x:v>
      </x:c>
      <x:c r="T601" s="280" t="n">
        <x:f>E601/$E$9*100</x:f>
        <x:v>140.93016975708068</x:v>
      </x:c>
    </x:row>
    <x:row r="602" ht="24" customHeight="1">
      <x:c r="C602" s="274" t="d">
        <x:v>2024-02-16T00:00:00.000Z</x:v>
      </x:c>
      <x:c r="D602" s="191" t="n">
        <x:v>404.05999755859375</x:v>
      </x:c>
      <x:c r="E602" s="191" t="n">
        <x:v>396.34576416015625</x:v>
      </x:c>
      <x:c r="F602" s="191" t="n">
        <x:v>499.510009765625</x:v>
      </x:c>
      <x:c r="G602" s="191" t="n">
        <x:v>483.6816101074219</x:v>
      </x:c>
      <x:c r="H602" s="208" t="n">
        <x:f>E602/E601-1</x:f>
        <x:v>-0.0061490018374920075</x:v>
      </x:c>
      <x:c r="I602" s="208" t="n">
        <x:f>G602/G601-1</x:f>
        <x:v>-0.004979909724657561</x:v>
      </x:c>
      <x:c r="J602" s="208" t="n">
        <x:f>'Beta HC3'!$E$13+'Beta HC3'!$E$12*I602</x:f>
        <x:v>-0.005607269221437889</x:v>
      </x:c>
      <x:c r="K602" s="240" t="n">
        <x:f>H602-J602</x:f>
        <x:v>-0.0005417326160541188</x:v>
      </x:c>
      <x:c r="L602" s="240" t="n">
        <x:f>I602-'Beta HC3'!$E$9</x:f>
        <x:v>-0.0055438573423180005</x:v>
      </x:c>
      <x:c r="M602" s="240" t="n">
        <x:f>1/'Beta HC3'!$E$8+L602^2/'Beta HC3'!$E$11</x:f>
        <x:v>0.0010069879415136398</x:v>
      </x:c>
      <x:c r="N602" s="240" t="n">
        <x:f>K602^2/(1-M602)^2</x:f>
        <x:v>2.9406617128345303e-7</x:v>
      </x:c>
      <x:c r="O602" s="240" t="n">
        <x:f>N602*L602^2/'Beta HC3'!$E$11^2</x:f>
        <x:v>4.2265292841974357e-10</x:v>
      </x:c>
      <x:c r="P602" s="240" t="n">
        <x:f>N602*(1/'Beta HC3'!$E$8-'Beta HC3'!$E$9*L602/'Beta HC3'!$E$11)^2</x:f>
        <x:v>1.9685948498059502e-13</x:v>
      </x:c>
      <x:c r="Q602" s="240" t="n">
        <x:f>N602*(1/'Beta HC3'!$E$8-'Beta HC3'!$E$9*L602/'Beta HC3'!$E$11)*L602/'Beta HC3'!$E$11</x:f>
        <x:v>-9.121580883501007e-12</x:v>
      </x:c>
      <x:c r="R602" s="240" t="n">
        <x:f>K602*L602/'Beta HC3'!$E$11</x:f>
        <x:v>0.000020537822284641822</x:v>
      </x:c>
      <x:c r="S602" s="240" t="n">
        <x:f>(K602-K601)^2</x:f>
        <x:v>0.0002074839625654363</x:v>
      </x:c>
      <x:c r="T602" s="280" t="n">
        <x:f>E602/$E$9*100</x:f>
        <x:v>140.06358988428633</x:v>
      </x:c>
    </x:row>
    <x:row r="603" ht="24" customHeight="1">
      <x:c r="C603" s="274" t="d">
        <x:v>2024-02-20T00:00:00.000Z</x:v>
      </x:c>
      <x:c r="D603" s="191" t="n">
        <x:v>402.7900085449219</x:v>
      </x:c>
      <x:c r="E603" s="191" t="n">
        <x:v>395.1000671386719</x:v>
      </x:c>
      <x:c r="F603" s="191" t="n">
        <x:v>496.760009765625</x:v>
      </x:c>
      <x:c r="G603" s="191" t="n">
        <x:v>481.01873779296875</x:v>
      </x:c>
      <x:c r="H603" s="208" t="n">
        <x:f>E603/E602-1</x:f>
        <x:v>-0.003142955303493622</x:v>
      </x:c>
      <x:c r="I603" s="208" t="n">
        <x:f>G603/G602-1</x:f>
        <x:v>-0.005505423937581022</x:v>
      </x:c>
      <x:c r="J603" s="208" t="n">
        <x:f>'Beta HC3'!$E$13+'Beta HC3'!$E$12*I603</x:f>
        <x:v>-0.006199950317214805</x:v>
      </x:c>
      <x:c r="K603" s="240" t="n">
        <x:f>H603-J603</x:f>
        <x:v>0.003056995013721183</x:v>
      </x:c>
      <x:c r="L603" s="240" t="n">
        <x:f>I603-'Beta HC3'!$E$9</x:f>
        <x:v>-0.006069371555241462</x:v>
      </x:c>
      <x:c r="M603" s="240" t="n">
        <x:f>1/'Beta HC3'!$E$8+L603^2/'Beta HC3'!$E$11</x:f>
        <x:v>0.0010487224029828144</x:v>
      </x:c>
      <x:c r="N603" s="240" t="n">
        <x:f>K603^2/(1-M603)^2</x:f>
        <x:v>0.000009364850471258292</x:v>
      </x:c>
      <x:c r="O603" s="240" t="n">
        <x:f>N603*L603^2/'Beta HC3'!$E$11^2</x:f>
        <x:v>1.6132550012998854e-8</x:v>
      </x:c>
      <x:c r="P603" s="240" t="n">
        <x:f>N603*(1/'Beta HC3'!$E$8-'Beta HC3'!$E$9*L603/'Beta HC3'!$E$11)^2</x:f>
        <x:v>6.3002960052107676e-12</x:v>
      </x:c>
      <x:c r="Q603" s="240" t="n">
        <x:f>N603*(1/'Beta HC3'!$E$8-'Beta HC3'!$E$9*L603/'Beta HC3'!$E$11)*L603/'Beta HC3'!$E$11</x:f>
        <x:v>-3.1881003811166234e-10</x:v>
      </x:c>
      <x:c r="R603" s="240" t="n">
        <x:f>K603*L603/'Beta HC3'!$E$11</x:f>
        <x:v>-0.0001268807732583899</x:v>
      </x:c>
      <x:c r="S603" s="240" t="n">
        <x:f>(K603-K602)^2</x:f>
        <x:v>0.000012950840553308161</x:v>
      </x:c>
      <x:c r="T603" s="280" t="n">
        <x:f>E603/$E$9*100</x:f>
        <x:v>139.62337628163317</x:v>
      </x:c>
    </x:row>
    <x:row r="604" ht="24" customHeight="1">
      <x:c r="C604" s="274" t="d">
        <x:v>2024-02-21T00:00:00.000Z</x:v>
      </x:c>
      <x:c r="D604" s="191" t="n">
        <x:v>402.17999267578125</x:v>
      </x:c>
      <x:c r="E604" s="191" t="n">
        <x:v>394.5016174316406</x:v>
      </x:c>
      <x:c r="F604" s="191" t="n">
        <x:v>497.2099914550781</x:v>
      </x:c>
      <x:c r="G604" s="191" t="n">
        <x:v>481.4544677734375</x:v>
      </x:c>
      <x:c r="H604" s="208" t="n">
        <x:f>E604/E603-1</x:f>
        <x:v>-0.0015146788289995827</x:v>
      </x:c>
      <x:c r="I604" s="208" t="n">
        <x:f>G604/G603-1</x:f>
        <x:v>0.0009058482471346885</x:v>
      </x:c>
      <x:c r="J604" s="208" t="n">
        <x:f>'Beta HC3'!$E$13+'Beta HC3'!$E$12*I604</x:f>
        <x:v>0.001030757683283751</x:v>
      </x:c>
      <x:c r="K604" s="240" t="n">
        <x:f>H604-J604</x:f>
        <x:v>-0.0025454365122833337</x:v>
      </x:c>
      <x:c r="L604" s="240" t="n">
        <x:f>I604-'Beta HC3'!$E$9</x:f>
        <x:v>0.0003419006294742491</x:v>
      </x:c>
      <x:c r="M604" s="240" t="n">
        <x:f>1/'Beta HC3'!$E$8+L604^2/'Beta HC3'!$E$11</x:f>
        <x:v>0.0007976121361528593</x:v>
      </x:c>
      <x:c r="N604" s="240" t="n">
        <x:f>K604^2/(1-M604)^2</x:f>
        <x:v>0.0000064895952693723415</x:v>
      </x:c>
      <x:c r="O604" s="240" t="n">
        <x:f>N604*L604^2/'Beta HC3'!$E$11^2</x:f>
        <x:v>3.5475794947020276e-11</x:v>
      </x:c>
      <x:c r="P604" s="240" t="n">
        <x:f>N604*(1/'Beta HC3'!$E$8-'Beta HC3'!$E$9*L604/'Beta HC3'!$E$11)^2</x:f>
        <x:v>4.106687424032708e-12</x:v>
      </x:c>
      <x:c r="Q604" s="240" t="n">
        <x:f>N604*(1/'Beta HC3'!$E$8-'Beta HC3'!$E$9*L604/'Beta HC3'!$E$11)*L604/'Beta HC3'!$E$11</x:f>
        <x:v>1.2070128456917568e-11</x:v>
      </x:c>
      <x:c r="R604" s="240" t="n">
        <x:f>K604*L604/'Beta HC3'!$E$11</x:f>
        <x:v>-0.000005951405352268849</x:v>
      </x:c>
      <x:c r="S604" s="240" t="n">
        <x:f>(K604-K603)^2</x:f>
        <x:v>0.0000313872390035693</x:v>
      </x:c>
      <x:c r="T604" s="280" t="n">
        <x:f>E604/$E$9*100</x:f>
        <x:v>139.41189170954596</x:v>
      </x:c>
    </x:row>
    <x:row r="605" ht="24" customHeight="1">
      <x:c r="C605" s="274" t="d">
        <x:v>2024-02-22T00:00:00.000Z</x:v>
      </x:c>
      <x:c r="D605" s="191" t="n">
        <x:v>411.6499938964844</x:v>
      </x:c>
      <x:c r="E605" s="191" t="n">
        <x:v>403.7908935546875</x:v>
      </x:c>
      <x:c r="F605" s="191" t="n">
        <x:v>507.5</x:v>
      </x:c>
      <x:c r="G605" s="191" t="n">
        <x:v>491.41839599609375</x:v>
      </x:c>
      <x:c r="H605" s="208" t="n">
        <x:f>E605/E604-1</x:f>
        <x:v>0.02354686448061649</x:v>
      </x:c>
      <x:c r="I605" s="208" t="n">
        <x:f>G605/G604-1</x:f>
        <x:v>0.02069547359013213</x:v>
      </x:c>
      <x:c r="J605" s="208" t="n">
        <x:f>'Beta HC3'!$E$13+'Beta HC3'!$E$12*I605</x:f>
        <x:v>0.023349729358766537</x:v>
      </x:c>
      <x:c r="K605" s="240" t="n">
        <x:f>H605-J605</x:f>
        <x:v>0.0001971351218499548</x:v>
      </x:c>
      <x:c r="L605" s="240" t="n">
        <x:f>I605-'Beta HC3'!$E$9</x:f>
        <x:v>0.02013152597247169</x:v>
      </x:c>
      <x:c r="M605" s="240" t="n">
        <x:f>1/'Beta HC3'!$E$8+L605^2/'Beta HC3'!$E$11</x:f>
        <x:v>0.0035682863925396748</x:v>
      </x:c>
      <x:c r="N605" s="240" t="n">
        <x:f>K605^2/(1-M605)^2</x:f>
        <x:v>3.914109114210959e-8</x:v>
      </x:c>
      <x:c r="O605" s="240" t="n">
        <x:f>N605*L605^2/'Beta HC3'!$E$11^2</x:f>
        <x:v>7.418242781261186e-10</x:v>
      </x:c>
      <x:c r="P605" s="240" t="n">
        <x:f>N605*(1/'Beta HC3'!$E$8-'Beta HC3'!$E$9*L605/'Beta HC3'!$E$11)^2</x:f>
        <x:v>2.0244269795951438e-14</x:v>
      </x:c>
      <x:c r="Q605" s="240" t="n">
        <x:f>N605*(1/'Beta HC3'!$E$8-'Beta HC3'!$E$9*L605/'Beta HC3'!$E$11)*L605/'Beta HC3'!$E$11</x:f>
        <x:v>3.875266549228848e-12</x:v>
      </x:c>
      <x:c r="R605" s="240" t="n">
        <x:f>K605*L605/'Beta HC3'!$E$11</x:f>
        <x:v>0.00002713926381782705</x:v>
      </x:c>
      <x:c r="S605" s="240" t="n">
        <x:f>(K605-K604)^2</x:f>
        <x:v>0.000007521699168352537</x:v>
      </x:c>
      <x:c r="T605" s="280" t="n">
        <x:f>E605/$E$9*100</x:f>
        <x:v>142.694604630617</x:v>
      </x:c>
    </x:row>
    <x:row r="606" ht="24" customHeight="1">
      <x:c r="C606" s="274" t="d">
        <x:v>2024-02-23T00:00:00.000Z</x:v>
      </x:c>
      <x:c r="D606" s="191" t="n">
        <x:v>410.3399963378906</x:v>
      </x:c>
      <x:c r="E606" s="191" t="n">
        <x:v>402.5058288574219</x:v>
      </x:c>
      <x:c r="F606" s="191" t="n">
        <x:v>507.8500061035156</x:v>
      </x:c>
      <x:c r="G606" s="191" t="n">
        <x:v>491.75732421875</x:v>
      </x:c>
      <x:c r="H606" s="208" t="n">
        <x:f>E606/E605-1</x:f>
        <x:v>-0.003182500442129421</x:v>
      </x:c>
      <x:c r="I606" s="208" t="n">
        <x:f>G606/G605-1</x:f>
        <x:v>0.0006896938035241273</x:v>
      </x:c>
      <x:c r="J606" s="208" t="n">
        <x:f>'Beta HC3'!$E$13+'Beta HC3'!$E$12*I606</x:f>
        <x:v>0.0007869761653996364</x:v>
      </x:c>
      <x:c r="K606" s="240" t="n">
        <x:f>H606-J606</x:f>
        <x:v>-0.003969476607529058</x:v>
      </x:c>
      <x:c r="L606" s="240" t="n">
        <x:f>I606-'Beta HC3'!$E$9</x:f>
        <x:v>0.00012574618586368798</x:v>
      </x:c>
      <x:c r="M606" s="240" t="n">
        <x:f>1/'Beta HC3'!$E$8+L606^2/'Beta HC3'!$E$11</x:f>
        <x:v>0.0007969208792032203</x:v>
      </x:c>
      <x:c r="N606" s="240" t="n">
        <x:f>K606^2/(1-M606)^2</x:f>
        <x:v>0.000015781888347588067</x:v>
      </x:c>
      <x:c r="O606" s="240" t="n">
        <x:f>N606*L606^2/'Beta HC3'!$E$11^2</x:f>
        <x:v>1.1669797799278225e-11</x:v>
      </x:c>
      <x:c r="P606" s="240" t="n">
        <x:f>N606*(1/'Beta HC3'!$E$8-'Beta HC3'!$E$9*L606/'Beta HC3'!$E$11)^2</x:f>
        <x:v>1.0007894705216426e-11</x:v>
      </x:c>
      <x:c r="Q606" s="240" t="n">
        <x:f>N606*(1/'Beta HC3'!$E$8-'Beta HC3'!$E$9*L606/'Beta HC3'!$E$11)*L606/'Beta HC3'!$E$11</x:f>
        <x:v>1.080694719179949e-11</x:v>
      </x:c>
      <x:c r="R606" s="240" t="n">
        <x:f>K606*L606/'Beta HC3'!$E$11</x:f>
        <x:v>-0.0000034133862072028215</x:v>
      </x:c>
      <x:c r="S606" s="240" t="n">
        <x:f>(K606-K605)^2</x:f>
        <x:v>0.000017360653303398768</x:v>
      </x:c>
      <x:c r="T606" s="280" t="n">
        <x:f>E606/$E$9*100</x:f>
        <x:v>142.2404789882906</x:v>
      </x:c>
    </x:row>
    <x:row r="607" ht="24" customHeight="1">
      <x:c r="C607" s="274" t="d">
        <x:v>2024-02-26T00:00:00.000Z</x:v>
      </x:c>
      <x:c r="D607" s="191" t="n">
        <x:v>407.5400085449219</x:v>
      </x:c>
      <x:c r="E607" s="191" t="n">
        <x:v>399.75933837890625</x:v>
      </x:c>
      <x:c r="F607" s="191" t="n">
        <x:v>505.989990234375</x:v>
      </x:c>
      <x:c r="G607" s="191" t="n">
        <x:v>489.9562072753906</x:v>
      </x:c>
      <x:c r="H607" s="208" t="n">
        <x:f>E607/E606-1</x:f>
        <x:v>-0.006823480013474548</x:v>
      </x:c>
      <x:c r="I607" s="208" t="n">
        <x:f>G607/G606-1</x:f>
        <x:v>-0.003662613355522093</x:v>
      </x:c>
      <x:c r="J607" s="208" t="n">
        <x:f>'Beta HC3'!$E$13+'Beta HC3'!$E$12*I607</x:f>
        <x:v>-0.0041216069190257686</x:v>
      </x:c>
      <x:c r="K607" s="240" t="n">
        <x:f>H607-J607</x:f>
        <x:v>-0.002701873094448779</x:v>
      </x:c>
      <x:c r="L607" s="240" t="n">
        <x:f>I607-'Beta HC3'!$E$9</x:f>
        <x:v>-0.004226560973182533</x:v>
      </x:c>
      <x:c r="M607" s="240" t="n">
        <x:f>1/'Beta HC3'!$E$8+L607^2/'Beta HC3'!$E$11</x:f>
        <x:v>0.0009189734844245531</x:v>
      </x:c>
      <x:c r="N607" s="240" t="n">
        <x:f>K607^2/(1-M607)^2</x:f>
        <x:v>0.000007313553966464373</x:v>
      </x:c>
      <x:c r="O607" s="240" t="n">
        <x:f>N607*L607^2/'Beta HC3'!$E$11^2</x:f>
        <x:v>6.109666017430184e-9</x:v>
      </x:c>
      <x:c r="P607" s="240" t="n">
        <x:f>N607*(1/'Beta HC3'!$E$8-'Beta HC3'!$E$9*L607/'Beta HC3'!$E$11)^2</x:f>
        <x:v>4.8353714011596465e-12</x:v>
      </x:c>
      <x:c r="Q607" s="240" t="n">
        <x:f>N607*(1/'Beta HC3'!$E$8-'Beta HC3'!$E$9*L607/'Beta HC3'!$E$11)*L607/'Beta HC3'!$E$11</x:f>
        <x:v>-1.7187933072745793e-10</x:v>
      </x:c>
      <x:c r="R607" s="240" t="n">
        <x:f>K607*L607/'Beta HC3'!$E$11</x:f>
        <x:v>0.00007809252163287247</x:v>
      </x:c>
      <x:c r="S607" s="240" t="n">
        <x:f>(K607-K606)^2</x:f>
        <x:v>0.0000016068186663734644</x:v>
      </x:c>
      <x:c r="T607" s="280" t="n">
        <x:f>E607/$E$9*100</x:f>
        <x:v>141.26990392280695</x:v>
      </x:c>
    </x:row>
    <x:row r="608" ht="24" customHeight="1">
      <x:c r="C608" s="274" t="d">
        <x:v>2024-02-27T00:00:00.000Z</x:v>
      </x:c>
      <x:c r="D608" s="191" t="n">
        <x:v>407.4800109863281</x:v>
      </x:c>
      <x:c r="E608" s="191" t="n">
        <x:v>399.7004699707031</x:v>
      </x:c>
      <x:c r="F608" s="191" t="n">
        <x:v>506.92999267578125</x:v>
      </x:c>
      <x:c r="G608" s="191" t="n">
        <x:v>490.8664245605469</x:v>
      </x:c>
      <x:c r="H608" s="208" t="n">
        <x:f>E608/E607-1</x:f>
        <x:v>-0.00014725961985495584</x:v>
      </x:c>
      <x:c r="I608" s="208" t="n">
        <x:f>G608/G607-1</x:f>
        <x:v>0.001857752328964013</x:v>
      </x:c>
      <x:c r="J608" s="208" t="n">
        <x:f>'Beta HC3'!$E$13+'Beta HC3'!$E$12*I608</x:f>
        <x:v>0.002104326276518532</x:v>
      </x:c>
      <x:c r="K608" s="240" t="n">
        <x:f>H608-J608</x:f>
        <x:v>-0.002251585896373488</x:v>
      </x:c>
      <x:c r="L608" s="240" t="n">
        <x:f>I608-'Beta HC3'!$E$9</x:f>
        <x:v>0.0012938047113035737</x:v>
      </x:c>
      <x:c r="M608" s="240" t="n">
        <x:f>1/'Beta HC3'!$E$8+L608^2/'Beta HC3'!$E$11</x:f>
        <x:v>0.0008082598316386474</x:v>
      </x:c>
      <x:c r="N608" s="240" t="n">
        <x:f>K608^2/(1-M608)^2</x:f>
        <x:v>0.000005077844166415951</x:v>
      </x:c>
      <x:c r="O608" s="240" t="n">
        <x:f>N608*L608^2/'Beta HC3'!$E$11^2</x:f>
        <x:v>3.974948882636781e-10</x:v>
      </x:c>
      <x:c r="P608" s="240" t="n">
        <x:f>N608*(1/'Beta HC3'!$E$8-'Beta HC3'!$E$9*L608/'Beta HC3'!$E$11)^2</x:f>
        <x:v>3.183726616330849e-12</x:v>
      </x:c>
      <x:c r="Q608" s="240" t="n">
        <x:f>N608*(1/'Beta HC3'!$E$8-'Beta HC3'!$E$9*L608/'Beta HC3'!$E$11)*L608/'Beta HC3'!$E$11</x:f>
        <x:v>3.557407842264546e-11</x:v>
      </x:c>
      <x:c r="R608" s="240" t="n">
        <x:f>K608*L608/'Beta HC3'!$E$11</x:f>
        <x:v>-0.000019921159344721392</x:v>
      </x:c>
      <x:c r="S608" s="240" t="n">
        <x:f>(K608-K607)^2</x:f>
        <x:v>2.0275856075049648e-7</x:v>
      </x:c>
      <x:c r="T608" s="280" t="n">
        <x:f>E608/$E$9*100</x:f>
        <x:v>141.24910057045835</x:v>
      </x:c>
    </x:row>
    <x:row r="609" ht="24" customHeight="1">
      <x:c r="C609" s="274" t="d">
        <x:v>2024-02-28T00:00:00.000Z</x:v>
      </x:c>
      <x:c r="D609" s="191" t="n">
        <x:v>407.7200012207031</x:v>
      </x:c>
      <x:c r="E609" s="191" t="n">
        <x:v>399.9359130859375</x:v>
      </x:c>
      <x:c r="F609" s="191" t="n">
        <x:v>506.260009765625</x:v>
      </x:c>
      <x:c r="G609" s="191" t="n">
        <x:v>490.21771240234375</x:v>
      </x:c>
      <x:c r="H609" s="208" t="n">
        <x:f>E609/E608-1</x:f>
        <x:v>0.0005890488826585383</x:v>
      </x:c>
      <x:c r="I609" s="208" t="n">
        <x:f>G609/G608-1</x:f>
        <x:v>-0.001321565553773385</x:v>
      </x:c>
      <x:c r="J609" s="208" t="n">
        <x:f>'Beta HC3'!$E$13+'Beta HC3'!$E$12*I609</x:f>
        <x:v>-0.0014813457381000145</x:v>
      </x:c>
      <x:c r="K609" s="240" t="n">
        <x:f>H609-J609</x:f>
        <x:v>0.0020703946207585528</x:v>
      </x:c>
      <x:c r="L609" s="240" t="n">
        <x:f>I609-'Beta HC3'!$E$9</x:f>
        <x:v>-0.0018855131714338243</x:v>
      </x:c>
      <x:c r="M609" s="240" t="n">
        <x:f>1/'Beta HC3'!$E$8+L609^2/'Beta HC3'!$E$11</x:f>
        <x:v>0.0008211245147523536</x:v>
      </x:c>
      <x:c r="N609" s="240" t="n">
        <x:f>K609^2/(1-M609)^2</x:f>
        <x:v>0.000004293582121810303</x:v>
      </x:c>
      <x:c r="O609" s="240" t="n">
        <x:f>N609*L609^2/'Beta HC3'!$E$11^2</x:f>
        <x:v>7.138280963695467e-10</x:v>
      </x:c>
      <x:c r="P609" s="240" t="n">
        <x:f>N609*(1/'Beta HC3'!$E$8-'Beta HC3'!$E$9*L609/'Beta HC3'!$E$11)^2</x:f>
        <x:v>2.776022068560276e-12</x:v>
      </x:c>
      <x:c r="Q609" s="240" t="n">
        <x:f>N609*(1/'Beta HC3'!$E$8-'Beta HC3'!$E$9*L609/'Beta HC3'!$E$11)*L609/'Beta HC3'!$E$11</x:f>
        <x:v>-4.451519458207762e-11</x:v>
      </x:c>
      <x:c r="R609" s="240" t="n">
        <x:f>K609*L609/'Beta HC3'!$E$11</x:f>
        <x:v>-0.000026695623127516804</x:v>
      </x:c>
      <x:c r="S609" s="240" t="n">
        <x:f>(K609-K608)^2</x:f>
        <x:v>0.00001867951559046894</x:v>
      </x:c>
      <x:c r="T609" s="280" t="n">
        <x:f>E609/$E$9*100</x:f>
        <x:v>141.3323031953259</x:v>
      </x:c>
    </x:row>
    <x:row r="610" ht="24" customHeight="1">
      <x:c r="C610" s="274" t="d">
        <x:v>2024-02-29T00:00:00.000Z</x:v>
      </x:c>
      <x:c r="D610" s="191" t="n">
        <x:v>413.6400146484375</x:v>
      </x:c>
      <x:c r="E610" s="191" t="n">
        <x:v>405.74285888671875</x:v>
      </x:c>
      <x:c r="F610" s="191" t="n">
        <x:v>508.0799865722656</x:v>
      </x:c>
      <x:c r="G610" s="191" t="n">
        <x:v>491.9800109863281</x:v>
      </x:c>
      <x:c r="H610" s="208" t="n">
        <x:f>E610/E609-1</x:f>
        <x:v>0.01451969080739568</x:v>
      </x:c>
      <x:c r="I610" s="208" t="n">
        <x:f>G610/G609-1</x:f>
        <x:v>0.003594930455181</x:v>
      </x:c>
      <x:c r="J610" s="208" t="n">
        <x:f>'Beta HC3'!$E$13+'Beta HC3'!$E$12*I610</x:f>
        <x:v>0.004063536151506119</x:v>
      </x:c>
      <x:c r="K610" s="240" t="n">
        <x:f>H610-J610</x:f>
        <x:v>0.01045615465588956</x:v>
      </x:c>
      <x:c r="L610" s="240" t="n">
        <x:f>I610-'Beta HC3'!$E$9</x:f>
        <x:v>0.003030982837520561</x:v>
      </x:c>
      <x:c r="M610" s="240" t="n">
        <x:f>1/'Beta HC3'!$E$8+L610^2/'Beta HC3'!$E$11</x:f>
        <x:v>0.0008596365655005255</x:v>
      </x:c>
      <x:c r="N610" s="240" t="n">
        <x:f>K610^2/(1-M610)^2</x:f>
        <x:v>0.00010951938298828775</x:v>
      </x:c>
      <x:c r="O610" s="240" t="n">
        <x:f>N610*L610^2/'Beta HC3'!$E$11^2</x:f>
        <x:v>4.705141250888094e-8</x:v>
      </x:c>
      <x:c r="P610" s="240" t="n">
        <x:f>N610*(1/'Beta HC3'!$E$8-'Beta HC3'!$E$9*L610/'Beta HC3'!$E$11)^2</x:f>
        <x:v>6.750985113726127e-11</x:v>
      </x:c>
      <x:c r="Q610" s="240" t="n">
        <x:f>N610*(1/'Beta HC3'!$E$8-'Beta HC3'!$E$9*L610/'Beta HC3'!$E$11)*L610/'Beta HC3'!$E$11</x:f>
        <x:v>1.7822552719160144e-9</x:v>
      </x:c>
      <x:c r="R610" s="240" t="n">
        <x:f>K610*L610/'Beta HC3'!$E$11</x:f>
        <x:v>0.00021672690891856857</x:v>
      </x:c>
      <x:c r="S610" s="240" t="n">
        <x:f>(K610-K609)^2</x:f>
        <x:v>0.00007032097136680041</x:v>
      </x:c>
      <x:c r="T610" s="280" t="n">
        <x:f>E610/$E$9*100</x:f>
        <x:v>143.3844045388191</x:v>
      </x:c>
    </x:row>
    <x:row r="611" ht="24" customHeight="1">
      <x:c r="C611" s="274" t="d">
        <x:v>2024-03-01T00:00:00.000Z</x:v>
      </x:c>
      <x:c r="D611" s="191" t="n">
        <x:v>415.5</x:v>
      </x:c>
      <x:c r="E611" s="191" t="n">
        <x:v>407.5673828125</x:v>
      </x:c>
      <x:c r="F611" s="191" t="n">
        <x:v>512.8499755859375</x:v>
      </x:c>
      <x:c r="G611" s="191" t="n">
        <x:v>496.598876953125</x:v>
      </x:c>
      <x:c r="H611" s="208" t="n">
        <x:f>E611/E610-1</x:f>
        <x:v>0.004496749322433935</x:v>
      </x:c>
      <x:c r="I611" s="208" t="n">
        <x:f>G611/G610-1</x:f>
        <x:v>0.009388320386303661</x:v>
      </x:c>
      <x:c r="J611" s="208" t="n">
        <x:f>'Beta HC3'!$E$13+'Beta HC3'!$E$12*I611</x:f>
        <x:v>0.010597389296103802</x:v>
      </x:c>
      <x:c r="K611" s="240" t="n">
        <x:f>H611-J611</x:f>
        <x:v>-0.006100639973669867</x:v>
      </x:c>
      <x:c r="L611" s="240" t="n">
        <x:f>I611-'Beta HC3'!$E$9</x:f>
        <x:v>0.008824372768643222</x:v>
      </x:c>
      <x:c r="M611" s="240" t="n">
        <x:f>1/'Beta HC3'!$E$8+L611^2/'Beta HC3'!$E$11</x:f>
        <x:v>0.0013293194201639187</x:v>
      </x:c>
      <x:c r="N611" s="240" t="n">
        <x:f>K611^2/(1-M611)^2</x:f>
        <x:v>0.00003731695445042175</x:v>
      </x:c>
      <x:c r="O611" s="240" t="n">
        <x:f>N611*L611^2/'Beta HC3'!$E$11^2</x:f>
        <x:v>1.358903467293631e-7</x:v>
      </x:c>
      <x:c r="P611" s="240" t="n">
        <x:f>N611*(1/'Beta HC3'!$E$8-'Beta HC3'!$E$9*L611/'Beta HC3'!$E$11)^2</x:f>
        <x:v>2.1712323907328525e-11</x:v>
      </x:c>
      <x:c r="Q611" s="240" t="n">
        <x:f>N611*(1/'Beta HC3'!$E$8-'Beta HC3'!$E$9*L611/'Beta HC3'!$E$11)*L611/'Beta HC3'!$E$11</x:f>
        <x:v>1.7177005629815442e-9</x:v>
      </x:c>
      <x:c r="R611" s="240" t="n">
        <x:f>K611*L611/'Beta HC3'!$E$11</x:f>
        <x:v>-0.0003681430476133049</x:v>
      </x:c>
      <x:c r="S611" s="240" t="n">
        <x:f>(K611-K610)^2</x:f>
        <x:v>0.00027412744840540784</x:v>
      </x:c>
      <x:c r="T611" s="280" t="n">
        <x:f>E611/$E$9*100</x:f>
        <x:v>144.02916826277666</x:v>
      </x:c>
    </x:row>
    <x:row r="612" ht="24" customHeight="1">
      <x:c r="C612" s="274" t="d">
        <x:v>2024-03-04T00:00:00.000Z</x:v>
      </x:c>
      <x:c r="D612" s="191" t="n">
        <x:v>414.9200134277344</x:v>
      </x:c>
      <x:c r="E612" s="191" t="n">
        <x:v>406.9984130859375</x:v>
      </x:c>
      <x:c r="F612" s="191" t="n">
        <x:v>512.2999877929688</x:v>
      </x:c>
      <x:c r="G612" s="191" t="n">
        <x:v>496.0662841796875</x:v>
      </x:c>
      <x:c r="H612" s="208" t="n">
        <x:f>E612/E611-1</x:f>
        <x:v>-0.0013960138876575323</x:v>
      </x:c>
      <x:c r="I612" s="208" t="n">
        <x:f>G612/G611-1</x:f>
        <x:v>-0.0010724808253800289</x:v>
      </x:c>
      <x:c r="J612" s="208" t="n">
        <x:f>'Beta HC3'!$E$13+'Beta HC3'!$E$12*I612</x:f>
        <x:v>-0.001200425058630264</x:v>
      </x:c>
      <x:c r="K612" s="240" t="n">
        <x:f>H612-J612</x:f>
        <x:v>-0.0001955888290272683</x:v>
      </x:c>
      <x:c r="L612" s="240" t="n">
        <x:f>I612-'Beta HC3'!$E$9</x:f>
        <x:v>-0.0016364284430404681</x:v>
      </x:c>
      <x:c r="M612" s="240" t="n">
        <x:f>1/'Beta HC3'!$E$8+L612^2/'Beta HC3'!$E$11</x:f>
        <x:v>0.0008151254076582731</x:v>
      </x:c>
      <x:c r="N612" s="240" t="n">
        <x:f>K612^2/(1-M612)^2</x:f>
        <x:v>3.8317431605143856e-8</x:v>
      </x:c>
      <x:c r="O612" s="240" t="n">
        <x:f>N612*L612^2/'Beta HC3'!$E$11^2</x:f>
        <x:v>4.798496170814972e-12</x:v>
      </x:c>
      <x:c r="P612" s="240" t="n">
        <x:f>N612*(1/'Beta HC3'!$E$8-'Beta HC3'!$E$9*L612/'Beta HC3'!$E$11)^2</x:f>
        <x:v>2.4715036082163178e-14</x:v>
      </x:c>
      <x:c r="Q612" s="240" t="n">
        <x:f>N612*(1/'Beta HC3'!$E$8-'Beta HC3'!$E$9*L612/'Beta HC3'!$E$11)*L612/'Beta HC3'!$E$11</x:f>
        <x:v>-3.4437625644317273e-13</x:v>
      </x:c>
      <x:c r="R612" s="240" t="n">
        <x:f>K612*L612/'Beta HC3'!$E$11</x:f>
        <x:v>0.0000021887614321305748</x:v>
      </x:c>
      <x:c r="S612" s="240" t="n">
        <x:f>(K612-K611)^2</x:f>
        <x:v>0.00003486962902084486</x:v>
      </x:c>
      <x:c r="T612" s="280" t="n">
        <x:f>E612/$E$9*100</x:f>
        <x:v>143.82810154365404</x:v>
      </x:c>
    </x:row>
    <x:row r="613" ht="24" customHeight="1">
      <x:c r="C613" s="274" t="d">
        <x:v>2024-03-05T00:00:00.000Z</x:v>
      </x:c>
      <x:c r="D613" s="191" t="n">
        <x:v>402.6499938964844</x:v>
      </x:c>
      <x:c r="E613" s="191" t="n">
        <x:v>394.9626770019531</x:v>
      </x:c>
      <x:c r="F613" s="191" t="n">
        <x:v>507.17999267578125</x:v>
      </x:c>
      <x:c r="G613" s="191" t="n">
        <x:v>491.1084899902344</x:v>
      </x:c>
      <x:c r="H613" s="208" t="n">
        <x:f>E613/E612-1</x:f>
        <x:v>-0.029571948432740025</x:v>
      </x:c>
      <x:c r="I613" s="208" t="n">
        <x:f>G613/G612-1</x:f>
        <x:v>-0.00999421719952509</x:v>
      </x:c>
      <x:c r="J613" s="208" t="n">
        <x:f>'Beta HC3'!$E$13+'Beta HC3'!$E$12*I613</x:f>
        <x:v>-0.011262464030031415</x:v>
      </x:c>
      <x:c r="K613" s="240" t="n">
        <x:f>H613-J613</x:f>
        <x:v>-0.01830948440270861</x:v>
      </x:c>
      <x:c r="L613" s="240" t="n">
        <x:f>I613-'Beta HC3'!$E$9</x:f>
        <x:v>-0.01055816481718553</x:v>
      </x:c>
      <x:c r="M613" s="240" t="n">
        <x:f>1/'Beta HC3'!$E$8+L613^2/'Beta HC3'!$E$11</x:f>
        <x:v>0.0015591273460617407</x:v>
      </x:c>
      <x:c r="N613" s="240" t="n">
        <x:f>K613^2/(1-M613)^2</x:f>
        <x:v>0.00033628502397904956</x:v>
      </x:c>
      <x:c r="O613" s="240" t="n">
        <x:f>N613*L613^2/'Beta HC3'!$E$11^2</x:f>
        <x:v>0.0000017530694610282569</x:v>
      </x:c>
      <x:c r="P613" s="240" t="n">
        <x:f>N613*(1/'Beta HC3'!$E$8-'Beta HC3'!$E$9*L613/'Beta HC3'!$E$11)^2</x:f>
        <x:v>2.3588963921760015e-10</x:v>
      </x:c>
      <x:c r="Q613" s="240" t="n">
        <x:f>N613*(1/'Beta HC3'!$E$8-'Beta HC3'!$E$9*L613/'Beta HC3'!$E$11)*L613/'Beta HC3'!$E$11</x:f>
        <x:v>-2.0335459736267296e-8</x:v>
      </x:c>
      <x:c r="R613" s="240" t="n">
        <x:f>K613*L613/'Beta HC3'!$E$11</x:f>
        <x:v>0.001321970954845043</x:v>
      </x:c>
      <x:c r="S613" s="240" t="n">
        <x:f>(K613-K612)^2</x:f>
        <x:v>0.00032811321285423255</x:v>
      </x:c>
      <x:c r="T613" s="280" t="n">
        <x:f>E613/$E$9*100</x:f>
        <x:v>139.5748243416262</x:v>
      </x:c>
    </x:row>
    <x:row r="614" ht="24" customHeight="1">
      <x:c r="C614" s="274" t="d">
        <x:v>2024-03-06T00:00:00.000Z</x:v>
      </x:c>
      <x:c r="D614" s="191" t="n">
        <x:v>402.0899963378906</x:v>
      </x:c>
      <x:c r="E614" s="191" t="n">
        <x:v>394.4133605957031</x:v>
      </x:c>
      <x:c r="F614" s="191" t="n">
        <x:v>509.75</x:v>
      </x:c>
      <x:c r="G614" s="191" t="n">
        <x:v>493.5970764160156</x:v>
      </x:c>
      <x:c r="H614" s="208" t="n">
        <x:f>E614/E613-1</x:f>
        <x:v>-0.0013908058615049734</x:v>
      </x:c>
      <x:c r="I614" s="208" t="n">
        <x:f>G614/G613-1</x:f>
        <x:v>0.005067284472786815</x:v>
      </x:c>
      <x:c r="J614" s="208" t="n">
        <x:f>'Beta HC3'!$E$13+'Beta HC3'!$E$12*I614</x:f>
        <x:v>0.0057240742893266755</x:v>
      </x:c>
      <x:c r="K614" s="240" t="n">
        <x:f>H614-J614</x:f>
        <x:v>-0.007114880150831649</x:v>
      </x:c>
      <x:c r="L614" s="240" t="n">
        <x:f>I614-'Beta HC3'!$E$9</x:f>
        <x:v>0.004503336855126375</x:v>
      </x:c>
      <x:c r="M614" s="240" t="n">
        <x:f>1/'Beta HC3'!$E$8+L614^2/'Beta HC3'!$E$11</x:f>
        <x:v>0.0009354967074787181</x:v>
      </x:c>
      <x:c r="N614" s="240" t="n">
        <x:f>K614^2/(1-M614)^2</x:f>
        <x:v>0.00005071636516131119</x:v>
      </x:c>
      <x:c r="O614" s="240" t="n">
        <x:f>N614*L614^2/'Beta HC3'!$E$11^2</x:f>
        <x:v>4.809851973044113e-8</x:v>
      </x:c>
      <x:c r="P614" s="240" t="n">
        <x:f>N614*(1/'Beta HC3'!$E$8-'Beta HC3'!$E$9*L614/'Beta HC3'!$E$11)^2</x:f>
        <x:v>3.081198297160925e-11</x:v>
      </x:c>
      <x:c r="Q614" s="240" t="n">
        <x:f>N614*(1/'Beta HC3'!$E$8-'Beta HC3'!$E$9*L614/'Beta HC3'!$E$11)*L614/'Beta HC3'!$E$11</x:f>
        <x:v>1.2173786472967086e-9</x:v>
      </x:c>
      <x:c r="R614" s="240" t="n">
        <x:f>K614*L614/'Beta HC3'!$E$11</x:f>
        <x:v>-0.00021910857995608603</x:v>
      </x:c>
      <x:c r="S614" s="240" t="n">
        <x:f>(K614-K613)^2</x:f>
        <x:v>0.00012531916435614172</x:v>
      </x:c>
      <x:c r="T614" s="280" t="n">
        <x:f>E614/$E$9*100</x:f>
        <x:v>139.38070285781333</x:v>
      </x:c>
    </x:row>
    <x:row r="615" ht="24" customHeight="1">
      <x:c r="C615" s="274" t="d">
        <x:v>2024-03-07T00:00:00.000Z</x:v>
      </x:c>
      <x:c r="D615" s="191" t="n">
        <x:v>409.1400146484375</x:v>
      </x:c>
      <x:c r="E615" s="191" t="n">
        <x:v>401.32879638671875</x:v>
      </x:c>
      <x:c r="F615" s="191" t="n">
        <x:v>514.8099975585938</x:v>
      </x:c>
      <x:c r="G615" s="191" t="n">
        <x:v>498.4967041015625</x:v>
      </x:c>
      <x:c r="H615" s="208" t="n">
        <x:f>E615/E614-1</x:f>
        <x:v>0.017533472447715415</x:v>
      </x:c>
      <x:c r="I615" s="208" t="n">
        <x:f>G615/G614-1</x:f>
        <x:v>0.009926370960547048</x:v>
      </x:c>
      <x:c r="J615" s="208" t="n">
        <x:f>'Beta HC3'!$E$13+'Beta HC3'!$E$12*I615</x:f>
        <x:v>0.011204209047280379</x:v>
      </x:c>
      <x:c r="K615" s="240" t="n">
        <x:f>H615-J615</x:f>
        <x:v>0.006329263400435036</x:v>
      </x:c>
      <x:c r="L615" s="240" t="n">
        <x:f>I615-'Beta HC3'!$E$9</x:f>
        <x:v>0.00936242334288661</x:v>
      </x:c>
      <x:c r="M615" s="240" t="n">
        <x:f>1/'Beta HC3'!$E$8+L615^2/'Beta HC3'!$E$11</x:f>
        <x:v>0.0013962364503798752</x:v>
      </x:c>
      <x:c r="N615" s="240" t="n">
        <x:f>K615^2/(1-M615)^2</x:f>
        <x:v>0.00004017167519271453</x:v>
      </x:c>
      <x:c r="O615" s="240" t="n">
        <x:f>N615*L615^2/'Beta HC3'!$E$11^2</x:f>
        <x:v>1.64668759953081e-7</x:v>
      </x:c>
      <x:c r="P615" s="240" t="n">
        <x:f>N615*(1/'Beta HC3'!$E$8-'Beta HC3'!$E$9*L615/'Beta HC3'!$E$11)^2</x:f>
        <x:v>2.324630888794788e-11</x:v>
      </x:c>
      <x:c r="Q615" s="240" t="n">
        <x:f>N615*(1/'Beta HC3'!$E$8-'Beta HC3'!$E$9*L615/'Beta HC3'!$E$11)*L615/'Beta HC3'!$E$11</x:f>
        <x:v>1.956512422159559e-9</x:v>
      </x:c>
      <x:c r="R615" s="240" t="n">
        <x:f>K615*L615/'Beta HC3'!$E$11</x:f>
        <x:v>0.0004052274027273364</x:v>
      </x:c>
      <x:c r="S615" s="240" t="n">
        <x:f>(K615-K614)^2</x:f>
        <x:v>0.00018074499582706555</x:v>
      </x:c>
      <x:c r="T615" s="280" t="n">
        <x:f>E615/$E$9*100</x:f>
        <x:v>141.82453057111402</x:v>
      </x:c>
    </x:row>
    <x:row r="616" ht="24" customHeight="1">
      <x:c r="C616" s="274" t="d">
        <x:v>2024-03-08T00:00:00.000Z</x:v>
      </x:c>
      <x:c r="D616" s="191" t="n">
        <x:v>406.2200012207031</x:v>
      </x:c>
      <x:c r="E616" s="191" t="n">
        <x:v>398.4645690917969</x:v>
      </x:c>
      <x:c r="F616" s="191" t="n">
        <x:v>511.7200012207031</x:v>
      </x:c>
      <x:c r="G616" s="191" t="n">
        <x:v>495.5046691894531</x:v>
      </x:c>
      <x:c r="H616" s="208" t="n">
        <x:f>E616/E615-1</x:f>
        <x:v>-0.007136859654002792</x:v>
      </x:c>
      <x:c r="I616" s="208" t="n">
        <x:f>G616/G615-1</x:f>
        <x:v>-0.006002115736154945</x:v>
      </x:c>
      <x:c r="J616" s="208" t="n">
        <x:f>'Beta HC3'!$E$13+'Beta HC3'!$E$12*I616</x:f>
        <x:v>-0.006760125155882917</x:v>
      </x:c>
      <x:c r="K616" s="240" t="n">
        <x:f>H616-J616</x:f>
        <x:v>-0.00037673449811987444</x:v>
      </x:c>
      <x:c r="L616" s="240" t="n">
        <x:f>I616-'Beta HC3'!$E$9</x:f>
        <x:v>-0.0065660633538153846</x:v>
      </x:c>
      <x:c r="M616" s="240" t="n">
        <x:f>1/'Beta HC3'!$E$8+L616^2/'Beta HC3'!$E$11</x:f>
        <x:v>0.0010916399157677207</x:v>
      </x:c>
      <x:c r="N616" s="240" t="n">
        <x:f>K616^2/(1-M616)^2</x:f>
        <x:v>1.4223926067937164e-7</x:v>
      </x:c>
      <x:c r="O616" s="240" t="n">
        <x:f>N616*L616^2/'Beta HC3'!$E$11^2</x:f>
        <x:v>2.8677701943142296e-10</x:v>
      </x:c>
      <x:c r="P616" s="240" t="n">
        <x:f>N616*(1/'Beta HC3'!$E$8-'Beta HC3'!$E$9*L616/'Beta HC3'!$E$11)^2</x:f>
        <x:v>9.614034861341229e-14</x:v>
      </x:c>
      <x:c r="Q616" s="240" t="n">
        <x:f>N616*(1/'Beta HC3'!$E$8-'Beta HC3'!$E$9*L616/'Beta HC3'!$E$11)*L616/'Beta HC3'!$E$11</x:f>
        <x:v>-5.250794475358212e-12</x:v>
      </x:c>
      <x:c r="R616" s="240" t="n">
        <x:f>K616*L616/'Beta HC3'!$E$11</x:f>
        <x:v>0.00001691600563651275</x:v>
      </x:c>
      <x:c r="S616" s="240" t="n">
        <x:f>(K616-K615)^2</x:f>
        <x:v>0.00004497040781542287</x:v>
      </x:c>
      <x:c r="T616" s="280" t="n">
        <x:f>E616/$E$9*100</x:f>
        <x:v>140.81234880093317</x:v>
      </x:c>
    </x:row>
    <x:row r="617" ht="24" customHeight="1">
      <x:c r="C617" s="274" t="d">
        <x:v>2024-03-11T00:00:00.000Z</x:v>
      </x:c>
      <x:c r="D617" s="191" t="n">
        <x:v>404.5199890136719</x:v>
      </x:c>
      <x:c r="E617" s="191" t="n">
        <x:v>396.7969970703125</x:v>
      </x:c>
      <x:c r="F617" s="191" t="n">
        <x:v>511.2799987792969</x:v>
      </x:c>
      <x:c r="G617" s="191" t="n">
        <x:v>495.07861328125</x:v>
      </x:c>
      <x:c r="H617" s="208" t="n">
        <x:f>E617/E616-1</x:f>
        <x:v>-0.004184994478392934</x:v>
      </x:c>
      <x:c r="I617" s="208" t="n">
        <x:f>G617/G616-1</x:f>
        <x:v>-0.0008598423681860368</x:v>
      </x:c>
      <x:c r="J617" s="208" t="n">
        <x:f>'Beta HC3'!$E$13+'Beta HC3'!$E$12*I617</x:f>
        <x:v>-0.0009606089114837292</x:v>
      </x:c>
      <x:c r="K617" s="240" t="n">
        <x:f>H617-J617</x:f>
        <x:v>-0.0032243855669092047</x:v>
      </x:c>
      <x:c r="L617" s="240" t="n">
        <x:f>I617-'Beta HC3'!$E$9</x:f>
        <x:v>-0.001423789985846476</x:v>
      </x:c>
      <x:c r="M617" s="240" t="n">
        <x:f>1/'Beta HC3'!$E$8+L617^2/'Beta HC3'!$E$11</x:f>
        <x:v>0.0008106754938389499</x:v>
      </x:c>
      <x:c r="N617" s="240" t="n">
        <x:f>K617^2/(1-M617)^2</x:f>
        <x:v>0.000010413539442829732</x:v>
      </x:c>
      <x:c r="O617" s="240" t="n">
        <x:f>N617*L617^2/'Beta HC3'!$E$11^2</x:f>
        <x:v>9.871995692496527e-10</x:v>
      </x:c>
      <x:c r="P617" s="240" t="n">
        <x:f>N617*(1/'Beta HC3'!$E$8-'Beta HC3'!$E$9*L617/'Beta HC3'!$E$11)^2</x:f>
        <x:v>6.703102818478878e-12</x:v>
      </x:c>
      <x:c r="Q617" s="240" t="n">
        <x:f>N617*(1/'Beta HC3'!$E$8-'Beta HC3'!$E$9*L617/'Beta HC3'!$E$11)*L617/'Beta HC3'!$E$11</x:f>
        <x:v>-8.134678982626467e-11</x:v>
      </x:c>
      <x:c r="R617" s="240" t="n">
        <x:f>K617*L617/'Beta HC3'!$E$11</x:f>
        <x:v>0.00003139426095698694</x:v>
      </x:c>
      <x:c r="S617" s="240" t="n">
        <x:f>(K617-K616)^2</x:f>
        <x:v>0.000008109116609577015</x:v>
      </x:c>
      <x:c r="T617" s="280" t="n">
        <x:f>E617/$E$9*100</x:f>
        <x:v>140.22304989871174</x:v>
      </x:c>
    </x:row>
    <x:row r="618" ht="24" customHeight="1">
      <x:c r="C618" s="274" t="d">
        <x:v>2024-03-12T00:00:00.000Z</x:v>
      </x:c>
      <x:c r="D618" s="191" t="n">
        <x:v>415.2799987792969</x:v>
      </x:c>
      <x:c r="E618" s="191" t="n">
        <x:v>407.3515625</x:v>
      </x:c>
      <x:c r="F618" s="191" t="n">
        <x:v>516.780029296875</x:v>
      </x:c>
      <x:c r="G618" s="191" t="n">
        <x:v>500.40435791015625</x:v>
      </x:c>
      <x:c r="H618" s="208" t="n">
        <x:f>E618/E617-1</x:f>
        <x:v>0.026599408532865576</x:v>
      </x:c>
      <x:c r="I618" s="208" t="n">
        <x:f>G618/G617-1</x:f>
        <x:v>0.010757371629545043</x:v>
      </x:c>
      <x:c r="J618" s="208" t="n">
        <x:f>'Beta HC3'!$E$13+'Beta HC3'!$E$12*I618</x:f>
        <x:v>0.012141421352829982</x:v>
      </x:c>
      <x:c r="K618" s="240" t="n">
        <x:f>H618-J618</x:f>
        <x:v>0.014457987180035594</x:v>
      </x:c>
      <x:c r="L618" s="240" t="n">
        <x:f>I618-'Beta HC3'!$E$9</x:f>
        <x:v>0.010193424011884604</x:v>
      </x:c>
      <x:c r="M618" s="240" t="n">
        <x:f>1/'Beta HC3'!$E$8+L618^2/'Beta HC3'!$E$11</x:f>
        <x:v>0.0015073674890652812</x:v>
      </x:c>
      <x:c r="N618" s="240" t="n">
        <x:f>K618^2/(1-M618)^2</x:f>
        <x:v>0.0002096650013194939</x:v>
      </x:c>
      <x:c r="O618" s="240" t="n">
        <x:f>N618*L618^2/'Beta HC3'!$E$11^2</x:f>
        <x:v>0.0000010187810155919362</x:v>
      </x:c>
      <x:c r="P618" s="240" t="n">
        <x:f>N618*(1/'Beta HC3'!$E$8-'Beta HC3'!$E$9*L618/'Beta HC3'!$E$11)^2</x:f>
        <x:v>1.2030758259718724e-10</x:v>
      </x:c>
      <x:c r="Q618" s="240" t="n">
        <x:f>N618*(1/'Beta HC3'!$E$8-'Beta HC3'!$E$9*L618/'Beta HC3'!$E$11)*L618/'Beta HC3'!$E$11</x:f>
        <x:v>1.1071001814730822e-8</x:v>
      </x:c>
      <x:c r="R618" s="240" t="n">
        <x:f>K618*L618/'Beta HC3'!$E$11</x:f>
        <x:v>0.0010078253696247847</x:v>
      </x:c>
      <x:c r="S618" s="240" t="n">
        <x:f>(K618-K617)^2</x:f>
        <x:v>0.0003126663059618962</x:v>
      </x:c>
      <x:c r="T618" s="280" t="n">
        <x:f>E618/$E$9*100</x:f>
        <x:v>143.95290008869196</x:v>
      </x:c>
    </x:row>
    <x:row r="619" ht="24" customHeight="1">
      <x:c r="C619" s="274" t="d">
        <x:v>2024-03-13T00:00:00.000Z</x:v>
      </x:c>
      <x:c r="D619" s="191" t="n">
        <x:v>415.1000061035156</x:v>
      </x:c>
      <x:c r="E619" s="191" t="n">
        <x:v>407.175048828125</x:v>
      </x:c>
      <x:c r="F619" s="191" t="n">
        <x:v>515.969970703125</x:v>
      </x:c>
      <x:c r="G619" s="191" t="n">
        <x:v>499.61993408203125</x:v>
      </x:c>
      <x:c r="H619" s="208" t="n">
        <x:f>E619/E618-1</x:f>
        <x:v>-0.00043332022784370317</x:v>
      </x:c>
      <x:c r="I619" s="208" t="n">
        <x:f>G619/G618-1</x:f>
        <x:v>-0.001567579929561358</x:v>
      </x:c>
      <x:c r="J619" s="208" t="n">
        <x:f>'Beta HC3'!$E$13+'Beta HC3'!$E$12*I619</x:f>
        <x:v>-0.0017588036378735571</x:v>
      </x:c>
      <x:c r="K619" s="240" t="n">
        <x:f>H619-J619</x:f>
        <x:v>0.001325483410029854</x:v>
      </x:c>
      <x:c r="L619" s="240" t="n">
        <x:f>I619-'Beta HC3'!$E$9</x:f>
        <x:v>-0.002131527547221797</x:v>
      </x:c>
      <x:c r="M619" s="240" t="n">
        <x:f>1/'Beta HC3'!$E$8+L619^2/'Beta HC3'!$E$11</x:f>
        <x:v>0.000827882606463698</x:v>
      </x:c>
      <x:c r="N619" s="240" t="n">
        <x:f>K619^2/(1-M619)^2</x:f>
        <x:v>0.000001759818911036719</x:v>
      </x:c>
      <x:c r="O619" s="240" t="n">
        <x:f>N619*L619^2/'Beta HC3'!$E$11^2</x:f>
        <x:v>3.739078668132818e-10</x:v>
      </x:c>
      <x:c r="P619" s="240" t="n">
        <x:f>N619*(1/'Beta HC3'!$E$8-'Beta HC3'!$E$9*L619/'Beta HC3'!$E$11)^2</x:f>
        <x:v>1.140500258130387e-12</x:v>
      </x:c>
      <x:c r="Q619" s="240" t="n">
        <x:f>N619*(1/'Beta HC3'!$E$8-'Beta HC3'!$E$9*L619/'Beta HC3'!$E$11)*L619/'Beta HC3'!$E$11</x:f>
        <x:v>-2.0650472600343324e-11</x:v>
      </x:c>
      <x:c r="R619" s="240" t="n">
        <x:f>K619*L619/'Beta HC3'!$E$11</x:f>
        <x:v>-0.000019320688896805403</x:v>
      </x:c>
      <x:c r="S619" s="240" t="n">
        <x:f>(K619-K618)^2</x:f>
        <x:v>0.00017246265526921496</x:v>
      </x:c>
      <x:c r="T619" s="280" t="n">
        <x:f>E619/$E$9*100</x:f>
        <x:v>143.89052238522675</x:v>
      </x:c>
    </x:row>
    <x:row r="620" ht="24" customHeight="1">
      <x:c r="C620" s="274" t="d">
        <x:v>2024-03-14T00:00:00.000Z</x:v>
      </x:c>
      <x:c r="D620" s="191" t="n">
        <x:v>425.2200012207031</x:v>
      </x:c>
      <x:c r="E620" s="191" t="n">
        <x:v>417.1017761230469</x:v>
      </x:c>
      <x:c r="F620" s="191" t="n">
        <x:v>514.9500122070312</x:v>
      </x:c>
      <x:c r="G620" s="191" t="n">
        <x:v>498.63232421875</x:v>
      </x:c>
      <x:c r="H620" s="208" t="n">
        <x:f>E620/E619-1</x:f>
        <x:v>0.02437950783942089</x:v>
      </x:c>
      <x:c r="I620" s="208" t="n">
        <x:f>G620/G619-1</x:f>
        <x:v>-0.001976722296110567</x:v>
      </x:c>
      <x:c r="J620" s="208" t="n">
        <x:f>'Beta HC3'!$E$13+'Beta HC3'!$E$12*I620</x:f>
        <x:v>-0.0022202391997894894</x:v>
      </x:c>
      <x:c r="K620" s="240" t="n">
        <x:f>H620-J620</x:f>
        <x:v>0.026599747039210378</x:v>
      </x:c>
      <x:c r="L620" s="240" t="n">
        <x:f>I620-'Beta HC3'!$E$9</x:f>
        <x:v>-0.002540669913771006</x:v>
      </x:c>
      <x:c r="M620" s="240" t="n">
        <x:f>1/'Beta HC3'!$E$8+L620^2/'Beta HC3'!$E$11</x:f>
        <x:v>0.0008409549364824729</x:v>
      </x:c>
      <x:c r="N620" s="240" t="n">
        <x:f>K620^2/(1-M620)^2</x:f>
        <x:v>0.000708738074892233</x:v>
      </x:c>
      <x:c r="O620" s="240" t="n">
        <x:f>N620*L620^2/'Beta HC3'!$E$11^2</x:f>
        <x:v>2.1394245593747736e-7</x:v>
      </x:c>
      <x:c r="P620" s="240" t="n">
        <x:f>N620*(1/'Beta HC3'!$E$8-'Beta HC3'!$E$9*L620/'Beta HC3'!$E$11)^2</x:f>
        <x:v>4.611199833914694e-10</x:v>
      </x:c>
      <x:c r="Q620" s="240" t="n">
        <x:f>N620*(1/'Beta HC3'!$E$8-'Beta HC3'!$E$9*L620/'Beta HC3'!$E$11)*L620/'Beta HC3'!$E$11</x:f>
        <x:v>-9.93242879303042e-9</x:v>
      </x:c>
      <x:c r="R620" s="240" t="n">
        <x:f>K620*L620/'Beta HC3'!$E$11</x:f>
        <x:v>-0.00046215016532487384</x:v>
      </x:c>
      <x:c r="S620" s="240" t="n">
        <x:f>(K620-K619)^2</x:f>
        <x:v>0.0006387884019973175</x:v>
      </x:c>
      <x:c r="T620" s="280" t="n">
        <x:f>E620/$E$9*100</x:f>
        <x:v>147.39850250373576</x:v>
      </x:c>
    </x:row>
    <x:row r="621" ht="24" customHeight="1">
      <x:c r="C621" s="274" t="d">
        <x:v>2024-03-15T00:00:00.000Z</x:v>
      </x:c>
      <x:c r="D621" s="191" t="n">
        <x:v>416.4200134277344</x:v>
      </x:c>
      <x:c r="E621" s="191" t="n">
        <x:v>408.4698181152344</x:v>
      </x:c>
      <x:c r="F621" s="191" t="n">
        <x:v>509.8299865722656</x:v>
      </x:c>
      <x:c r="G621" s="191" t="n">
        <x:v>495.2084045410156</x:v>
      </x:c>
      <x:c r="H621" s="208" t="n">
        <x:f>E621/E620-1</x:f>
        <x:v>-0.020695088110260218</x:v>
      </x:c>
      <x:c r="I621" s="208" t="n">
        <x:f>G621/G620-1</x:f>
        <x:v>-0.006866621980632592</x:v>
      </x:c>
      <x:c r="J621" s="208" t="n">
        <x:f>'Beta HC3'!$E$13+'Beta HC3'!$E$12*I621</x:f>
        <x:v>-0.007735125442616598</x:v>
      </x:c>
      <x:c r="K621" s="240" t="n">
        <x:f>H621-J621</x:f>
        <x:v>-0.01295996266764362</x:v>
      </x:c>
      <x:c r="L621" s="240" t="n">
        <x:f>I621-'Beta HC3'!$E$9</x:f>
        <x:v>-0.007430569598293032</x:v>
      </x:c>
      <x:c r="M621" s="240" t="n">
        <x:f>1/'Beta HC3'!$E$8+L621^2/'Beta HC3'!$E$11</x:f>
        <x:v>0.0011743863084444101</x:v>
      </x:c>
      <x:c r="N621" s="240" t="n">
        <x:f>K621^2/(1-M621)^2</x:f>
        <x:v>0.00016835582971591446</x:v>
      </x:c>
      <x:c r="O621" s="240" t="n">
        <x:f>N621*L621^2/'Beta HC3'!$E$11^2</x:f>
        <x:v>4.3469745240315255e-7</x:v>
      </x:c>
      <x:c r="P621" s="240" t="n">
        <x:f>N621*(1/'Beta HC3'!$E$8-'Beta HC3'!$E$9*L621/'Beta HC3'!$E$11)^2</x:f>
        <x:v>1.1471748491433744e-10</x:v>
      </x:c>
      <x:c r="Q621" s="240" t="n">
        <x:f>N621*(1/'Beta HC3'!$E$8-'Beta HC3'!$E$9*L621/'Beta HC3'!$E$11)*L621/'Beta HC3'!$E$11</x:f>
        <x:v>-7.0616852406744654e-9</x:v>
      </x:c>
      <x:c r="R621" s="240" t="n">
        <x:f>K621*L621/'Beta HC3'!$E$11</x:f>
        <x:v>0.0006585416057150381</x:v>
      </x:c>
      <x:c r="S621" s="240" t="n">
        <x:f>(K621-K620)^2</x:f>
        <x:v>0.0015649706320905584</x:v>
      </x:c>
      <x:c r="T621" s="280" t="n">
        <x:f>E621/$E$9*100</x:f>
        <x:v>144.34807750710053</x:v>
      </x:c>
    </x:row>
    <x:row r="622" ht="24" customHeight="1">
      <x:c r="C622" s="274" t="d">
        <x:v>2024-03-18T00:00:00.000Z</x:v>
      </x:c>
      <x:c r="D622" s="191" t="n">
        <x:v>417.32000732421875</x:v>
      </x:c>
      <x:c r="E622" s="191" t="n">
        <x:v>409.3525695800781</x:v>
      </x:c>
      <x:c r="F622" s="191" t="n">
        <x:v>512.8599853515625</x:v>
      </x:c>
      <x:c r="G622" s="191" t="n">
        <x:v>498.15155029296875</x:v>
      </x:c>
      <x:c r="H622" s="208" t="n">
        <x:f>E622/E621-1</x:f>
        <x:v>0.0021611179717437867</x:v>
      </x:c>
      <x:c r="I622" s="208" t="n">
        <x:f>G622/G621-1</x:f>
        <x:v>0.005943246772398769</x:v>
      </x:c>
      <x:c r="J622" s="208" t="n">
        <x:f>'Beta HC3'!$E$13+'Beta HC3'!$E$12*I622</x:f>
        <x:v>0.006711994849467443</x:v>
      </x:c>
      <x:c r="K622" s="240" t="n">
        <x:f>H622-J622</x:f>
        <x:v>-0.0045508768777236565</x:v>
      </x:c>
      <x:c r="L622" s="240" t="n">
        <x:f>I622-'Beta HC3'!$E$9</x:f>
        <x:v>0.0053792991547383295</x:v>
      </x:c>
      <x:c r="M622" s="240" t="n">
        <x:f>1/'Beta HC3'!$E$8+L622^2/'Beta HC3'!$E$11</x:f>
        <x:v>0.0009946958718544262</x:v>
      </x:c>
      <x:c r="N622" s="240" t="n">
        <x:f>K622^2/(1-M622)^2</x:f>
        <x:v>0.000020751743170543678</x:v>
      </x:c>
      <x:c r="O622" s="240" t="n">
        <x:f>N622*L622^2/'Beta HC3'!$E$11^2</x:f>
        <x:v>2.8081525758882838e-8</x:v>
      </x:c>
      <x:c r="P622" s="240" t="n">
        <x:f>N622*(1/'Beta HC3'!$E$8-'Beta HC3'!$E$9*L622/'Beta HC3'!$E$11)^2</x:f>
        <x:v>1.2498370861028449e-11</x:v>
      </x:c>
      <x:c r="Q622" s="240" t="n">
        <x:f>N622*(1/'Beta HC3'!$E$8-'Beta HC3'!$E$9*L622/'Beta HC3'!$E$11)*L622/'Beta HC3'!$E$11</x:f>
        <x:v>5.924300155107277e-10</x:v>
      </x:c>
      <x:c r="R622" s="240" t="n">
        <x:f>K622*L622/'Beta HC3'!$E$11</x:f>
        <x:v>-0.0001674087464495423</x:v>
      </x:c>
      <x:c r="S622" s="240" t="n">
        <x:f>(K622-K621)^2</x:f>
        <x:v>0.00007071272382223385</x:v>
      </x:c>
      <x:c r="T622" s="280" t="n">
        <x:f>E622/$E$9*100</x:f>
        <x:v>144.6600307315878</x:v>
      </x:c>
    </x:row>
    <x:row r="623" ht="24" customHeight="1">
      <x:c r="C623" s="274" t="d">
        <x:v>2024-03-19T00:00:00.000Z</x:v>
      </x:c>
      <x:c r="D623" s="191" t="n">
        <x:v>421.4100036621094</x:v>
      </x:c>
      <x:c r="E623" s="191" t="n">
        <x:v>413.3645324707031</x:v>
      </x:c>
      <x:c r="F623" s="191" t="n">
        <x:v>515.7100219726562</x:v>
      </x:c>
      <x:c r="G623" s="191" t="n">
        <x:v>500.91973876953125</x:v>
      </x:c>
      <x:c r="H623" s="208" t="n">
        <x:f>E623/E622-1</x:f>
        <x:v>0.00980075169612471</x:v>
      </x:c>
      <x:c r="I623" s="208" t="n">
        <x:f>G623/G622-1</x:f>
        <x:v>0.005556920328631865</x:v>
      </x:c>
      <x:c r="J623" s="208" t="n">
        <x:f>'Beta HC3'!$E$13+'Beta HC3'!$E$12*I623</x:f>
        <x:v>0.006276291352989953</x:v>
      </x:c>
      <x:c r="K623" s="240" t="n">
        <x:f>H623-J623</x:f>
        <x:v>0.003524460343134757</x:v>
      </x:c>
      <x:c r="L623" s="240" t="n">
        <x:f>I623-'Beta HC3'!$E$9</x:f>
        <x:v>0.004992972710971425</x:v>
      </x:c>
      <x:c r="M623" s="240" t="n">
        <x:f>1/'Beta HC3'!$E$8+L623^2/'Beta HC3'!$E$11</x:f>
        <x:v>0.0009672936556138317</x:v>
      </x:c>
      <x:c r="N623" s="240" t="n">
        <x:f>K623^2/(1-M623)^2</x:f>
        <x:v>0.000012445886719773388</x:v>
      </x:c>
      <x:c r="O623" s="240" t="n">
        <x:f>N623*L623^2/'Beta HC3'!$E$11^2</x:f>
        <x:v>1.4509717317730128e-8</x:v>
      </x:c>
      <x:c r="P623" s="240" t="n">
        <x:f>N623*(1/'Beta HC3'!$E$8-'Beta HC3'!$E$9*L623/'Beta HC3'!$E$11)^2</x:f>
        <x:v>7.524723863731266e-12</x:v>
      </x:c>
      <x:c r="Q623" s="240" t="n">
        <x:f>N623*(1/'Beta HC3'!$E$8-'Beta HC3'!$E$9*L623/'Beta HC3'!$E$11)*L623/'Beta HC3'!$E$11</x:f>
        <x:v>3.304264156460841e-10</x:v>
      </x:c>
      <x:c r="R623" s="240" t="n">
        <x:f>K623*L623/'Beta HC3'!$E$11</x:f>
        <x:v>0.00012033977139265539</x:v>
      </x:c>
      <x:c r="S623" s="240" t="n">
        <x:f>(K623-K622)^2</x:f>
        <x:v>0.00006521107123058128</x:v>
      </x:c>
      <x:c r="T623" s="280" t="n">
        <x:f>E623/$E$9*100</x:f>
        <x:v>146.07780777314187</x:v>
      </x:c>
    </x:row>
    <x:row r="624" ht="24" customHeight="1">
      <x:c r="C624" s="274" t="d">
        <x:v>2024-03-20T00:00:00.000Z</x:v>
      </x:c>
      <x:c r="D624" s="191" t="n">
        <x:v>425.2300109863281</x:v>
      </x:c>
      <x:c r="E624" s="191" t="n">
        <x:v>417.111572265625</x:v>
      </x:c>
      <x:c r="F624" s="191" t="n">
        <x:v>520.47998046875</x:v>
      </x:c>
      <x:c r="G624" s="191" t="n">
        <x:v>505.552978515625</x:v>
      </x:c>
      <x:c r="H624" s="208" t="n">
        <x:f>E624/E623-1</x:f>
        <x:v>0.009064734636340388</x:v>
      </x:c>
      <x:c r="I624" s="208" t="n">
        <x:f>G624/G623-1</x:f>
        <x:v>0.009249465308504234</x:v>
      </x:c>
      <x:c r="J624" s="208" t="n">
        <x:f>'Beta HC3'!$E$13+'Beta HC3'!$E$12*I624</x:f>
        <x:v>0.010440786910020783</x:v>
      </x:c>
      <x:c r="K624" s="240" t="n">
        <x:f>H624-J624</x:f>
        <x:v>-0.0013760522736803952</x:v>
      </x:c>
      <x:c r="L624" s="240" t="n">
        <x:f>I624-'Beta HC3'!$E$9</x:f>
        <x:v>0.008685517690843796</x:v>
      </x:c>
      <x:c r="M624" s="240" t="n">
        <x:f>1/'Beta HC3'!$E$8+L624^2/'Beta HC3'!$E$11</x:f>
        <x:v>0.0013126928543141295</x:v>
      </x:c>
      <x:c r="N624" s="240" t="n">
        <x:f>K624^2/(1-M624)^2</x:f>
        <x:v>0.0000018985008855681853</x:v>
      </x:c>
      <x:c r="O624" s="240" t="n">
        <x:f>N624*L624^2/'Beta HC3'!$E$11^2</x:f>
        <x:v>6.697565125655823e-9</x:v>
      </x:c>
      <x:c r="P624" s="240" t="n">
        <x:f>N624*(1/'Beta HC3'!$E$8-'Beta HC3'!$E$9*L624/'Beta HC3'!$E$11)^2</x:f>
        <x:v>1.1061664583092796e-12</x:v>
      </x:c>
      <x:c r="Q624" s="240" t="n">
        <x:f>N624*(1/'Beta HC3'!$E$8-'Beta HC3'!$E$9*L624/'Beta HC3'!$E$11)*L624/'Beta HC3'!$E$11</x:f>
        <x:v>8.607335182472243e-11</x:v>
      </x:c>
      <x:c r="R624" s="240" t="n">
        <x:f>K624*L624/'Beta HC3'!$E$11</x:f>
        <x:v>-0.00008173122398989008</x:v>
      </x:c>
      <x:c r="S624" s="240" t="n">
        <x:f>(K624-K623)^2</x:f>
        <x:v>0.00002401502390756449</x:v>
      </x:c>
      <x:c r="T624" s="280" t="n">
        <x:f>E624/$E$9*100</x:f>
        <x:v>147.40196433686376</x:v>
      </x:c>
    </x:row>
    <x:row r="625" ht="24" customHeight="1">
      <x:c r="C625" s="274" t="d">
        <x:v>2024-03-21T00:00:00.000Z</x:v>
      </x:c>
      <x:c r="D625" s="191" t="n">
        <x:v>429.3699951171875</x:v>
      </x:c>
      <x:c r="E625" s="191" t="n">
        <x:v>421.17254638671875</x:v>
      </x:c>
      <x:c r="F625" s="191" t="n">
        <x:v>522.2000122070312</x:v>
      </x:c>
      <x:c r="G625" s="191" t="n">
        <x:v>507.2236633300781</x:v>
      </x:c>
      <x:c r="H625" s="208" t="n">
        <x:f>E625/E624-1</x:f>
        <x:v>0.009735942110250528</x:v>
      </x:c>
      <x:c r="I625" s="208" t="n">
        <x:f>G625/G624-1</x:f>
        <x:v>0.0033046681266886146</x:v>
      </x:c>
      <x:c r="J625" s="208" t="n">
        <x:f>'Beta HC3'!$E$13+'Beta HC3'!$E$12*I625</x:f>
        <x:v>0.0037361748914621737</x:v>
      </x:c>
      <x:c r="K625" s="240" t="n">
        <x:f>H625-J625</x:f>
        <x:v>0.005999767218788355</x:v>
      </x:c>
      <x:c r="L625" s="240" t="n">
        <x:f>I625-'Beta HC3'!$E$9</x:f>
        <x:v>0.0027407205090281754</x:v>
      </x:c>
      <x:c r="M625" s="240" t="n">
        <x:f>1/'Beta HC3'!$E$8+L625^2/'Beta HC3'!$E$11</x:f>
        <x:v>0.0008481800634429493</x:v>
      </x:c>
      <x:c r="N625" s="240" t="n">
        <x:f>K625^2/(1-M625)^2</x:f>
        <x:v>0.00003605834868388033</x:v>
      </x:c>
      <x:c r="O625" s="240" t="n">
        <x:f>N625*L625^2/'Beta HC3'!$E$11^2</x:f>
        <x:v>1.2666308345853328e-8</x:v>
      </x:c>
      <x:c r="P625" s="240" t="n">
        <x:f>N625*(1/'Beta HC3'!$E$8-'Beta HC3'!$E$9*L625/'Beta HC3'!$E$11)^2</x:f>
        <x:v>2.229048509738142e-11</x:v>
      </x:c>
      <x:c r="Q625" s="240" t="n">
        <x:f>N625*(1/'Beta HC3'!$E$8-'Beta HC3'!$E$9*L625/'Beta HC3'!$E$11)*L625/'Beta HC3'!$E$11</x:f>
        <x:v>5.313550201344497e-10</x:v>
      </x:c>
      <x:c r="R625" s="240" t="n">
        <x:f>K625*L625/'Beta HC3'!$E$11</x:f>
        <x:v>0.00011244923671453764</x:v>
      </x:c>
      <x:c r="S625" s="240" t="n">
        <x:f>(K625-K624)^2</x:f>
        <x:v>0.000054402713185481976</x:v>
      </x:c>
      <x:c r="T625" s="280" t="n">
        <x:f>E625/$E$9*100</x:f>
        <x:v>148.8370613285847</x:v>
      </x:c>
    </x:row>
    <x:row r="626" ht="24" customHeight="1">
      <x:c r="C626" s="274" t="d">
        <x:v>2024-03-22T00:00:00.000Z</x:v>
      </x:c>
      <x:c r="D626" s="191" t="n">
        <x:v>428.739990234375</x:v>
      </x:c>
      <x:c r="E626" s="191" t="n">
        <x:v>420.5545959472656</x:v>
      </x:c>
      <x:c r="F626" s="191" t="n">
        <x:v>521.2100219726562</x:v>
      </x:c>
      <x:c r="G626" s="191" t="n">
        <x:v>506.26202392578125</x:v>
      </x:c>
      <x:c r="H626" s="208" t="n">
        <x:f>E626/E625-1</x:f>
        <x:v>-0.0014672144344510807</x:v>
      </x:c>
      <x:c r="I626" s="208" t="n">
        <x:f>G626/G625-1</x:f>
        <x:v>-0.0018958882911405128</x:v>
      </x:c>
      <x:c r="J626" s="208" t="n">
        <x:f>'Beta HC3'!$E$13+'Beta HC3'!$E$12*I626</x:f>
        <x:v>-0.002129073660469117</x:v>
      </x:c>
      <x:c r="K626" s="240" t="n">
        <x:f>H626-J626</x:f>
        <x:v>0.0006618592260180362</x:v>
      </x:c>
      <x:c r="L626" s="240" t="n">
        <x:f>I626-'Beta HC3'!$E$9</x:f>
        <x:v>-0.002459835908800952</x:v>
      </x:c>
      <x:c r="M626" s="240" t="n">
        <x:f>1/'Beta HC3'!$E$8+L626^2/'Beta HC3'!$E$11</x:f>
        <x:v>0.0008381907623693279</x:v>
      </x:c>
      <x:c r="N626" s="240" t="n">
        <x:f>K626^2/(1-M626)^2</x:f>
        <x:v>4.387929111145778e-7</x:v>
      </x:c>
      <x:c r="O626" s="240" t="n">
        <x:f>N626*L626^2/'Beta HC3'!$E$11^2</x:f>
        <x:v>1.2416139966180369e-10</x:v>
      </x:c>
      <x:c r="P626" s="240" t="n">
        <x:f>N626*(1/'Beta HC3'!$E$8-'Beta HC3'!$E$9*L626/'Beta HC3'!$E$11)^2</x:f>
        <x:v>2.8526732204287376e-13</x:v>
      </x:c>
      <x:c r="Q626" s="240" t="n">
        <x:f>N626*(1/'Beta HC3'!$E$8-'Beta HC3'!$E$9*L626/'Beta HC3'!$E$11)*L626/'Beta HC3'!$E$11</x:f>
        <x:v>-5.951402354287408e-12</x:v>
      </x:c>
      <x:c r="R626" s="240" t="n">
        <x:f>K626*L626/'Beta HC3'!$E$11</x:f>
        <x:v>-0.000011133433657979196</x:v>
      </x:c>
      <x:c r="S626" s="240" t="n">
        <x:f>(K626-K625)^2</x:f>
        <x:v>0.00002849326173928125</x:v>
      </x:c>
      <x:c r="T626" s="280" t="n">
        <x:f>E626/$E$9*100</x:f>
        <x:v>148.6186854438221</x:v>
      </x:c>
    </x:row>
    <x:row r="627" ht="24" customHeight="1">
      <x:c r="C627" s="274" t="d">
        <x:v>2024-03-25T00:00:00.000Z</x:v>
      </x:c>
      <x:c r="D627" s="191" t="n">
        <x:v>422.8599853515625</x:v>
      </x:c>
      <x:c r="E627" s="191" t="n">
        <x:v>414.7868347167969</x:v>
      </x:c>
      <x:c r="F627" s="191" t="n">
        <x:v>519.77001953125</x:v>
      </x:c>
      <x:c r="G627" s="191" t="n">
        <x:v>504.86346435546875</x:v>
      </x:c>
      <x:c r="H627" s="208" t="n">
        <x:f>E627/E626-1</x:f>
        <x:v>-0.01371465509127856</x:v>
      </x:c>
      <x:c r="I627" s="208" t="n">
        <x:f>G627/G626-1</x:f>
        <x:v>-0.00276252119301279</x:v>
      </x:c>
      <x:c r="J627" s="208" t="n">
        <x:f>'Beta HC3'!$E$13+'Beta HC3'!$E$12*I627</x:f>
        <x:v>-0.0031064724163668935</x:v>
      </x:c>
      <x:c r="K627" s="240" t="n">
        <x:f>H627-J627</x:f>
        <x:v>-0.010608182674911667</x:v>
      </x:c>
      <x:c r="L627" s="240" t="n">
        <x:f>I627-'Beta HC3'!$E$9</x:f>
        <x:v>-0.0033264688106732295</x:v>
      </x:c>
      <x:c r="M627" s="240" t="n">
        <x:f>1/'Beta HC3'!$E$8+L627^2/'Beta HC3'!$E$11</x:f>
        <x:v>0.0008724828429282956</x:v>
      </x:c>
      <x:c r="N627" s="240" t="n">
        <x:f>K627^2/(1-M627)^2</x:f>
        <x:v>0.00011273016411927819</x:v>
      </x:c>
      <x:c r="O627" s="240" t="n">
        <x:f>N627*L627^2/'Beta HC3'!$E$11^2</x:f>
        <x:v>5.8334002203988945e-8</x:v>
      </x:c>
      <x:c r="P627" s="240" t="n">
        <x:f>N627*(1/'Beta HC3'!$E$8-'Beta HC3'!$E$9*L627/'Beta HC3'!$E$11)^2</x:f>
        <x:v>7.38967790302204e-11</x:v>
      </x:c>
      <x:c r="Q627" s="240" t="n">
        <x:f>N627*(1/'Beta HC3'!$E$8-'Beta HC3'!$E$9*L627/'Beta HC3'!$E$11)*L627/'Beta HC3'!$E$11</x:f>
        <x:v>-2.076221296205335e-9</x:v>
      </x:c>
      <x:c r="R627" s="240" t="n">
        <x:f>K627*L627/'Beta HC3'!$E$11</x:f>
        <x:v>0.00024131360462518816</x:v>
      </x:c>
      <x:c r="S627" s="240" t="n">
        <x:f>(K627-K626)^2</x:f>
        <x:v>0.00012701384444871122</x:v>
      </x:c>
      <x:c r="T627" s="280" t="n">
        <x:f>E627/$E$9*100</x:f>
        <x:v>146.58043143284087</x:v>
      </x:c>
    </x:row>
    <x:row r="628" ht="24" customHeight="1">
      <x:c r="C628" s="274" t="d">
        <x:v>2024-03-26T00:00:00.000Z</x:v>
      </x:c>
      <x:c r="D628" s="191" t="n">
        <x:v>421.6499938964844</x:v>
      </x:c>
      <x:c r="E628" s="191" t="n">
        <x:v>413.59991455078125</x:v>
      </x:c>
      <x:c r="F628" s="191" t="n">
        <x:v>518.8099975585938</x:v>
      </x:c>
      <x:c r="G628" s="191" t="n">
        <x:v>503.9308776855469</x:v>
      </x:c>
      <x:c r="H628" s="208" t="n">
        <x:f>E628/E627-1</x:f>
        <x:v>-0.002861518415419373</x:v>
      </x:c>
      <x:c r="I628" s="208" t="n">
        <x:f>G628/G627-1</x:f>
        <x:v>-0.0018472057016691856</x:v>
      </x:c>
      <x:c r="J628" s="208" t="n">
        <x:f>'Beta HC3'!$E$13+'Beta HC3'!$E$12*I628</x:f>
        <x:v>-0.0020741688648164705</x:v>
      </x:c>
      <x:c r="K628" s="240" t="n">
        <x:f>H628-J628</x:f>
        <x:v>-0.0007873495506029024</x:v>
      </x:c>
      <x:c r="L628" s="240" t="n">
        <x:f>I628-'Beta HC3'!$E$9</x:f>
        <x:v>-0.002411153319329625</x:v>
      </x:c>
      <x:c r="M628" s="240" t="n">
        <x:f>1/'Beta HC3'!$E$8+L628^2/'Beta HC3'!$E$11</x:f>
        <x:v>0.0008365691456953528</x:v>
      </x:c>
      <x:c r="N628" s="240" t="n">
        <x:f>K628^2/(1-M628)^2</x:f>
        <x:v>6.20957828578872e-7</x:v>
      </x:c>
      <x:c r="O628" s="240" t="n">
        <x:f>N628*L628^2/'Beta HC3'!$E$11^2</x:f>
        <x:v>1.6882100584497251e-10</x:v>
      </x:c>
      <x:c r="P628" s="240" t="n">
        <x:f>N628*(1/'Beta HC3'!$E$8-'Beta HC3'!$E$9*L628/'Beta HC3'!$E$11)^2</x:f>
        <x:v>4.0350809883757246e-13</x:v>
      </x:c>
      <x:c r="Q628" s="240" t="n">
        <x:f>N628*(1/'Beta HC3'!$E$8-'Beta HC3'!$E$9*L628/'Beta HC3'!$E$11)*L628/'Beta HC3'!$E$11</x:f>
        <x:v>-8.25352307274606e-12</x:v>
      </x:c>
      <x:c r="R628" s="240" t="n">
        <x:f>K628*L628/'Beta HC3'!$E$11</x:f>
        <x:v>0.000012982244147478302</x:v>
      </x:c>
      <x:c r="S628" s="240" t="n">
        <x:f>(K628-K627)^2</x:f>
        <x:v>0.00009644876325552028</x:v>
      </x:c>
      <x:c r="T628" s="280" t="n">
        <x:f>E628/$E$9*100</x:f>
        <x:v>146.16098882895568</x:v>
      </x:c>
    </x:row>
    <x:row r="629" ht="24" customHeight="1">
      <x:c r="C629" s="274" t="d">
        <x:v>2024-03-27T00:00:00.000Z</x:v>
      </x:c>
      <x:c r="D629" s="191" t="n">
        <x:v>421.42999267578125</x:v>
      </x:c>
      <x:c r="E629" s="191" t="n">
        <x:v>413.3841552734375</x:v>
      </x:c>
      <x:c r="F629" s="191" t="n">
        <x:v>523.1699829101562</x:v>
      </x:c>
      <x:c r="G629" s="191" t="n">
        <x:v>508.1658020019531</x:v>
      </x:c>
      <x:c r="H629" s="208" t="n">
        <x:f>E629/E628-1</x:f>
        <x:v>-0.0005216618034800113</x:v>
      </x:c>
      <x:c r="I629" s="208" t="n">
        <x:f>G629/G628-1</x:f>
        <x:v>0.00840378016893184</x:v>
      </x:c>
      <x:c r="J629" s="208" t="n">
        <x:f>'Beta HC3'!$E$13+'Beta HC3'!$E$12*I629</x:f>
        <x:v>0.009487013286248173</x:v>
      </x:c>
      <x:c r="K629" s="240" t="n">
        <x:f>H629-J629</x:f>
        <x:v>-0.010008675089728185</x:v>
      </x:c>
      <x:c r="L629" s="240" t="n">
        <x:f>I629-'Beta HC3'!$E$9</x:f>
        <x:v>0.007839832551271401</x:v>
      </x:c>
      <x:c r="M629" s="240" t="n">
        <x:f>1/'Beta HC3'!$E$8+L629^2/'Beta HC3'!$E$11</x:f>
        <x:v>0.0012171239221607515</x:v>
      </x:c>
      <x:c r="N629" s="240" t="n">
        <x:f>K629^2/(1-M629)^2</x:f>
        <x:v>0.00010041787027790753</x:v>
      </x:c>
      <x:c r="O629" s="240" t="n">
        <x:f>N629*L629^2/'Beta HC3'!$E$11^2</x:f>
        <x:v>2.8862856011584587e-7</x:v>
      </x:c>
      <x:c r="P629" s="240" t="n">
        <x:f>N629*(1/'Beta HC3'!$E$8-'Beta HC3'!$E$9*L629/'Beta HC3'!$E$11)^2</x:f>
        <x:v>5.900977807330486e-11</x:v>
      </x:c>
      <x:c r="Q629" s="240" t="n">
        <x:f>N629*(1/'Beta HC3'!$E$8-'Beta HC3'!$E$9*L629/'Beta HC3'!$E$11)*L629/'Beta HC3'!$E$11</x:f>
        <x:v>4.12697313754931e-9</x:v>
      </x:c>
      <x:c r="R629" s="240" t="n">
        <x:f>K629*L629/'Beta HC3'!$E$11</x:f>
        <x:v>-0.0005365877320972054</x:v>
      </x:c>
      <x:c r="S629" s="240" t="n">
        <x:f>(K629-K628)^2</x:f>
        <x:v>0.00008503284469852416</x:v>
      </x:c>
      <x:c r="T629" s="280" t="n">
        <x:f>E629/$E$9*100</x:f>
        <x:v>146.08474222392474</x:v>
      </x:c>
    </x:row>
    <x:row r="630" ht="24" customHeight="1">
      <x:c r="C630" s="274" t="d">
        <x:v>2024-03-28T00:00:00.000Z</x:v>
      </x:c>
      <x:c r="D630" s="191" t="n">
        <x:v>420.7200012207031</x:v>
      </x:c>
      <x:c r="E630" s="191" t="n">
        <x:v>412.68768310546875</x:v>
      </x:c>
      <x:c r="F630" s="191" t="n">
        <x:v>523.0700073242188</x:v>
      </x:c>
      <x:c r="G630" s="191" t="n">
        <x:v>508.0686340332031</x:v>
      </x:c>
      <x:c r="H630" s="208" t="n">
        <x:f>E630/E629-1</x:f>
        <x:v>-0.0016848061520597923</x:v>
      </x:c>
      <x:c r="I630" s="208" t="n">
        <x:f>G630/G629-1</x:f>
        <x:v>-0.0001912131205350498</x:v>
      </x:c>
      <x:c r="J630" s="208" t="n">
        <x:f>'Beta HC3'!$E$13+'Beta HC3'!$E$12*I630</x:f>
        <x:v>-0.00020652100021347926</x:v>
      </x:c>
      <x:c r="K630" s="240" t="n">
        <x:f>H630-J630</x:f>
        <x:v>-0.001478285151846313</x:v>
      </x:c>
      <x:c r="L630" s="240" t="n">
        <x:f>I630-'Beta HC3'!$E$9</x:f>
        <x:v>-0.0007551607381954892</x:v>
      </x:c>
      <x:c r="M630" s="240" t="n">
        <x:f>1/'Beta HC3'!$E$8+L630^2/'Beta HC3'!$E$11</x:f>
        <x:v>0.0008007124936102807</x:v>
      </x:c>
      <x:c r="N630" s="240" t="n">
        <x:f>K630^2/(1-M630)^2</x:f>
        <x:v>0.0000021888308352134958</x:v>
      </x:c>
      <x:c r="O630" s="240" t="n">
        <x:f>N630*L630^2/'Beta HC3'!$E$11^2</x:f>
        <x:v>5.83721548238019e-11</x:v>
      </x:c>
      <x:c r="P630" s="240" t="n">
        <x:f>N630*(1/'Beta HC3'!$E$8-'Beta HC3'!$E$9*L630/'Beta HC3'!$E$11)^2</x:f>
        <x:v>1.3998889724398688e-12</x:v>
      </x:c>
      <x:c r="Q630" s="240" t="n">
        <x:f>N630*(1/'Beta HC3'!$E$8-'Beta HC3'!$E$9*L630/'Beta HC3'!$E$11)*L630/'Beta HC3'!$E$11</x:f>
        <x:v>-9.039609274487087e-12</x:v>
      </x:c>
      <x:c r="R630" s="240" t="n">
        <x:f>K630*L630/'Beta HC3'!$E$11</x:f>
        <x:v>0.000007634049621351799</x:v>
      </x:c>
      <x:c r="S630" s="240" t="n">
        <x:f>(K630-K629)^2</x:f>
        <x:v>0.00007276755249231629</x:v>
      </x:c>
      <x:c r="T630" s="280" t="n">
        <x:f>E630/$E$9*100</x:f>
        <x:v>145.8386177515038</x:v>
      </x:c>
    </x:row>
    <x:row r="631" ht="24" customHeight="1">
      <x:c r="C631" s="274" t="d">
        <x:v>2024-04-01T00:00:00.000Z</x:v>
      </x:c>
      <x:c r="D631" s="191" t="n">
        <x:v>424.57000732421875</x:v>
      </x:c>
      <x:c r="E631" s="191" t="n">
        <x:v>416.4642028808594</x:v>
      </x:c>
      <x:c r="F631" s="191" t="n">
        <x:v>522.1599731445312</x:v>
      </x:c>
      <x:c r="G631" s="191" t="n">
        <x:v>507.184814453125</x:v>
      </x:c>
      <x:c r="H631" s="208" t="n">
        <x:f>E631/E630-1</x:f>
        <x:v>0.009151035831678644</x:v>
      </x:c>
      <x:c r="I631" s="208" t="n">
        <x:f>G631/G630-1</x:f>
        <x:v>-0.001739567296375144</x:v>
      </x:c>
      <x:c r="J631" s="208" t="n">
        <x:f>'Beta HC3'!$E$13+'Beta HC3'!$E$12*I631</x:f>
        <x:v>-0.0019527730082849097</x:v>
      </x:c>
      <x:c r="K631" s="240" t="n">
        <x:f>H631-J631</x:f>
        <x:v>0.011103808839963553</x:v>
      </x:c>
      <x:c r="L631" s="240" t="n">
        <x:f>I631-'Beta HC3'!$E$9</x:f>
        <x:v>-0.0023035149140355833</x:v>
      </x:c>
      <x:c r="M631" s="240" t="n">
        <x:f>1/'Beta HC3'!$E$8+L631^2/'Beta HC3'!$E$11</x:f>
        <x:v>0.0008330987759095848</x:v>
      </x:c>
      <x:c r="N631" s="240" t="n">
        <x:f>K631^2/(1-M631)^2</x:f>
        <x:v>0.000123500260870968</x:v>
      </x:c>
      <x:c r="O631" s="240" t="n">
        <x:f>N631*L631^2/'Beta HC3'!$E$11^2</x:f>
        <x:v>3.064535485778626e-8</x:v>
      </x:c>
      <x:c r="P631" s="240" t="n">
        <x:f>N631*(1/'Beta HC3'!$E$8-'Beta HC3'!$E$9*L631/'Beta HC3'!$E$11)^2</x:f>
        <x:v>8.01697677960678e-11</x:v>
      </x:c>
      <x:c r="Q631" s="240" t="n">
        <x:f>N631*(1/'Beta HC3'!$E$8-'Beta HC3'!$E$9*L631/'Beta HC3'!$E$11)*L631/'Beta HC3'!$E$11</x:f>
        <x:v>-1.5674281428431807e-9</x:v>
      </x:c>
      <x:c r="R631" s="240" t="n">
        <x:f>K631*L631/'Beta HC3'!$E$11</x:f>
        <x:v>-0.00017491230634825427</x:v>
      </x:c>
      <x:c r="S631" s="240" t="n">
        <x:f>(K631-K630)^2</x:f>
        <x:v>0.00015830908921873793</x:v>
      </x:c>
      <x:c r="T631" s="280" t="n">
        <x:f>E631/$E$9*100</x:f>
        <x:v>147.17319216819033</x:v>
      </x:c>
    </x:row>
    <x:row r="632" ht="24" customHeight="1">
      <x:c r="C632" s="274" t="d">
        <x:v>2024-04-02T00:00:00.000Z</x:v>
      </x:c>
      <x:c r="D632" s="191" t="n">
        <x:v>421.44000244140625</x:v>
      </x:c>
      <x:c r="E632" s="191" t="n">
        <x:v>413.3939514160156</x:v>
      </x:c>
      <x:c r="F632" s="191" t="n">
        <x:v>518.8400268554688</x:v>
      </x:c>
      <x:c r="G632" s="191" t="n">
        <x:v>503.9600830078125</x:v>
      </x:c>
      <x:c r="H632" s="208" t="n">
        <x:f>E632/E631-1</x:f>
        <x:v>-0.007372185757156369</x:v>
      </x:c>
      <x:c r="I632" s="208" t="n">
        <x:f>G632/G631-1</x:f>
        <x:v>-0.006358099362240521</x:v>
      </x:c>
      <x:c r="J632" s="208" t="n">
        <x:f>'Beta HC3'!$E$13+'Beta HC3'!$E$12*I632</x:f>
        <x:v>-0.00716160766653343</x:v>
      </x:c>
      <x:c r="K632" s="240" t="n">
        <x:f>H632-J632</x:f>
        <x:v>-0.0002105780906229383</x:v>
      </x:c>
      <x:c r="L632" s="240" t="n">
        <x:f>I632-'Beta HC3'!$E$9</x:f>
        <x:v>-0.006922046979900961</x:v>
      </x:c>
      <x:c r="M632" s="240" t="n">
        <x:f>1/'Beta HC3'!$E$8+L632^2/'Beta HC3'!$E$11</x:f>
        <x:v>0.001124475027146206</x:v>
      </x:c>
      <x:c r="N632" s="240" t="n">
        <x:f>K632^2/(1-M632)^2</x:f>
        <x:v>4.44430262008681e-8</x:v>
      </x:c>
      <x:c r="O632" s="240" t="n">
        <x:f>N632*L632^2/'Beta HC3'!$E$11^2</x:f>
        <x:v>9.958351029511631e-11</x:v>
      </x:c>
      <x:c r="P632" s="240" t="n">
        <x:f>N632*(1/'Beta HC3'!$E$8-'Beta HC3'!$E$9*L632/'Beta HC3'!$E$11)^2</x:f>
        <x:v>3.0139708779043475e-14</x:v>
      </x:c>
      <x:c r="Q632" s="240" t="n">
        <x:f>N632*(1/'Beta HC3'!$E$8-'Beta HC3'!$E$9*L632/'Beta HC3'!$E$11)*L632/'Beta HC3'!$E$11</x:f>
        <x:v>-1.7324601004033783e-12</x:v>
      </x:c>
      <x:c r="R632" s="240" t="n">
        <x:f>K632*L632/'Beta HC3'!$E$11</x:f>
        <x:v>0.000009967932477300005</x:v>
      </x:c>
      <x:c r="S632" s="240" t="n">
        <x:f>(K632-K631)^2</x:f>
        <x:v>0.00012801535161502644</x:v>
      </x:c>
      <x:c r="T632" s="280" t="n">
        <x:f>E632/$E$9*100</x:f>
        <x:v>146.08820405705274</x:v>
      </x:c>
    </x:row>
    <x:row r="633" ht="24" customHeight="1">
      <x:c r="C633" s="274" t="d">
        <x:v>2024-04-03T00:00:00.000Z</x:v>
      </x:c>
      <x:c r="D633" s="191" t="n">
        <x:v>420.45001220703125</x:v>
      </x:c>
      <x:c r="E633" s="191" t="n">
        <x:v>412.4228210449219</x:v>
      </x:c>
      <x:c r="F633" s="191" t="n">
        <x:v>519.4099731445312</x:v>
      </x:c>
      <x:c r="G633" s="191" t="n">
        <x:v>504.51373291015625</x:v>
      </x:c>
      <x:c r="H633" s="208" t="n">
        <x:f>E633/E632-1</x:f>
        <x:v>-0.0023491644417323876</x:v>
      </x:c>
      <x:c r="I633" s="208" t="n">
        <x:f>G633/G632-1</x:f>
        <x:v>0.0010985987204370495</x:v>
      </x:c>
      <x:c r="J633" s="208" t="n">
        <x:f>'Beta HC3'!$E$13+'Beta HC3'!$E$12*I633</x:f>
        <x:v>0.001248143928829504</x:v>
      </x:c>
      <x:c r="K633" s="240" t="n">
        <x:f>H633-J633</x:f>
        <x:v>-0.0035973083705618915</x:v>
      </x:c>
      <x:c r="L633" s="240" t="n">
        <x:f>I633-'Beta HC3'!$E$9</x:f>
        <x:v>0.0005346511027766102</x:v>
      </x:c>
      <x:c r="M633" s="240" t="n">
        <x:f>1/'Beta HC3'!$E$8+L633^2/'Beta HC3'!$E$11</x:f>
        <x:v>0.0007987675308418625</x:v>
      </x:c>
      <x:c r="N633" s="240" t="n">
        <x:f>K633^2/(1-M633)^2</x:f>
        <x:v>0.00001296132541500215</x:v>
      </x:c>
      <x:c r="O633" s="240" t="n">
        <x:f>N633*L633^2/'Beta HC3'!$E$11^2</x:f>
        <x:v>1.7326269731689734e-10</x:v>
      </x:c>
      <x:c r="P633" s="240" t="n">
        <x:f>N633*(1/'Beta HC3'!$E$8-'Beta HC3'!$E$9*L633/'Beta HC3'!$E$11)^2</x:f>
        <x:v>8.186747968054404e-12</x:v>
      </x:c>
      <x:c r="Q633" s="240" t="n">
        <x:f>N633*(1/'Beta HC3'!$E$8-'Beta HC3'!$E$9*L633/'Beta HC3'!$E$11)*L633/'Beta HC3'!$E$11</x:f>
        <x:v>3.766242205698851e-11</x:v>
      </x:c>
      <x:c r="R633" s="240" t="n">
        <x:f>K633*L633/'Beta HC3'!$E$11</x:f>
        <x:v>-0.000013152414783216643</x:v>
      </x:c>
      <x:c r="S633" s="240" t="n">
        <x:f>(K633-K632)^2</x:f>
        <x:v>0.00001146994198905538</x:v>
      </x:c>
      <x:c r="T633" s="280" t="n">
        <x:f>E633/$E$9*100</x:f>
        <x:v>145.74501884272536</x:v>
      </x:c>
    </x:row>
    <x:row r="634" ht="24" customHeight="1">
      <x:c r="C634" s="274" t="d">
        <x:v>2024-04-04T00:00:00.000Z</x:v>
      </x:c>
      <x:c r="D634" s="191" t="n">
        <x:v>417.8800048828125</x:v>
      </x:c>
      <x:c r="E634" s="191" t="n">
        <x:v>409.9019775390625</x:v>
      </x:c>
      <x:c r="F634" s="191" t="n">
        <x:v>513.0700073242188</x:v>
      </x:c>
      <x:c r="G634" s="191" t="n">
        <x:v>498.3554992675781</x:v>
      </x:c>
      <x:c r="H634" s="208" t="n">
        <x:f>E634/E633-1</x:f>
        <x:v>-0.00611227938229153</x:v>
      </x:c>
      <x:c r="I634" s="208" t="n">
        <x:f>G634/G633-1</x:f>
        <x:v>-0.012206275549836776</x:v>
      </x:c>
      <x:c r="J634" s="208" t="n">
        <x:f>'Beta HC3'!$E$13+'Beta HC3'!$E$12*I634</x:f>
        <x:v>-0.01375724939405002</x:v>
      </x:c>
      <x:c r="K634" s="240" t="n">
        <x:f>H634-J634</x:f>
        <x:v>0.007644970011758489</x:v>
      </x:c>
      <x:c r="L634" s="240" t="n">
        <x:f>I634-'Beta HC3'!$E$9</x:f>
        <x:v>-0.012770223167497215</x:v>
      </x:c>
      <x:c r="M634" s="240" t="n">
        <x:f>1/'Beta HC3'!$E$8+L634^2/'Beta HC3'!$E$11</x:f>
        <x:v>0.0019120167919286159</x:v>
      </x:c>
      <x:c r="N634" s="240" t="n">
        <x:f>K634^2/(1-M634)^2</x:f>
        <x:v>0.000058669706925126933</x:v>
      </x:c>
      <x:c r="O634" s="240" t="n">
        <x:f>N634*L634^2/'Beta HC3'!$E$11^2</x:f>
        <x:v>4.4743053096214625e-7</x:v>
      </x:c>
      <x:c r="P634" s="240" t="n">
        <x:f>N634*(1/'Beta HC3'!$E$8-'Beta HC3'!$E$9*L634/'Beta HC3'!$E$11)^2</x:f>
        <x:v>4.199694641239717e-11</x:v>
      </x:c>
      <x:c r="Q634" s="240" t="n">
        <x:f>N634*(1/'Beta HC3'!$E$8-'Beta HC3'!$E$9*L634/'Beta HC3'!$E$11)*L634/'Beta HC3'!$E$11</x:f>
        <x:v>-4.334825951764115e-9</x:v>
      </x:c>
      <x:c r="R634" s="240" t="n">
        <x:f>K634*L634/'Beta HC3'!$E$11</x:f>
        <x:v>-0.0006676235296224314</x:v>
      </x:c>
      <x:c r="S634" s="240" t="n">
        <x:f>(K634-K633)^2</x:f>
        <x:v>0.00012638882322558819</x:v>
      </x:c>
      <x:c r="T634" s="280" t="n">
        <x:f>E634/$E$9*100</x:f>
        <x:v>144.85418456898128</x:v>
      </x:c>
    </x:row>
    <x:row r="635" ht="24" customHeight="1">
      <x:c r="C635" s="274" t="d">
        <x:v>2024-04-05T00:00:00.000Z</x:v>
      </x:c>
      <x:c r="D635" s="191" t="n">
        <x:v>425.5199890136719</x:v>
      </x:c>
      <x:c r="E635" s="191" t="n">
        <x:v>417.39605712890625</x:v>
      </x:c>
      <x:c r="F635" s="191" t="n">
        <x:v>518.4299926757812</x:v>
      </x:c>
      <x:c r="G635" s="191" t="n">
        <x:v>503.56170654296875</x:v>
      </x:c>
      <x:c r="H635" s="208" t="n">
        <x:f>E635/E634-1</x:f>
        <x:v>0.01828261389426844</x:v>
      </x:c>
      <x:c r="I635" s="208" t="n">
        <x:f>G635/G634-1</x:f>
        <x:v>0.010446774005789194</x:v>
      </x:c>
      <x:c r="J635" s="208" t="n">
        <x:f>'Beta HC3'!$E$13+'Beta HC3'!$E$12*I635</x:f>
        <x:v>0.011791125708171302</x:v>
      </x:c>
      <x:c r="K635" s="240" t="n">
        <x:f>H635-J635</x:f>
        <x:v>0.006491488186097138</x:v>
      </x:c>
      <x:c r="L635" s="240" t="n">
        <x:f>I635-'Beta HC3'!$E$9</x:f>
        <x:v>0.009882826388128756</x:v>
      </x:c>
      <x:c r="M635" s="240" t="n">
        <x:f>1/'Beta HC3'!$E$8+L635^2/'Beta HC3'!$E$11</x:f>
        <x:v>0.0014647254372074084</x:v>
      </x:c>
      <x:c r="N635" s="240" t="n">
        <x:f>K635^2/(1-M635)^2</x:f>
        <x:v>0.00004226313597868416</x:v>
      </x:c>
      <x:c r="O635" s="240" t="n">
        <x:f>N635*L635^2/'Beta HC3'!$E$11^2</x:f>
        <x:v>1.9303620647284504e-7</x:v>
      </x:c>
      <x:c r="P635" s="240" t="n">
        <x:f>N635*(1/'Beta HC3'!$E$8-'Beta HC3'!$E$9*L635/'Beta HC3'!$E$11)^2</x:f>
        <x:v>2.4327707305725834e-11</x:v>
      </x:c>
      <x:c r="Q635" s="240" t="n">
        <x:f>N635*(1/'Beta HC3'!$E$8-'Beta HC3'!$E$9*L635/'Beta HC3'!$E$11)*L635/'Beta HC3'!$E$11</x:f>
        <x:v>2.167055220911325e-9</x:v>
      </x:c>
      <x:c r="R635" s="240" t="n">
        <x:f>K635*L635/'Beta HC3'!$E$11</x:f>
        <x:v>0.00043871531832482733</x:v>
      </x:c>
      <x:c r="S635" s="240" t="n">
        <x:f>(K635-K634)^2</x:f>
        <x:v>0.0000013305203221310443</x:v>
      </x:c>
      <x:c r="T635" s="280" t="n">
        <x:f>E635/$E$9*100</x:f>
        <x:v>147.50249769642505</x:v>
      </x:c>
    </x:row>
    <x:row r="636" ht="24" customHeight="1">
      <x:c r="C636" s="274" t="d">
        <x:v>2024-04-08T00:00:00.000Z</x:v>
      </x:c>
      <x:c r="D636" s="191" t="n">
        <x:v>424.5899963378906</x:v>
      </x:c>
      <x:c r="E636" s="191" t="n">
        <x:v>416.48382568359375</x:v>
      </x:c>
      <x:c r="F636" s="191" t="n">
        <x:v>518.719970703125</x:v>
      </x:c>
      <x:c r="G636" s="191" t="n">
        <x:v>503.8433837890625</x:v>
      </x:c>
      <x:c r="H636" s="208" t="n">
        <x:f>E636/E635-1</x:f>
        <x:v>-0.002185529618049964</x:v>
      </x:c>
      <x:c r="I636" s="208" t="n">
        <x:f>G636/G635-1</x:f>
        <x:v>0.0005593698695389726</x:v>
      </x:c>
      <x:c r="J636" s="208" t="n">
        <x:f>'Beta HC3'!$E$13+'Beta HC3'!$E$12*I636</x:f>
        <x:v>0.0006399953034157384</x:v>
      </x:c>
      <x:c r="K636" s="240" t="n">
        <x:f>H636-J636</x:f>
        <x:v>-0.002825524921465702</x:v>
      </x:c>
      <x:c r="L636" s="240" t="n">
        <x:f>I636-'Beta HC3'!$E$9</x:f>
        <x:v>-0.000004577748121466761</x:v>
      </x:c>
      <x:c r="M636" s="240" t="n">
        <x:f>1/'Beta HC3'!$E$8+L636^2/'Beta HC3'!$E$11</x:f>
        <x:v>0.0007968128923089195</x:v>
      </x:c>
      <x:c r="N636" s="240" t="n">
        <x:f>K636^2/(1-M636)^2</x:f>
        <x:v>0.000007996329161201716</x:v>
      </x:c>
      <x:c r="O636" s="240" t="n">
        <x:f>N636*L636^2/'Beta HC3'!$E$11^2</x:f>
        <x:v>7.836266045729964e-15</x:v>
      </x:c>
      <x:c r="P636" s="240" t="n">
        <x:f>N636*(1/'Beta HC3'!$E$8-'Beta HC3'!$E$9*L636/'Beta HC3'!$E$11)^2</x:f>
        <x:v>5.0771787741675074e-12</x:v>
      </x:c>
      <x:c r="Q636" s="240" t="n">
        <x:f>N636*(1/'Beta HC3'!$E$8-'Beta HC3'!$E$9*L636/'Beta HC3'!$E$11)*L636/'Beta HC3'!$E$11</x:f>
        <x:v>-1.9946459243712835e-13</x:v>
      </x:c>
      <x:c r="R636" s="240" t="n">
        <x:f>K636*L636/'Beta HC3'!$E$11</x:f>
        <x:v>8.845215059812958e-8</x:v>
      </x:c>
      <x:c r="S636" s="240" t="n">
        <x:f>(K636-K635)^2</x:f>
        <x:v>0.00008680673324649776</x:v>
      </x:c>
      <x:c r="T636" s="280" t="n">
        <x:f>E636/$E$9*100</x:f>
        <x:v>147.18012661897316</x:v>
      </x:c>
    </x:row>
    <x:row r="637" ht="24" customHeight="1">
      <x:c r="C637" s="274" t="d">
        <x:v>2024-04-09T00:00:00.000Z</x:v>
      </x:c>
      <x:c r="D637" s="191" t="n">
        <x:v>426.2799987792969</x:v>
      </x:c>
      <x:c r="E637" s="191" t="n">
        <x:v>418.14154052734375</x:v>
      </x:c>
      <x:c r="F637" s="191" t="n">
        <x:v>519.3200073242188</x:v>
      </x:c>
      <x:c r="G637" s="191" t="n">
        <x:v>504.42626953125</x:v>
      </x:c>
      <x:c r="H637" s="208" t="n">
        <x:f>E637/E636-1</x:f>
        <x:v>0.0039802622371447605</x:v>
      </x:c>
      <x:c r="I637" s="208" t="n">
        <x:f>G637/G636-1</x:f>
        <x:v>0.0011568788257256823</x:v>
      </x:c>
      <x:c r="J637" s="208" t="n">
        <x:f>'Beta HC3'!$E$13+'Beta HC3'!$E$12*I637</x:f>
        <x:v>0.0013138729154392186</x:v>
      </x:c>
      <x:c r="K637" s="240" t="n">
        <x:f>H637-J637</x:f>
        <x:v>0.002666389321705542</x:v>
      </x:c>
      <x:c r="L637" s="240" t="n">
        <x:f>I637-'Beta HC3'!$E$9</x:f>
        <x:v>0.000592931208065243</x:v>
      </x:c>
      <x:c r="M637" s="240" t="n">
        <x:f>1/'Beta HC3'!$E$8+L637^2/'Beta HC3'!$E$11</x:f>
        <x:v>0.0007992169234693072</x:v>
      </x:c>
      <x:c r="N637" s="240" t="n">
        <x:f>K637^2/(1-M637)^2</x:f>
        <x:v>0.000007121009929672666</x:v>
      </x:c>
      <x:c r="O637" s="240" t="n">
        <x:f>N637*L637^2/'Beta HC3'!$E$11^2</x:f>
        <x:v>1.1707520663608055e-10</x:v>
      </x:c>
      <x:c r="P637" s="240" t="n">
        <x:f>N637*(1/'Beta HC3'!$E$8-'Beta HC3'!$E$9*L637/'Beta HC3'!$E$11)^2</x:f>
        <x:v>4.49529215648821e-12</x:v>
      </x:c>
      <x:c r="Q637" s="240" t="n">
        <x:f>N637*(1/'Beta HC3'!$E$8-'Beta HC3'!$E$9*L637/'Beta HC3'!$E$11)*L637/'Beta HC3'!$E$11</x:f>
        <x:v>2.2940951551982528e-11</x:v>
      </x:c>
      <x:c r="R637" s="240" t="n">
        <x:f>K637*L637/'Beta HC3'!$E$11</x:f>
        <x:v>0.000010811482065132143</x:v>
      </x:c>
      <x:c r="S637" s="240" t="n">
        <x:f>(K637-K636)^2</x:f>
        <x:v>0.000030161122054347177</x:v>
      </x:c>
      <x:c r="T637" s="280" t="n">
        <x:f>E637/$E$9*100</x:f>
        <x:v>147.76594211901286</x:v>
      </x:c>
    </x:row>
    <x:row r="638" ht="24" customHeight="1">
      <x:c r="C638" s="274" t="d">
        <x:v>2024-04-10T00:00:00.000Z</x:v>
      </x:c>
      <x:c r="D638" s="191" t="n">
        <x:v>423.260009765625</x:v>
      </x:c>
      <x:c r="E638" s="191" t="n">
        <x:v>415.17926025390625</x:v>
      </x:c>
      <x:c r="F638" s="191" t="n">
        <x:v>514.1199951171875</x:v>
      </x:c>
      <x:c r="G638" s="191" t="n">
        <x:v>499.3753662109375</x:v>
      </x:c>
      <x:c r="H638" s="208" t="n">
        <x:f>E638/E637-1</x:f>
        <x:v>-0.007084396038962271</x:v>
      </x:c>
      <x:c r="I638" s="208" t="n">
        <x:f>G638/G637-1</x:f>
        <x:v>-0.010013164708900235</x:v>
      </x:c>
      <x:c r="J638" s="208" t="n">
        <x:f>'Beta HC3'!$E$13+'Beta HC3'!$E$12*I638</x:f>
        <x:v>-0.01128383325343687</x:v>
      </x:c>
      <x:c r="K638" s="240" t="n">
        <x:f>H638-J638</x:f>
        <x:v>0.0041994372144746</x:v>
      </x:c>
      <x:c r="L638" s="240" t="n">
        <x:f>I638-'Beta HC3'!$E$9</x:f>
        <x:v>-0.010577112326560674</x:v>
      </x:c>
      <x:c r="M638" s="240" t="n">
        <x:f>1/'Beta HC3'!$E$8+L638^2/'Beta HC3'!$E$11</x:f>
        <x:v>0.0015618658756593336</x:v>
      </x:c>
      <x:c r="N638" s="240" t="n">
        <x:f>K638^2/(1-M638)^2</x:f>
        <x:v>0.00001769049010934105</x:v>
      </x:c>
      <x:c r="O638" s="240" t="n">
        <x:f>N638*L638^2/'Beta HC3'!$E$11^2</x:f>
        <x:v>9.255264205546683e-8</x:v>
      </x:c>
      <x:c r="P638" s="240" t="n">
        <x:f>N638*(1/'Beta HC3'!$E$8-'Beta HC3'!$E$9*L638/'Beta HC3'!$E$11)^2</x:f>
        <x:v>1.2411291680527517e-11</x:v>
      </x:c>
      <x:c r="Q638" s="240" t="n">
        <x:f>N638*(1/'Beta HC3'!$E$8-'Beta HC3'!$E$9*L638/'Beta HC3'!$E$11)*L638/'Beta HC3'!$E$11</x:f>
        <x:v>-1.0717732205806677e-9</x:v>
      </x:c>
      <x:c r="R638" s="240" t="n">
        <x:f>K638*L638/'Beta HC3'!$E$11</x:f>
        <x:v>-0.0003037494991008871</x:v>
      </x:c>
      <x:c r="S638" s="240" t="n">
        <x:f>(K638-K637)^2</x:f>
        <x:v>0.000002350235841523649</x:v>
      </x:c>
      <x:c r="T638" s="280" t="n">
        <x:f>E638/$E$9*100</x:f>
        <x:v>146.71910966397138</x:v>
      </x:c>
    </x:row>
    <x:row r="639" ht="24" customHeight="1">
      <x:c r="C639" s="274" t="d">
        <x:v>2024-04-11T00:00:00.000Z</x:v>
      </x:c>
      <x:c r="D639" s="191" t="n">
        <x:v>427.92999267578125</x:v>
      </x:c>
      <x:c r="E639" s="191" t="n">
        <x:v>419.760009765625</x:v>
      </x:c>
      <x:c r="F639" s="191" t="n">
        <x:v>518</x:v>
      </x:c>
      <x:c r="G639" s="191" t="n">
        <x:v>503.14410400390625</x:v>
      </x:c>
      <x:c r="H639" s="208" t="n">
        <x:f>E639/E638-1</x:f>
        <x:v>0.011033184819774888</x:v>
      </x:c>
      <x:c r="I639" s="208" t="n">
        <x:f>G639/G638-1</x:f>
        <x:v>0.007546903688030238</x:v>
      </x:c>
      <x:c r="J639" s="208" t="n">
        <x:f>'Beta HC3'!$E$13+'Beta HC3'!$E$12*I639</x:f>
        <x:v>0.008520617936404044</x:v>
      </x:c>
      <x:c r="K639" s="240" t="n">
        <x:f>H639-J639</x:f>
        <x:v>0.0025125668833708443</x:v>
      </x:c>
      <x:c r="L639" s="240" t="n">
        <x:f>I639-'Beta HC3'!$E$9</x:f>
        <x:v>0.006982956070369798</x:v>
      </x:c>
      <x:c r="M639" s="240" t="n">
        <x:f>1/'Beta HC3'!$E$8+L639^2/'Beta HC3'!$E$11</x:f>
        <x:v>0.001130266787240809</x:v>
      </x:c>
      <x:c r="N639" s="240" t="n">
        <x:f>K639^2/(1-M639)^2</x:f>
        <x:v>0.000006327287305673163</x:v>
      </x:c>
      <x:c r="O639" s="240" t="n">
        <x:f>N639*L639^2/'Beta HC3'!$E$11^2</x:f>
        <x:v>1.4428158271955538e-8</x:v>
      </x:c>
      <x:c r="P639" s="240" t="n">
        <x:f>N639*(1/'Beta HC3'!$E$8-'Beta HC3'!$E$9*L639/'Beta HC3'!$E$11)^2</x:f>
        <x:v>3.750306787391458e-12</x:v>
      </x:c>
      <x:c r="Q639" s="240" t="n">
        <x:f>N639*(1/'Beta HC3'!$E$8-'Beta HC3'!$E$9*L639/'Beta HC3'!$E$11)*L639/'Beta HC3'!$E$11</x:f>
        <x:v>2.326156054457075e-10</x:v>
      </x:c>
      <x:c r="R639" s="240" t="n">
        <x:f>K639*L639/'Beta HC3'!$E$11</x:f>
        <x:v>0.00011998150427369827</x:v>
      </x:c>
      <x:c r="S639" s="240" t="n">
        <x:f>(K639-K638)^2</x:f>
        <x:v>0.0000028455315139580938</x:v>
      </x:c>
      <x:c r="T639" s="280" t="n">
        <x:f>E639/$E$9*100</x:f>
        <x:v>148.3378887174868</x:v>
      </x:c>
    </x:row>
    <x:row r="640" ht="24" customHeight="1">
      <x:c r="C640" s="274" t="d">
        <x:v>2024-04-12T00:00:00.000Z</x:v>
      </x:c>
      <x:c r="D640" s="191" t="n">
        <x:v>421.8999938964844</x:v>
      </x:c>
      <x:c r="E640" s="191" t="n">
        <x:v>413.8451232910156</x:v>
      </x:c>
      <x:c r="F640" s="191" t="n">
        <x:v>510.8500061035156</x:v>
      </x:c>
      <x:c r="G640" s="191" t="n">
        <x:v>496.19921875</x:v>
      </x:c>
      <x:c r="H640" s="208" t="n">
        <x:f>E640/E639-1</x:f>
        <x:v>-0.014091114772729285</x:v>
      </x:c>
      <x:c r="I640" s="208" t="n">
        <x:f>G640/G639-1</x:f>
        <x:v>-0.013802974532823531</x:v>
      </x:c>
      <x:c r="J640" s="208" t="n">
        <x:f>'Beta HC3'!$E$13+'Beta HC3'!$E$12*I640</x:f>
        <x:v>-0.015558025242904762</x:v>
      </x:c>
      <x:c r="K640" s="240" t="n">
        <x:f>H640-J640</x:f>
        <x:v>0.0014669104701754768</x:v>
      </x:c>
      <x:c r="L640" s="240" t="n">
        <x:f>I640-'Beta HC3'!$E$9</x:f>
        <x:v>-0.01436692215048397</x:v>
      </x:c>
      <x:c r="M640" s="240" t="n">
        <x:f>1/'Beta HC3'!$E$8+L640^2/'Beta HC3'!$E$11</x:f>
        <x:v>0.0022083256060399445</x:v>
      </x:c>
      <x:c r="N640" s="240" t="n">
        <x:f>K640^2/(1-M640)^2</x:f>
        <x:v>0.0000021613617682667772</x:v>
      </x:c>
      <x:c r="O640" s="240" t="n">
        <x:f>N640*L640^2/'Beta HC3'!$E$11^2</x:f>
        <x:v>2.0862659253316334e-8</x:v>
      </x:c>
      <x:c r="P640" s="240" t="n">
        <x:f>N640*(1/'Beta HC3'!$E$8-'Beta HC3'!$E$9*L640/'Beta HC3'!$E$11)^2</x:f>
        <x:v>1.5697483425596912e-12</x:v>
      </x:c>
      <x:c r="Q640" s="240" t="n">
        <x:f>N640*(1/'Beta HC3'!$E$8-'Beta HC3'!$E$9*L640/'Beta HC3'!$E$11)*L640/'Beta HC3'!$E$11</x:f>
        <x:v>-1.8096719256340614e-10</x:v>
      </x:c>
      <x:c r="R640" s="240" t="n">
        <x:f>K640*L640/'Beta HC3'!$E$11</x:f>
        <x:v>-0.0001441201509332047</x:v>
      </x:c>
      <x:c r="S640" s="240" t="n">
        <x:f>(K640-K639)^2</x:f>
        <x:v>0.0000010933973344566012</x:v>
      </x:c>
      <x:c r="T640" s="280" t="n">
        <x:f>E640/$E$9*100</x:f>
        <x:v>146.24764250242436</x:v>
      </x:c>
    </x:row>
    <x:row r="641" ht="24" customHeight="1">
      <x:c r="C641" s="274" t="d">
        <x:v>2024-04-15T00:00:00.000Z</x:v>
      </x:c>
      <x:c r="D641" s="191" t="n">
        <x:v>413.6400146484375</x:v>
      </x:c>
      <x:c r="E641" s="191" t="n">
        <x:v>405.74285888671875</x:v>
      </x:c>
      <x:c r="F641" s="191" t="n">
        <x:v>504.45001220703125</x:v>
      </x:c>
      <x:c r="G641" s="191" t="n">
        <x:v>489.9827880859375</x:v>
      </x:c>
      <x:c r="H641" s="208" t="n">
        <x:f>E641/E640-1</x:f>
        <x:v>-0.01957801106816326</x:v>
      </x:c>
      <x:c r="I641" s="208" t="n">
        <x:f>G641/G640-1</x:f>
        <x:v>-0.012528094420871105</x:v>
      </x:c>
      <x:c r="J641" s="208" t="n">
        <x:f>'Beta HC3'!$E$13+'Beta HC3'!$E$12*I641</x:f>
        <x:v>-0.014120200493060725</x:v>
      </x:c>
      <x:c r="K641" s="240" t="n">
        <x:f>H641-J641</x:f>
        <x:v>-0.005457810575102534</x:v>
      </x:c>
      <x:c r="L641" s="240" t="n">
        <x:f>I641-'Beta HC3'!$E$9</x:f>
        <x:v>-0.013092042038531544</x:v>
      </x:c>
      <x:c r="M641" s="240" t="n">
        <x:f>1/'Beta HC3'!$E$8+L641^2/'Beta HC3'!$E$11</x:f>
        <x:v>0.001968932930658273</x:v>
      </x:c>
      <x:c r="N641" s="240" t="n">
        <x:f>K641^2/(1-M641)^2</x:f>
        <x:v>0.000029905343571269012</x:v>
      </x:c>
      <x:c r="O641" s="240" t="n">
        <x:f>N641*L641^2/'Beta HC3'!$E$11^2</x:f>
        <x:v>2.397056669070967e-7</x:v>
      </x:c>
      <x:c r="P641" s="240" t="n">
        <x:f>N641*(1/'Beta HC3'!$E$8-'Beta HC3'!$E$9*L641/'Beta HC3'!$E$11)^2</x:f>
        <x:v>2.1469691616376788e-11</x:v>
      </x:c>
      <x:c r="Q641" s="240" t="n">
        <x:f>N641*(1/'Beta HC3'!$E$8-'Beta HC3'!$E$9*L641/'Beta HC3'!$E$11)*L641/'Beta HC3'!$E$11</x:f>
        <x:v>-2.2685693172555475e-9</x:v>
      </x:c>
      <x:c r="R641" s="240" t="n">
        <x:f>K641*L641/'Beta HC3'!$E$11</x:f>
        <x:v>0.0004886334693927868</x:v>
      </x:c>
      <x:c r="S641" s="240" t="n">
        <x:f>(K641-K640)^2</x:f>
        <x:v>0.000047951761554916184</x:v>
      </x:c>
      <x:c r="T641" s="280" t="n">
        <x:f>E641/$E$9*100</x:f>
        <x:v>143.3844045388191</x:v>
      </x:c>
    </x:row>
    <x:row r="642" ht="24" customHeight="1">
      <x:c r="C642" s="274" t="d">
        <x:v>2024-04-16T00:00:00.000Z</x:v>
      </x:c>
      <x:c r="D642" s="191" t="n">
        <x:v>414.5799865722656</x:v>
      </x:c>
      <x:c r="E642" s="191" t="n">
        <x:v>406.6649169921875</x:v>
      </x:c>
      <x:c r="F642" s="191" t="n">
        <x:v>503.5299987792969</x:v>
      </x:c>
      <x:c r="G642" s="191" t="n">
        <x:v>489.08905029296875</x:v>
      </x:c>
      <x:c r="H642" s="208" t="n">
        <x:f>E642/E641-1</x:f>
        <x:v>0.002272518382698596</x:v>
      </x:c>
      <x:c r="I642" s="208" t="n">
        <x:f>G642/G641-1</x:f>
        <x:v>-0.0018240187506586292</x:v>
      </x:c>
      <x:c r="J642" s="208" t="n">
        <x:f>'Beta HC3'!$E$13+'Beta HC3'!$E$12*I642</x:f>
        <x:v>-0.00204801834938852</x:v>
      </x:c>
      <x:c r="K642" s="240" t="n">
        <x:f>H642-J642</x:f>
        <x:v>0.0043205367320871164</x:v>
      </x:c>
      <x:c r="L642" s="240" t="n">
        <x:f>I642-'Beta HC3'!$E$9</x:f>
        <x:v>-0.0023879663683190684</x:v>
      </x:c>
      <x:c r="M642" s="240" t="n">
        <x:f>1/'Beta HC3'!$E$8+L642^2/'Beta HC3'!$E$11</x:f>
        <x:v>0.0008358081843664981</x:v>
      </x:c>
      <x:c r="N642" s="240" t="n">
        <x:f>K642^2/(1-M642)^2</x:f>
        <x:v>0.000018698280943648977</x:v>
      </x:c>
      <x:c r="O642" s="240" t="n">
        <x:f>N642*L642^2/'Beta HC3'!$E$11^2</x:f>
        <x:v>4.9862358352233215e-9</x:v>
      </x:c>
      <x:c r="P642" s="240" t="n">
        <x:f>N642*(1/'Beta HC3'!$E$8-'Beta HC3'!$E$9*L642/'Beta HC3'!$E$11)^2</x:f>
        <x:v>1.214773957934822e-11</x:v>
      </x:c>
      <x:c r="Q642" s="240" t="n">
        <x:f>N642*(1/'Beta HC3'!$E$8-'Beta HC3'!$E$9*L642/'Beta HC3'!$E$11)*L642/'Beta HC3'!$E$11</x:f>
        <x:v>-2.461127676645541e-10</x:v>
      </x:c>
      <x:c r="R642" s="240" t="n">
        <x:f>K642*L642/'Beta HC3'!$E$11</x:f>
        <x:v>-0.00007055426454186946</x:v>
      </x:c>
      <x:c r="S642" s="240" t="n">
        <x:f>(K642-K641)^2</x:f>
        <x:v>0.00009561607606002308</x:v>
      </x:c>
      <x:c r="T642" s="280" t="n">
        <x:f>E642/$E$9*100</x:f>
        <x:v>143.71024823392588</x:v>
      </x:c>
    </x:row>
    <x:row r="643" ht="24" customHeight="1">
      <x:c r="C643" s="274" t="d">
        <x:v>2024-04-17T00:00:00.000Z</x:v>
      </x:c>
      <x:c r="D643" s="191" t="n">
        <x:v>411.8399963378906</x:v>
      </x:c>
      <x:c r="E643" s="191" t="n">
        <x:v>403.97723388671875</x:v>
      </x:c>
      <x:c r="F643" s="191" t="n">
        <x:v>500.54998779296875</x:v>
      </x:c>
      <x:c r="G643" s="191" t="n">
        <x:v>486.1945495605469</x:v>
      </x:c>
      <x:c r="H643" s="208" t="n">
        <x:f>E643/E642-1</x:f>
        <x:v>-0.0066090852521718535</x:v>
      </x:c>
      <x:c r="I643" s="208" t="n">
        <x:f>G643/G642-1</x:f>
        <x:v>-0.005918146666109236</x:v>
      </x:c>
      <x:c r="J643" s="208" t="n">
        <x:f>'Beta HC3'!$E$13+'Beta HC3'!$E$12*I643</x:f>
        <x:v>-0.006665423853383022</x:v>
      </x:c>
      <x:c r="K643" s="240" t="n">
        <x:f>H643-J643</x:f>
        <x:v>0.00005633860121116892</x:v>
      </x:c>
      <x:c r="L643" s="240" t="n">
        <x:f>I643-'Beta HC3'!$E$9</x:f>
        <x:v>-0.006482094283769676</x:v>
      </x:c>
      <x:c r="M643" s="240" t="n">
        <x:f>1/'Beta HC3'!$E$8+L643^2/'Beta HC3'!$E$11</x:f>
        <x:v>0.001084147430465168</x:v>
      </x:c>
      <x:c r="N643" s="240" t="n">
        <x:f>K643^2/(1-M643)^2</x:f>
        <x:v>3.1809314449468055e-9</x:v>
      </x:c>
      <x:c r="O643" s="240" t="n">
        <x:f>N643*L643^2/'Beta HC3'!$E$11^2</x:f>
        <x:v>6.250283543312777e-12</x:v>
      </x:c>
      <x:c r="P643" s="240" t="n">
        <x:f>N643*(1/'Beta HC3'!$E$8-'Beta HC3'!$E$9*L643/'Beta HC3'!$E$11)^2</x:f>
        <x:v>2.14831678566181e-15</x:v>
      </x:c>
      <x:c r="Q643" s="240" t="n">
        <x:f>N643*(1/'Beta HC3'!$E$8-'Beta HC3'!$E$9*L643/'Beta HC3'!$E$11)*L643/'Beta HC3'!$E$11</x:f>
        <x:v>-1.1587747430473542e-13</x:v>
      </x:c>
      <x:c r="R643" s="240" t="n">
        <x:f>K643*L643/'Beta HC3'!$E$11</x:f>
        <x:v>-0.000002497346277963379</x:v>
      </x:c>
      <x:c r="S643" s="240" t="n">
        <x:f>(K643-K642)^2</x:f>
        <x:v>0.000018183385699365924</x:v>
      </x:c>
      <x:c r="T643" s="280" t="n">
        <x:f>E643/$E$9*100</x:f>
        <x:v>142.76045495173707</x:v>
      </x:c>
    </x:row>
    <x:row r="644" ht="24" customHeight="1">
      <x:c r="C644" s="274" t="d">
        <x:v>2024-04-18T00:00:00.000Z</x:v>
      </x:c>
      <x:c r="D644" s="191" t="n">
        <x:v>404.2699890136719</x:v>
      </x:c>
      <x:c r="E644" s="191" t="n">
        <x:v>396.5517578125</x:v>
      </x:c>
      <x:c r="F644" s="191" t="n">
        <x:v>499.5199890136719</x:v>
      </x:c>
      <x:c r="G644" s="191" t="n">
        <x:v>485.1941223144531</x:v>
      </x:c>
      <x:c r="H644" s="208" t="n">
        <x:f>E644/E643-1</x:f>
        <x:v>-0.018380927070511532</x:v>
      </x:c>
      <x:c r="I644" s="208" t="n">
        <x:f>G644/G643-1</x:f>
        <x:v>-0.002057668575260685</x:v>
      </x:c>
      <x:c r="J644" s="208" t="n">
        <x:f>'Beta HC3'!$E$13+'Beta HC3'!$E$12*I644</x:f>
        <x:v>-0.0023115313632475756</x:v>
      </x:c>
      <x:c r="K644" s="240" t="n">
        <x:f>H644-J644</x:f>
        <x:v>-0.016069395707263956</x:v>
      </x:c>
      <x:c r="L644" s="240" t="n">
        <x:f>I644-'Beta HC3'!$E$9</x:f>
        <x:v>-0.002621616192921124</x:v>
      </x:c>
      <x:c r="M644" s="240" t="n">
        <x:f>1/'Beta HC3'!$E$8+L644^2/'Beta HC3'!$E$11</x:f>
        <x:v>0.0008438125028274929</x:v>
      </x:c>
      <x:c r="N644" s="240" t="n">
        <x:f>K644^2/(1-M644)^2</x:f>
        <x:v>0.00025866181837706564</x:v>
      </x:c>
      <x:c r="O644" s="240" t="n">
        <x:f>N644*L644^2/'Beta HC3'!$E$11^2</x:f>
        <x:v>8.313526221181746e-8</x:v>
      </x:c>
      <x:c r="P644" s="240" t="n">
        <x:f>N644*(1/'Beta HC3'!$E$8-'Beta HC3'!$E$9*L644/'Beta HC3'!$E$11)^2</x:f>
        <x:v>1.6842113819708317e-10</x:v>
      </x:c>
      <x:c r="Q644" s="240" t="n">
        <x:f>N644*(1/'Beta HC3'!$E$8-'Beta HC3'!$E$9*L644/'Beta HC3'!$E$11)*L644/'Beta HC3'!$E$11</x:f>
        <x:v>-3.741889293662662e-9</x:v>
      </x:c>
      <x:c r="R644" s="240" t="n">
        <x:f>K644*L644/'Beta HC3'!$E$11</x:f>
        <x:v>0.00028808856322038936</x:v>
      </x:c>
      <x:c r="S644" s="240" t="n">
        <x:f>(K644-K643)^2</x:f>
        <x:v>0.00026003930698753164</x:v>
      </x:c>
      <x:c r="T644" s="280" t="n">
        <x:f>E644/$E$9*100</x:f>
        <x:v>140.13638544071617</x:v>
      </x:c>
    </x:row>
    <x:row r="645" ht="24" customHeight="1">
      <x:c r="C645" s="274" t="d">
        <x:v>2024-04-19T00:00:00.000Z</x:v>
      </x:c>
      <x:c r="D645" s="191" t="n">
        <x:v>399.1199951171875</x:v>
      </x:c>
      <x:c r="E645" s="191" t="n">
        <x:v>391.5000305175781</x:v>
      </x:c>
      <x:c r="F645" s="191" t="n">
        <x:v>495.1600036621094</x:v>
      </x:c>
      <x:c r="G645" s="191" t="n">
        <x:v>480.95916748046875</x:v>
      </x:c>
      <x:c r="H645" s="208" t="n">
        <x:f>E645/E644-1</x:f>
        <x:v>-0.012739137314101812</x:v>
      </x:c>
      <x:c r="I645" s="208" t="n">
        <x:f>G645/G644-1</x:f>
        <x:v>-0.008728372086996727</x:v>
      </x:c>
      <x:c r="J645" s="208" t="n">
        <x:f>'Beta HC3'!$E$13+'Beta HC3'!$E$12*I645</x:f>
        <x:v>-0.009834829058555516</x:v>
      </x:c>
      <x:c r="K645" s="240" t="n">
        <x:f>H645-J645</x:f>
        <x:v>-0.0029043082555462955</x:v>
      </x:c>
      <x:c r="L645" s="240" t="n">
        <x:f>I645-'Beta HC3'!$E$9</x:f>
        <x:v>-0.009292319704657166</x:v>
      </x:c>
      <x:c r="M645" s="240" t="n">
        <x:f>1/'Beta HC3'!$E$8+L645^2/'Beta HC3'!$E$11</x:f>
        <x:v>0.0013872933688440516</x:v>
      </x:c>
      <x:c r="N645" s="240" t="n">
        <x:f>K645^2/(1-M645)^2</x:f>
        <x:v>0.000008458458892092375</x:v>
      </x:c>
      <x:c r="O645" s="240" t="n">
        <x:f>N645*L645^2/'Beta HC3'!$E$11^2</x:f>
        <x:v>3.415499708501161e-8</x:v>
      </x:c>
      <x:c r="P645" s="240" t="n">
        <x:f>N645*(1/'Beta HC3'!$E$8-'Beta HC3'!$E$9*L645/'Beta HC3'!$E$11)^2</x:f>
        <x:v>5.864283733484651e-12</x:v>
      </x:c>
      <x:c r="Q645" s="240" t="n">
        <x:f>N645*(1/'Beta HC3'!$E$8-'Beta HC3'!$E$9*L645/'Beta HC3'!$E$11)*L645/'Beta HC3'!$E$11</x:f>
        <x:v>-4.475428402095705e-10</x:v>
      </x:c>
      <x:c r="R645" s="240" t="n">
        <x:f>K645*L645/'Beta HC3'!$E$11</x:f>
        <x:v>0.0001845543194216727</x:v>
      </x:c>
      <x:c r="S645" s="240" t="n">
        <x:f>(K645-K644)^2</x:f>
        <x:v>0.0001733195276113738</x:v>
      </x:c>
      <x:c r="T645" s="280" t="n">
        <x:f>E645/$E$9*100</x:f>
        <x:v>138.351168783885</x:v>
      </x:c>
    </x:row>
    <x:row r="646" ht="24" customHeight="1">
      <x:c r="C646" s="274" t="d">
        <x:v>2024-04-22T00:00:00.000Z</x:v>
      </x:c>
      <x:c r="D646" s="191" t="n">
        <x:v>400.9599914550781</x:v>
      </x:c>
      <x:c r="E646" s="191" t="n">
        <x:v>393.30499267578125</x:v>
      </x:c>
      <x:c r="F646" s="191" t="n">
        <x:v>499.7200012207031</x:v>
      </x:c>
      <x:c r="G646" s="191" t="n">
        <x:v>485.3883972167969</x:v>
      </x:c>
      <x:c r="H646" s="208" t="n">
        <x:f>E646/E645-1</x:f>
        <x:v>0.004610375523641519</x:v>
      </x:c>
      <x:c r="I646" s="208" t="n">
        <x:f>G646/G645-1</x:f>
        <x:v>0.009209159603986494</x:v>
      </x:c>
      <x:c r="J646" s="208" t="n">
        <x:f>'Beta HC3'!$E$13+'Beta HC3'!$E$12*I646</x:f>
        <x:v>0.010395329663514086</x:v>
      </x:c>
      <x:c r="K646" s="240" t="n">
        <x:f>H646-J646</x:f>
        <x:v>-0.005784954139872567</x:v>
      </x:c>
      <x:c r="L646" s="240" t="n">
        <x:f>I646-'Beta HC3'!$E$9</x:f>
        <x:v>0.008645211986326055</x:v>
      </x:c>
      <x:c r="M646" s="240" t="n">
        <x:f>1/'Beta HC3'!$E$8+L646^2/'Beta HC3'!$E$11</x:f>
        <x:v>0.0013079160139673072</x:v>
      </x:c>
      <x:c r="N646" s="240" t="n">
        <x:f>K646^2/(1-M646)^2</x:f>
        <x:v>0.00003355340707936874</x:v>
      </x:c>
      <x:c r="O646" s="240" t="n">
        <x:f>N646*L646^2/'Beta HC3'!$E$11^2</x:f>
        <x:v>1.1727424415192799e-7</x:v>
      </x:c>
      <x:c r="P646" s="240" t="n">
        <x:f>N646*(1/'Beta HC3'!$E$8-'Beta HC3'!$E$9*L646/'Beta HC3'!$E$11)^2</x:f>
        <x:v>1.955794257141567e-11</x:v>
      </x:c>
      <x:c r="Q646" s="240" t="n">
        <x:f>N646*(1/'Beta HC3'!$E$8-'Beta HC3'!$E$9*L646/'Beta HC3'!$E$11)*L646/'Beta HC3'!$E$11</x:f>
        <x:v>1.5144777754161953e-9</x:v>
      </x:c>
      <x:c r="R646" s="240" t="n">
        <x:f>K646*L646/'Beta HC3'!$E$11</x:f>
        <x:v>-0.0003420053728270081</x:v>
      </x:c>
      <x:c r="S646" s="240" t="n">
        <x:f>(K646-K645)^2</x:f>
        <x:v>0.000008298120710885887</x:v>
      </x:c>
      <x:c r="T646" s="280" t="n">
        <x:f>E646/$E$9*100</x:f>
        <x:v>138.9890196261134</x:v>
      </x:c>
    </x:row>
    <x:row r="647" ht="24" customHeight="1">
      <x:c r="C647" s="274" t="d">
        <x:v>2024-04-23T00:00:00.000Z</x:v>
      </x:c>
      <x:c r="D647" s="191" t="n">
        <x:v>407.57000732421875</x:v>
      </x:c>
      <x:c r="E647" s="191" t="n">
        <x:v>399.78875732421875</x:v>
      </x:c>
      <x:c r="F647" s="191" t="n">
        <x:v>505.6499938964844</x:v>
      </x:c>
      <x:c r="G647" s="191" t="n">
        <x:v>491.14825439453125</x:v>
      </x:c>
      <x:c r="H647" s="208" t="n">
        <x:f>E647/E646-1</x:f>
        <x:v>0.016485335221214426</x:v>
      </x:c>
      <x:c r="I647" s="208" t="n">
        <x:f>G647/G646-1</x:f>
        <x:v>0.011866491269179935</x:v>
      </x:c>
      <x:c r="J647" s="208" t="n">
        <x:f>'Beta HC3'!$E$13+'Beta HC3'!$E$12*I647</x:f>
        <x:v>0.013392299496942608</x:v>
      </x:c>
      <x:c r="K647" s="240" t="n">
        <x:f>H647-J647</x:f>
        <x:v>0.003093035724271817</x:v>
      </x:c>
      <x:c r="L647" s="240" t="n">
        <x:f>I647-'Beta HC3'!$E$9</x:f>
        <x:v>0.011302543651519496</x:v>
      </x:c>
      <x:c r="M647" s="240" t="n">
        <x:f>1/'Beta HC3'!$E$8+L647^2/'Beta HC3'!$E$11</x:f>
        <x:v>0.0016704069599021618</x:v>
      </x:c>
      <x:c r="N647" s="240" t="n">
        <x:f>K647^2/(1-M647)^2</x:f>
        <x:v>0.00000959891138493862</x:v>
      </x:c>
      <x:c r="O647" s="240" t="n">
        <x:f>N647*L647^2/'Beta HC3'!$E$11^2</x:f>
        <x:v>5.734414624023348e-8</x:v>
      </x:c>
      <x:c r="P647" s="240" t="n">
        <x:f>N647*(1/'Beta HC3'!$E$8-'Beta HC3'!$E$9*L647/'Beta HC3'!$E$11)^2</x:f>
        <x:v>5.445910787094253e-12</x:v>
      </x:c>
      <x:c r="Q647" s="240" t="n">
        <x:f>N647*(1/'Beta HC3'!$E$8-'Beta HC3'!$E$9*L647/'Beta HC3'!$E$11)*L647/'Beta HC3'!$E$11</x:f>
        <x:v>5.588301214022002e-10</x:v>
      </x:c>
      <x:c r="R647" s="240" t="n">
        <x:f>K647*L647/'Beta HC3'!$E$11</x:f>
        <x:v>0.00023906637179515355</x:v>
      </x:c>
      <x:c r="S647" s="240" t="n">
        <x:f>(K647-K646)^2</x:f>
        <x:v>0.00007881870402785041</x:v>
      </x:c>
      <x:c r="T647" s="280" t="n">
        <x:f>E647/$E$9*100</x:f>
        <x:v>141.2803002067178</x:v>
      </x:c>
    </x:row>
    <x:row r="648" ht="24" customHeight="1">
      <x:c r="C648" s="274" t="d">
        <x:v>2024-04-24T00:00:00.000Z</x:v>
      </x:c>
      <x:c r="D648" s="191" t="n">
        <x:v>409.05999755859375</x:v>
      </x:c>
      <x:c r="E648" s="191" t="n">
        <x:v>401.2503356933594</x:v>
      </x:c>
      <x:c r="F648" s="191" t="n">
        <x:v>505.4100036621094</x:v>
      </x:c>
      <x:c r="G648" s="191" t="n">
        <x:v>490.91522216796875</x:v>
      </x:c>
      <x:c r="H648" s="208" t="n">
        <x:f>E648/E647-1</x:f>
        <x:v>0.003655876615748177</x:v>
      </x:c>
      <x:c r="I648" s="208" t="n">
        <x:f>G648/G647-1</x:f>
        <x:v>-0.00047446412458451714</x:v>
      </x:c>
      <x:c r="J648" s="208" t="n">
        <x:f>'Beta HC3'!$E$13+'Beta HC3'!$E$12*I648</x:f>
        <x:v>-0.0005259748062790456</x:v>
      </x:c>
      <x:c r="K648" s="240" t="n">
        <x:f>H648-J648</x:f>
        <x:v>0.0041818514220272225</x:v>
      </x:c>
      <x:c r="L648" s="240" t="n">
        <x:f>I648-'Beta HC3'!$E$9</x:f>
        <x:v>-0.0010384117422449564</x:v>
      </x:c>
      <x:c r="M648" s="240" t="n">
        <x:f>1/'Beta HC3'!$E$8+L648^2/'Beta HC3'!$E$11</x:f>
        <x:v>0.0008041866370947767</x:v>
      </x:c>
      <x:c r="N648" s="240" t="n">
        <x:f>K648^2/(1-M648)^2</x:f>
        <x:v>0.00001751604232234453</x:v>
      </x:c>
      <x:c r="O648" s="240" t="n">
        <x:f>N648*L648^2/'Beta HC3'!$E$11^2</x:f>
        <x:v>8.832626977676627e-10</x:v>
      </x:c>
      <x:c r="P648" s="240" t="n">
        <x:f>N648*(1/'Beta HC3'!$E$8-'Beta HC3'!$E$9*L648/'Beta HC3'!$E$11)^2</x:f>
        <x:v>1.1233187240577498e-11</x:v>
      </x:c>
      <x:c r="Q648" s="240" t="n">
        <x:f>N648*(1/'Beta HC3'!$E$8-'Beta HC3'!$E$9*L648/'Beta HC3'!$E$11)*L648/'Beta HC3'!$E$11</x:f>
        <x:v>-9.9608510011152e-11</x:v>
      </x:c>
      <x:c r="R648" s="240" t="n">
        <x:f>K648*L648/'Beta HC3'!$E$11</x:f>
        <x:v>-0.000029695835614960113</x:v>
      </x:c>
      <x:c r="S648" s="240" t="n">
        <x:f>(K648-K647)^2</x:f>
        <x:v>0.0000011855196236785905</x:v>
      </x:c>
      <x:c r="T648" s="280" t="n">
        <x:f>E648/$E$9*100</x:f>
        <x:v>141.79680355250943</x:v>
      </x:c>
    </x:row>
    <x:row r="649" ht="24" customHeight="1">
      <x:c r="C649" s="274" t="d">
        <x:v>2024-04-25T00:00:00.000Z</x:v>
      </x:c>
      <x:c r="D649" s="191" t="n">
        <x:v>399.0400085449219</x:v>
      </x:c>
      <x:c r="E649" s="191" t="n">
        <x:v>391.42156982421875</x:v>
      </x:c>
      <x:c r="F649" s="191" t="n">
        <x:v>503.489990234375</x:v>
      </x:c>
      <x:c r="G649" s="191" t="n">
        <x:v>489.0502624511719</x:v>
      </x:c>
      <x:c r="H649" s="208" t="n">
        <x:f>E649/E648-1</x:f>
        <x:v>-0.024495346158792786</x:v>
      </x:c>
      <x:c r="I649" s="208" t="n">
        <x:f>G649/G648-1</x:f>
        <x:v>-0.003798944568393914</x:v>
      </x:c>
      <x:c r="J649" s="208" t="n">
        <x:f>'Beta HC3'!$E$13+'Beta HC3'!$E$12*I649</x:f>
        <x:v>-0.004275362860628123</x:v>
      </x:c>
      <x:c r="K649" s="240" t="n">
        <x:f>H649-J649</x:f>
        <x:v>-0.020219983298164663</x:v>
      </x:c>
      <x:c r="L649" s="240" t="n">
        <x:f>I649-'Beta HC3'!$E$9</x:f>
        <x:v>-0.0043628921860543535</x:v>
      </x:c>
      <x:c r="M649" s="240" t="n">
        <x:f>1/'Beta HC3'!$E$8+L649^2/'Beta HC3'!$E$11</x:f>
        <x:v>0.0009269813758386497</x:v>
      </x:c>
      <x:c r="N649" s="240" t="n">
        <x:f>K649^2/(1-M649)^2</x:f>
        <x:v>0.0004096067682964832</x:v>
      </x:c>
      <x:c r="O649" s="240" t="n">
        <x:f>N649*L649^2/'Beta HC3'!$E$11^2</x:f>
        <x:v>3.646118750688934e-7</x:v>
      </x:c>
      <x:c r="P649" s="240" t="n">
        <x:f>N649*(1/'Beta HC3'!$E$8-'Beta HC3'!$E$9*L649/'Beta HC3'!$E$11)^2</x:f>
        <x:v>2.7116269779221773e-10</x:v>
      </x:c>
      <x:c r="Q649" s="240" t="n">
        <x:f>N649*(1/'Beta HC3'!$E$8-'Beta HC3'!$E$9*L649/'Beta HC3'!$E$11)*L649/'Beta HC3'!$E$11</x:f>
        <x:v>-9.943296218596736e-9</x:v>
      </x:c>
      <x:c r="R649" s="240" t="n">
        <x:f>K649*L649/'Beta HC3'!$E$11</x:f>
        <x:v>0.000603271258674458</x:v>
      </x:c>
      <x:c r="S649" s="240" t="n">
        <x:f>(K649-K648)^2</x:f>
        <x:v>0.0005954495377115622</x:v>
      </x:c>
      <x:c r="T649" s="280" t="n">
        <x:f>E649/$E$9*100</x:f>
        <x:v>138.32344176528036</x:v>
      </x:c>
    </x:row>
    <x:row r="650" ht="24" customHeight="1">
      <x:c r="C650" s="274" t="d">
        <x:v>2024-04-26T00:00:00.000Z</x:v>
      </x:c>
      <x:c r="D650" s="191" t="n">
        <x:v>406.32000732421875</x:v>
      </x:c>
      <x:c r="E650" s="191" t="n">
        <x:v>398.5626220703125</x:v>
      </x:c>
      <x:c r="F650" s="191" t="n">
        <x:v>508.260009765625</x:v>
      </x:c>
      <x:c r="G650" s="191" t="n">
        <x:v>493.6834411621094</x:v>
      </x:c>
      <x:c r="H650" s="208" t="n">
        <x:f>E650/E649-1</x:f>
        <x:v>0.01824389046648789</x:v>
      </x:c>
      <x:c r="I650" s="208" t="n">
        <x:f>G650/G649-1</x:f>
        <x:v>0.009473829310949533</x:v>
      </x:c>
      <x:c r="J650" s="208" t="n">
        <x:f>'Beta HC3'!$E$13+'Beta HC3'!$E$12*I650</x:f>
        <x:v>0.010693827264690585</x:v>
      </x:c>
      <x:c r="K650" s="240" t="n">
        <x:f>H650-J650</x:f>
        <x:v>0.007550063201797304</x:v>
      </x:c>
      <x:c r="L650" s="240" t="n">
        <x:f>I650-'Beta HC3'!$E$9</x:f>
        <x:v>0.008909881693289094</x:v>
      </x:c>
      <x:c r="M650" s="240" t="n">
        <x:f>1/'Beta HC3'!$E$8+L650^2/'Beta HC3'!$E$11</x:f>
        <x:v>0.001339689491452053</x:v>
      </x:c>
      <x:c r="N650" s="240" t="n">
        <x:f>K650^2/(1-M650)^2</x:f>
        <x:v>0.00005715649568175425</x:v>
      </x:c>
      <x:c r="O650" s="240" t="n">
        <x:f>N650*L650^2/'Beta HC3'!$E$11^2</x:f>
        <x:v>2.1218964765699466e-7</x:v>
      </x:c>
      <x:c r="P650" s="240" t="n">
        <x:f>N650*(1/'Beta HC3'!$E$8-'Beta HC3'!$E$9*L650/'Beta HC3'!$E$11)^2</x:f>
        <x:v>3.322692255874588e-11</x:v>
      </x:c>
      <x:c r="Q650" s="240" t="n">
        <x:f>N650*(1/'Beta HC3'!$E$8-'Beta HC3'!$E$9*L650/'Beta HC3'!$E$11)*L650/'Beta HC3'!$E$11</x:f>
        <x:v>2.6552606257138932e-9</x:v>
      </x:c>
      <x:c r="R650" s="240" t="n">
        <x:f>K650*L650/'Beta HC3'!$E$11</x:f>
        <x:v>0.00046002336028276667</x:v>
      </x:c>
      <x:c r="S650" s="240" t="n">
        <x:f>(K650-K649)^2</x:f>
        <x:v>0.0007711754826100499</x:v>
      </x:c>
      <x:c r="T650" s="280" t="n">
        <x:f>E650/$E$9*100</x:f>
        <x:v>140.84699948579376</x:v>
      </x:c>
    </x:row>
    <x:row r="651" ht="24" customHeight="1">
      <x:c r="C651" s="274" t="d">
        <x:v>2024-04-29T00:00:00.000Z</x:v>
      </x:c>
      <x:c r="D651" s="191" t="n">
        <x:v>402.25</x:v>
      </x:c>
      <x:c r="E651" s="191" t="n">
        <x:v>394.57037353515625</x:v>
      </x:c>
      <x:c r="F651" s="191" t="n">
        <x:v>510.05999755859375</x:v>
      </x:c>
      <x:c r="G651" s="191" t="n">
        <x:v>495.4318542480469</x:v>
      </x:c>
      <x:c r="H651" s="208" t="n">
        <x:f>E651/E650-1</x:f>
        <x:v>-0.010016615492990044</x:v>
      </x:c>
      <x:c r="I651" s="208" t="n">
        <x:f>G651/G650-1</x:f>
        <x:v>0.0035415672071597015</x:v>
      </x:c>
      <x:c r="J651" s="208" t="n">
        <x:f>'Beta HC3'!$E$13+'Beta HC3'!$E$12*I651</x:f>
        <x:v>0.00400335245421745</x:v>
      </x:c>
      <x:c r="K651" s="240" t="n">
        <x:f>H651-J651</x:f>
        <x:v>-0.014019967947207494</x:v>
      </x:c>
      <x:c r="L651" s="240" t="n">
        <x:f>I651-'Beta HC3'!$E$9</x:f>
        <x:v>0.0029776195894992623</x:v>
      </x:c>
      <x:c r="M651" s="240" t="n">
        <x:f>1/'Beta HC3'!$E$8+L651^2/'Beta HC3'!$E$11</x:f>
        <x:v>0.0008574438964536088</x:v>
      </x:c>
      <x:c r="N651" s="240" t="n">
        <x:f>K651^2/(1-M651)^2</x:f>
        <x:v>0.00019689701276371415</x:v>
      </x:c>
      <x:c r="O651" s="240" t="n">
        <x:f>N651*L651^2/'Beta HC3'!$E$11^2</x:f>
        <x:v>8.163798484632516e-8</x:v>
      </x:c>
      <x:c r="P651" s="240" t="n">
        <x:f>N651*(1/'Beta HC3'!$E$8-'Beta HC3'!$E$9*L651/'Beta HC3'!$E$11)^2</x:f>
        <x:v>1.2143473627836833e-10</x:v>
      </x:c>
      <x:c r="Q651" s="240" t="n">
        <x:f>N651*(1/'Beta HC3'!$E$8-'Beta HC3'!$E$9*L651/'Beta HC3'!$E$11)*L651/'Beta HC3'!$E$11</x:f>
        <x:v>3.1486008257813386e-9</x:v>
      </x:c>
      <x:c r="R651" s="240" t="n">
        <x:f>K651*L651/'Beta HC3'!$E$11</x:f>
        <x:v>-0.0002854786242150897</x:v>
      </x:c>
      <x:c r="S651" s="240" t="n">
        <x:f>(K651-K650)^2</x:f>
        <x:v>0.0004652662437690372</x:v>
      </x:c>
      <x:c r="T651" s="280" t="n">
        <x:f>E651/$E$9*100</x:f>
        <x:v>139.4361892486032</x:v>
      </x:c>
    </x:row>
    <x:row r="652" ht="24" customHeight="1">
      <x:c r="C652" s="274" t="d">
        <x:v>2024-04-30T00:00:00.000Z</x:v>
      </x:c>
      <x:c r="D652" s="191" t="n">
        <x:v>389.3299865722656</x:v>
      </x:c>
      <x:c r="E652" s="191" t="n">
        <x:v>381.89703369140625</x:v>
      </x:c>
      <x:c r="F652" s="191" t="n">
        <x:v>501.9800109863281</x:v>
      </x:c>
      <x:c r="G652" s="191" t="n">
        <x:v>487.5836181640625</x:v>
      </x:c>
      <x:c r="H652" s="208" t="n">
        <x:f>E652/E651-1</x:f>
        <x:v>-0.03211933965087932</x:v>
      </x:c>
      <x:c r="I652" s="208" t="n">
        <x:f>G652/G651-1</x:f>
        <x:v>-0.015841202007279565</x:v>
      </x:c>
      <x:c r="J652" s="208" t="n">
        <x:f>'Beta HC3'!$E$13+'Beta HC3'!$E$12*I652</x:f>
        <x:v>-0.01785676210538266</x:v>
      </x:c>
      <x:c r="K652" s="240" t="n">
        <x:f>H652-J652</x:f>
        <x:v>-0.01426257754549666</x:v>
      </x:c>
      <x:c r="L652" s="240" t="n">
        <x:f>I652-'Beta HC3'!$E$9</x:f>
        <x:v>-0.016405149624940003</x:v>
      </x:c>
      <x:c r="M652" s="240" t="n">
        <x:f>1/'Beta HC3'!$E$8+L652^2/'Beta HC3'!$E$11</x:f>
        <x:v>0.002637236176546271</x:v>
      </x:c>
      <x:c r="N652" s="240" t="n">
        <x:f>K652^2/(1-M652)^2</x:f>
        <x:v>0.00020449831667004718</x:v>
      </x:c>
      <x:c r="O652" s="240" t="n">
        <x:f>N652*L652^2/'Beta HC3'!$E$11^2</x:f>
        <x:v>0.0000025737410643233975</x:v>
      </x:c>
      <x:c r="P652" s="240" t="n">
        <x:f>N652*(1/'Beta HC3'!$E$8-'Beta HC3'!$E$9*L652/'Beta HC3'!$E$11)^2</x:f>
        <x:v>1.512749599511108e-10</x:v>
      </x:c>
      <x:c r="Q652" s="240" t="n">
        <x:f>N652*(1/'Beta HC3'!$E$8-'Beta HC3'!$E$9*L652/'Beta HC3'!$E$11)*L652/'Beta HC3'!$E$11</x:f>
        <x:v>-1.9731765669347768e-8</x:v>
      </x:c>
      <x:c r="R652" s="240" t="n">
        <x:f>K652*L652/'Beta HC3'!$E$11</x:f>
        <x:v>0.0016000574485443998</x:v>
      </x:c>
      <x:c r="S652" s="240" t="n">
        <x:f>(K652-K651)^2</x:f>
        <x:v>5.88594171820305e-8</x:v>
      </x:c>
      <x:c r="T652" s="280" t="n">
        <x:f>E652/$E$9*100</x:f>
        <x:v>134.957590926503</x:v>
      </x:c>
    </x:row>
    <x:row r="653" ht="24" customHeight="1">
      <x:c r="C653" s="274" t="d">
        <x:v>2024-05-01T00:00:00.000Z</x:v>
      </x:c>
      <x:c r="D653" s="191" t="n">
        <x:v>394.94000244140625</x:v>
      </x:c>
      <x:c r="E653" s="191" t="n">
        <x:v>387.39990234375</x:v>
      </x:c>
      <x:c r="F653" s="191" t="n">
        <x:v>500.3500061035156</x:v>
      </x:c>
      <x:c r="G653" s="191" t="n">
        <x:v>486.00030517578125</x:v>
      </x:c>
      <x:c r="H653" s="208" t="n">
        <x:f>E653/E652-1</x:f>
        <x:v>0.014409299279319221</x:v>
      </x:c>
      <x:c r="I653" s="208" t="n">
        <x:f>G653/G652-1</x:f>
        <x:v>-0.0032472645291961033</x:v>
      </x:c>
      <x:c r="J653" s="208" t="n">
        <x:f>'Beta HC3'!$E$13+'Beta HC3'!$E$12*I653</x:f>
        <x:v>-0.0036531716389462984</x:v>
      </x:c>
      <x:c r="K653" s="240" t="n">
        <x:f>H653-J653</x:f>
        <x:v>0.01806247091826552</x:v>
      </x:c>
      <x:c r="L653" s="240" t="n">
        <x:f>I653-'Beta HC3'!$E$9</x:f>
        <x:v>-0.0038112121468565426</x:v>
      </x:c>
      <x:c r="M653" s="240" t="n">
        <x:f>1/'Beta HC3'!$E$8+L653^2/'Beta HC3'!$E$11</x:f>
        <x:v>0.0008961434749184951</x:v>
      </x:c>
      <x:c r="N653" s="240" t="n">
        <x:f>K653^2/(1-M653)^2</x:f>
        <x:v>0.0003268383813636905</x:v>
      </x:c>
      <x:c r="O653" s="240" t="n">
        <x:f>N653*L653^2/'Beta HC3'!$E$11^2</x:f>
        <x:v>2.220107591013191e-7</x:v>
      </x:c>
      <x:c r="P653" s="240" t="n">
        <x:f>N653*(1/'Beta HC3'!$E$8-'Beta HC3'!$E$9*L653/'Beta HC3'!$E$11)^2</x:f>
        <x:v>2.1523933471496065e-10</x:v>
      </x:c>
      <x:c r="Q653" s="240" t="n">
        <x:f>N653*(1/'Beta HC3'!$E$8-'Beta HC3'!$E$9*L653/'Beta HC3'!$E$11)*L653/'Beta HC3'!$E$11</x:f>
        <x:v>-6.912701938354592e-9</x:v>
      </x:c>
      <x:c r="R653" s="240" t="n">
        <x:f>K653*L653/'Beta HC3'!$E$11</x:f>
        <x:v>-0.0004707579318566317</x:v>
      </x:c>
      <x:c r="S653" s="240" t="n">
        <x:f>(K653-K652)^2</x:f>
        <x:v>0.0010449087581845735</x:v>
      </x:c>
      <x:c r="T653" s="280" t="n">
        <x:f>E653/$E$9*100</x:f>
        <x:v>136.90223524417894</x:v>
      </x:c>
    </x:row>
    <x:row r="654" ht="24" customHeight="1">
      <x:c r="C654" s="274" t="d">
        <x:v>2024-05-02T00:00:00.000Z</x:v>
      </x:c>
      <x:c r="D654" s="191" t="n">
        <x:v>397.8399963378906</x:v>
      </x:c>
      <x:c r="E654" s="191" t="n">
        <x:v>390.2445373535156</x:v>
      </x:c>
      <x:c r="F654" s="191" t="n">
        <x:v>505.0299987792969</x:v>
      </x:c>
      <x:c r="G654" s="191" t="n">
        <x:v>490.54608154296875</x:v>
      </x:c>
      <x:c r="H654" s="208" t="n">
        <x:f>E654/E653-1</x:f>
        <x:v>0.00734289036356417</x:v>
      </x:c>
      <x:c r="I654" s="208" t="n">
        <x:f>G654/G653-1</x:f>
        <x:v>0.009353443441858289</x:v>
      </x:c>
      <x:c r="J654" s="208" t="n">
        <x:f>'Beta HC3'!$E$13+'Beta HC3'!$E$12*I654</x:f>
        <x:v>0.010558054668908391</x:v>
      </x:c>
      <x:c r="K654" s="240" t="n">
        <x:f>H654-J654</x:f>
        <x:v>-0.0032151643053442217</x:v>
      </x:c>
      <x:c r="L654" s="240" t="n">
        <x:f>I654-'Beta HC3'!$E$9</x:f>
        <x:v>0.00878949582419785</x:v>
      </x:c>
      <x:c r="M654" s="240" t="n">
        <x:f>1/'Beta HC3'!$E$8+L654^2/'Beta HC3'!$E$11</x:f>
        <x:v>0.0013251184408505775</x:v>
      </x:c>
      <x:c r="N654" s="240" t="n">
        <x:f>K654^2/(1-M654)^2</x:f>
        <x:v>0.00001036473230635038</x:v>
      </x:c>
      <x:c r="O654" s="240" t="n">
        <x:f>N654*L654^2/'Beta HC3'!$E$11^2</x:f>
        <x:v>3.744559544953312e-8</x:v>
      </x:c>
      <x:c r="P654" s="240" t="n">
        <x:f>N654*(1/'Beta HC3'!$E$8-'Beta HC3'!$E$9*L654/'Beta HC3'!$E$11)^2</x:f>
        <x:v>6.032694798861104e-12</x:v>
      </x:c>
      <x:c r="Q654" s="240" t="n">
        <x:f>N654*(1/'Beta HC3'!$E$8-'Beta HC3'!$E$9*L654/'Beta HC3'!$E$11)*L654/'Beta HC3'!$E$11</x:f>
        <x:v>4.752871225992301e-10</x:v>
      </x:c>
      <x:c r="R654" s="240" t="n">
        <x:f>K654*L654/'Beta HC3'!$E$11</x:f>
        <x:v>-0.00019325222250621732</x:v>
      </x:c>
      <x:c r="S654" s="240" t="n">
        <x:f>(K654-K653)^2</x:f>
        <x:v>0.00045273776070899795</x:v>
      </x:c>
      <x:c r="T654" s="280" t="n">
        <x:f>E654/$E$9*100</x:f>
        <x:v>137.90749334810383</x:v>
      </x:c>
    </x:row>
    <x:row r="655" ht="24" customHeight="1">
      <x:c r="C655" s="274" t="d">
        <x:v>2024-05-03T00:00:00.000Z</x:v>
      </x:c>
      <x:c r="D655" s="191" t="n">
        <x:v>406.6600036621094</x:v>
      </x:c>
      <x:c r="E655" s="191" t="n">
        <x:v>398.8961181640625</x:v>
      </x:c>
      <x:c r="F655" s="191" t="n">
        <x:v>511.2900085449219</x:v>
      </x:c>
      <x:c r="G655" s="191" t="n">
        <x:v>496.6265869140625</x:v>
      </x:c>
      <x:c r="H655" s="208" t="n">
        <x:f>E655/E654-1</x:f>
        <x:v>0.022169639757723347</x:v>
      </x:c>
      <x:c r="I655" s="208" t="n">
        <x:f>G655/G654-1</x:f>
        <x:v>0.012395380576617931</x:v>
      </x:c>
      <x:c r="J655" s="208" t="n">
        <x:f>'Beta HC3'!$E$13+'Beta HC3'!$E$12*I655</x:f>
        <x:v>0.01398878706391675</x:v>
      </x:c>
      <x:c r="K655" s="240" t="n">
        <x:f>H655-J655</x:f>
        <x:v>0.008180852693806598</x:v>
      </x:c>
      <x:c r="L655" s="240" t="n">
        <x:f>I655-'Beta HC3'!$E$9</x:f>
        <x:v>0.011831432958957493</x:v>
      </x:c>
      <x:c r="M655" s="240" t="n">
        <x:f>1/'Beta HC3'!$E$8+L655^2/'Beta HC3'!$E$11</x:f>
        <x:v>0.001754077474597113</x:v>
      </x:c>
      <x:c r="N655" s="240" t="n">
        <x:f>K655^2/(1-M655)^2</x:f>
        <x:v>0.00006716175800904189</x:v>
      </x:c>
      <x:c r="O655" s="240" t="n">
        <x:f>N655*L655^2/'Beta HC3'!$E$11^2</x:f>
        <x:v>4.3965444955408664e-7</x:v>
      </x:c>
      <x:c r="P655" s="240" t="n">
        <x:f>N655*(1/'Beta HC3'!$E$8-'Beta HC3'!$E$9*L655/'Beta HC3'!$E$11)^2</x:f>
        <x:v>3.789791624088737e-11</x:v>
      </x:c>
      <x:c r="Q655" s="240" t="n">
        <x:f>N655*(1/'Beta HC3'!$E$8-'Beta HC3'!$E$9*L655/'Beta HC3'!$E$11)*L655/'Beta HC3'!$E$11</x:f>
        <x:v>4.081909786378702e-9</x:v>
      </x:c>
      <x:c r="R655" s="240" t="n">
        <x:f>K655*L655/'Beta HC3'!$E$11</x:f>
        <x:v>0.0006619013720671601</x:v>
      </x:c>
      <x:c r="S655" s="240" t="n">
        <x:f>(K655-K654)^2</x:f>
        <x:v>0.00012986920344493444</x:v>
      </x:c>
      <x:c r="T655" s="280" t="n">
        <x:f>E655/$E$9*100</x:f>
        <x:v>140.96485279552192</x:v>
      </x:c>
    </x:row>
    <x:row r="656" ht="24" customHeight="1">
      <x:c r="C656" s="274" t="d">
        <x:v>2024-05-06T00:00:00.000Z</x:v>
      </x:c>
      <x:c r="D656" s="191" t="n">
        <x:v>413.5400085449219</x:v>
      </x:c>
      <x:c r="E656" s="191" t="n">
        <x:v>405.6447448730469</x:v>
      </x:c>
      <x:c r="F656" s="191" t="n">
        <x:v>516.5700073242188</x:v>
      </x:c>
      <x:c r="G656" s="191" t="n">
        <x:v>501.7550964355469</x:v>
      </x:c>
      <x:c r="H656" s="208" t="n">
        <x:f>E656/E655-1</x:f>
        <x:v>0.01691825616164233</x:v>
      </x:c>
      <x:c r="I656" s="208" t="n">
        <x:f>G656/G655-1</x:f>
        <x:v>0.010326691435011304</x:v>
      </x:c>
      <x:c r="J656" s="208" t="n">
        <x:f>'Beta HC3'!$E$13+'Beta HC3'!$E$12*I656</x:f>
        <x:v>0.011655695175785845</x:v>
      </x:c>
      <x:c r="K656" s="240" t="n">
        <x:f>H656-J656</x:f>
        <x:v>0.005262560985856486</x:v>
      </x:c>
      <x:c r="L656" s="240" t="n">
        <x:f>I656-'Beta HC3'!$E$9</x:f>
        <x:v>0.009762743817350865</x:v>
      </x:c>
      <x:c r="M656" s="240" t="n">
        <x:f>1/'Beta HC3'!$E$8+L656^2/'Beta HC3'!$E$11</x:f>
        <x:v>0.001448592925948607</x:v>
      </x:c>
      <x:c r="N656" s="240" t="n">
        <x:f>K656^2/(1-M656)^2</x:f>
        <x:v>0.000027774959064727848</x:v>
      </x:c>
      <x:c r="O656" s="240" t="n">
        <x:f>N656*L656^2/'Beta HC3'!$E$11^2</x:f>
        <x:v>1.2379751774760833e-7</x:v>
      </x:c>
      <x:c r="P656" s="240" t="n">
        <x:f>N656*(1/'Beta HC3'!$E$8-'Beta HC3'!$E$9*L656/'Beta HC3'!$E$11)^2</x:f>
        <x:v>1.600747769956786e-11</x:v>
      </x:c>
      <x:c r="Q656" s="240" t="n">
        <x:f>N656*(1/'Beta HC3'!$E$8-'Beta HC3'!$E$9*L656/'Beta HC3'!$E$11)*L656/'Beta HC3'!$E$11</x:f>
        <x:v>1.4077236961160724e-9</x:v>
      </x:c>
      <x:c r="R656" s="240" t="n">
        <x:f>K656*L656/'Beta HC3'!$E$11</x:f>
        <x:v>0.0003513390287315922</x:v>
      </x:c>
      <x:c r="S656" s="240" t="n">
        <x:f>(K656-K655)^2</x:f>
        <x:v>0.00000851642649269038</x:v>
      </x:c>
      <x:c r="T656" s="280" t="n">
        <x:f>E656/$E$9*100</x:f>
        <x:v>143.34973228490477</x:v>
      </x:c>
    </x:row>
    <x:row r="657" ht="24" customHeight="1">
      <x:c r="C657" s="274" t="d">
        <x:v>2024-05-07T00:00:00.000Z</x:v>
      </x:c>
      <x:c r="D657" s="191" t="n">
        <x:v>409.3399963378906</x:v>
      </x:c>
      <x:c r="E657" s="191" t="n">
        <x:v>401.5249328613281</x:v>
      </x:c>
      <x:c r="F657" s="191" t="n">
        <x:v>517.1400146484375</x:v>
      </x:c>
      <x:c r="G657" s="191" t="n">
        <x:v>502.308837890625</x:v>
      </x:c>
      <x:c r="H657" s="208" t="n">
        <x:f>E657/E656-1</x:f>
        <x:v>-0.010156207035316389</x:v>
      </x:c>
      <x:c r="I657" s="208" t="n">
        <x:f>G657/G656-1</x:f>
        <x:v>0.0011036090296081547</x:v>
      </x:c>
      <x:c r="J657" s="208" t="n">
        <x:f>'Beta HC3'!$E$13+'Beta HC3'!$E$12*I657</x:f>
        <x:v>0.0012537946143041973</x:v>
      </x:c>
      <x:c r="K657" s="240" t="n">
        <x:f>H657-J657</x:f>
        <x:v>-0.011410001649620586</x:v>
      </x:c>
      <x:c r="L657" s="240" t="n">
        <x:f>I657-'Beta HC3'!$E$9</x:f>
        <x:v>0.0005396614119477153</x:v>
      </x:c>
      <x:c r="M657" s="240" t="n">
        <x:f>1/'Beta HC3'!$E$8+L657^2/'Beta HC3'!$E$11</x:f>
        <x:v>0.0007988043397149814</x:v>
      </x:c>
      <x:c r="N657" s="240" t="n">
        <x:f>K657^2/(1-M657)^2</x:f>
        <x:v>0.0001303963768233117</x:v>
      </x:c>
      <x:c r="O657" s="240" t="n">
        <x:f>N657*L657^2/'Beta HC3'!$E$11^2</x:f>
        <x:v>1.775918280677017e-9</x:v>
      </x:c>
      <x:c r="P657" s="240" t="n">
        <x:f>N657*(1/'Beta HC3'!$E$8-'Beta HC3'!$E$9*L657/'Beta HC3'!$E$11)^2</x:f>
        <x:v>8.235811779874415e-11</x:v>
      </x:c>
      <x:c r="Q657" s="240" t="n">
        <x:f>N657*(1/'Beta HC3'!$E$8-'Beta HC3'!$E$9*L657/'Beta HC3'!$E$11)*L657/'Beta HC3'!$E$11</x:f>
        <x:v>3.8244122026912965e-10</x:v>
      </x:c>
      <x:c r="R657" s="240" t="n">
        <x:f>K657*L657/'Beta HC3'!$E$11</x:f>
        <x:v>-0.000042107982514134486</x:v>
      </x:c>
      <x:c r="S657" s="240" t="n">
        <x:f>(K657-K656)^2</x:f>
        <x:v>0.00027797434483390617</x:v>
      </x:c>
      <x:c r="T657" s="280" t="n">
        <x:f>E657/$E$9*100</x:f>
        <x:v>141.8938427253621</x:v>
      </x:c>
    </x:row>
    <x:row r="658" ht="24" customHeight="1">
      <x:c r="C658" s="274" t="d">
        <x:v>2024-05-08T00:00:00.000Z</x:v>
      </x:c>
      <x:c r="D658" s="191" t="n">
        <x:v>410.5400085449219</x:v>
      </x:c>
      <x:c r="E658" s="191" t="n">
        <x:v>402.7020568847656</x:v>
      </x:c>
      <x:c r="F658" s="191" t="n">
        <x:v>517.1900024414062</x:v>
      </x:c>
      <x:c r="G658" s="191" t="n">
        <x:v>502.3572998046875</x:v>
      </x:c>
      <x:c r="H658" s="208" t="n">
        <x:f>E658/E657-1</x:f>
        <x:v>0.002931633697188296</x:v>
      </x:c>
      <x:c r="I658" s="208" t="n">
        <x:f>G658/G657-1</x:f>
        <x:v>0.00009647832251169497</x:v>
      </x:c>
      <x:c r="J658" s="208" t="n">
        <x:f>'Beta HC3'!$E$13+'Beta HC3'!$E$12*I658</x:f>
        <x:v>0.00011794078505781835</x:v>
      </x:c>
      <x:c r="K658" s="240" t="n">
        <x:f>H658-J658</x:f>
        <x:v>0.002813692912130478</x:v>
      </x:c>
      <x:c r="L658" s="240" t="n">
        <x:f>I658-'Beta HC3'!$E$9</x:f>
        <x:v>-0.0004674692951487444</x:v>
      </x:c>
      <x:c r="M658" s="240" t="n">
        <x:f>1/'Beta HC3'!$E$8+L658^2/'Beta HC3'!$E$11</x:f>
        <x:v>0.0007983071375908495</x:v>
      </x:c>
      <x:c r="N658" s="240" t="n">
        <x:f>K658^2/(1-M658)^2</x:f>
        <x:v>0.000007929523140174489</x:v>
      </x:c>
      <x:c r="O658" s="240" t="n">
        <x:f>N658*L658^2/'Beta HC3'!$E$11^2</x:f>
        <x:v>8.103413008930977e-11</x:v>
      </x:c>
      <x:c r="P658" s="240" t="n">
        <x:f>N658*(1/'Beta HC3'!$E$8-'Beta HC3'!$E$9*L658/'Beta HC3'!$E$11)^2</x:f>
        <x:v>5.057345238061409e-12</x:v>
      </x:c>
      <x:c r="Q658" s="240" t="n">
        <x:f>N658*(1/'Beta HC3'!$E$8-'Beta HC3'!$E$9*L658/'Beta HC3'!$E$11)*L658/'Beta HC3'!$E$11</x:f>
        <x:v>-2.0243951489954217e-11</x:v>
      </x:c>
      <x:c r="R658" s="240" t="n">
        <x:f>K658*L658/'Beta HC3'!$E$11</x:f>
        <x:v>-0.000008994709638616486</x:v>
      </x:c>
      <x:c r="S658" s="240" t="n">
        <x:f>(K658-K657)^2</x:f>
        <x:v>0.0002023134869859868</x:v>
      </x:c>
      <x:c r="T658" s="280" t="n">
        <x:f>E658/$E$9*100</x:f>
        <x:v>142.3098234961193</x:v>
      </x:c>
    </x:row>
    <x:row r="659" ht="24" customHeight="1">
      <x:c r="C659" s="274" t="d">
        <x:v>2024-05-09T00:00:00.000Z</x:v>
      </x:c>
      <x:c r="D659" s="191" t="n">
        <x:v>412.32000732421875</x:v>
      </x:c>
      <x:c r="E659" s="191" t="n">
        <x:v>404.44805908203125</x:v>
      </x:c>
      <x:c r="F659" s="191" t="n">
        <x:v>520.1699829101562</x:v>
      </x:c>
      <x:c r="G659" s="191" t="n">
        <x:v>505.2518615722656</x:v>
      </x:c>
      <x:c r="H659" s="208" t="n">
        <x:f>E659/E658-1</x:f>
        <x:v>0.004335717107512238</x:v>
      </x:c>
      <x:c r="I659" s="208" t="n">
        <x:f>G659/G658-1</x:f>
        <x:v>0.005761958209233864</x:v>
      </x:c>
      <x:c r="J659" s="208" t="n">
        <x:f>'Beta HC3'!$E$13+'Beta HC3'!$E$12*I659</x:f>
        <x:v>0.0065075354806700325</x:v>
      </x:c>
      <x:c r="K659" s="240" t="n">
        <x:f>H659-J659</x:f>
        <x:v>-0.0021718183731577944</x:v>
      </x:c>
      <x:c r="L659" s="240" t="n">
        <x:f>I659-'Beta HC3'!$E$9</x:f>
        <x:v>0.005198010591573424</x:v>
      </x:c>
      <x:c r="M659" s="240" t="n">
        <x:f>1/'Beta HC3'!$E$8+L659^2/'Beta HC3'!$E$11</x:f>
        <x:v>0.0009815828437881274</x:v>
      </x:c>
      <x:c r="N659" s="240" t="n">
        <x:f>K659^2/(1-M659)^2</x:f>
        <x:v>0.000004726068548006242</x:v>
      </x:c>
      <x:c r="O659" s="240" t="n">
        <x:f>N659*L659^2/'Beta HC3'!$E$11^2</x:f>
        <x:v>5.9715773135991575e-9</x:v>
      </x:c>
      <x:c r="P659" s="240" t="n">
        <x:f>N659*(1/'Beta HC3'!$E$8-'Beta HC3'!$E$9*L659/'Beta HC3'!$E$11)^2</x:f>
        <x:v>2.8515499429128666e-12</x:v>
      </x:c>
      <x:c r="Q659" s="240" t="n">
        <x:f>N659*(1/'Beta HC3'!$E$8-'Beta HC3'!$E$9*L659/'Beta HC3'!$E$11)*L659/'Beta HC3'!$E$11</x:f>
        <x:v>1.3049234057098312e-10</x:v>
      </x:c>
      <x:c r="R659" s="240" t="n">
        <x:f>K659*L659/'Beta HC3'!$E$11</x:f>
        <x:v>-0.00007720012870170793</x:v>
      </x:c>
      <x:c r="S659" s="240" t="n">
        <x:f>(K659-K658)^2</x:f>
        <x:v>0.000024855322775736716</x:v>
      </x:c>
      <x:c r="T659" s="280" t="n">
        <x:f>E659/$E$9*100</x:f>
        <x:v>142.92683863241845</x:v>
      </x:c>
    </x:row>
    <x:row r="660" ht="24" customHeight="1">
      <x:c r="C660" s="274" t="d">
        <x:v>2024-05-10T00:00:00.000Z</x:v>
      </x:c>
      <x:c r="D660" s="191" t="n">
        <x:v>414.739990234375</x:v>
      </x:c>
      <x:c r="E660" s="191" t="n">
        <x:v>406.8218688964844</x:v>
      </x:c>
      <x:c r="F660" s="191" t="n">
        <x:v>520.8400268554688</x:v>
      </x:c>
      <x:c r="G660" s="191" t="n">
        <x:v>505.9026184082031</x:v>
      </x:c>
      <x:c r="H660" s="208" t="n">
        <x:f>E660/E659-1</x:f>
        <x:v>0.005869257525529692</x:v>
      </x:c>
      <x:c r="I660" s="208" t="n">
        <x:f>G660/G659-1</x:f>
        <x:v>0.0012879850336671161</x:v>
      </x:c>
      <x:c r="J660" s="208" t="n">
        <x:f>'Beta HC3'!$E$13+'Beta HC3'!$E$12*I660</x:f>
        <x:v>0.0014617360351702972</x:v>
      </x:c>
      <x:c r="K660" s="240" t="n">
        <x:f>H660-J660</x:f>
        <x:v>0.004407521490359395</x:v>
      </x:c>
      <x:c r="L660" s="240" t="n">
        <x:f>I660-'Beta HC3'!$E$9</x:f>
        <x:v>0.0007240374160066768</x:v>
      </x:c>
      <x:c r="M660" s="240" t="n">
        <x:f>1/'Beta HC3'!$E$8+L660^2/'Beta HC3'!$E$11</x:f>
        <x:v>0.0008003976682810423</x:v>
      </x:c>
      <x:c r="N660" s="240" t="n">
        <x:f>K660^2/(1-M660)^2</x:f>
        <x:v>0.000019457380506850245</x:v>
      </x:c>
      <x:c r="O660" s="240" t="n">
        <x:f>N660*L660^2/'Beta HC3'!$E$11^2</x:f>
        <x:v>4.770030043040566e-10</x:v>
      </x:c>
      <x:c r="P660" s="240" t="n">
        <x:f>N660*(1/'Beta HC3'!$E$8-'Beta HC3'!$E$9*L660/'Beta HC3'!$E$11)^2</x:f>
        <x:v>1.2267265966390033e-11</x:v>
      </x:c>
      <x:c r="Q660" s="240" t="n">
        <x:f>N660*(1/'Beta HC3'!$E$8-'Beta HC3'!$E$9*L660/'Beta HC3'!$E$11)*L660/'Beta HC3'!$E$11</x:f>
        <x:v>7.649524639194877e-11</x:v>
      </x:c>
      <x:c r="R660" s="240" t="n">
        <x:f>K660*L660/'Beta HC3'!$E$11</x:f>
        <x:v>0.00002182291744255889</x:v>
      </x:c>
      <x:c r="S660" s="240" t="n">
        <x:f>(K660-K659)^2</x:f>
        <x:v>0.00004328771303966639</x:v>
      </x:c>
      <x:c r="T660" s="280" t="n">
        <x:f>E660/$E$9*100</x:f>
        <x:v>143.76571305566196</x:v>
      </x:c>
    </x:row>
    <x:row r="661" ht="24" customHeight="1">
      <x:c r="C661" s="274" t="d">
        <x:v>2024-05-13T00:00:00.000Z</x:v>
      </x:c>
      <x:c r="D661" s="191" t="n">
        <x:v>413.7200012207031</x:v>
      </x:c>
      <x:c r="E661" s="191" t="n">
        <x:v>405.8213195800781</x:v>
      </x:c>
      <x:c r="F661" s="191" t="n">
        <x:v>520.9099731445312</x:v>
      </x:c>
      <x:c r="G661" s="191" t="n">
        <x:v>505.9706115722656</x:v>
      </x:c>
      <x:c r="H661" s="208" t="n">
        <x:f>E661/E660-1</x:f>
        <x:v>-0.002459428543308828</x:v>
      </x:c>
      <x:c r="I661" s="208" t="n">
        <x:f>G661/G660-1</x:f>
        <x:v>0.0001343997077469794</x:v>
      </x:c>
      <x:c r="J661" s="208" t="n">
        <x:f>'Beta HC3'!$E$13+'Beta HC3'!$E$12*I661</x:f>
        <x:v>0.0001607089682998963</x:v>
      </x:c>
      <x:c r="K661" s="240" t="n">
        <x:f>H661-J661</x:f>
        <x:v>-0.0026201375116087244</x:v>
      </x:c>
      <x:c r="L661" s="240" t="n">
        <x:f>I661-'Beta HC3'!$E$9</x:f>
        <x:v>-0.00042954790991345997</x:v>
      </x:c>
      <x:c r="M661" s="240" t="n">
        <x:f>1/'Beta HC3'!$E$8+L661^2/'Beta HC3'!$E$11</x:f>
        <x:v>0.0007980745201209256</x:v>
      </x:c>
      <x:c r="N661" s="240" t="n">
        <x:f>K661^2/(1-M661)^2</x:f>
        <x:v>0.000006876091466994426</x:v>
      </x:c>
      <x:c r="O661" s="240" t="n">
        <x:f>N661*L661^2/'Beta HC3'!$E$11^2</x:f>
        <x:v>5.933071585132564e-11</x:v>
      </x:c>
      <x:c r="P661" s="240" t="n">
        <x:f>N661*(1/'Beta HC3'!$E$8-'Beta HC3'!$E$9*L661/'Beta HC3'!$E$11)^2</x:f>
        <x:v>4.383874399355735e-12</x:v>
      </x:c>
      <x:c r="Q661" s="240" t="n">
        <x:f>N661*(1/'Beta HC3'!$E$8-'Beta HC3'!$E$9*L661/'Beta HC3'!$E$11)*L661/'Beta HC3'!$E$11</x:f>
        <x:v>-1.6127566658243142e-11</x:v>
      </x:c>
      <x:c r="R661" s="240" t="n">
        <x:f>K661*L661/'Beta HC3'!$E$11</x:f>
        <x:v>0.000007696496149239381</x:v>
      </x:c>
      <x:c r="S661" s="240" t="n">
        <x:f>(K661-K660)^2</x:f>
        <x:v>0.00004938799104794353</x:v>
      </x:c>
      <x:c r="T661" s="280" t="n">
        <x:f>E661/$E$9*100</x:f>
        <x:v>143.41213155742372</x:v>
      </x:c>
    </x:row>
    <x:row r="662" ht="24" customHeight="1">
      <x:c r="C662" s="274" t="d">
        <x:v>2024-05-14T00:00:00.000Z</x:v>
      </x:c>
      <x:c r="D662" s="191" t="n">
        <x:v>416.55999755859375</x:v>
      </x:c>
      <x:c r="E662" s="191" t="n">
        <x:v>408.6071472167969</x:v>
      </x:c>
      <x:c r="F662" s="191" t="n">
        <x:v>523.2999877929688</x:v>
      </x:c>
      <x:c r="G662" s="191" t="n">
        <x:v>508.2920837402344</x:v>
      </x:c>
      <x:c r="H662" s="208" t="n">
        <x:f>E662/E661-1</x:f>
        <x:v>0.006864665561684635</x:v>
      </x:c>
      <x:c r="I662" s="208" t="n">
        <x:f>G662/G661-1</x:f>
        <x:v>0.004588156139651911</x:v>
      </x:c>
      <x:c r="J662" s="208" t="n">
        <x:f>'Beta HC3'!$E$13+'Beta HC3'!$E$12*I662</x:f>
        <x:v>0.005183707733072332</x:v>
      </x:c>
      <x:c r="K662" s="240" t="n">
        <x:f>H662-J662</x:f>
        <x:v>0.0016809578286123032</x:v>
      </x:c>
      <x:c r="L662" s="240" t="n">
        <x:f>I662-'Beta HC3'!$E$9</x:f>
        <x:v>0.004024208521991471</x:v>
      </x:c>
      <x:c r="M662" s="240" t="n">
        <x:f>1/'Beta HC3'!$E$8+L662^2/'Beta HC3'!$E$11</x:f>
        <x:v>0.0009075562666432097</x:v>
      </x:c>
      <x:c r="N662" s="240" t="n">
        <x:f>K662^2/(1-M662)^2</x:f>
        <x:v>0.0000028307550289295695</x:v>
      </x:c>
      <x:c r="O662" s="240" t="n">
        <x:f>N662*L662^2/'Beta HC3'!$E$11^2</x:f>
        <x:v>2.1437688848865326e-9</x:v>
      </x:c>
      <x:c r="P662" s="240" t="n">
        <x:f>N662*(1/'Beta HC3'!$E$8-'Beta HC3'!$E$9*L662/'Beta HC3'!$E$11)^2</x:f>
        <x:v>1.7279472301694983e-12</x:v>
      </x:c>
      <x:c r="Q662" s="240" t="n">
        <x:f>N662*(1/'Beta HC3'!$E$8-'Beta HC3'!$E$9*L662/'Beta HC3'!$E$11)*L662/'Beta HC3'!$E$11</x:f>
        <x:v>6.086312107313622e-11</x:v>
      </x:c>
      <x:c r="R662" s="240" t="n">
        <x:f>K662*L662/'Beta HC3'!$E$11</x:f>
        <x:v>0.0000462588312525112</x:v>
      </x:c>
      <x:c r="S662" s="240" t="n">
        <x:f>(K662-K661)^2</x:f>
        <x:v>0.00001849942112567104</x:v>
      </x:c>
      <x:c r="T662" s="280" t="n">
        <x:f>E662/$E$9*100</x:f>
        <x:v>144.39660787805374</x:v>
      </x:c>
    </x:row>
    <x:row r="663" ht="24" customHeight="1">
      <x:c r="C663" s="274" t="d">
        <x:v>2024-05-15T00:00:00.000Z</x:v>
      </x:c>
      <x:c r="D663" s="191" t="n">
        <x:v>423.0799865722656</x:v>
      </x:c>
      <x:c r="E663" s="191" t="n">
        <x:v>415.75115966796875</x:v>
      </x:c>
      <x:c r="F663" s="191" t="n">
        <x:v>529.780029296875</x:v>
      </x:c>
      <x:c r="G663" s="191" t="n">
        <x:v>514.5863037109375</x:v>
      </x:c>
      <x:c r="H663" s="208" t="n">
        <x:f>E663/E662-1</x:f>
        <x:v>0.017483816667997365</x:v>
      </x:c>
      <x:c r="I663" s="208" t="n">
        <x:f>G663/G662-1</x:f>
        <x:v>0.012383076919844083</x:v>
      </x:c>
      <x:c r="J663" s="208" t="n">
        <x:f>'Beta HC3'!$E$13+'Beta HC3'!$E$12*I663</x:f>
        <x:v>0.013974910855434735</x:v>
      </x:c>
      <x:c r="K663" s="240" t="n">
        <x:f>H663-J663</x:f>
        <x:v>0.0035089058125626297</x:v>
      </x:c>
      <x:c r="L663" s="240" t="n">
        <x:f>I663-'Beta HC3'!$E$9</x:f>
        <x:v>0.011819129302183644</x:v>
      </x:c>
      <x:c r="M663" s="240" t="n">
        <x:f>1/'Beta HC3'!$E$8+L663^2/'Beta HC3'!$E$11</x:f>
        <x:v>0.0017520875664101315</x:v>
      </x:c>
      <x:c r="N663" s="240" t="n">
        <x:f>K663^2/(1-M663)^2</x:f>
        <x:v>0.000012355678533305434</x:v>
      </x:c>
      <x:c r="O663" s="240" t="n">
        <x:f>N663*L663^2/'Beta HC3'!$E$11^2</x:f>
        <x:v>8.07146357132781e-8</x:v>
      </x:c>
      <x:c r="P663" s="240" t="n">
        <x:f>N663*(1/'Beta HC3'!$E$8-'Beta HC3'!$E$9*L663/'Beta HC3'!$E$11)^2</x:f>
        <x:v>6.9729209221604964e-12</x:v>
      </x:c>
      <x:c r="Q663" s="240" t="n">
        <x:f>N663*(1/'Beta HC3'!$E$8-'Beta HC3'!$E$9*L663/'Beta HC3'!$E$11)*L663/'Beta HC3'!$E$11</x:f>
        <x:v>7.50211151669768e-10</x:v>
      </x:c>
      <x:c r="R663" s="240" t="n">
        <x:f>K663*L663/'Beta HC3'!$E$11</x:f>
        <x:v>0.0002836054394270686</x:v>
      </x:c>
      <x:c r="S663" s="240" t="n">
        <x:f>(K663-K662)^2</x:f>
        <x:v>0.000003341393832028063</x:v>
      </x:c>
      <x:c r="T663" s="280" t="n">
        <x:f>E663/$E$9*100</x:f>
        <x:v>146.92121169767432</x:v>
      </x:c>
    </x:row>
    <x:row r="664" ht="24" customHeight="1">
      <x:c r="C664" s="274" t="d">
        <x:v>2024-05-16T00:00:00.000Z</x:v>
      </x:c>
      <x:c r="D664" s="191" t="n">
        <x:v>420.989990234375</x:v>
      </x:c>
      <x:c r="E664" s="191" t="n">
        <x:v>413.6973876953125</x:v>
      </x:c>
      <x:c r="F664" s="191" t="n">
        <x:v>528.6900024414062</x:v>
      </x:c>
      <x:c r="G664" s="191" t="n">
        <x:v>513.5274658203125</x:v>
      </x:c>
      <x:c r="H664" s="208" t="n">
        <x:f>E664/E663-1</x:f>
        <x:v>-0.004939906780528136</x:v>
      </x:c>
      <x:c r="I664" s="208" t="n">
        <x:f>G664/G663-1</x:f>
        <x:v>-0.002057648800578682</x:v>
      </x:c>
      <x:c r="J664" s="208" t="n">
        <x:f>'Beta HC3'!$E$13+'Beta HC3'!$E$12*I664</x:f>
        <x:v>-0.002311509061129174</x:v>
      </x:c>
      <x:c r="K664" s="240" t="n">
        <x:f>H664-J664</x:f>
        <x:v>-0.002628397719398962</x:v>
      </x:c>
      <x:c r="L664" s="240" t="n">
        <x:f>I664-'Beta HC3'!$E$9</x:f>
        <x:v>-0.002621596418239121</x:v>
      </x:c>
      <x:c r="M664" s="240" t="n">
        <x:f>1/'Beta HC3'!$E$8+L664^2/'Beta HC3'!$E$11</x:f>
        <x:v>0.0008438117937979382</x:v>
      </x:c>
      <x:c r="N664" s="240" t="n">
        <x:f>K664^2/(1-M664)^2</x:f>
        <x:v>0.000006920148249484662</x:v>
      </x:c>
      <x:c r="O664" s="240" t="n">
        <x:f>N664*L664^2/'Beta HC3'!$E$11^2</x:f>
        <x:v>2.224138312644909e-9</x:v>
      </x:c>
      <x:c r="P664" s="240" t="n">
        <x:f>N664*(1/'Beta HC3'!$E$8-'Beta HC3'!$E$9*L664/'Beta HC3'!$E$11)^2</x:f>
        <x:v>4.505879652756684e-12</x:v>
      </x:c>
      <x:c r="Q664" s="240" t="n">
        <x:f>N664*(1/'Beta HC3'!$E$8-'Beta HC3'!$E$9*L664/'Beta HC3'!$E$11)*L664/'Beta HC3'!$E$11</x:f>
        <x:v>-1.0010843904418489e-10</x:v>
      </x:c>
      <x:c r="R664" s="240" t="n">
        <x:f>K664*L664/'Beta HC3'!$E$11</x:f>
        <x:v>0.000047120976093388506</x:v>
      </x:c>
      <x:c r="S664" s="240" t="n">
        <x:f>(K664-K663)^2</x:f>
        <x:v>0.00003766649464342822</x:v>
      </x:c>
      <x:c r="T664" s="280" t="n">
        <x:f>E664/$E$9*100</x:f>
        <x:v>146.19543460780557</x:v>
      </x:c>
    </x:row>
    <x:row r="665" ht="24" customHeight="1">
      <x:c r="C665" s="274" t="d">
        <x:v>2024-05-17T00:00:00.000Z</x:v>
      </x:c>
      <x:c r="D665" s="191" t="n">
        <x:v>420.2099914550781</x:v>
      </x:c>
      <x:c r="E665" s="191" t="n">
        <x:v>412.9309387207031</x:v>
      </x:c>
      <x:c r="F665" s="191" t="n">
        <x:v>529.4500122070312</x:v>
      </x:c>
      <x:c r="G665" s="191" t="n">
        <x:v>514.265625</x:v>
      </x:c>
      <x:c r="H665" s="208" t="n">
        <x:f>E665/E664-1</x:f>
        <x:v>-0.0018526802377922813</x:v>
      </x:c>
      <x:c r="I665" s="208" t="n">
        <x:f>G665/G664-1</x:f>
        <x:v>0.0014374288208875985</x:v>
      </x:c>
      <x:c r="J665" s="208" t="n">
        <x:f>'Beta HC3'!$E$13+'Beta HC3'!$E$12*I665</x:f>
        <x:v>0.0016302804919874677</x:v>
      </x:c>
      <x:c r="K665" s="240" t="n">
        <x:f>H665-J665</x:f>
        <x:v>-0.003482960729779749</x:v>
      </x:c>
      <x:c r="L665" s="240" t="n">
        <x:f>I665-'Beta HC3'!$E$9</x:f>
        <x:v>0.0008734812032271591</x:v>
      </x:c>
      <x:c r="M665" s="240" t="n">
        <x:f>1/'Beta HC3'!$E$8+L665^2/'Beta HC3'!$E$11</x:f>
        <x:v>0.000802030273404138</x:v>
      </x:c>
      <x:c r="N665" s="240" t="n">
        <x:f>K665^2/(1-M665)^2</x:f>
        <x:v>0.000012150497763435505</x:v>
      </x:c>
      <x:c r="O665" s="240" t="n">
        <x:f>N665*L665^2/'Beta HC3'!$E$11^2</x:f>
        <x:v>4.3352676994366805e-10</x:v>
      </x:c>
      <x:c r="P665" s="240" t="n">
        <x:f>N665*(1/'Beta HC3'!$E$8-'Beta HC3'!$E$9*L665/'Beta HC3'!$E$11)^2</x:f>
        <x:v>7.649389785513362e-12</x:v>
      </x:c>
      <x:c r="Q665" s="240" t="n">
        <x:f>N665*(1/'Beta HC3'!$E$8-'Beta HC3'!$E$9*L665/'Beta HC3'!$E$11)*L665/'Beta HC3'!$E$11</x:f>
        <x:v>5.7586589113731124e-11</x:v>
      </x:c>
      <x:c r="R665" s="240" t="n">
        <x:f>K665*L665/'Beta HC3'!$E$11</x:f>
        <x:v>-0.000020804606355882357</x:v>
      </x:c>
      <x:c r="S665" s="240" t="n">
        <x:f>(K665-K664)^2</x:f>
        <x:v>7.30277938711073e-7</x:v>
      </x:c>
      <x:c r="T665" s="280" t="n">
        <x:f>E665/$E$9*100</x:f>
        <x:v>145.92458121525226</x:v>
      </x:c>
    </x:row>
    <x:row r="666" ht="24" customHeight="1">
      <x:c r="C666" s="274" t="d">
        <x:v>2024-05-20T00:00:00.000Z</x:v>
      </x:c>
      <x:c r="D666" s="191" t="n">
        <x:v>425.3399963378906</x:v>
      </x:c>
      <x:c r="E666" s="191" t="n">
        <x:v>417.9720153808594</x:v>
      </x:c>
      <x:c r="F666" s="191" t="n">
        <x:v>530.0599975585938</x:v>
      </x:c>
      <x:c r="G666" s="191" t="n">
        <x:v>514.8582153320312</x:v>
      </x:c>
      <x:c r="H666" s="208" t="n">
        <x:f>E666/E665-1</x:f>
        <x:v>0.01220803816680327</x:v>
      </x:c>
      <x:c r="I666" s="208" t="n">
        <x:f>G666/G665-1</x:f>
        <x:v>0.0011523039908243327</x:v>
      </x:c>
      <x:c r="J666" s="208" t="n">
        <x:f>'Beta HC3'!$E$13+'Beta HC3'!$E$12*I666</x:f>
        <x:v>0.001308713362955858</x:v>
      </x:c>
      <x:c r="K666" s="240" t="n">
        <x:f>H666-J666</x:f>
        <x:v>0.010899324803847412</x:v>
      </x:c>
      <x:c r="L666" s="240" t="n">
        <x:f>I666-'Beta HC3'!$E$9</x:f>
        <x:v>0.0005883563731638933</x:v>
      </x:c>
      <x:c r="M666" s="240" t="n">
        <x:f>1/'Beta HC3'!$E$8+L666^2/'Beta HC3'!$E$11</x:f>
        <x:v>0.0007991799671742893</x:v>
      </x:c>
      <x:c r="N666" s="240" t="n">
        <x:f>K666^2/(1-M666)^2</x:f>
        <x:v>0.00011898538665996129</x:v>
      </x:c>
      <x:c r="O666" s="240" t="n">
        <x:f>N666*L666^2/'Beta HC3'!$E$11^2</x:f>
        <x:v>1.926146311531326e-9</x:v>
      </x:c>
      <x:c r="P666" s="240" t="n">
        <x:f>N666*(1/'Beta HC3'!$E$8-'Beta HC3'!$E$9*L666/'Beta HC3'!$E$11)^2</x:f>
        <x:v>7.511544505387215e-11</x:v>
      </x:c>
      <x:c r="Q666" s="240" t="n">
        <x:f>N666*(1/'Beta HC3'!$E$8-'Beta HC3'!$E$9*L666/'Beta HC3'!$E$11)*L666/'Beta HC3'!$E$11</x:f>
        <x:v>3.8037262970612096e-10</x:v>
      </x:c>
      <x:c r="R666" s="240" t="n">
        <x:f>K666*L666/'Beta HC3'!$E$11</x:f>
        <x:v>0.00004385280910782125</x:v>
      </x:c>
      <x:c r="S666" s="240" t="n">
        <x:f>(K666-K665)^2</x:f>
        <x:v>0.00020685013717078112</x:v>
      </x:c>
      <x:c r="T666" s="280" t="n">
        <x:f>E666/$E$9*100</x:f>
        <x:v>147.70603407220284</x:v>
      </x:c>
    </x:row>
    <x:row r="667" ht="24" customHeight="1">
      <x:c r="C667" s="274" t="d">
        <x:v>2024-05-21T00:00:00.000Z</x:v>
      </x:c>
      <x:c r="D667" s="191" t="n">
        <x:v>429.0400085449219</x:v>
      </x:c>
      <x:c r="E667" s="191" t="n">
        <x:v>421.60797119140625</x:v>
      </x:c>
      <x:c r="F667" s="191" t="n">
        <x:v>531.3599853515625</x:v>
      </x:c>
      <x:c r="G667" s="191" t="n">
        <x:v>516.1209716796875</x:v>
      </x:c>
      <x:c r="H667" s="208" t="n">
        <x:f>E667/E666-1</x:f>
        <x:v>0.008699041267712149</x:v>
      </x:c>
      <x:c r="I667" s="208" t="n">
        <x:f>G667/G666-1</x:f>
        <x:v>0.0024526293065789684</x:v>
      </x:c>
      <x:c r="J667" s="208" t="n">
        <x:f>'Beta HC3'!$E$13+'Beta HC3'!$E$12*I667</x:f>
        <x:v>0.00277523551222486</x:v>
      </x:c>
      <x:c r="K667" s="240" t="n">
        <x:f>H667-J667</x:f>
        <x:v>0.005923805755487288</x:v>
      </x:c>
      <x:c r="L667" s="240" t="n">
        <x:f>I667-'Beta HC3'!$E$9</x:f>
        <x:v>0.0018886816889185291</x:v>
      </x:c>
      <x:c r="M667" s="240" t="n">
        <x:f>1/'Beta HC3'!$E$8+L667^2/'Beta HC3'!$E$11</x:f>
        <x:v>0.0008212062929977593</x:v>
      </x:c>
      <x:c r="N667" s="240" t="n">
        <x:f>K667^2/(1-M667)^2</x:f>
        <x:v>0.00003514918038109327</x:v>
      </x:c>
      <x:c r="O667" s="240" t="n">
        <x:f>N667*L667^2/'Beta HC3'!$E$11^2</x:f>
        <x:v>5.863372217381806e-9</x:v>
      </x:c>
      <x:c r="P667" s="240" t="n">
        <x:f>N667*(1/'Beta HC3'!$E$8-'Beta HC3'!$E$9*L667/'Beta HC3'!$E$11)^2</x:f>
        <x:v>2.1910454025341187e-11</x:v>
      </x:c>
      <x:c r="Q667" s="240" t="n">
        <x:f>N667*(1/'Beta HC3'!$E$8-'Beta HC3'!$E$9*L667/'Beta HC3'!$E$11)*L667/'Beta HC3'!$E$11</x:f>
        <x:v>3.5842593014792733e-10</x:v>
      </x:c>
      <x:c r="R667" s="240" t="n">
        <x:f>K667*L667/'Beta HC3'!$E$11</x:f>
        <x:v>0.00007650977777510037</x:v>
      </x:c>
      <x:c r="S667" s="240" t="n">
        <x:f>(K667-K666)^2</x:f>
        <x:v>0.000024755789800594438</x:v>
      </x:c>
      <x:c r="T667" s="280" t="n">
        <x:f>E667/$E$9*100</x:f>
        <x:v>148.99093495808702</x:v>
      </x:c>
    </x:row>
    <x:row r="668" ht="24" customHeight="1">
      <x:c r="C668" s="274" t="d">
        <x:v>2024-05-22T00:00:00.000Z</x:v>
      </x:c>
      <x:c r="D668" s="191" t="n">
        <x:v>430.5199890136719</x:v>
      </x:c>
      <x:c r="E668" s="191" t="n">
        <x:v>423.06231689453125</x:v>
      </x:c>
      <x:c r="F668" s="191" t="n">
        <x:v>529.8300170898438</x:v>
      </x:c>
      <x:c r="G668" s="191" t="n">
        <x:v>514.6348876953125</x:v>
      </x:c>
      <x:c r="H668" s="208" t="n">
        <x:f>E668/E667-1</x:f>
        <x:v>0.0034495213622627308</x:v>
      </x:c>
      <x:c r="I668" s="208" t="n">
        <x:f>G668/G667-1</x:f>
        <x:v>-0.0028793326873322034</x:v>
      </x:c>
      <x:c r="J668" s="208" t="n">
        <x:f>'Beta HC3'!$E$13+'Beta HC3'!$E$12*I668</x:f>
        <x:v>-0.003238213790339308</x:v>
      </x:c>
      <x:c r="K668" s="240" t="n">
        <x:f>H668-J668</x:f>
        <x:v>0.006687735152602039</x:v>
      </x:c>
      <x:c r="L668" s="240" t="n">
        <x:f>I668-'Beta HC3'!$E$9</x:f>
        <x:v>-0.0034432803049926426</x:v>
      </x:c>
      <x:c r="M668" s="240" t="n">
        <x:f>1/'Beta HC3'!$E$8+L668^2/'Beta HC3'!$E$11</x:f>
        <x:v>0.0008778905793474796</x:v>
      </x:c>
      <x:c r="N668" s="240" t="n">
        <x:f>K668^2/(1-M668)^2</x:f>
        <x:v>0.00004480443372149043</x:v>
      </x:c>
      <x:c r="O668" s="240" t="n">
        <x:f>N668*L668^2/'Beta HC3'!$E$11^2</x:f>
        <x:v>2.4841651937624e-8</x:v>
      </x:c>
      <x:c r="P668" s="240" t="n">
        <x:f>N668*(1/'Beta HC3'!$E$8-'Beta HC3'!$E$9*L668/'Beta HC3'!$E$11)^2</x:f>
        <x:v>2.9402855735668145e-11</x:v>
      </x:c>
      <x:c r="Q668" s="240" t="n">
        <x:f>N668*(1/'Beta HC3'!$E$8-'Beta HC3'!$E$9*L668/'Beta HC3'!$E$11)*L668/'Beta HC3'!$E$11</x:f>
        <x:v>-8.546434976980983e-10</x:v>
      </x:c>
      <x:c r="R668" s="240" t="n">
        <x:f>K668*L668/'Beta HC3'!$E$11</x:f>
        <x:v>-0.00015747398063953368</x:v>
      </x:c>
      <x:c r="S668" s="240" t="n">
        <x:f>(K668-K667)^2</x:f>
        <x:v>5.835881237761067e-7</x:v>
      </x:c>
      <x:c r="T668" s="280" t="n">
        <x:f>E668/$E$9*100</x:f>
        <x:v>149.50488237100842</x:v>
      </x:c>
    </x:row>
    <x:row r="669" ht="24" customHeight="1">
      <x:c r="C669" s="274" t="d">
        <x:v>2024-05-23T00:00:00.000Z</x:v>
      </x:c>
      <x:c r="D669" s="191" t="n">
        <x:v>427</x:v>
      </x:c>
      <x:c r="E669" s="191" t="n">
        <x:v>419.6033020019531</x:v>
      </x:c>
      <x:c r="F669" s="191" t="n">
        <x:v>525.9600219726562</x:v>
      </x:c>
      <x:c r="G669" s="191" t="n">
        <x:v>510.8758239746094</x:v>
      </x:c>
      <x:c r="H669" s="208" t="n">
        <x:f>E669/E668-1</x:f>
        <x:v>-0.008176135652943173</x:v>
      </x:c>
      <x:c r="I669" s="208" t="n">
        <x:f>G669/G668-1</x:f>
        <x:v>-0.007304331304737843</x:v>
      </x:c>
      <x:c r="J669" s="208" t="n">
        <x:f>'Beta HC3'!$E$13+'Beta HC3'!$E$12*I669</x:f>
        <x:v>-0.00822877915447207</x:v>
      </x:c>
      <x:c r="K669" s="240" t="n">
        <x:f>H669-J669</x:f>
        <x:v>0.00005264350152889806</x:v>
      </x:c>
      <x:c r="L669" s="240" t="n">
        <x:f>I669-'Beta HC3'!$E$9</x:f>
        <x:v>-0.007868278922398282</x:v>
      </x:c>
      <x:c r="M669" s="240" t="n">
        <x:f>1/'Beta HC3'!$E$8+L669^2/'Beta HC3'!$E$11</x:f>
        <x:v>0.0012201796045258266</x:v>
      </x:c>
      <x:c r="N669" s="240" t="n">
        <x:f>K669^2/(1-M669)^2</x:f>
        <x:v>2.778113712443039e-9</x:v>
      </x:c>
      <x:c r="O669" s="240" t="n">
        <x:f>N669*L669^2/'Beta HC3'!$E$11^2</x:f>
        <x:v>8.043114190371623e-12</x:v>
      </x:c>
      <x:c r="P669" s="240" t="n">
        <x:f>N669*(1/'Beta HC3'!$E$8-'Beta HC3'!$E$9*L669/'Beta HC3'!$E$11)^2</x:f>
        <x:v>1.9007538409366702e-15</x:v>
      </x:c>
      <x:c r="Q669" s="240" t="n">
        <x:f>N669*(1/'Beta HC3'!$E$8-'Beta HC3'!$E$9*L669/'Beta HC3'!$E$11)*L669/'Beta HC3'!$E$11</x:f>
        <x:v>-1.236445720217475e-13</x:v>
      </x:c>
      <x:c r="R669" s="240" t="n">
        <x:f>K669*L669/'Beta HC3'!$E$11</x:f>
        <x:v>-0.0000028325779914212236</x:v>
      </x:c>
      <x:c r="S669" s="240" t="n">
        <x:f>(K669-K668)^2</x:f>
        <x:v>0.0000440244412181405</x:v>
      </x:c>
      <x:c r="T669" s="280" t="n">
        <x:f>E669/$E$9*100</x:f>
        <x:v>148.28251017196575</x:v>
      </x:c>
    </x:row>
    <x:row r="670" ht="24" customHeight="1">
      <x:c r="C670" s="274" t="d">
        <x:v>2024-05-24T00:00:00.000Z</x:v>
      </x:c>
      <x:c r="D670" s="191" t="n">
        <x:v>430.1600036621094</x:v>
      </x:c>
      <x:c r="E670" s="191" t="n">
        <x:v>422.70855712890625</x:v>
      </x:c>
      <x:c r="F670" s="191" t="n">
        <x:v>529.4400024414062</x:v>
      </x:c>
      <x:c r="G670" s="191" t="n">
        <x:v>514.2561645507812</x:v>
      </x:c>
      <x:c r="H670" s="208" t="n">
        <x:f>E670/E669-1</x:f>
        <x:v>0.007400454458146077</x:v>
      </x:c>
      <x:c r="I670" s="208" t="n">
        <x:f>G670/G669-1</x:f>
        <x:v>0.0066167558094114565</x:v>
      </x:c>
      <x:c r="J670" s="208" t="n">
        <x:f>'Beta HC3'!$E$13+'Beta HC3'!$E$12*I670</x:f>
        <x:v>0.007471586244439807</x:v>
      </x:c>
      <x:c r="K670" s="240" t="n">
        <x:f>H670-J670</x:f>
        <x:v>-0.00007113178629372923</x:v>
      </x:c>
      <x:c r="L670" s="240" t="n">
        <x:f>I670-'Beta HC3'!$E$9</x:f>
        <x:v>0.006052808191751017</x:v>
      </x:c>
      <x:c r="M670" s="240" t="n">
        <x:f>1/'Beta HC3'!$E$8+L670^2/'Beta HC3'!$E$11</x:f>
        <x:v>0.0010473493521573388</x:v>
      </x:c>
      <x:c r="N670" s="240" t="n">
        <x:f>K670^2/(1-M670)^2</x:f>
        <x:v>5.0703463073080584e-9</x:v>
      </x:c>
      <x:c r="O670" s="240" t="n">
        <x:f>N670*L670^2/'Beta HC3'!$E$11^2</x:f>
        <x:v>8.68692694341881e-12</x:v>
      </x:c>
      <x:c r="P670" s="240" t="n">
        <x:f>N670*(1/'Beta HC3'!$E$8-'Beta HC3'!$E$9*L670/'Beta HC3'!$E$11)^2</x:f>
        <x:v>3.0333638556119614e-15</x:v>
      </x:c>
      <x:c r="Q670" s="240" t="n">
        <x:f>N670*(1/'Beta HC3'!$E$8-'Beta HC3'!$E$9*L670/'Beta HC3'!$E$11)*L670/'Beta HC3'!$E$11</x:f>
        <x:v>1.6232871035805192e-13</x:v>
      </x:c>
      <x:c r="R670" s="240" t="n">
        <x:f>K670*L670/'Beta HC3'!$E$11</x:f>
        <x:v>-0.0000029442724021138696</x:v>
      </x:c>
      <x:c r="S670" s="240" t="n">
        <x:f>(K670-K669)^2</x:f>
        <x:v>1.5320321875574226e-8</x:v>
      </x:c>
      <x:c r="T670" s="280" t="n">
        <x:f>E670/$E$9*100</x:f>
        <x:v>149.37986813543296</x:v>
      </x:c>
    </x:row>
    <x:row r="671" ht="24" customHeight="1">
      <x:c r="C671" s="274" t="d">
        <x:v>2024-05-28T00:00:00.000Z</x:v>
      </x:c>
      <x:c r="D671" s="191" t="n">
        <x:v>430.32000732421875</x:v>
      </x:c>
      <x:c r="E671" s="191" t="n">
        <x:v>422.8658142089844</x:v>
      </x:c>
      <x:c r="F671" s="191" t="n">
        <x:v>529.8099975585938</x:v>
      </x:c>
      <x:c r="G671" s="191" t="n">
        <x:v>514.6154174804688</x:v>
      </x:c>
      <x:c r="H671" s="208" t="n">
        <x:f>E671/E670-1</x:f>
        <x:v>0.0003720224666050598</x:v>
      </x:c>
      <x:c r="I671" s="208" t="n">
        <x:f>G671/G670-1</x:f>
        <x:v>0.0006985875025948829</x:v>
      </x:c>
      <x:c r="J671" s="208" t="n">
        <x:f>'Beta HC3'!$E$13+'Beta HC3'!$E$12*I671</x:f>
        <x:v>0.000797006583571282</x:v>
      </x:c>
      <x:c r="K671" s="240" t="n">
        <x:f>H671-J671</x:f>
        <x:v>-0.0004249841169662222</x:v>
      </x:c>
      <x:c r="L671" s="240" t="n">
        <x:f>I671-'Beta HC3'!$E$9</x:f>
        <x:v>0.00013463988493444352</x:v>
      </x:c>
      <x:c r="M671" s="240" t="n">
        <x:f>1/'Beta HC3'!$E$8+L671^2/'Beta HC3'!$E$11</x:f>
        <x:v>0.0007969367156425046</x:v>
      </x:c>
      <x:c r="N671" s="240" t="n">
        <x:f>K671^2/(1-M671)^2</x:f>
        <x:v>1.8089971603379276e-7</x:v>
      </x:c>
      <x:c r="O671" s="240" t="n">
        <x:f>N671*L671^2/'Beta HC3'!$E$11^2</x:f>
        <x:v>1.533557525731887e-13</x:v>
      </x:c>
      <x:c r="P671" s="240" t="n">
        <x:f>N671*(1/'Beta HC3'!$E$8-'Beta HC3'!$E$9*L671/'Beta HC3'!$E$11)^2</x:f>
        <x:v>1.1470549781384568e-13</x:v>
      </x:c>
      <x:c r="Q671" s="240" t="n">
        <x:f>N671*(1/'Beta HC3'!$E$8-'Beta HC3'!$E$9*L671/'Beta HC3'!$E$11)*L671/'Beta HC3'!$E$11</x:f>
        <x:v>1.3263011702296187e-13</x:v>
      </x:c>
      <x:c r="R671" s="240" t="n">
        <x:f>K671*L671/'Beta HC3'!$E$11</x:f>
        <x:v>-3.912945441877674e-7</x:v>
      </x:c>
      <x:c r="S671" s="240" t="n">
        <x:f>(K671-K670)^2</x:f>
        <x:v>1.252114719223553e-7</x:v>
      </x:c>
      <x:c r="T671" s="280" t="n">
        <x:f>E671/$E$9*100</x:f>
        <x:v>149.43544080243782</x:v>
      </x:c>
    </x:row>
    <x:row r="672" ht="24" customHeight="1">
      <x:c r="C672" s="274" t="d">
        <x:v>2024-05-29T00:00:00.000Z</x:v>
      </x:c>
      <x:c r="D672" s="191" t="n">
        <x:v>429.1700134277344</x:v>
      </x:c>
      <x:c r="E672" s="191" t="n">
        <x:v>421.73577880859375</x:v>
      </x:c>
      <x:c r="F672" s="191" t="n">
        <x:v>526.0999755859375</x:v>
      </x:c>
      <x:c r="G672" s="191" t="n">
        <x:v>511.0118103027344</x:v>
      </x:c>
      <x:c r="H672" s="208" t="n">
        <x:f>E672/E671-1</x:f>
        <x:v>-0.0026723262141785664</x:v>
      </x:c>
      <x:c r="I672" s="208" t="n">
        <x:f>G672/G671-1</x:f>
        <x:v>-0.007002524711322233</x:v>
      </x:c>
      <x:c r="J672" s="208" t="n">
        <x:f>'Beta HC3'!$E$13+'Beta HC3'!$E$12*I672</x:f>
        <x:v>-0.007888398136986033</x:v>
      </x:c>
      <x:c r="K672" s="240" t="n">
        <x:f>H672-J672</x:f>
        <x:v>0.005216071922807467</x:v>
      </x:c>
      <x:c r="L672" s="240" t="n">
        <x:f>I672-'Beta HC3'!$E$9</x:f>
        <x:v>-0.007566472328982673</x:v>
      </x:c>
      <x:c r="M672" s="240" t="n">
        <x:f>1/'Beta HC3'!$E$8+L672^2/'Beta HC3'!$E$11</x:f>
        <x:v>0.0011883240096559966</x:v>
      </x:c>
      <x:c r="N672" s="240" t="n">
        <x:f>K672^2/(1-M672)^2</x:f>
        <x:v>0.000027272184174970365</x:v>
      </x:c>
      <x:c r="O672" s="240" t="n">
        <x:f>N672*L672^2/'Beta HC3'!$E$11^2</x:f>
        <x:v>7.301658890587712e-8</x:v>
      </x:c>
      <x:c r="P672" s="240" t="n">
        <x:f>N672*(1/'Beta HC3'!$E$8-'Beta HC3'!$E$9*L672/'Beta HC3'!$E$11)^2</x:f>
        <x:v>1.8606843029233207e-11</x:v>
      </x:c>
      <x:c r="Q672" s="240" t="n">
        <x:f>N672*(1/'Beta HC3'!$E$8-'Beta HC3'!$E$9*L672/'Beta HC3'!$E$11)*L672/'Beta HC3'!$E$11</x:f>
        <x:v>-1.1655935004544708e-9</x:v>
      </x:c>
      <x:c r="R672" s="240" t="n">
        <x:f>K672*L672/'Beta HC3'!$E$11</x:f>
        <x:v>-0.0002698947151802365</x:v>
      </x:c>
      <x:c r="S672" s="240" t="n">
        <x:f>(K672-K671)^2</x:f>
        <x:v>0.00003182151324386721</x:v>
      </x:c>
      <x:c r="T672" s="280" t="n">
        <x:f>E672/$E$9*100</x:f>
        <x:v>149.03610055665416</x:v>
      </x:c>
    </x:row>
    <x:row r="673" ht="24" customHeight="1">
      <x:c r="C673" s="274" t="d">
        <x:v>2024-05-30T00:00:00.000Z</x:v>
      </x:c>
      <x:c r="D673" s="191" t="n">
        <x:v>414.6700134277344</x:v>
      </x:c>
      <x:c r="E673" s="191" t="n">
        <x:v>407.48687744140625</x:v>
      </x:c>
      <x:c r="F673" s="191" t="n">
        <x:v>522.6099853515625</x:v>
      </x:c>
      <x:c r="G673" s="191" t="n">
        <x:v>507.6219787597656</x:v>
      </x:c>
      <x:c r="H673" s="208" t="n">
        <x:f>E673/E672-1</x:f>
        <x:v>-0.03378632329332065</x:v>
      </x:c>
      <x:c r="I673" s="208" t="n">
        <x:f>G673/G672-1</x:f>
        <x:v>-0.006633567903177262</x:v>
      </x:c>
      <x:c r="J673" s="208" t="n">
        <x:f>'Beta HC3'!$E$13+'Beta HC3'!$E$12*I673</x:f>
        <x:v>-0.007472284319380182</x:v>
      </x:c>
      <x:c r="K673" s="240" t="n">
        <x:f>H673-J673</x:f>
        <x:v>-0.02631403897394047</x:v>
      </x:c>
      <x:c r="L673" s="240" t="n">
        <x:f>I673-'Beta HC3'!$E$9</x:f>
        <x:v>-0.007197515520837702</x:v>
      </x:c>
      <x:c r="M673" s="240" t="n">
        <x:f>1/'Beta HC3'!$E$8+L673^2/'Beta HC3'!$E$11</x:f>
        <x:v>0.0011510731268891071</x:v>
      </x:c>
      <x:c r="N673" s="240" t="n">
        <x:f>K673^2/(1-M673)^2</x:f>
        <x:v>0.0006940254757085082</x:v>
      </x:c>
      <x:c r="O673" s="240" t="n">
        <x:f>N673*L673^2/'Beta HC3'!$E$11^2</x:f>
        <x:v>0.0000016813392653029133</x:v>
      </x:c>
      <x:c r="P673" s="240" t="n">
        <x:f>N673*(1/'Beta HC3'!$E$8-'Beta HC3'!$E$9*L673/'Beta HC3'!$E$11)^2</x:f>
        <x:v>4.718789738284423e-10</x:v>
      </x:c>
      <x:c r="Q673" s="240" t="n">
        <x:f>N673*(1/'Beta HC3'!$E$8-'Beta HC3'!$E$9*L673/'Beta HC3'!$E$11)*L673/'Beta HC3'!$E$11</x:f>
        <x:v>-2.8167155468179703e-8</x:v>
      </x:c>
      <x:c r="R673" s="240" t="n">
        <x:f>K673*L673/'Beta HC3'!$E$11</x:f>
        <x:v>0.001295172113711127</x:v>
      </x:c>
      <x:c r="S673" s="240" t="n">
        <x:f>(K673-K672)^2</x:f>
        <x:v>0.0009941478931612233</x:v>
      </x:c>
      <x:c r="T673" s="280" t="n">
        <x:f>E673/$E$9*100</x:f>
        <x:v>144.0007186808712</x:v>
      </x:c>
    </x:row>
    <x:row r="674" ht="24" customHeight="1">
      <x:c r="C674" s="274" t="d">
        <x:v>2024-05-31T00:00:00.000Z</x:v>
      </x:c>
      <x:c r="D674" s="191" t="n">
        <x:v>415.1300048828125</x:v>
      </x:c>
      <x:c r="E674" s="191" t="n">
        <x:v>407.93890380859375</x:v>
      </x:c>
      <x:c r="F674" s="191" t="n">
        <x:v>527.3699951171875</x:v>
      </x:c>
      <x:c r="G674" s="191" t="n">
        <x:v>512.245361328125</x:v>
      </x:c>
      <x:c r="H674" s="208" t="n">
        <x:f>E674/E673-1</x:f>
        <x:v>0.0011093028811768324</x:v>
      </x:c>
      <x:c r="I674" s="208" t="n">
        <x:f>G674/G673-1</x:f>
        <x:v>0.009107924325214123</x:v>
      </x:c>
      <x:c r="J674" s="208" t="n">
        <x:f>'Beta HC3'!$E$13+'Beta HC3'!$E$12*I674</x:f>
        <x:v>0.01028115532820866</x:v>
      </x:c>
      <x:c r="K674" s="240" t="n">
        <x:f>H674-J674</x:f>
        <x:v>-0.009171852447031828</x:v>
      </x:c>
      <x:c r="L674" s="240" t="n">
        <x:f>I674-'Beta HC3'!$E$9</x:f>
        <x:v>0.008543976707553684</x:v>
      </x:c>
      <x:c r="M674" s="240" t="n">
        <x:f>1/'Beta HC3'!$E$8+L674^2/'Beta HC3'!$E$11</x:f>
        <x:v>0.001296016078024554</x:v>
      </x:c>
      <x:c r="N674" s="240" t="n">
        <x:f>K674^2/(1-M674)^2</x:f>
        <x:v>0.0000843413511397649</x:v>
      </x:c>
      <x:c r="O674" s="240" t="n">
        <x:f>N674*L674^2/'Beta HC3'!$E$11^2</x:f>
        <x:v>2.8792235663554737e-7</x:v>
      </x:c>
      <x:c r="P674" s="240" t="n">
        <x:f>N674*(1/'Beta HC3'!$E$8-'Beta HC3'!$E$9*L674/'Beta HC3'!$E$11)^2</x:f>
        <x:v>4.9212015381544706e-11</x:v>
      </x:c>
      <x:c r="Q674" s="240" t="n">
        <x:f>N674*(1/'Beta HC3'!$E$8-'Beta HC3'!$E$9*L674/'Beta HC3'!$E$11)*L674/'Beta HC3'!$E$11</x:f>
        <x:v>3.764205021440671e-9</x:v>
      </x:c>
      <x:c r="R674" s="240" t="n">
        <x:f>K674*L674/'Beta HC3'!$E$11</x:f>
        <x:v>-0.000535888548337897</x:v>
      </x:c>
      <x:c r="S674" s="240" t="n">
        <x:f>(K674-K673)^2</x:f>
        <x:v>0.00029385455892332827</x:v>
      </x:c>
      <x:c r="T674" s="280" t="n">
        <x:f>E674/$E$9*100</x:f>
        <x:v>144.1604590929954</x:v>
      </x:c>
    </x:row>
    <x:row r="675" ht="24" customHeight="1">
      <x:c r="C675" s="274" t="d">
        <x:v>2024-06-03T00:00:00.000Z</x:v>
      </x:c>
      <x:c r="D675" s="191" t="n">
        <x:v>413.5199890136719</x:v>
      </x:c>
      <x:c r="E675" s="191" t="n">
        <x:v>406.35675048828125</x:v>
      </x:c>
      <x:c r="F675" s="191" t="n">
        <x:v>527.7999877929688</x:v>
      </x:c>
      <x:c r="G675" s="191" t="n">
        <x:v>512.6630249023438</x:v>
      </x:c>
      <x:c r="H675" s="208" t="n">
        <x:f>E675/E674-1</x:f>
        <x:v>-0.003878407539808615</x:v>
      </x:c>
      <x:c r="I675" s="208" t="n">
        <x:f>G675/G674-1</x:f>
        <x:v>0.0008153584312327045</x:v>
      </x:c>
      <x:c r="J675" s="208" t="n">
        <x:f>'Beta HC3'!$E$13+'Beta HC3'!$E$12*I675</x:f>
        <x:v>0.0009287022070919955</x:v>
      </x:c>
      <x:c r="K675" s="240" t="n">
        <x:f>H675-J675</x:f>
        <x:v>-0.00480710974690061</x:v>
      </x:c>
      <x:c r="L675" s="240" t="n">
        <x:f>I675-'Beta HC3'!$E$9</x:f>
        <x:v>0.0002514108135722651</x:v>
      </x:c>
      <x:c r="M675" s="240" t="n">
        <x:f>1/'Beta HC3'!$E$8+L675^2/'Beta HC3'!$E$11</x:f>
        <x:v>0.0007972449893162515</x:v>
      </x:c>
      <x:c r="N675" s="240" t="n">
        <x:f>K675^2/(1-M675)^2</x:f>
        <x:v>0.00002314519418785735</x:v>
      </x:c>
      <x:c r="O675" s="240" t="n">
        <x:f>N675*L675^2/'Beta HC3'!$E$11^2</x:f>
        <x:v>6.841375980693816e-11</x:v>
      </x:c>
      <x:c r="P675" s="240" t="n">
        <x:f>N675*(1/'Beta HC3'!$E$8-'Beta HC3'!$E$9*L675/'Beta HC3'!$E$11)^2</x:f>
        <x:v>1.4659387448107573e-11</x:v>
      </x:c>
      <x:c r="Q675" s="240" t="n">
        <x:f>N675*(1/'Beta HC3'!$E$8-'Beta HC3'!$E$9*L675/'Beta HC3'!$E$11)*L675/'Beta HC3'!$E$11</x:f>
        <x:v>3.166865661488778e-11</x:v>
      </x:c>
      <x:c r="R675" s="240" t="n">
        <x:f>K675*L675/'Beta HC3'!$E$11</x:f>
        <x:v>-0.000008264666855734836</x:v>
      </x:c>
      <x:c r="S675" s="240" t="n">
        <x:f>(K675-K674)^2</x:f>
        <x:v>0.00001905097883834875</x:v>
      </x:c>
      <x:c r="T675" s="280" t="n">
        <x:f>E675/$E$9*100</x:f>
        <x:v>143.60134608150688</x:v>
      </x:c>
    </x:row>
    <x:row r="676" ht="24" customHeight="1">
      <x:c r="C676" s="274" t="d">
        <x:v>2024-06-04T00:00:00.000Z</x:v>
      </x:c>
      <x:c r="D676" s="191" t="n">
        <x:v>416.07000732421875</x:v>
      </x:c>
      <x:c r="E676" s="191" t="n">
        <x:v>408.86260986328125</x:v>
      </x:c>
      <x:c r="F676" s="191" t="n">
        <x:v>528.3900146484375</x:v>
      </x:c>
      <x:c r="G676" s="191" t="n">
        <x:v>513.2361450195312</x:v>
      </x:c>
      <x:c r="H676" s="208" t="n">
        <x:f>E676/E675-1</x:f>
        <x:v>0.006166648817791165</x:v>
      </x:c>
      <x:c r="I676" s="208" t="n">
        <x:f>G676/G675-1</x:f>
        <x:v>0.0011179275456751903</x:v>
      </x:c>
      <x:c r="J676" s="208" t="n">
        <x:f>'Beta HC3'!$E$13+'Beta HC3'!$E$12*I676</x:f>
        <x:v>0.0012699432047396497</x:v>
      </x:c>
      <x:c r="K676" s="240" t="n">
        <x:f>H676-J676</x:f>
        <x:v>0.004896705613051515</x:v>
      </x:c>
      <x:c r="L676" s="240" t="n">
        <x:f>I676-'Beta HC3'!$E$9</x:f>
        <x:v>0.0005539799280147509</x:v>
      </x:c>
      <x:c r="M676" s="240" t="n">
        <x:f>1/'Beta HC3'!$E$8+L676^2/'Beta HC3'!$E$11</x:f>
        <x:v>0.0007989114251218021</x:v>
      </x:c>
      <x:c r="N676" s="240" t="n">
        <x:f>K676^2/(1-M676)^2</x:f>
        <x:v>0.00002401608398015416</x:v>
      </x:c>
      <x:c r="O676" s="240" t="n">
        <x:f>N676*L676^2/'Beta HC3'!$E$11^2</x:f>
        <x:v>3.4467118349727015e-10</x:v>
      </x:c>
      <x:c r="P676" s="240" t="n">
        <x:f>N676*(1/'Beta HC3'!$E$8-'Beta HC3'!$E$9*L676/'Beta HC3'!$E$11)^2</x:f>
        <x:v>1.5166407769544178e-11</x:v>
      </x:c>
      <x:c r="Q676" s="240" t="n">
        <x:f>N676*(1/'Beta HC3'!$E$8-'Beta HC3'!$E$9*L676/'Beta HC3'!$E$11)*L676/'Beta HC3'!$E$11</x:f>
        <x:v>7.23009247197502e-11</x:v>
      </x:c>
      <x:c r="R676" s="240" t="n">
        <x:f>K676*L676/'Beta HC3'!$E$11</x:f>
        <x:v>0.000018550490020322994</x:v>
      </x:c>
      <x:c r="S676" s="240" t="n">
        <x:f>(K676-K675)^2</x:f>
        <x:v>0.00009416403254004278</x:v>
      </x:c>
      <x:c r="T676" s="280" t="n">
        <x:f>E676/$E$9*100</x:f>
        <x:v>144.4868851525536</x:v>
      </x:c>
    </x:row>
    <x:row r="677" ht="24" customHeight="1">
      <x:c r="C677" s="274" t="d">
        <x:v>2024-06-05T00:00:00.000Z</x:v>
      </x:c>
      <x:c r="D677" s="191" t="n">
        <x:v>424.010009765625</x:v>
      </x:c>
      <x:c r="E677" s="191" t="n">
        <x:v>416.66510009765625</x:v>
      </x:c>
      <x:c r="F677" s="191" t="n">
        <x:v>534.6699829101562</x:v>
      </x:c>
      <x:c r="G677" s="191" t="n">
        <x:v>519.3359985351562</x:v>
      </x:c>
      <x:c r="H677" s="208" t="n">
        <x:f>E677/E676-1</x:f>
        <x:v>0.01908340368170136</x:v>
      </x:c>
      <x:c r="I677" s="208" t="n">
        <x:f>G677/G676-1</x:f>
        <x:v>0.011885081701314748</x:v>
      </x:c>
      <x:c r="J677" s="208" t="n">
        <x:f>'Beta HC3'!$E$13+'Beta HC3'!$E$12*I677</x:f>
        <x:v>0.013413266004446435</x:v>
      </x:c>
      <x:c r="K677" s="240" t="n">
        <x:f>H677-J677</x:f>
        <x:v>0.005670137677254926</x:v>
      </x:c>
      <x:c r="L677" s="240" t="n">
        <x:f>I677-'Beta HC3'!$E$9</x:f>
        <x:v>0.01132113408365431</x:v>
      </x:c>
      <x:c r="M677" s="240" t="n">
        <x:f>1/'Beta HC3'!$E$8+L677^2/'Beta HC3'!$E$11</x:f>
        <x:v>0.0016732831001021688</x:v>
      </x:c>
      <x:c r="N677" s="240" t="n">
        <x:f>K677^2/(1-M677)^2</x:f>
        <x:v>0.000032258325581770686</x:v>
      </x:c>
      <x:c r="O677" s="240" t="n">
        <x:f>N677*L677^2/'Beta HC3'!$E$11^2</x:f>
        <x:v>1.93346543213133e-7</x:v>
      </x:c>
      <x:c r="P677" s="240" t="n">
        <x:f>N677*(1/'Beta HC3'!$E$8-'Beta HC3'!$E$9*L677/'Beta HC3'!$E$11)^2</x:f>
        <x:v>1.829817100360828e-11</x:v>
      </x:c>
      <x:c r="Q677" s="240" t="n">
        <x:f>N677*(1/'Beta HC3'!$E$8-'Beta HC3'!$E$9*L677/'Beta HC3'!$E$11)*L677/'Beta HC3'!$E$11</x:f>
        <x:v>1.8809274602361587e-9</x:v>
      </x:c>
      <x:c r="R677" s="240" t="n">
        <x:f>K677*L677/'Beta HC3'!$E$11</x:f>
        <x:v>0.00043897612412647233</x:v>
      </x:c>
      <x:c r="S677" s="240" t="n">
        <x:f>(K677-K676)^2</x:f>
        <x:v>5.981971579379491e-7</x:v>
      </x:c>
      <x:c r="T677" s="280" t="n">
        <x:f>E677/$E$9*100</x:f>
        <x:v>147.24418670863142</x:v>
      </x:c>
    </x:row>
    <x:row r="678" ht="24" customHeight="1">
      <x:c r="C678" s="274" t="d">
        <x:v>2024-06-06T00:00:00.000Z</x:v>
      </x:c>
      <x:c r="D678" s="191" t="n">
        <x:v>424.5199890136719</x:v>
      </x:c>
      <x:c r="E678" s="191" t="n">
        <x:v>417.1662292480469</x:v>
      </x:c>
      <x:c r="F678" s="191" t="n">
        <x:v>534.6599731445312</x:v>
      </x:c>
      <x:c r="G678" s="191" t="n">
        <x:v>519.3263549804688</x:v>
      </x:c>
      <x:c r="H678" s="208" t="n">
        <x:f>E678/E677-1</x:f>
        <x:v>0.0012027144828621328</x:v>
      </x:c>
      <x:c r="I678" s="208" t="n">
        <x:f>G678/G677-1</x:f>
        <x:v>-0.00001856900872398981</x:v>
      </x:c>
      <x:c r="J678" s="208" t="n">
        <x:f>'Beta HC3'!$E$13+'Beta HC3'!$E$12*I678</x:f>
        <x:v>-0.00001181094508788289</x:v>
      </x:c>
      <x:c r="K678" s="240" t="n">
        <x:f>H678-J678</x:f>
        <x:v>0.0012145254279500156</x:v>
      </x:c>
      <x:c r="L678" s="240" t="n">
        <x:f>I678-'Beta HC3'!$E$9</x:f>
        <x:v>-0.0005825166263844292</x:v>
      </x:c>
      <x:c r="M678" s="240" t="n">
        <x:f>1/'Beta HC3'!$E$8+L678^2/'Beta HC3'!$E$11</x:f>
        <x:v>0.0007991332086099247</x:v>
      </x:c>
      <x:c r="N678" s="240" t="n">
        <x:f>K678^2/(1-M678)^2</x:f>
        <x:v>0.0000014774324022205037</x:v>
      </x:c>
      <x:c r="O678" s="240" t="n">
        <x:f>N678*L678^2/'Beta HC3'!$E$11^2</x:f>
        <x:v>2.3444393039921308e-11</x:v>
      </x:c>
      <x:c r="P678" s="240" t="n">
        <x:f>N678*(1/'Beta HC3'!$E$8-'Beta HC3'!$E$9*L678/'Beta HC3'!$E$11)^2</x:f>
        <x:v>9.43334187306492e-13</x:v>
      </x:c>
      <x:c r="Q678" s="240" t="n">
        <x:f>N678*(1/'Beta HC3'!$E$8-'Beta HC3'!$E$9*L678/'Beta HC3'!$E$11)*L678/'Beta HC3'!$E$11</x:f>
        <x:v>-4.702754241421526e-12</x:v>
      </x:c>
      <x:c r="R678" s="240" t="n">
        <x:f>K678*L678/'Beta HC3'!$E$11</x:f>
        <x:v>-0.000004838071684645487</x:v>
      </x:c>
      <x:c r="S678" s="240" t="n">
        <x:f>(K678-K677)^2</x:f>
        <x:v>0.00001985248051615596</x:v>
      </x:c>
      <x:c r="T678" s="280" t="n">
        <x:f>E678/$E$9*100</x:f>
        <x:v>147.42127942450313</x:v>
      </x:c>
    </x:row>
    <x:row r="679" ht="24" customHeight="1">
      <x:c r="C679" s="274" t="d">
        <x:v>2024-06-07T00:00:00.000Z</x:v>
      </x:c>
      <x:c r="D679" s="191" t="n">
        <x:v>423.8500061035156</x:v>
      </x:c>
      <x:c r="E679" s="191" t="n">
        <x:v>416.50787353515625</x:v>
      </x:c>
      <x:c r="F679" s="191" t="n">
        <x:v>534.010009765625</x:v>
      </x:c>
      <x:c r="G679" s="191" t="n">
        <x:v>518.6950073242188</x:v>
      </x:c>
      <x:c r="H679" s="208" t="n">
        <x:f>E679/E678-1</x:f>
        <x:v>-0.0015781615738102994</x:v>
      </x:c>
      <x:c r="I679" s="208" t="n">
        <x:f>G679/G678-1</x:f>
        <x:v>-0.0012157050190024776</x:v>
      </x:c>
      <x:c r="J679" s="208" t="n">
        <x:f>'Beta HC3'!$E$13+'Beta HC3'!$E$12*I679</x:f>
        <x:v>-0.001361954984806174</x:v>
      </x:c>
      <x:c r="K679" s="240" t="n">
        <x:f>H679-J679</x:f>
        <x:v>-0.00021620658900412546</x:v>
      </x:c>
      <x:c r="L679" s="240" t="n">
        <x:f>I679-'Beta HC3'!$E$9</x:f>
        <x:v>-0.0017796526366629169</x:v>
      </x:c>
      <x:c r="M679" s="240" t="n">
        <x:f>1/'Beta HC3'!$E$8+L679^2/'Beta HC3'!$E$11</x:f>
        <x:v>0.0008184712226067543</x:v>
      </x:c>
      <x:c r="N679" s="240" t="n">
        <x:f>K679^2/(1-M679)^2</x:f>
        <x:v>4.682190252263874e-8</x:v>
      </x:c>
      <x:c r="O679" s="240" t="n">
        <x:f>N679*L679^2/'Beta HC3'!$E$11^2</x:f>
        <x:v>6.934805165902218e-12</x:v>
      </x:c>
      <x:c r="P679" s="240" t="n">
        <x:f>N679*(1/'Beta HC3'!$E$8-'Beta HC3'!$E$9*L679/'Beta HC3'!$E$11)^2</x:f>
        <x:v>3.024203978978855e-14</x:v>
      </x:c>
      <x:c r="Q679" s="240" t="n">
        <x:f>N679*(1/'Beta HC3'!$E$8-'Beta HC3'!$E$9*L679/'Beta HC3'!$E$11)*L679/'Beta HC3'!$E$11</x:f>
        <x:v>-4.579548599607237e-13</x:v>
      </x:c>
      <x:c r="R679" s="240" t="n">
        <x:f>K679*L679/'Beta HC3'!$E$11</x:f>
        <x:v>0.0000026312464602482902</x:v>
      </x:c>
      <x:c r="S679" s="240" t="n">
        <x:f>(K679-K678)^2</x:f>
        <x:v>0.000002046994104337665</x:v>
      </x:c>
      <x:c r="T679" s="280" t="n">
        <x:f>E679/$E$9*100</x:f>
        <x:v>147.18862482615341</x:v>
      </x:c>
    </x:row>
    <x:row r="680" ht="24" customHeight="1">
      <x:c r="C680" s="274" t="d">
        <x:v>2024-06-10T00:00:00.000Z</x:v>
      </x:c>
      <x:c r="D680" s="191" t="n">
        <x:v>427.8699951171875</x:v>
      </x:c>
      <x:c r="E680" s="191" t="n">
        <x:v>420.45819091796875</x:v>
      </x:c>
      <x:c r="F680" s="191" t="n">
        <x:v>535.6599731445312</x:v>
      </x:c>
      <x:c r="G680" s="191" t="n">
        <x:v>520.2976684570312</x:v>
      </x:c>
      <x:c r="H680" s="208" t="n">
        <x:f>E680/E679-1</x:f>
        <x:v>0.009484376247881565</x:v>
      </x:c>
      <x:c r="I680" s="208" t="n">
        <x:f>G680/G679-1</x:f>
        <x:v>0.0030897947930521585</x:v>
      </x:c>
      <x:c r="J680" s="208" t="n">
        <x:f>'Beta HC3'!$E$13+'Beta HC3'!$E$12*I680</x:f>
        <x:v>0.0034938382244395407</x:v>
      </x:c>
      <x:c r="K680" s="240" t="n">
        <x:f>H680-J680</x:f>
        <x:v>0.0059905380234420245</x:v>
      </x:c>
      <x:c r="L680" s="240" t="n">
        <x:f>I680-'Beta HC3'!$E$9</x:f>
        <x:v>0.0025258471753917193</x:v>
      </x:c>
      <x:c r="M680" s="240" t="n">
        <x:f>1/'Beta HC3'!$E$8+L680^2/'Beta HC3'!$E$11</x:f>
        <x:v>0.0008404413716028356</x:v>
      </x:c>
      <x:c r="N680" s="240" t="n">
        <x:f>K680^2/(1-M680)^2</x:f>
        <x:v>0.0000359469430156659</x:v>
      </x:c>
      <x:c r="O680" s="240" t="n">
        <x:f>N680*L680^2/'Beta HC3'!$E$11^2</x:f>
        <x:v>1.0724840120165066e-8</x:v>
      </x:c>
      <x:c r="P680" s="240" t="n">
        <x:f>N680*(1/'Beta HC3'!$E$8-'Beta HC3'!$E$9*L680/'Beta HC3'!$E$11)^2</x:f>
        <x:v>2.226848236557752e-11</x:v>
      </x:c>
      <x:c r="Q680" s="240" t="n">
        <x:f>N680*(1/'Beta HC3'!$E$8-'Beta HC3'!$E$9*L680/'Beta HC3'!$E$11)*L680/'Beta HC3'!$E$11</x:f>
        <x:v>4.886981819994157e-10</x:v>
      </x:c>
      <x:c r="R680" s="240" t="n">
        <x:f>K680*L680/'Beta HC3'!$E$11</x:f>
        <x:v>0.00010347376719190827</x:v>
      </x:c>
      <x:c r="S680" s="240" t="n">
        <x:f>(K680-K679)^2</x:f>
        <x:v>0.000038523678684129306</x:v>
      </x:c>
      <x:c r="T680" s="280" t="n">
        <x:f>E680/$E$9*100</x:f>
        <x:v>148.58461712341295</x:v>
      </x:c>
    </x:row>
    <x:row r="681" ht="24" customHeight="1">
      <x:c r="C681" s="274" t="d">
        <x:v>2024-06-11T00:00:00.000Z</x:v>
      </x:c>
      <x:c r="D681" s="191" t="n">
        <x:v>432.67999267578125</x:v>
      </x:c>
      <x:c r="E681" s="191" t="n">
        <x:v>425.1849060058594</x:v>
      </x:c>
      <x:c r="F681" s="191" t="n">
        <x:v>536.9500122070312</x:v>
      </x:c>
      <x:c r="G681" s="191" t="n">
        <x:v>521.5507202148438</x:v>
      </x:c>
      <x:c r="H681" s="208" t="n">
        <x:f>E681/E680-1</x:f>
        <x:v>0.011241819495943162</x:v>
      </x:c>
      <x:c r="I681" s="208" t="n">
        <x:f>G681/G680-1</x:f>
        <x:v>0.0024083362924314233</x:v>
      </x:c>
      <x:c r="J681" s="208" t="n">
        <x:f>'Beta HC3'!$E$13+'Beta HC3'!$E$12*I681</x:f>
        <x:v>0.002725281331130137</x:v>
      </x:c>
      <x:c r="K681" s="240" t="n">
        <x:f>H681-J681</x:f>
        <x:v>0.008516538164813025</x:v>
      </x:c>
      <x:c r="L681" s="240" t="n">
        <x:f>I681-'Beta HC3'!$E$9</x:f>
        <x:v>0.001844388674770984</x:v>
      </x:c>
      <x:c r="M681" s="240" t="n">
        <x:f>1/'Beta HC3'!$E$8+L681^2/'Beta HC3'!$E$11</x:f>
        <x:v>0.0008200755633684964</x:v>
      </x:c>
      <x:c r="N681" s="240" t="n">
        <x:f>K681^2/(1-M681)^2</x:f>
        <x:v>0.00007265053130427274</x:v>
      </x:c>
      <x:c r="O681" s="240" t="n">
        <x:f>N681*L681^2/'Beta HC3'!$E$11^2</x:f>
        <x:v>1.1557353875574279e-8</x:v>
      </x:c>
      <x:c r="P681" s="240" t="n">
        <x:f>N681*(1/'Beta HC3'!$E$8-'Beta HC3'!$E$9*L681/'Beta HC3'!$E$11)^2</x:f>
        <x:v>4.530674593052126e-11</x:v>
      </x:c>
      <x:c r="Q681" s="240" t="n">
        <x:f>N681*(1/'Beta HC3'!$E$8-'Beta HC3'!$E$9*L681/'Beta HC3'!$E$11)*L681/'Beta HC3'!$E$11</x:f>
        <x:v>7.236201321617366e-10</x:v>
      </x:c>
      <x:c r="R681" s="240" t="n">
        <x:f>K681*L681/'Beta HC3'!$E$11</x:f>
        <x:v>0.00010741697184891318</x:v>
      </x:c>
      <x:c r="S681" s="240" t="n">
        <x:f>(K681-K680)^2</x:f>
        <x:v>0.000006380676714206314</x:v>
      </x:c>
      <x:c r="T681" s="280" t="n">
        <x:f>E681/$E$9*100</x:f>
        <x:v>150.2549785689882</x:v>
      </x:c>
    </x:row>
    <x:row r="682" ht="24" customHeight="1">
      <x:c r="C682" s="274" t="d">
        <x:v>2024-06-12T00:00:00.000Z</x:v>
      </x:c>
      <x:c r="D682" s="191" t="n">
        <x:v>441.05999755859375</x:v>
      </x:c>
      <x:c r="E682" s="191" t="n">
        <x:v>433.4197998046875</x:v>
      </x:c>
      <x:c r="F682" s="191" t="n">
        <x:v>541.3599853515625</x:v>
      </x:c>
      <x:c r="G682" s="191" t="n">
        <x:v>525.8341674804688</x:v>
      </x:c>
      <x:c r="H682" s="208" t="n">
        <x:f>E682/E681-1</x:f>
        <x:v>0.019367794299627983</x:v>
      </x:c>
      <x:c r="I682" s="208" t="n">
        <x:f>G682/G681-1</x:f>
        <x:v>0.00821290643383743</x:v>
      </x:c>
      <x:c r="J682" s="208" t="n">
        <x:f>'Beta HC3'!$E$13+'Beta HC3'!$E$12*I682</x:f>
        <x:v>0.0092717436480752</x:v>
      </x:c>
      <x:c r="K682" s="240" t="n">
        <x:f>H682-J682</x:f>
        <x:v>0.010096050651552783</x:v>
      </x:c>
      <x:c r="L682" s="240" t="n">
        <x:f>I682-'Beta HC3'!$E$9</x:f>
        <x:v>0.0076489588161769905</x:v>
      </x:c>
      <x:c r="M682" s="240" t="n">
        <x:f>1/'Beta HC3'!$E$8+L682^2/'Beta HC3'!$E$11</x:f>
        <x:v>0.0011969067195562475</x:v>
      </x:c>
      <x:c r="N682" s="240" t="n">
        <x:f>K682^2/(1-M682)^2</x:f>
        <x:v>0.0001021746795056728</x:v>
      </x:c>
      <x:c r="O682" s="240" t="n">
        <x:f>N682*L682^2/'Beta HC3'!$E$11^2</x:f>
        <x:v>2.795520311719024e-7</x:v>
      </x:c>
      <x:c r="P682" s="240" t="n">
        <x:f>N682*(1/'Beta HC3'!$E$8-'Beta HC3'!$E$9*L682/'Beta HC3'!$E$11)^2</x:f>
        <x:v>6.015752002733326e-11</x:v>
      </x:c>
      <x:c r="Q682" s="240" t="n">
        <x:f>N682*(1/'Beta HC3'!$E$8-'Beta HC3'!$E$9*L682/'Beta HC3'!$E$11)*L682/'Beta HC3'!$E$11</x:f>
        <x:v>4.1008727014996956e-9</x:v>
      </x:c>
      <x:c r="R682" s="240" t="n">
        <x:f>K682*L682/'Beta HC3'!$E$11</x:f>
        <x:v>0.0005280939653555917</x:v>
      </x:c>
      <x:c r="S682" s="240" t="n">
        <x:f>(K682-K681)^2</x:f>
        <x:v>0.0000024948596957668135</x:v>
      </x:c>
      <x:c r="T682" s="280" t="n">
        <x:f>E682/$E$9*100</x:f>
        <x:v>153.16508608640734</x:v>
      </x:c>
    </x:row>
    <x:row r="683" ht="24" customHeight="1">
      <x:c r="C683" s="274" t="d">
        <x:v>2024-06-13T00:00:00.000Z</x:v>
      </x:c>
      <x:c r="D683" s="191" t="n">
        <x:v>441.5799865722656</x:v>
      </x:c>
      <x:c r="E683" s="191" t="n">
        <x:v>433.9306945800781</x:v>
      </x:c>
      <x:c r="F683" s="191" t="n">
        <x:v>542.4500122070312</x:v>
      </x:c>
      <x:c r="G683" s="191" t="n">
        <x:v>526.8928833007812</x:v>
      </x:c>
      <x:c r="H683" s="208" t="n">
        <x:f>E683/E682-1</x:f>
        <x:v>0.001178752737232669</x:v>
      </x:c>
      <x:c r="I683" s="208" t="n">
        <x:f>G683/G682-1</x:f>
        <x:v>0.002013402486539251</x:v>
      </x:c>
      <x:c r="J683" s="208" t="n">
        <x:f>'Beta HC3'!$E$13+'Beta HC3'!$E$12*I683</x:f>
        <x:v>0.0022798703506480317</x:v>
      </x:c>
      <x:c r="K683" s="240" t="n">
        <x:f>H683-J683</x:f>
        <x:v>-0.0011011176134153628</x:v>
      </x:c>
      <x:c r="L683" s="240" t="n">
        <x:f>I683-'Beta HC3'!$E$9</x:f>
        <x:v>0.0014494548688788115</x:v>
      </x:c>
      <x:c r="M683" s="240" t="n">
        <x:f>1/'Beta HC3'!$E$8+L683^2/'Beta HC3'!$E$11</x:f>
        <x:v>0.0008111797709874275</x:v>
      </x:c>
      <x:c r="N683" s="240" t="n">
        <x:f>K683^2/(1-M683)^2</x:f>
        <x:v>0.0000012144294406547466</x:v>
      </x:c>
      <x:c r="O683" s="240" t="n">
        <x:f>N683*L683^2/'Beta HC3'!$E$11^2</x:f>
        <x:v>1.1931537339843439e-10</x:v>
      </x:c>
      <x:c r="P683" s="240" t="n">
        <x:f>N683*(1/'Beta HC3'!$E$8-'Beta HC3'!$E$9*L683/'Beta HC3'!$E$11)^2</x:f>
        <x:v>7.602737102624249e-13</x:v>
      </x:c>
      <x:c r="Q683" s="240" t="n">
        <x:f>N683*(1/'Beta HC3'!$E$8-'Beta HC3'!$E$9*L683/'Beta HC3'!$E$11)*L683/'Beta HC3'!$E$11</x:f>
        <x:v>9.524302684447525e-12</x:v>
      </x:c>
      <x:c r="R683" s="240" t="n">
        <x:f>K683*L683/'Beta HC3'!$E$11</x:f>
        <x:v>-0.000010914297021563904</x:v>
      </x:c>
      <x:c r="S683" s="240" t="n">
        <x:f>(K683-K682)^2</x:f>
        <x:v>0.00012537657715400974</x:v>
      </x:c>
      <x:c r="T683" s="280" t="n">
        <x:f>E683/$E$9*100</x:f>
        <x:v>153.3456298508802</x:v>
      </x:c>
    </x:row>
    <x:row r="684" ht="24" customHeight="1">
      <x:c r="C684" s="274" t="d">
        <x:v>2024-06-14T00:00:00.000Z</x:v>
      </x:c>
      <x:c r="D684" s="191" t="n">
        <x:v>442.57000732421875</x:v>
      </x:c>
      <x:c r="E684" s="191" t="n">
        <x:v>434.9035949707031</x:v>
      </x:c>
      <x:c r="F684" s="191" t="n">
        <x:v>542.780029296875</x:v>
      </x:c>
      <x:c r="G684" s="191" t="n">
        <x:v>527.2135620117188</x:v>
      </x:c>
      <x:c r="H684" s="208" t="n">
        <x:f>E684/E683-1</x:f>
        <x:v>0.0022420640041758144</x:v>
      </x:c>
      <x:c r="I684" s="208" t="n">
        <x:f>G684/G683-1</x:f>
        <x:v>0.0006086222097527738</x:v>
      </x:c>
      <x:c r="J684" s="208" t="n">
        <x:f>'Beta HC3'!$E$13+'Beta HC3'!$E$12*I684</x:f>
        <x:v>0.0006955426706412652</x:v>
      </x:c>
      <x:c r="K684" s="240" t="n">
        <x:f>H684-J684</x:f>
        <x:v>0.0015465213335345493</x:v>
      </x:c>
      <x:c r="L684" s="240" t="n">
        <x:f>I684-'Beta HC3'!$E$9</x:f>
        <x:v>0.000044674592092334444</x:v>
      </x:c>
      <x:c r="M684" s="240" t="n">
        <x:f>1/'Beta HC3'!$E$8+L684^2/'Beta HC3'!$E$11</x:f>
        <x:v>0.0007968263973037634</x:v>
      </x:c>
      <x:c r="N684" s="240" t="n">
        <x:f>K684^2/(1-M684)^2</x:f>
        <x:v>0.0000023955443800648563</x:v>
      </x:c>
      <x:c r="O684" s="240" t="n">
        <x:f>N684*L684^2/'Beta HC3'!$E$11^2</x:f>
        <x:v>2.2358369826804153e-13</x:v>
      </x:c>
      <x:c r="P684" s="240" t="n">
        <x:f>N684*(1/'Beta HC3'!$E$8-'Beta HC3'!$E$9*L684/'Beta HC3'!$E$11)^2</x:f>
        <x:v>1.5202987583751223e-12</x:v>
      </x:c>
      <x:c r="Q684" s="240" t="n">
        <x:f>N684*(1/'Beta HC3'!$E$8-'Beta HC3'!$E$9*L684/'Beta HC3'!$E$11)*L684/'Beta HC3'!$E$11</x:f>
        <x:v>5.830214566118657e-13</x:v>
      </x:c>
      <x:c r="R684" s="240" t="n">
        <x:f>K684*L684/'Beta HC3'!$E$11</x:f>
        <x:v>4.7246960266559106e-7</x:v>
      </x:c>
      <x:c r="S684" s="240" t="n">
        <x:f>(K684-K683)^2</x:f>
        <x:v>0.0000070099919934060395</x:v>
      </x:c>
      <x:c r="T684" s="280" t="n">
        <x:f>E684/$E$9*100</x:f>
        <x:v>153.68944056776652</x:v>
      </x:c>
    </x:row>
    <x:row r="685" ht="24" customHeight="1">
      <x:c r="C685" s="274" t="d">
        <x:v>2024-06-17T00:00:00.000Z</x:v>
      </x:c>
      <x:c r="D685" s="191" t="n">
        <x:v>448.3699951171875</x:v>
      </x:c>
      <x:c r="E685" s="191" t="n">
        <x:v>440.6031188964844</x:v>
      </x:c>
      <x:c r="F685" s="191" t="n">
        <x:v>547.0999755859375</x:v>
      </x:c>
      <x:c r="G685" s="191" t="n">
        <x:v>531.4094848632812</x:v>
      </x:c>
      <x:c r="H685" s="208" t="n">
        <x:f>E685/E684-1</x:f>
        <x:v>0.013105258249624718</x:v>
      </x:c>
      <x:c r="I685" s="208" t="n">
        <x:f>G685/G684-1</x:f>
        <x:v>0.007958677761535249</x:v>
      </x:c>
      <x:c r="J685" s="208" t="n">
        <x:f>'Beta HC3'!$E$13+'Beta HC3'!$E$12*I685</x:f>
        <x:v>0.00898502156830547</x:v>
      </x:c>
      <x:c r="K685" s="240" t="n">
        <x:f>H685-J685</x:f>
        <x:v>0.004120236681319249</x:v>
      </x:c>
      <x:c r="L685" s="240" t="n">
        <x:f>I685-'Beta HC3'!$E$9</x:f>
        <x:v>0.007394730143874809</x:v>
      </x:c>
      <x:c r="M685" s="240" t="n">
        <x:f>1/'Beta HC3'!$E$8+L685^2/'Beta HC3'!$E$11</x:f>
        <x:v>0.0011707528329622</x:v>
      </x:c>
      <x:c r="N685" s="240" t="n">
        <x:f>K685^2/(1-M685)^2</x:f>
        <x:v>0.000017016170446179168</x:v>
      </x:c>
      <x:c r="O685" s="240" t="n">
        <x:f>N685*L685^2/'Beta HC3'!$E$11^2</x:f>
        <x:v>4.351321872252854e-8</x:v>
      </x:c>
      <x:c r="P685" s="240" t="n">
        <x:f>N685*(1/'Beta HC3'!$E$8-'Beta HC3'!$E$9*L685/'Beta HC3'!$E$11)^2</x:f>
        <x:v>1.004425204466083e-11</x:v>
      </x:c>
      <x:c r="Q685" s="240" t="n">
        <x:f>N685*(1/'Beta HC3'!$E$8-'Beta HC3'!$E$9*L685/'Beta HC3'!$E$11)*L685/'Beta HC3'!$E$11</x:f>
        <x:v>6.611034231673069e-10</x:v>
      </x:c>
      <x:c r="R685" s="240" t="n">
        <x:f>K685*L685/'Beta HC3'!$E$11</x:f>
        <x:v>0.00020835400624003142</x:v>
      </x:c>
      <x:c r="S685" s="240" t="n">
        <x:f>(K685-K684)^2</x:f>
        <x:v>0.000006624010691422516</x:v>
      </x:c>
      <x:c r="T685" s="280" t="n">
        <x:f>E685/$E$9*100</x:f>
        <x:v>155.70358037664744</x:v>
      </x:c>
    </x:row>
    <x:row r="686" ht="24" customHeight="1">
      <x:c r="C686" s="274" t="d">
        <x:v>2024-06-18T00:00:00.000Z</x:v>
      </x:c>
      <x:c r="D686" s="191" t="n">
        <x:v>446.3399963378906</x:v>
      </x:c>
      <x:c r="E686" s="191" t="n">
        <x:v>438.6083068847656</x:v>
      </x:c>
      <x:c r="F686" s="191" t="n">
        <x:v>548.489990234375</x:v>
      </x:c>
      <x:c r="G686" s="191" t="n">
        <x:v>532.759765625</x:v>
      </x:c>
      <x:c r="H686" s="208" t="n">
        <x:f>E686/E685-1</x:f>
        <x:v>-0.004527457764518017</x:v>
      </x:c>
      <x:c r="I686" s="208" t="n">
        <x:f>G686/G685-1</x:f>
        <x:v>0.002540942155118131</x:v>
      </x:c>
      <x:c r="J686" s="208" t="n">
        <x:f>'Beta HC3'!$E$13+'Beta HC3'!$E$12*I686</x:f>
        <x:v>0.00287483577908005</x:v>
      </x:c>
      <x:c r="K686" s="240" t="n">
        <x:f>H686-J686</x:f>
        <x:v>-0.007402293543598067</x:v>
      </x:c>
      <x:c r="L686" s="240" t="n">
        <x:f>I686-'Beta HC3'!$E$9</x:f>
        <x:v>0.0019769945374576918</x:v>
      </x:c>
      <x:c r="M686" s="240" t="n">
        <x:f>1/'Beta HC3'!$E$8+L686^2/'Beta HC3'!$E$11</x:f>
        <x:v>0.0008235408620874507</x:v>
      </x:c>
      <x:c r="N686" s="240" t="n">
        <x:f>K686^2/(1-M686)^2</x:f>
        <x:v>0.00005488431142827798</x:v>
      </x:c>
      <x:c r="O686" s="240" t="n">
        <x:f>N686*L686^2/'Beta HC3'!$E$11^2</x:f>
        <x:v>1.0031684880587734e-8</x:v>
      </x:c>
      <x:c r="P686" s="240" t="n">
        <x:f>N686*(1/'Beta HC3'!$E$8-'Beta HC3'!$E$9*L686/'Beta HC3'!$E$11)^2</x:f>
        <x:v>3.418295700560961e-11</x:v>
      </x:c>
      <x:c r="Q686" s="240" t="n">
        <x:f>N686*(1/'Beta HC3'!$E$8-'Beta HC3'!$E$9*L686/'Beta HC3'!$E$11)*L686/'Beta HC3'!$E$11</x:f>
        <x:v>5.855874426308632e-10</x:v>
      </x:c>
      <x:c r="R686" s="240" t="n">
        <x:f>K686*L686/'Beta HC3'!$E$11</x:f>
        <x:v>-0.00010007581465790352</x:v>
      </x:c>
      <x:c r="S686" s="240" t="n">
        <x:f>(K686-K685)^2</x:f>
        <x:v>0.00013276870278413307</x:v>
      </x:c>
      <x:c r="T686" s="280" t="n">
        <x:f>E686/$E$9*100</x:f>
        <x:v>154.99863899270792</x:v>
      </x:c>
    </x:row>
    <x:row r="687" ht="24" customHeight="1">
      <x:c r="C687" s="274" t="d">
        <x:v>2024-06-20T00:00:00.000Z</x:v>
      </x:c>
      <x:c r="D687" s="191" t="n">
        <x:v>445.70001220703125</x:v>
      </x:c>
      <x:c r="E687" s="191" t="n">
        <x:v>437.9793701171875</x:v>
      </x:c>
      <x:c r="F687" s="191" t="n">
        <x:v>547</x:v>
      </x:c>
      <x:c r="G687" s="191" t="n">
        <x:v>531.3124389648438</x:v>
      </x:c>
      <x:c r="H687" s="208" t="n">
        <x:f>E687/E686-1</x:f>
        <x:v>-0.0014339372002440953</x:v>
      </x:c>
      <x:c r="I687" s="208" t="n">
        <x:f>G687/G686-1</x:f>
        <x:v>-0.002716659090159168</x:v>
      </x:c>
      <x:c r="J687" s="208" t="n">
        <x:f>'Beta HC3'!$E$13+'Beta HC3'!$E$12*I687</x:f>
        <x:v>-0.0030547485986175964</x:v>
      </x:c>
      <x:c r="K687" s="240" t="n">
        <x:f>H687-J687</x:f>
        <x:v>0.001620811398373501</x:v>
      </x:c>
      <x:c r="L687" s="240" t="n">
        <x:f>I687-'Beta HC3'!$E$9</x:f>
        <x:v>-0.0032806067078196073</x:v>
      </x:c>
      <x:c r="M687" s="240" t="n">
        <x:f>1/'Beta HC3'!$E$8+L687^2/'Beta HC3'!$E$11</x:f>
        <x:v>0.0008704106957624061</x:v>
      </x:c>
      <x:c r="N687" s="240" t="n">
        <x:f>K687^2/(1-M687)^2</x:f>
        <x:v>0.0000026316087561686395</x:v>
      </x:c>
      <x:c r="O687" s="240" t="n">
        <x:f>N687*L687^2/'Beta HC3'!$E$11^2</x:f>
        <x:v>1.3244768830921557e-9</x:v>
      </x:c>
      <x:c r="P687" s="240" t="n">
        <x:f>N687*(1/'Beta HC3'!$E$8-'Beta HC3'!$E$9*L687/'Beta HC3'!$E$11)^2</x:f>
        <x:v>1.724316270517184e-12</x:v>
      </x:c>
      <x:c r="Q687" s="240" t="n">
        <x:f>N687*(1/'Beta HC3'!$E$8-'Beta HC3'!$E$9*L687/'Beta HC3'!$E$11)*L687/'Beta HC3'!$E$11</x:f>
        <x:v>-4.778929837777167e-11</x:v>
      </x:c>
      <x:c r="R687" s="240" t="n">
        <x:f>K687*L687/'Beta HC3'!$E$11</x:f>
        <x:v>-0.00003636168600112968</x:v>
      </x:c>
      <x:c r="S687" s="240" t="n">
        <x:f>(K687-K686)^2</x:f>
        <x:v>0.00008141642279383172</x:v>
      </x:c>
      <x:c r="T687" s="280" t="n">
        <x:f>E687/$E$9*100</x:f>
        <x:v>154.77638067826908</x:v>
      </x:c>
    </x:row>
    <x:row r="688" ht="24" customHeight="1">
      <x:c r="C688" s="274" t="d">
        <x:v>2024-06-21T00:00:00.000Z</x:v>
      </x:c>
      <x:c r="D688" s="191" t="n">
        <x:v>449.7799987792969</x:v>
      </x:c>
      <x:c r="E688" s="191" t="n">
        <x:v>441.9887390136719</x:v>
      </x:c>
      <x:c r="F688" s="191" t="n">
        <x:v>544.510009765625</x:v>
      </x:c>
      <x:c r="G688" s="191" t="n">
        <x:v>530.60009765625</x:v>
      </x:c>
      <x:c r="H688" s="208" t="n">
        <x:f>E688/E687-1</x:f>
        <x:v>0.009154241432448362</x:v>
      </x:c>
      <x:c r="I688" s="208" t="n">
        <x:f>G688/G687-1</x:f>
        <x:v>-0.001340720179602073</x:v>
      </x:c>
      <x:c r="J688" s="208" t="n">
        <x:f>'Beta HC3'!$E$13+'Beta HC3'!$E$12*I688</x:f>
        <x:v>-0.0015029485498721045</x:v>
      </x:c>
      <x:c r="K688" s="240" t="n">
        <x:f>H688-J688</x:f>
        <x:v>0.010657189982320467</x:v>
      </x:c>
      <x:c r="L688" s="240" t="n">
        <x:f>I688-'Beta HC3'!$E$9</x:f>
        <x:v>-0.0019046677972625122</x:v>
      </x:c>
      <x:c r="M688" s="240" t="n">
        <x:f>1/'Beta HC3'!$E$8+L688^2/'Beta HC3'!$E$11</x:f>
        <x:v>0.000821620982431863</x:v>
      </x:c>
      <x:c r="N688" s="240" t="n">
        <x:f>K688^2/(1-M688)^2</x:f>
        <x:v>0.00011376256093676083</x:v>
      </x:c>
      <x:c r="O688" s="240" t="n">
        <x:f>N688*L688^2/'Beta HC3'!$E$11^2</x:f>
        <x:v>1.9299789003128e-8</x:v>
      </x:c>
      <x:c r="P688" s="240" t="n">
        <x:f>N688*(1/'Beta HC3'!$E$8-'Beta HC3'!$E$9*L688/'Beta HC3'!$E$11)^2</x:f>
        <x:v>7.356687240526013e-11</x:v>
      </x:c>
      <x:c r="Q688" s="240" t="n">
        <x:f>N688*(1/'Beta HC3'!$E$8-'Beta HC3'!$E$9*L688/'Beta HC3'!$E$11)*L688/'Beta HC3'!$E$11</x:f>
        <x:v>-1.1915641464233306e-9</x:v>
      </x:c>
      <x:c r="R688" s="240" t="n">
        <x:f>K688*L688/'Beta HC3'!$E$11</x:f>
        <x:v>-0.0001388095378872095</x:v>
      </x:c>
      <x:c r="S688" s="240" t="n">
        <x:f>(K688-K687)^2</x:f>
        <x:v>0.00008165613791241538</x:v>
      </x:c>
      <x:c r="T688" s="280" t="n">
        <x:f>E688/$E$9*100</x:f>
        <x:v>156.19324103503848</x:v>
      </x:c>
    </x:row>
    <x:row r="689" ht="24" customHeight="1">
      <x:c r="C689" s="274" t="d">
        <x:v>2024-06-24T00:00:00.000Z</x:v>
      </x:c>
      <x:c r="D689" s="191" t="n">
        <x:v>447.6700134277344</x:v>
      </x:c>
      <x:c r="E689" s="191" t="n">
        <x:v>439.91522216796875</x:v>
      </x:c>
      <x:c r="F689" s="191" t="n">
        <x:v>542.739990234375</x:v>
      </x:c>
      <x:c r="G689" s="191" t="n">
        <x:v>528.8753662109375</x:v>
      </x:c>
      <x:c r="H689" s="208" t="n">
        <x:f>E689/E688-1</x:f>
        <x:v>-0.004691334105774603</x:v>
      </x:c>
      <x:c r="I689" s="208" t="n">
        <x:f>G689/G688-1</x:f>
        <x:v>-0.003250529830150617</x:v>
      </x:c>
      <x:c r="J689" s="208" t="n">
        <x:f>'Beta HC3'!$E$13+'Beta HC3'!$E$12*I689</x:f>
        <x:v>-0.0036568542836782013</x:v>
      </x:c>
      <x:c r="K689" s="240" t="n">
        <x:f>H689-J689</x:f>
        <x:v>-0.0010344798220964014</x:v>
      </x:c>
      <x:c r="L689" s="240" t="n">
        <x:f>I689-'Beta HC3'!$E$9</x:f>
        <x:v>-0.003814477447811056</x:v>
      </x:c>
      <x:c r="M689" s="240" t="n">
        <x:f>1/'Beta HC3'!$E$8+L689^2/'Beta HC3'!$E$11</x:f>
        <x:v>0.0008963137533730747</x:v>
      </x:c>
      <x:c r="N689" s="240" t="n">
        <x:f>K689^2/(1-M689)^2</x:f>
        <x:v>0.0000010720694622543924</x:v>
      </x:c>
      <x:c r="O689" s="240" t="n">
        <x:f>N689*L689^2/'Beta HC3'!$E$11^2</x:f>
        <x:v>7.294705298227344e-10</x:v>
      </x:c>
      <x:c r="P689" s="240" t="n">
        <x:f>N689*(1/'Beta HC3'!$E$8-'Beta HC3'!$E$9*L689/'Beta HC3'!$E$11)^2</x:f>
        <x:v>7.060329889784902e-13</x:v>
      </x:c>
      <x:c r="Q689" s="240" t="n">
        <x:f>N689*(1/'Beta HC3'!$E$8-'Beta HC3'!$E$9*L689/'Beta HC3'!$E$11)*L689/'Beta HC3'!$E$11</x:f>
        <x:v>-2.269427810137322e-11</x:v>
      </x:c>
      <x:c r="R689" s="240" t="n">
        <x:f>K689*L689/'Beta HC3'!$E$11</x:f>
        <x:v>0.000026984503829539654</x:v>
      </x:c>
      <x:c r="S689" s="240" t="n">
        <x:f>(K689-K688)^2</x:f>
        <x:v>0.00013669514281551318</x:v>
      </x:c>
      <x:c r="T689" s="280" t="n">
        <x:f>E689/$E$9*100</x:f>
        <x:v>155.46048635627935</x:v>
      </x:c>
    </x:row>
    <x:row r="690" ht="24" customHeight="1">
      <x:c r="C690" s="274" t="d">
        <x:v>2024-06-25T00:00:00.000Z</x:v>
      </x:c>
      <x:c r="D690" s="191" t="n">
        <x:v>450.95001220703125</x:v>
      </x:c>
      <x:c r="E690" s="191" t="n">
        <x:v>443.1384582519531</x:v>
      </x:c>
      <x:c r="F690" s="191" t="n">
        <x:v>544.8300170898438</x:v>
      </x:c>
      <x:c r="G690" s="191" t="n">
        <x:v>530.9119262695312</x:v>
      </x:c>
      <x:c r="H690" s="208" t="n">
        <x:f>E690/E689-1</x:f>
        <x:v>0.007326948288126411</x:v>
      </x:c>
      <x:c r="I690" s="208" t="n">
        <x:f>G690/G689-1</x:f>
        <x:v>0.0038507372222389424</x:v>
      </x:c>
      <x:c r="J690" s="208" t="n">
        <x:f>'Beta HC3'!$E$13+'Beta HC3'!$E$12*I690</x:f>
        <x:v>0.004352038025058934</x:v>
      </x:c>
      <x:c r="K690" s="240" t="n">
        <x:f>H690-J690</x:f>
        <x:v>0.0029749102630674774</x:v>
      </x:c>
      <x:c r="L690" s="240" t="n">
        <x:f>I690-'Beta HC3'!$E$9</x:f>
        <x:v>0.003286789604578503</x:v>
      </x:c>
      <x:c r="M690" s="240" t="n">
        <x:f>1/'Beta HC3'!$E$8+L690^2/'Beta HC3'!$E$11</x:f>
        <x:v>0.0008706883744710423</x:v>
      </x:c>
      <x:c r="N690" s="240" t="n">
        <x:f>K690^2/(1-M690)^2</x:f>
        <x:v>0.000008865522567232905</x:v>
      </x:c>
      <x:c r="O690" s="240" t="n">
        <x:f>N690*L690^2/'Beta HC3'!$E$11^2</x:f>
        <x:v>4.4788123998180175e-9</x:v>
      </x:c>
      <x:c r="P690" s="240" t="n">
        <x:f>N690*(1/'Beta HC3'!$E$8-'Beta HC3'!$E$9*L690/'Beta HC3'!$E$11)^2</x:f>
        <x:v>5.451153533462685e-12</x:v>
      </x:c>
      <x:c r="Q690" s="240" t="n">
        <x:f>N690*(1/'Beta HC3'!$E$8-'Beta HC3'!$E$9*L690/'Beta HC3'!$E$11)*L690/'Beta HC3'!$E$11</x:f>
        <x:v>1.5625202091168125e-10</x:v>
      </x:c>
      <x:c r="R690" s="240" t="n">
        <x:f>K690*L690/'Beta HC3'!$E$11</x:f>
        <x:v>0.0000668656600612147</x:v>
      </x:c>
      <x:c r="S690" s="240" t="n">
        <x:f>(K690-K689)^2</x:f>
        <x:v>0.00001607520885501042</x:v>
      </x:c>
      <x:c r="T690" s="280" t="n">
        <x:f>E690/$E$9*100</x:f>
        <x:v>156.5995373006588</x:v>
      </x:c>
    </x:row>
    <x:row r="691" ht="24" customHeight="1">
      <x:c r="C691" s="274" t="d">
        <x:v>2024-06-26T00:00:00.000Z</x:v>
      </x:c>
      <x:c r="D691" s="191" t="n">
        <x:v>452.1600036621094</x:v>
      </x:c>
      <x:c r="E691" s="191" t="n">
        <x:v>444.327392578125</x:v>
      </x:c>
      <x:c r="F691" s="191" t="n">
        <x:v>545.510009765625</x:v>
      </x:c>
      <x:c r="G691" s="191" t="n">
        <x:v>531.5745239257812</x:v>
      </x:c>
      <x:c r="H691" s="208" t="n">
        <x:f>E691/E690-1</x:f>
        <x:v>0.0026829861052048987</x:v>
      </x:c>
      <x:c r="I691" s="208" t="n">
        <x:f>G691/G690-1</x:f>
        <x:v>0.0012480368653720042</x:v>
      </x:c>
      <x:c r="J691" s="208" t="n">
        <x:f>'Beta HC3'!$E$13+'Beta HC3'!$E$12*I691</x:f>
        <x:v>0.0014166820222108493</x:v>
      </x:c>
      <x:c r="K691" s="240" t="n">
        <x:f>H691-J691</x:f>
        <x:v>0.0012663040829940493</x:v>
      </x:c>
      <x:c r="L691" s="240" t="n">
        <x:f>I691-'Beta HC3'!$E$9</x:f>
        <x:v>0.0006840892477115648</x:v>
      </x:c>
      <x:c r="M691" s="240" t="n">
        <x:f>1/'Beta HC3'!$E$8+L691^2/'Beta HC3'!$E$11</x:f>
        <x:v>0.0008000129915166619</x:v>
      </x:c>
      <x:c r="N691" s="240" t="n">
        <x:f>K691^2/(1-M691)^2</x:f>
        <x:v>0.0000016060947960782855</x:v>
      </x:c>
      <x:c r="O691" s="240" t="n">
        <x:f>N691*L691^2/'Beta HC3'!$E$11^2</x:f>
        <x:v>3.514887478004206e-11</x:v>
      </x:c>
      <x:c r="P691" s="240" t="n">
        <x:f>N691*(1/'Beta HC3'!$E$8-'Beta HC3'!$E$9*L691/'Beta HC3'!$E$11)^2</x:f>
        <x:v>1.0129851930555007e-12</x:v>
      </x:c>
      <x:c r="Q691" s="240" t="n">
        <x:f>N691*(1/'Beta HC3'!$E$8-'Beta HC3'!$E$9*L691/'Beta HC3'!$E$11)*L691/'Beta HC3'!$E$11</x:f>
        <x:v>5.967016817870092e-12</x:v>
      </x:c>
      <x:c r="R691" s="240" t="n">
        <x:f>K691*L691/'Beta HC3'!$E$11</x:f>
        <x:v>0.000005923905651099626</x:v>
      </x:c>
      <x:c r="S691" s="240" t="n">
        <x:f>(K691-K690)^2</x:f>
        <x:v>0.000002919335078585112</x:v>
      </x:c>
      <x:c r="T691" s="280" t="n">
        <x:f>E691/$E$9*100</x:f>
        <x:v>157.01969168331797</x:v>
      </x:c>
    </x:row>
    <x:row r="692" ht="24" customHeight="1">
      <x:c r="C692" s="274" t="d">
        <x:v>2024-06-27T00:00:00.000Z</x:v>
      </x:c>
      <x:c r="D692" s="191" t="n">
        <x:v>452.8500061035156</x:v>
      </x:c>
      <x:c r="E692" s="191" t="n">
        <x:v>445.00555419921875</x:v>
      </x:c>
      <x:c r="F692" s="191" t="n">
        <x:v>546.3699951171875</x:v>
      </x:c>
      <x:c r="G692" s="191" t="n">
        <x:v>532.4125366210938</x:v>
      </x:c>
      <x:c r="H692" s="208" t="n">
        <x:f>E692/E691-1</x:f>
        <x:v>0.0015262656149981346</x:v>
      </x:c>
      <x:c r="I692" s="208" t="n">
        <x:f>G692/G691-1</x:f>
        <x:v>0.0015764726441809263</x:v>
      </x:c>
      <x:c r="J692" s="208" t="n">
        <x:f>'Beta HC3'!$E$13+'Beta HC3'!$E$12*I692</x:f>
        <x:v>0.001787095747453268</x:v>
      </x:c>
      <x:c r="K692" s="240" t="n">
        <x:f>H692-J692</x:f>
        <x:v>-0.0002608301324551333</x:v>
      </x:c>
      <x:c r="L692" s="240" t="n">
        <x:f>I692-'Beta HC3'!$E$9</x:f>
        <x:v>0.001012525026520487</x:v>
      </x:c>
      <x:c r="M692" s="240" t="n">
        <x:f>1/'Beta HC3'!$E$8+L692^2/'Beta HC3'!$E$11</x:f>
        <x:v>0.0008038235702533231</x:v>
      </x:c>
      <x:c r="N692" s="240" t="n">
        <x:f>K692^2/(1-M692)^2</x:f>
        <x:v>6.814186203755563e-8</x:v>
      </x:c>
      <x:c r="O692" s="240" t="n">
        <x:f>N692*L692^2/'Beta HC3'!$E$11^2</x:f>
        <x:v>3.2669331863717033e-12</x:v>
      </x:c>
      <x:c r="P692" s="240" t="n">
        <x:f>N692*(1/'Beta HC3'!$E$8-'Beta HC3'!$E$9*L692/'Beta HC3'!$E$11)^2</x:f>
        <x:v>4.284099113966716e-14</x:v>
      </x:c>
      <x:c r="Q692" s="240" t="n">
        <x:f>N692*(1/'Beta HC3'!$E$8-'Beta HC3'!$E$9*L692/'Beta HC3'!$E$11)*L692/'Beta HC3'!$E$11</x:f>
        <x:v>3.7411048594129884e-13</x:v>
      </x:c>
      <x:c r="R692" s="240" t="n">
        <x:f>K692*L692/'Beta HC3'!$E$11</x:f>
        <x:v>-0.0000018060130734431482</x:v>
      </x:c>
      <x:c r="S692" s="240" t="n">
        <x:f>(K692-K691)^2</x:f>
        <x:v>0.0000023321389119955906</x:v>
      </x:c>
      <x:c r="T692" s="280" t="n">
        <x:f>E692/$E$9*100</x:f>
        <x:v>157.25934543961182</x:v>
      </x:c>
    </x:row>
    <x:row r="693" ht="24" customHeight="1">
      <x:c r="C693" s="274" t="d">
        <x:v>2024-06-28T00:00:00.000Z</x:v>
      </x:c>
      <x:c r="D693" s="191" t="n">
        <x:v>446.95001220703125</x:v>
      </x:c>
      <x:c r="E693" s="191" t="n">
        <x:v>439.2077331542969</x:v>
      </x:c>
      <x:c r="F693" s="191" t="n">
        <x:v>544.219970703125</x:v>
      </x:c>
      <x:c r="G693" s="191" t="n">
        <x:v>530.3174438476562</x:v>
      </x:c>
      <x:c r="H693" s="208" t="n">
        <x:f>E693/E692-1</x:f>
        <x:v>-0.013028648721823188</x:v>
      </x:c>
      <x:c r="I693" s="208" t="n">
        <x:f>G693/G692-1</x:f>
        <x:v>-0.003935092863766476</x:v>
      </x:c>
      <x:c r="J693" s="208" t="n">
        <x:f>'Beta HC3'!$E$13+'Beta HC3'!$E$12*I693</x:f>
        <x:v>-0.004428912505728439</x:v>
      </x:c>
      <x:c r="K693" s="240" t="n">
        <x:f>H693-J693</x:f>
        <x:v>-0.00859973621609475</x:v>
      </x:c>
      <x:c r="L693" s="240" t="n">
        <x:f>I693-'Beta HC3'!$E$9</x:f>
        <x:v>-0.004499040481426916</x:v>
      </x:c>
      <x:c r="M693" s="240" t="n">
        <x:f>1/'Beta HC3'!$E$8+L693^2/'Beta HC3'!$E$11</x:f>
        <x:v>0.0009352322129922893</x:v>
      </x:c>
      <x:c r="N693" s="240" t="n">
        <x:f>K693^2/(1-M693)^2</x:f>
        <x:v>0.000074093988348802</x:v>
      </x:c>
      <x:c r="O693" s="240" t="n">
        <x:f>N693*L693^2/'Beta HC3'!$E$11^2</x:f>
        <x:v>7.013543537681289e-8</x:v>
      </x:c>
      <x:c r="P693" s="240" t="n">
        <x:f>N693*(1/'Beta HC3'!$E$8-'Beta HC3'!$E$9*L693/'Beta HC3'!$E$11)^2</x:f>
        <x:v>4.911409363606636e-11</x:v>
      </x:c>
      <x:c r="Q693" s="240" t="n">
        <x:f>N693*(1/'Beta HC3'!$E$8-'Beta HC3'!$E$9*L693/'Beta HC3'!$E$11)*L693/'Beta HC3'!$E$11</x:f>
        <x:v>-1.855973690627933e-9</x:v>
      </x:c>
      <x:c r="R693" s="240" t="n">
        <x:f>K693*L693/'Beta HC3'!$E$11</x:f>
        <x:v>0.0002645832777870701</x:v>
      </x:c>
      <x:c r="S693" s="240" t="n">
        <x:f>(K693-K692)^2</x:f>
        <x:v>0.0000695373546717618</x:v>
      </x:c>
      <x:c r="T693" s="280" t="n">
        <x:f>E693/$E$9*100</x:f>
        <x:v>155.21046866965526</x:v>
      </x:c>
    </x:row>
    <x:row r="694" ht="24" customHeight="1">
      <x:c r="C694" s="274" t="d">
        <x:v>2024-07-01T00:00:00.000Z</x:v>
      </x:c>
      <x:c r="D694" s="191" t="n">
        <x:v>456.7300109863281</x:v>
      </x:c>
      <x:c r="E694" s="191" t="n">
        <x:v>448.8182678222656</x:v>
      </x:c>
      <x:c r="F694" s="191" t="n">
        <x:v>545.3400268554688</x:v>
      </x:c>
      <x:c r="G694" s="191" t="n">
        <x:v>531.4088745117188</x:v>
      </x:c>
      <x:c r="H694" s="208" t="n">
        <x:f>E694/E693-1</x:f>
        <x:v>0.021881524259484086</x:v>
      </x:c>
      <x:c r="I694" s="208" t="n">
        <x:f>G694/G693-1</x:f>
        <x:v>0.0020580704570902775</x:v>
      </x:c>
      <x:c r="J694" s="208" t="n">
        <x:f>'Beta HC3'!$E$13+'Beta HC3'!$E$12*I694</x:f>
        <x:v>0.002330247411974381</x:v>
      </x:c>
      <x:c r="K694" s="240" t="n">
        <x:f>H694-J694</x:f>
        <x:v>0.019551276847509704</x:v>
      </x:c>
      <x:c r="L694" s="240" t="n">
        <x:f>I694-'Beta HC3'!$E$9</x:f>
        <x:v>0.0014941228394298382</x:v>
      </x:c>
      <x:c r="M694" s="240" t="n">
        <x:f>1/'Beta HC3'!$E$8+L694^2/'Beta HC3'!$E$11</x:f>
        <x:v>0.0008120789146506548</x:v>
      </x:c>
      <x:c r="N694" s="240" t="n">
        <x:f>K694^2/(1-M694)^2</x:f>
        <x:v>0.00038287402171321104</x:v>
      </x:c>
      <x:c r="O694" s="240" t="n">
        <x:f>N694*L694^2/'Beta HC3'!$E$11^2</x:f>
        <x:v>3.997083602182739e-8</x:v>
      </x:c>
      <x:c r="P694" s="240" t="n">
        <x:f>N694*(1/'Beta HC3'!$E$8-'Beta HC3'!$E$9*L694/'Beta HC3'!$E$11)^2</x:f>
        <x:v>2.395876670129548e-10</x:v>
      </x:c>
      <x:c r="Q694" s="240" t="n">
        <x:f>N694*(1/'Beta HC3'!$E$8-'Beta HC3'!$E$9*L694/'Beta HC3'!$E$11)*L694/'Beta HC3'!$E$11</x:f>
        <x:v>3.0945951837077176e-9</x:v>
      </x:c>
      <x:c r="R694" s="240" t="n">
        <x:f>K694*L694/'Beta HC3'!$E$11</x:f>
        <x:v>0.00019976472019656662</x:v>
      </x:c>
      <x:c r="S694" s="240" t="n">
        <x:f>(K694-K693)^2</x:f>
        <x:v>0.0007924795365072286</x:v>
      </x:c>
      <x:c r="T694" s="280" t="n">
        <x:f>E694/$E$9*100</x:f>
        <x:v>158.60671030517622</x:v>
      </x:c>
    </x:row>
    <x:row r="695" ht="24" customHeight="1">
      <x:c r="C695" s="274" t="d">
        <x:v>2024-07-02T00:00:00.000Z</x:v>
      </x:c>
      <x:c r="D695" s="191" t="n">
        <x:v>459.2799987792969</x:v>
      </x:c>
      <x:c r="E695" s="191" t="n">
        <x:v>451.3241271972656</x:v>
      </x:c>
      <x:c r="F695" s="191" t="n">
        <x:v>549.010009765625</x:v>
      </x:c>
      <x:c r="G695" s="191" t="n">
        <x:v>534.9851684570312</x:v>
      </x:c>
      <x:c r="H695" s="208" t="n">
        <x:f>E695/E694-1</x:f>
        <x:v>0.005583238372089516</x:v>
      </x:c>
      <x:c r="I695" s="208" t="n">
        <x:f>G695/G694-1</x:f>
        <x:v>0.006729834816173508</x:v>
      </x:c>
      <x:c r="J695" s="208" t="n">
        <x:f>'Beta HC3'!$E$13+'Beta HC3'!$E$12*I695</x:f>
        <x:v>0.007599118075147607</x:v>
      </x:c>
      <x:c r="K695" s="240" t="n">
        <x:f>H695-J695</x:f>
        <x:v>-0.002015879703058091</x:v>
      </x:c>
      <x:c r="L695" s="240" t="n">
        <x:f>I695-'Beta HC3'!$E$9</x:f>
        <x:v>0.006165887198513068</x:v>
      </x:c>
      <x:c r="M695" s="240" t="n">
        <x:f>1/'Beta HC3'!$E$8+L695^2/'Beta HC3'!$E$11</x:f>
        <x:v>0.001056797880815277</x:v>
      </x:c>
      <x:c r="N695" s="240" t="n">
        <x:f>K695^2/(1-M695)^2</x:f>
        <x:v>0.000004072373781049321</x:v>
      </x:c>
      <x:c r="O695" s="240" t="n">
        <x:f>N695*L695^2/'Beta HC3'!$E$11^2</x:f>
        <x:v>7.240249062824848e-9</x:v>
      </x:c>
      <x:c r="P695" s="240" t="n">
        <x:f>N695*(1/'Beta HC3'!$E$8-'Beta HC3'!$E$9*L695/'Beta HC3'!$E$11)^2</x:f>
        <x:v>2.433574567086056e-12</x:v>
      </x:c>
      <x:c r="Q695" s="240" t="n">
        <x:f>N695*(1/'Beta HC3'!$E$8-'Beta HC3'!$E$9*L695/'Beta HC3'!$E$11)*L695/'Beta HC3'!$E$11</x:f>
        <x:v>1.3273916520250984e-10</x:v>
      </x:c>
      <x:c r="R695" s="240" t="n">
        <x:f>K695*L695/'Beta HC3'!$E$11</x:f>
        <x:v>-0.00008499973052404472</x:v>
      </x:c>
      <x:c r="S695" s="240" t="n">
        <x:f>(K695-K694)^2</x:f>
        <x:v>0.0004651422416766994</x:v>
      </x:c>
      <x:c r="T695" s="280" t="n">
        <x:f>E695/$E$9*100</x:f>
        <x:v>159.49224937622296</x:v>
      </x:c>
    </x:row>
    <x:row r="696" ht="24" customHeight="1">
      <x:c r="C696" s="274" t="d">
        <x:v>2024-07-03T00:00:00.000Z</x:v>
      </x:c>
      <x:c r="D696" s="191" t="n">
        <x:v>460.7699890136719</x:v>
      </x:c>
      <x:c r="E696" s="191" t="n">
        <x:v>452.7882995605469</x:v>
      </x:c>
      <x:c r="F696" s="191" t="n">
        <x:v>551.4600219726562</x:v>
      </x:c>
      <x:c r="G696" s="191" t="n">
        <x:v>537.3724975585938</x:v>
      </x:c>
      <x:c r="H696" s="208" t="n">
        <x:f>E696/E695-1</x:f>
        <x:v>0.0032441703756760365</x:v>
      </x:c>
      <x:c r="I696" s="208" t="n">
        <x:f>G696/G695-1</x:f>
        <x:v>0.004462421095612568</x:v>
      </x:c>
      <x:c r="J696" s="208" t="n">
        <x:f>'Beta HC3'!$E$13+'Beta HC3'!$E$12*I696</x:f>
        <x:v>0.005041902275015862</x:v>
      </x:c>
      <x:c r="K696" s="240" t="n">
        <x:f>H696-J696</x:f>
        <x:v>-0.0017977318993398252</x:v>
      </x:c>
      <x:c r="L696" s="240" t="n">
        <x:f>I696-'Beta HC3'!$E$9</x:f>
        <x:v>0.0038984734779521284</x:v>
      </x:c>
      <x:c r="M696" s="240" t="n">
        <x:f>1/'Beta HC3'!$E$8+L696^2/'Beta HC3'!$E$11</x:f>
        <x:v>0.0009007440896340241</x:v>
      </x:c>
      <x:c r="N696" s="240" t="n">
        <x:f>K696^2/(1-M696)^2</x:f>
        <x:v>0.0000032376699792490776</x:v>
      </x:c>
      <x:c r="O696" s="240" t="n">
        <x:f>N696*L696^2/'Beta HC3'!$E$11^2</x:f>
        <x:v>2.3011051751202905e-9</x:v>
      </x:c>
      <x:c r="P696" s="240" t="n">
        <x:f>N696*(1/'Beta HC3'!$E$8-'Beta HC3'!$E$9*L696/'Beta HC3'!$E$11)^2</x:f>
        <x:v>1.9787898697295652e-12</x:v>
      </x:c>
      <x:c r="Q696" s="240" t="n">
        <x:f>N696*(1/'Beta HC3'!$E$8-'Beta HC3'!$E$9*L696/'Beta HC3'!$E$11)*L696/'Beta HC3'!$E$11</x:f>
        <x:v>6.747891233348614e-11</x:v>
      </x:c>
      <x:c r="R696" s="240" t="n">
        <x:f>K696*L696/'Beta HC3'!$E$11</x:f>
        <x:v>-0.00004792662755010555</x:v>
      </x:c>
      <x:c r="S696" s="240" t="n">
        <x:f>(K696-K695)^2</x:f>
        <x:v>4.758846426710297e-8</x:v>
      </x:c>
      <x:c r="T696" s="280" t="n">
        <x:f>E696/$E$9*100</x:f>
        <x:v>160.00966940679925</x:v>
      </x:c>
    </x:row>
    <x:row r="697" ht="24" customHeight="1">
      <x:c r="C697" s="274" t="d">
        <x:v>2024-07-05T00:00:00.000Z</x:v>
      </x:c>
      <x:c r="D697" s="191" t="n">
        <x:v>467.55999755859375</x:v>
      </x:c>
      <x:c r="E697" s="191" t="n">
        <x:v>459.4606628417969</x:v>
      </x:c>
      <x:c r="F697" s="191" t="n">
        <x:v>554.6400146484375</x:v>
      </x:c>
      <x:c r="G697" s="191" t="n">
        <x:v>540.4712524414062</x:v>
      </x:c>
      <x:c r="H697" s="208" t="n">
        <x:f>E697/E696-1</x:f>
        <x:v>0.014736165417096325</x:v>
      </x:c>
      <x:c r="I697" s="208" t="n">
        <x:f>G697/G696-1</x:f>
        <x:v>0.005766493255406457</x:v>
      </x:c>
      <x:c r="J697" s="208" t="n">
        <x:f>'Beta HC3'!$E$13+'Beta HC3'!$E$12*I697</x:f>
        <x:v>0.006512650158958216</x:v>
      </x:c>
      <x:c r="K697" s="240" t="n">
        <x:f>H697-J697</x:f>
        <x:v>0.008223515258138109</x:v>
      </x:c>
      <x:c r="L697" s="240" t="n">
        <x:f>I697-'Beta HC3'!$E$9</x:f>
        <x:v>0.005202545637746018</x:v>
      </x:c>
      <x:c r="M697" s="240" t="n">
        <x:f>1/'Beta HC3'!$E$8+L697^2/'Beta HC3'!$E$11</x:f>
        <x:v>0.0009819053927443242</x:v>
      </x:c>
      <x:c r="N697" s="240" t="n">
        <x:f>K697^2/(1-M697)^2</x:f>
        <x:v>0.00006775920412747484</x:v>
      </x:c>
      <x:c r="O697" s="240" t="n">
        <x:f>N697*L697^2/'Beta HC3'!$E$11^2</x:f>
        <x:v>8.576593298609955e-8</x:v>
      </x:c>
      <x:c r="P697" s="240" t="n">
        <x:f>N697*(1/'Beta HC3'!$E$8-'Beta HC3'!$E$9*L697/'Beta HC3'!$E$11)^2</x:f>
        <x:v>4.088177135979151e-11</x:v>
      </x:c>
      <x:c r="Q697" s="240" t="n">
        <x:f>N697*(1/'Beta HC3'!$E$8-'Beta HC3'!$E$9*L697/'Beta HC3'!$E$11)*L697/'Beta HC3'!$E$11</x:f>
        <x:v>1.872501872575011e-9</x:v>
      </x:c>
      <x:c r="R697" s="240" t="n">
        <x:f>K697*L697/'Beta HC3'!$E$11</x:f>
        <x:v>0.00029257065405143804</x:v>
      </x:c>
      <x:c r="S697" s="240" t="n">
        <x:f>(K697-K696)^2</x:f>
        <x:v>0.00010042539459125957</x:v>
      </x:c>
      <x:c r="T697" s="280" t="n">
        <x:f>E697/$E$9*100</x:f>
        <x:v>162.36759836351274</x:v>
      </x:c>
    </x:row>
    <x:row r="698" ht="24" customHeight="1">
      <x:c r="C698" s="274" t="d">
        <x:v>2024-07-08T00:00:00.000Z</x:v>
      </x:c>
      <x:c r="D698" s="191" t="n">
        <x:v>466.239990234375</x:v>
      </x:c>
      <x:c r="E698" s="191" t="n">
        <x:v>458.1635437011719</x:v>
      </x:c>
      <x:c r="F698" s="191" t="n">
        <x:v>555.280029296875</x:v>
      </x:c>
      <x:c r="G698" s="191" t="n">
        <x:v>541.0950317382812</x:v>
      </x:c>
      <x:c r="H698" s="208" t="n">
        <x:f>E698/E697-1</x:f>
        <x:v>-0.002823134264862248</x:v>
      </x:c>
      <x:c r="I698" s="208" t="n">
        <x:f>G698/G697-1</x:f>
        <x:v>0.0011541396402809934</x:v>
      </x:c>
      <x:c r="J698" s="208" t="n">
        <x:f>'Beta HC3'!$E$13+'Beta HC3'!$E$12*I698</x:f>
        <x:v>0.0013107836299527937</x:v>
      </x:c>
      <x:c r="K698" s="240" t="n">
        <x:f>H698-J698</x:f>
        <x:v>-0.004133917894815042</x:v>
      </x:c>
      <x:c r="L698" s="240" t="n">
        <x:f>I698-'Beta HC3'!$E$9</x:f>
        <x:v>0.000590192022620554</x:v>
      </x:c>
      <x:c r="M698" s="240" t="n">
        <x:f>1/'Beta HC3'!$E$8+L698^2/'Beta HC3'!$E$11</x:f>
        <x:v>0.0007991947614780852</x:v>
      </x:c>
      <x:c r="N698" s="240" t="n">
        <x:f>K698^2/(1-M698)^2</x:f>
        <x:v>0.000017116625262962195</x:v>
      </x:c>
      <x:c r="O698" s="240" t="n">
        <x:f>N698*L698^2/'Beta HC3'!$E$11^2</x:f>
        <x:v>2.7881718333890986e-10</x:v>
      </x:c>
      <x:c r="P698" s="240" t="n">
        <x:f>N698*(1/'Beta HC3'!$E$8-'Beta HC3'!$E$9*L698/'Beta HC3'!$E$11)^2</x:f>
        <x:v>1.0805528725556254e-11</x:v>
      </x:c>
      <x:c r="Q698" s="240" t="n">
        <x:f>N698*(1/'Beta HC3'!$E$8-'Beta HC3'!$E$9*L698/'Beta HC3'!$E$11)*L698/'Beta HC3'!$E$11</x:f>
        <x:v>5.488867901259126e-11</x:v>
      </x:c>
      <x:c r="R698" s="240" t="n">
        <x:f>K698*L698/'Beta HC3'!$E$11</x:f>
        <x:v>-0.00001668447490807535</x:v>
      </x:c>
      <x:c r="S698" s="240" t="n">
        <x:f>(K698-K697)^2</x:f>
        <x:v>0.00015270615412970565</x:v>
      </x:c>
      <x:c r="T698" s="280" t="n">
        <x:f>E698/$E$9*100</x:f>
        <x:v>161.90921283306935</x:v>
      </x:c>
    </x:row>
    <x:row r="699" ht="24" customHeight="1">
      <x:c r="C699" s="274" t="d">
        <x:v>2024-07-09T00:00:00.000Z</x:v>
      </x:c>
      <x:c r="D699" s="191" t="n">
        <x:v>459.5400085449219</x:v>
      </x:c>
      <x:c r="E699" s="191" t="n">
        <x:v>451.5796203613281</x:v>
      </x:c>
      <x:c r="F699" s="191" t="n">
        <x:v>555.8200073242188</x:v>
      </x:c>
      <x:c r="G699" s="191" t="n">
        <x:v>541.6212158203125</x:v>
      </x:c>
      <x:c r="H699" s="208" t="n">
        <x:f>E699/E698-1</x:f>
        <x:v>-0.01437024711014101</x:v>
      </x:c>
      <x:c r="I699" s="208" t="n">
        <x:f>G699/G698-1</x:f>
        <x:v>0.0009724430112412197</x:v>
      </x:c>
      <x:c r="J699" s="208" t="n">
        <x:f>'Beta HC3'!$E$13+'Beta HC3'!$E$12*I699</x:f>
        <x:v>0.0011058640396734167</x:v>
      </x:c>
      <x:c r="K699" s="240" t="n">
        <x:f>H699-J699</x:f>
        <x:v>-0.015476111149814427</x:v>
      </x:c>
      <x:c r="L699" s="240" t="n">
        <x:f>I699-'Beta HC3'!$E$9</x:f>
        <x:v>0.0004084953935807803</x:v>
      </x:c>
      <x:c r="M699" s="240" t="n">
        <x:f>1/'Beta HC3'!$E$8+L699^2/'Beta HC3'!$E$11</x:f>
        <x:v>0.0007979538699797282</x:v>
      </x:c>
      <x:c r="N699" s="240" t="n">
        <x:f>K699^2/(1-M699)^2</x:f>
        <x:v>0.0002398927102074141</x:v>
      </x:c>
      <x:c r="O699" s="240" t="n">
        <x:f>N699*L699^2/'Beta HC3'!$E$11^2</x:f>
        <x:v>1.8720011055006565e-9</x:v>
      </x:c>
      <x:c r="P699" s="240" t="n">
        <x:f>N699*(1/'Beta HC3'!$E$8-'Beta HC3'!$E$9*L699/'Beta HC3'!$E$11)^2</x:f>
        <x:v>1.517087460226462e-10</x:v>
      </x:c>
      <x:c r="Q699" s="240" t="n">
        <x:f>N699*(1/'Beta HC3'!$E$8-'Beta HC3'!$E$9*L699/'Beta HC3'!$E$11)*L699/'Beta HC3'!$E$11</x:f>
        <x:v>5.329155095026902e-10</x:v>
      </x:c>
      <x:c r="R699" s="240" t="n">
        <x:f>K699*L699/'Beta HC3'!$E$11</x:f>
        <x:v>-0.00004323210330769425</x:v>
      </x:c>
      <x:c r="S699" s="240" t="n">
        <x:f>(K699-K698)^2</x:f>
        <x:v>0.00012864534783375354</x:v>
      </x:c>
      <x:c r="T699" s="280" t="n">
        <x:f>E699/$E$9*100</x:f>
        <x:v>159.58253743524972</x:v>
      </x:c>
    </x:row>
    <x:row r="700" ht="24" customHeight="1">
      <x:c r="C700" s="274" t="d">
        <x:v>2024-07-10T00:00:00.000Z</x:v>
      </x:c>
      <x:c r="D700" s="191" t="n">
        <x:v>466.25</x:v>
      </x:c>
      <x:c r="E700" s="191" t="n">
        <x:v>458.1733703613281</x:v>
      </x:c>
      <x:c r="F700" s="191" t="n">
        <x:v>561.3200073242188</x:v>
      </x:c>
      <x:c r="G700" s="191" t="n">
        <x:v>546.9806518554688</x:v>
      </x:c>
      <x:c r="H700" s="208" t="n">
        <x:f>E700/E699-1</x:f>
        <x:v>0.014601522528240096</x:v>
      </x:c>
      <x:c r="I700" s="208" t="n">
        <x:f>G700/G699-1</x:f>
        <x:v>0.009895173746174546</x:v>
      </x:c>
      <x:c r="J700" s="208" t="n">
        <x:f>'Beta HC3'!$E$13+'Beta HC3'!$E$12*I700</x:f>
        <x:v>0.011169024462839511</x:v>
      </x:c>
      <x:c r="K700" s="240" t="n">
        <x:f>H700-J700</x:f>
        <x:v>0.003432498065400585</x:v>
      </x:c>
      <x:c r="L700" s="240" t="n">
        <x:f>I700-'Beta HC3'!$E$9</x:f>
        <x:v>0.009331226128514107</x:v>
      </x:c>
      <x:c r="M700" s="240" t="n">
        <x:f>1/'Beta HC3'!$E$8+L700^2/'Beta HC3'!$E$11</x:f>
        <x:v>0.0013922483390484915</x:v>
      </x:c>
      <x:c r="N700" s="240" t="n">
        <x:f>K700^2/(1-M700)^2</x:f>
        <x:v>0.000011814918669253434</x:v>
      </x:c>
      <x:c r="O700" s="240" t="n">
        <x:f>N700*L700^2/'Beta HC3'!$E$11^2</x:f>
        <x:v>4.8108618671782255e-8</x:v>
      </x:c>
      <x:c r="P700" s="240" t="n">
        <x:f>N700*(1/'Beta HC3'!$E$8-'Beta HC3'!$E$9*L700/'Beta HC3'!$E$11)^2</x:f>
        <x:v>6.839150530588952e-12</x:v>
      </x:c>
      <x:c r="Q700" s="240" t="n">
        <x:f>N700*(1/'Beta HC3'!$E$8-'Beta HC3'!$E$9*L700/'Beta HC3'!$E$11)*L700/'Beta HC3'!$E$11</x:f>
        <x:v>5.736044673074132e-10</x:v>
      </x:c>
      <x:c r="R700" s="240" t="n">
        <x:f>K700*L700/'Beta HC3'!$E$11</x:f>
        <x:v>0.00021903139874115184</x:v>
      </x:c>
      <x:c r="S700" s="240" t="n">
        <x:f>(K700-K699)^2</x:f>
        <x:v>0.0003575355024537141</x:v>
      </x:c>
      <x:c r="T700" s="280" t="n">
        <x:f>E700/$E$9*100</x:f>
        <x:v>161.91268545072418</x:v>
      </x:c>
    </x:row>
    <x:row r="701" ht="24" customHeight="1">
      <x:c r="C701" s="274" t="d">
        <x:v>2024-07-11T00:00:00.000Z</x:v>
      </x:c>
      <x:c r="D701" s="191" t="n">
        <x:v>454.70001220703125</x:v>
      </x:c>
      <x:c r="E701" s="191" t="n">
        <x:v>446.823486328125</x:v>
      </x:c>
      <x:c r="F701" s="191" t="n">
        <x:v>556.47998046875</x:v>
      </x:c>
      <x:c r="G701" s="191" t="n">
        <x:v>542.2642211914062</x:v>
      </x:c>
      <x:c r="H701" s="208" t="n">
        <x:f>E701/E700-1</x:f>
        <x:v>-0.024772029034014542</x:v>
      </x:c>
      <x:c r="I701" s="208" t="n">
        <x:f>G701/G700-1</x:f>
        <x:v>-0.008622664527645374</x:v>
      </x:c>
      <x:c r="J701" s="208" t="n">
        <x:f>'Beta HC3'!$E$13+'Beta HC3'!$E$12*I701</x:f>
        <x:v>-0.009715610832734879</x:v>
      </x:c>
      <x:c r="K701" s="240" t="n">
        <x:f>H701-J701</x:f>
        <x:v>-0.015056418201279663</x:v>
      </x:c>
      <x:c r="L701" s="240" t="n">
        <x:f>I701-'Beta HC3'!$E$9</x:f>
        <x:v>-0.009186612145305813</x:v>
      </x:c>
      <x:c r="M701" s="240" t="n">
        <x:f>1/'Beta HC3'!$E$8+L701^2/'Beta HC3'!$E$11</x:f>
        <x:v>0.0013739354047775662</x:v>
      </x:c>
      <x:c r="N701" s="240" t="n">
        <x:f>K701^2/(1-M701)^2</x:f>
        <x:v>0.0002273199457837545</x:v>
      </x:c>
      <x:c r="O701" s="240" t="n">
        <x:f>N701*L701^2/'Beta HC3'!$E$11^2</x:f>
        <x:v>8.971458007812467e-7</x:v>
      </x:c>
      <x:c r="P701" s="240" t="n">
        <x:f>N701*(1/'Beta HC3'!$E$8-'Beta HC3'!$E$9*L701/'Beta HC3'!$E$11)^2</x:f>
        <x:v>1.5744755154226908e-10</x:v>
      </x:c>
      <x:c r="Q701" s="240" t="n">
        <x:f>N701*(1/'Beta HC3'!$E$8-'Beta HC3'!$E$9*L701/'Beta HC3'!$E$11)*L701/'Beta HC3'!$E$11</x:f>
        <x:v>-1.1885007770693111e-8</x:v>
      </x:c>
      <x:c r="R701" s="240" t="n">
        <x:f>K701*L701/'Beta HC3'!$E$11</x:f>
        <x:v>0.0009458764473038454</x:v>
      </x:c>
      <x:c r="S701" s="240" t="n">
        <x:f>(K701-K700)^2</x:f>
        <x:v>0.0003418400247163135</x:v>
      </x:c>
      <x:c r="T701" s="280" t="n">
        <x:f>E701/$E$9*100</x:f>
        <x:v>157.9017797057636</x:v>
      </x:c>
    </x:row>
    <x:row r="702" ht="24" customHeight="1">
      <x:c r="C702" s="274" t="d">
        <x:v>2024-07-12T00:00:00.000Z</x:v>
      </x:c>
      <x:c r="D702" s="191" t="n">
        <x:v>453.54998779296875</x:v>
      </x:c>
      <x:c r="E702" s="191" t="n">
        <x:v>445.693359375</x:v>
      </x:c>
      <x:c r="F702" s="191" t="n">
        <x:v>559.989990234375</x:v>
      </x:c>
      <x:c r="G702" s="191" t="n">
        <x:v>545.6846923828125</x:v>
      </x:c>
      <x:c r="H702" s="208" t="n">
        <x:f>E702/E701-1</x:f>
        <x:v>-0.002529246979410371</x:v>
      </x:c>
      <x:c r="I702" s="208" t="n">
        <x:f>G702/G701-1</x:f>
        <x:v>0.00630775746902712</x:v>
      </x:c>
      <x:c r="J702" s="208" t="n">
        <x:f>'Beta HC3'!$E$13+'Beta HC3'!$E$12*I702</x:f>
        <x:v>0.007123094290333685</x:v>
      </x:c>
      <x:c r="K702" s="240" t="n">
        <x:f>H702-J702</x:f>
        <x:v>-0.009652341269744055</x:v>
      </x:c>
      <x:c r="L702" s="240" t="n">
        <x:f>I702-'Beta HC3'!$E$9</x:f>
        <x:v>0.00574380985136668</x:v>
      </x:c>
      <x:c r="M702" s="240" t="n">
        <x:f>1/'Beta HC3'!$E$8+L702^2/'Beta HC3'!$E$11</x:f>
        <x:v>0.0010224222940481988</x:v>
      </x:c>
      <x:c r="N702" s="240" t="n">
        <x:f>K702^2/(1-M702)^2</x:f>
        <x:v>0.00009335849801496475</x:v>
      </x:c>
      <x:c r="O702" s="240" t="n">
        <x:f>N702*L702^2/'Beta HC3'!$E$11^2</x:f>
        <x:v>1.4403521564327223e-7</x:v>
      </x:c>
      <x:c r="P702" s="240" t="n">
        <x:f>N702*(1/'Beta HC3'!$E$8-'Beta HC3'!$E$9*L702/'Beta HC3'!$E$11)^2</x:f>
        <x:v>5.602449072633014e-11</x:v>
      </x:c>
      <x:c r="Q702" s="240" t="n">
        <x:f>N702*(1/'Beta HC3'!$E$8-'Beta HC3'!$E$9*L702/'Beta HC3'!$E$11)*L702/'Beta HC3'!$E$11</x:f>
        <x:v>2.8406864668723067e-9</x:v>
      </x:c>
      <x:c r="R702" s="240" t="n">
        <x:f>K702*L702/'Beta HC3'!$E$11</x:f>
        <x:v>-0.0003791316876481038</x:v>
      </x:c>
      <x:c r="S702" s="240" t="n">
        <x:f>(K702-K701)^2</x:f>
        <x:v>0.000029204047481955312</x:v>
      </x:c>
      <x:c r="T702" s="280" t="n">
        <x:f>E702/$E$9*100</x:f>
        <x:v>157.5024071063993</x:v>
      </x:c>
    </x:row>
    <x:row r="703" ht="24" customHeight="1">
      <x:c r="C703" s="274" t="d">
        <x:v>2024-07-15T00:00:00.000Z</x:v>
      </x:c>
      <x:c r="D703" s="191" t="n">
        <x:v>453.9599914550781</x:v>
      </x:c>
      <x:c r="E703" s="191" t="n">
        <x:v>446.09625244140625</x:v>
      </x:c>
      <x:c r="F703" s="191" t="n">
        <x:v>561.530029296875</x:v>
      </x:c>
      <x:c r="G703" s="191" t="n">
        <x:v>547.1853637695312</x:v>
      </x:c>
      <x:c r="H703" s="208" t="n">
        <x:f>E703/E702-1</x:f>
        <x:v>0.0009039691930148308</x:v>
      </x:c>
      <x:c r="I703" s="208" t="n">
        <x:f>G703/G702-1</x:f>
        <x:v>0.002750070521798653</x:v>
      </x:c>
      <x:c r="J703" s="208" t="n">
        <x:f>'Beta HC3'!$E$13+'Beta HC3'!$E$12*I703</x:f>
        <x:v>0.0031106932049577035</x:v>
      </x:c>
      <x:c r="K703" s="240" t="n">
        <x:f>H703-J703</x:f>
        <x:v>-0.0022067240119428727</x:v>
      </x:c>
      <x:c r="L703" s="240" t="n">
        <x:f>I703-'Beta HC3'!$E$9</x:f>
        <x:v>0.002186122904138214</x:v>
      </x:c>
      <x:c r="M703" s="240" t="n">
        <x:f>1/'Beta HC3'!$E$8+L703^2/'Beta HC3'!$E$11</x:f>
        <x:v>0.0008294945898100124</x:v>
      </x:c>
      <x:c r="N703" s="240" t="n">
        <x:f>K703^2/(1-M703)^2</x:f>
        <x:v>0.000004877719592740866</x:v>
      </x:c>
      <x:c r="O703" s="240" t="n">
        <x:f>N703*L703^2/'Beta HC3'!$E$11^2</x:f>
        <x:v>1.090136050454832e-9</x:v>
      </x:c>
      <x:c r="P703" s="240" t="n">
        <x:f>N703*(1/'Beta HC3'!$E$8-'Beta HC3'!$E$9*L703/'Beta HC3'!$E$11)^2</x:f>
        <x:v>3.0317272916795155e-12</x:v>
      </x:c>
      <x:c r="Q703" s="240" t="n">
        <x:f>N703*(1/'Beta HC3'!$E$8-'Beta HC3'!$E$9*L703/'Beta HC3'!$E$11)*L703/'Beta HC3'!$E$11</x:f>
        <x:v>5.748908779766497e-11</x:v>
      </x:c>
      <x:c r="R703" s="240" t="n">
        <x:f>K703*L703/'Beta HC3'!$E$11</x:f>
        <x:v>-0.00003298982080313887</x:v>
      </x:c>
      <x:c r="S703" s="240" t="n">
        <x:f>(K703-K702)^2</x:f>
        <x:v>0.00005543721634966681</x:v>
      </x:c>
      <x:c r="T703" s="280" t="n">
        <x:f>E703/$E$9*100</x:f>
        <x:v>157.64478443024913</x:v>
      </x:c>
    </x:row>
    <x:row r="704" ht="24" customHeight="1">
      <x:c r="C704" s="274" t="d">
        <x:v>2024-07-16T00:00:00.000Z</x:v>
      </x:c>
      <x:c r="D704" s="191" t="n">
        <x:v>449.5199890136719</x:v>
      </x:c>
      <x:c r="E704" s="191" t="n">
        <x:v>441.7331848144531</x:v>
      </x:c>
      <x:c r="F704" s="191" t="n">
        <x:v>564.8599853515625</x:v>
      </x:c>
      <x:c r="G704" s="191" t="n">
        <x:v>550.4302978515625</x:v>
      </x:c>
      <x:c r="H704" s="208" t="n">
        <x:f>E704/E703-1</x:f>
        <x:v>-0.009780552073851423</x:v>
      </x:c>
      <x:c r="I704" s="208" t="n">
        <x:f>G704/G703-1</x:f>
        <x:v>0.0059302282131179496</x:v>
      </x:c>
      <x:c r="J704" s="208" t="n">
        <x:f>'Beta HC3'!$E$13+'Beta HC3'!$E$12*I704</x:f>
        <x:v>0.006697312365549322</x:v>
      </x:c>
      <x:c r="K704" s="240" t="n">
        <x:f>H704-J704</x:f>
        <x:v>-0.016477864439400747</x:v>
      </x:c>
      <x:c r="L704" s="240" t="n">
        <x:f>I704-'Beta HC3'!$E$9</x:f>
        <x:v>0.00536628059545751</x:v>
      </x:c>
      <x:c r="M704" s="240" t="n">
        <x:f>1/'Beta HC3'!$E$8+L704^2/'Beta HC3'!$E$11</x:f>
        <x:v>0.0009937392283255056</x:v>
      </x:c>
      <x:c r="N704" s="240" t="n">
        <x:f>K704^2/(1-M704)^2</x:f>
        <x:v>0.0002720604621261406</x:v>
      </x:c>
      <x:c r="O704" s="240" t="n">
        <x:f>N704*L704^2/'Beta HC3'!$E$11^2</x:f>
        <x:v>3.6637590939664024e-7</x:v>
      </x:c>
      <x:c r="P704" s="240" t="n">
        <x:f>N704*(1/'Beta HC3'!$E$8-'Beta HC3'!$E$9*L704/'Beta HC3'!$E$11)^2</x:f>
        <x:v>1.6387792070181965e-10</x:v>
      </x:c>
      <x:c r="Q704" s="240" t="n">
        <x:f>N704*(1/'Beta HC3'!$E$8-'Beta HC3'!$E$9*L704/'Beta HC3'!$E$11)*L704/'Beta HC3'!$E$11</x:f>
        <x:v>7.748607760569617e-9</x:v>
      </x:c>
      <x:c r="R704" s="240" t="n">
        <x:f>K704*L704/'Beta HC3'!$E$11</x:f>
        <x:v>-0.0006046884379350717</x:v>
      </x:c>
      <x:c r="S704" s="240" t="n">
        <x:f>(K704-K703)^2</x:f>
        <x:v>0.00020366544910022251</x:v>
      </x:c>
      <x:c r="T704" s="280" t="n">
        <x:f>E704/$E$9*100</x:f>
        <x:v>156.10293140695802</x:v>
      </x:c>
    </x:row>
    <x:row r="705" ht="24" customHeight="1">
      <x:c r="C705" s="274" t="d">
        <x:v>2024-07-17T00:00:00.000Z</x:v>
      </x:c>
      <x:c r="D705" s="191" t="n">
        <x:v>443.5199890136719</x:v>
      </x:c>
      <x:c r="E705" s="191" t="n">
        <x:v>435.8370666503906</x:v>
      </x:c>
      <x:c r="F705" s="191" t="n">
        <x:v>556.9400024414062</x:v>
      </x:c>
      <x:c r="G705" s="191" t="n">
        <x:v>542.7124633789062</x:v>
      </x:c>
      <x:c r="H705" s="208" t="n">
        <x:f>E705/E704-1</x:f>
        <x:v>-0.013347691246106241</x:v>
      </x:c>
      <x:c r="I705" s="208" t="n">
        <x:f>G705/G704-1</x:f>
        <x:v>-0.014021456491004392</x:v>
      </x:c>
      <x:c r="J705" s="208" t="n">
        <x:f>'Beta HC3'!$E$13+'Beta HC3'!$E$12*I705</x:f>
        <x:v>-0.01580443175903257</x:v>
      </x:c>
      <x:c r="K705" s="240" t="n">
        <x:f>H705-J705</x:f>
        <x:v>0.002456740512926329</x:v>
      </x:c>
      <x:c r="L705" s="240" t="n">
        <x:f>I705-'Beta HC3'!$E$9</x:f>
        <x:v>-0.01458540410866483</x:v>
      </x:c>
      <x:c r="M705" s="240" t="n">
        <x:f>1/'Beta HC3'!$E$8+L705^2/'Beta HC3'!$E$11</x:f>
        <x:v>0.0022515826068934073</x:v>
      </x:c>
      <x:c r="N705" s="240" t="n">
        <x:f>K705^2/(1-M705)^2</x:f>
        <x:v>0.0000060628452051308515</x:v>
      </x:c>
      <x:c r="O705" s="240" t="n">
        <x:f>N705*L705^2/'Beta HC3'!$E$11^2</x:f>
        <x:v>6.03153893458024e-8</x:v>
      </x:c>
      <x:c r="P705" s="240" t="n">
        <x:f>N705*(1/'Beta HC3'!$E$8-'Beta HC3'!$E$9*L705/'Beta HC3'!$E$11)^2</x:f>
        <x:v>4.412019159378915e-12</x:v>
      </x:c>
      <x:c r="Q705" s="240" t="n">
        <x:f>N705*(1/'Beta HC3'!$E$8-'Beta HC3'!$E$9*L705/'Beta HC3'!$E$11)*L705/'Beta HC3'!$E$11</x:f>
        <x:v>-5.158610795544466e-10</x:v>
      </x:c>
      <x:c r="R705" s="240" t="n">
        <x:f>K705*L705/'Beta HC3'!$E$11</x:f>
        <x:v>-0.00024503894580046653</x:v>
      </x:c>
      <x:c r="S705" s="240" t="n">
        <x:f>(K705-K704)^2</x:f>
        <x:v>0.000358519264700689</x:v>
      </x:c>
      <x:c r="T705" s="280" t="n">
        <x:f>E705/$E$9*100</x:f>
        <x:v>154.01931767592583</x:v>
      </x:c>
    </x:row>
    <x:row r="706" ht="24" customHeight="1">
      <x:c r="C706" s="274" t="d">
        <x:v>2024-07-18T00:00:00.000Z</x:v>
      </x:c>
      <x:c r="D706" s="191" t="n">
        <x:v>440.3699951171875</x:v>
      </x:c>
      <x:c r="E706" s="191" t="n">
        <x:v>432.7416687011719</x:v>
      </x:c>
      <x:c r="F706" s="191" t="n">
        <x:v>552.6599731445312</x:v>
      </x:c>
      <x:c r="G706" s="191" t="n">
        <x:v>538.5418701171875</x:v>
      </x:c>
      <x:c r="H706" s="208" t="n">
        <x:f>E706/E705-1</x:f>
        <x:v>-0.007102190671868125</x:v>
      </x:c>
      <x:c r="I706" s="208" t="n">
        <x:f>G706/G705-1</x:f>
        <x:v>-0.007684719889705094</x:v>
      </x:c>
      <x:c r="J706" s="208" t="n">
        <x:f>'Beta HC3'!$E$13+'Beta HC3'!$E$12*I706</x:f>
        <x:v>-0.008657785864119819</x:v>
      </x:c>
      <x:c r="K706" s="240" t="n">
        <x:f>H706-J706</x:f>
        <x:v>0.0015555951922516936</x:v>
      </x:c>
      <x:c r="L706" s="240" t="n">
        <x:f>I706-'Beta HC3'!$E$9</x:f>
        <x:v>-0.008248667507365533</x:v>
      </x:c>
      <x:c r="M706" s="240" t="n">
        <x:f>1/'Beta HC3'!$E$8+L706^2/'Beta HC3'!$E$11</x:f>
        <x:v>0.0012621040763129499</x:v>
      </x:c>
      <x:c r="N706" s="240" t="n">
        <x:f>K706^2/(1-M706)^2</x:f>
        <x:v>0.0000024259962573018144</x:v>
      </x:c>
      <x:c r="O706" s="240" t="n">
        <x:f>N706*L706^2/'Beta HC3'!$E$11^2</x:f>
        <x:v>7.71920270551067e-9</x:v>
      </x:c>
      <x:c r="P706" s="240" t="n">
        <x:f>N706*(1/'Beta HC3'!$E$8-'Beta HC3'!$E$9*L706/'Beta HC3'!$E$11)^2</x:f>
        <x:v>1.6657318091708517e-12</x:v>
      </x:c>
      <x:c r="Q706" s="240" t="n">
        <x:f>N706*(1/'Beta HC3'!$E$8-'Beta HC3'!$E$9*L706/'Beta HC3'!$E$11)*L706/'Beta HC3'!$E$11</x:f>
        <x:v>-1.1339365717714031e-10</x:v>
      </x:c>
      <x:c r="R706" s="240" t="n">
        <x:f>K706*L706/'Beta HC3'!$E$11</x:f>
        <x:v>-0.0000877481061167667</x:v>
      </x:c>
      <x:c r="S706" s="240" t="n">
        <x:f>(K706-K705)^2</x:f>
        <x:v>8.120628889737911e-7</x:v>
      </x:c>
      <x:c r="T706" s="280" t="n">
        <x:f>E706/$E$9*100</x:f>
        <x:v>152.9254431146404</x:v>
      </x:c>
    </x:row>
    <x:row r="707" ht="24" customHeight="1">
      <x:c r="C707" s="274" t="d">
        <x:v>2024-07-19T00:00:00.000Z</x:v>
      </x:c>
      <x:c r="D707" s="191" t="n">
        <x:v>437.1099853515625</x:v>
      </x:c>
      <x:c r="E707" s="191" t="n">
        <x:v>429.5381774902344</x:v>
      </x:c>
      <x:c r="F707" s="191" t="n">
        <x:v>548.989990234375</x:v>
      </x:c>
      <x:c r="G707" s="191" t="n">
        <x:v>534.9656982421875</x:v>
      </x:c>
      <x:c r="H707" s="208" t="n">
        <x:f>E707/E706-1</x:f>
        <x:v>-0.007402779631904721</x:v>
      </x:c>
      <x:c r="I707" s="208" t="n">
        <x:f>G707/G706-1</x:f>
        <x:v>-0.006640471379174007</x:v>
      </x:c>
      <x:c r="J707" s="208" t="n">
        <x:f>'Beta HC3'!$E$13+'Beta HC3'!$E$12*I707</x:f>
        <x:v>-0.00748007014061546</x:v>
      </x:c>
      <x:c r="K707" s="240" t="n">
        <x:f>H707-J707</x:f>
        <x:v>0.00007729050871073916</x:v>
      </x:c>
      <x:c r="L707" s="240" t="n">
        <x:f>I707-'Beta HC3'!$E$9</x:f>
        <x:v>-0.007204418996834446</x:v>
      </x:c>
      <x:c r="M707" s="240" t="n">
        <x:f>1/'Beta HC3'!$E$8+L707^2/'Beta HC3'!$E$11</x:f>
        <x:v>0.0011517530284097719</x:v>
      </x:c>
      <x:c r="N707" s="240" t="n">
        <x:f>K707^2/(1-M707)^2</x:f>
        <x:v>5.987607283637703e-9</x:v>
      </x:c>
      <x:c r="O707" s="240" t="n">
        <x:f>N707*L707^2/'Beta HC3'!$E$11^2</x:f>
        <x:v>1.4533357484963021e-11</x:v>
      </x:c>
      <x:c r="P707" s="240" t="n">
        <x:f>N707*(1/'Beta HC3'!$E$8-'Beta HC3'!$E$9*L707/'Beta HC3'!$E$11)^2</x:f>
        <x:v>4.071332444160271e-15</x:v>
      </x:c>
      <x:c r="Q707" s="240" t="n">
        <x:f>N707*(1/'Beta HC3'!$E$8-'Beta HC3'!$E$9*L707/'Beta HC3'!$E$11)*L707/'Beta HC3'!$E$11</x:f>
        <x:v>-2.4324911068924685e-13</x:v>
      </x:c>
      <x:c r="R707" s="240" t="n">
        <x:f>K707*L707/'Beta HC3'!$E$11</x:f>
        <x:v>-0.000003807873302380006</x:v>
      </x:c>
      <x:c r="S707" s="240" t="n">
        <x:f>(K707-K706)^2</x:f>
        <x:v>0.0000021853847373791217</x:v>
      </x:c>
      <x:c r="T707" s="280" t="n">
        <x:f>E707/$E$9*100</x:f>
        <x:v>151.79336975915132</x:v>
      </x:c>
    </x:row>
    <x:row r="708" ht="24" customHeight="1">
      <x:c r="C708" s="274" t="d">
        <x:v>2024-07-22T00:00:00.000Z</x:v>
      </x:c>
      <x:c r="D708" s="191" t="n">
        <x:v>442.94000244140625</x:v>
      </x:c>
      <x:c r="E708" s="191" t="n">
        <x:v>435.2671813964844</x:v>
      </x:c>
      <x:c r="F708" s="191" t="n">
        <x:v>554.6500244140625</x:v>
      </x:c>
      <x:c r="G708" s="191" t="n">
        <x:v>540.4811401367188</x:v>
      </x:c>
      <x:c r="H708" s="208" t="n">
        <x:f>E708/E707-1</x:f>
        <x:v>0.013337589547276707</x:v>
      </x:c>
      <x:c r="I708" s="208" t="n">
        <x:f>G708/G707-1</x:f>
        <x:v>0.010309898209649893</x:v>
      </x:c>
      <x:c r="J708" s="208" t="n">
        <x:f>'Beta HC3'!$E$13+'Beta HC3'!$E$12*I708</x:f>
        <x:v>0.011636755579169683</x:v>
      </x:c>
      <x:c r="K708" s="240" t="n">
        <x:f>H708-J708</x:f>
        <x:v>0.001700833968107024</x:v>
      </x:c>
      <x:c r="L708" s="240" t="n">
        <x:f>I708-'Beta HC3'!$E$9</x:f>
        <x:v>0.009745950591989454</x:v>
      </x:c>
      <x:c r="M708" s="240" t="n">
        <x:f>1/'Beta HC3'!$E$8+L708^2/'Beta HC3'!$E$11</x:f>
        <x:v>0.0014463525562846227</x:v>
      </x:c>
      <x:c r="N708" s="240" t="n">
        <x:f>K708^2/(1-M708)^2</x:f>
        <x:v>0.000002901222499051423</x:v>
      </x:c>
      <x:c r="O708" s="240" t="n">
        <x:f>N708*L708^2/'Beta HC3'!$E$11^2</x:f>
        <x:v>1.2886772756369556e-8</x:v>
      </x:c>
      <x:c r="P708" s="240" t="n">
        <x:f>N708*(1/'Beta HC3'!$E$8-'Beta HC3'!$E$9*L708/'Beta HC3'!$E$11)^2</x:f>
        <x:v>1.6723401251705858e-12</x:v>
      </x:c>
      <x:c r="Q708" s="240" t="n">
        <x:f>N708*(1/'Beta HC3'!$E$8-'Beta HC3'!$E$9*L708/'Beta HC3'!$E$11)*L708/'Beta HC3'!$E$11</x:f>
        <x:v>1.4680281729051376e-10</x:v>
      </x:c>
      <x:c r="R708" s="240" t="n">
        <x:f>K708*L708/'Beta HC3'!$E$11</x:f>
        <x:v>0.00011335573245863171</x:v>
      </x:c>
      <x:c r="S708" s="240" t="n">
        <x:f>(K708-K707)^2</x:f>
        <x:v>0.0000026358933645484556</x:v>
      </x:c>
      <x:c r="T708" s="280" t="n">
        <x:f>E708/$E$9*100</x:f>
        <x:v>153.81792742099688</x:v>
      </x:c>
    </x:row>
    <x:row r="709" ht="24" customHeight="1">
      <x:c r="C709" s="274" t="d">
        <x:v>2024-07-23T00:00:00.000Z</x:v>
      </x:c>
      <x:c r="D709" s="191" t="n">
        <x:v>444.8500061035156</x:v>
      </x:c>
      <x:c r="E709" s="191" t="n">
        <x:v>437.1440734863281</x:v>
      </x:c>
      <x:c r="F709" s="191" t="n">
        <x:v>553.780029296875</x:v>
      </x:c>
      <x:c r="G709" s="191" t="n">
        <x:v>539.63330078125</x:v>
      </x:c>
      <x:c r="H709" s="208" t="n">
        <x:f>E709/E708-1</x:f>
        <x:v>0.004312045957202804</x:v>
      </x:c>
      <x:c r="I709" s="208" t="n">
        <x:f>G709/G708-1</x:f>
        <x:v>-0.0015686751905057417</x:v>
      </x:c>
      <x:c r="J709" s="208" t="n">
        <x:f>'Beta HC3'!$E$13+'Beta HC3'!$E$12*I709</x:f>
        <x:v>-0.001760038886018546</x:v>
      </x:c>
      <x:c r="K709" s="240" t="n">
        <x:f>H709-J709</x:f>
        <x:v>0.00607208484322135</x:v>
      </x:c>
      <x:c r="L709" s="240" t="n">
        <x:f>I709-'Beta HC3'!$E$9</x:f>
        <x:v>-0.002132622808166181</x:v>
      </x:c>
      <x:c r="M709" s="240" t="n">
        <x:f>1/'Beta HC3'!$E$8+L709^2/'Beta HC3'!$E$11</x:f>
        <x:v>0.0008279145444457592</x:v>
      </x:c>
      <x:c r="N709" s="240" t="n">
        <x:f>K709^2/(1-M709)^2</x:f>
        <x:v>0.000036931341017716896</x:v>
      </x:c>
      <x:c r="O709" s="240" t="n">
        <x:f>N709*L709^2/'Beta HC3'!$E$11^2</x:f>
        <x:v>7.854850068095664e-9</x:v>
      </x:c>
      <x:c r="P709" s="240" t="n">
        <x:f>N709*(1/'Beta HC3'!$E$8-'Beta HC3'!$E$9*L709/'Beta HC3'!$E$11)^2</x:f>
        <x:v>2.3934647877115554e-11</x:v>
      </x:c>
      <x:c r="Q709" s="240" t="n">
        <x:f>N709*(1/'Beta HC3'!$E$8-'Beta HC3'!$E$9*L709/'Beta HC3'!$E$11)*L709/'Beta HC3'!$E$11</x:f>
        <x:v>-4.3359320855775273e-10</x:v>
      </x:c>
      <x:c r="R709" s="240" t="n">
        <x:f>K709*L709/'Beta HC3'!$E$11</x:f>
        <x:v>-0.0000885542159522179</x:v>
      </x:c>
      <x:c r="S709" s="240" t="n">
        <x:f>(K709-K708)^2</x:f>
        <x:v>0.000019107834213187757</x:v>
      </x:c>
      <x:c r="T709" s="280" t="n">
        <x:f>E709/$E$9*100</x:f>
        <x:v>154.48119739307788</x:v>
      </x:c>
    </x:row>
    <x:row r="710" ht="24" customHeight="1">
      <x:c r="C710" s="274" t="d">
        <x:v>2024-07-24T00:00:00.000Z</x:v>
      </x:c>
      <x:c r="D710" s="191" t="n">
        <x:v>428.8999938964844</x:v>
      </x:c>
      <x:c r="E710" s="191" t="n">
        <x:v>421.4703674316406</x:v>
      </x:c>
      <x:c r="F710" s="191" t="n">
        <x:v>541.22998046875</x:v>
      </x:c>
      <x:c r="G710" s="191" t="n">
        <x:v>527.4038696289062</x:v>
      </x:c>
      <x:c r="H710" s="208" t="n">
        <x:f>E710/E709-1</x:f>
        <x:v>-0.03585478336623882</x:v>
      </x:c>
      <x:c r="I710" s="208" t="n">
        <x:f>G710/G709-1</x:f>
        <x:v>-0.02266248419924921</x:v>
      </x:c>
      <x:c r="J710" s="208" t="n">
        <x:f>'Beta HC3'!$E$13+'Beta HC3'!$E$12*I710</x:f>
        <x:v>-0.025549884203164928</x:v>
      </x:c>
      <x:c r="K710" s="240" t="n">
        <x:f>H710-J710</x:f>
        <x:v>-0.01030489916307389</x:v>
      </x:c>
      <x:c r="L710" s="240" t="n">
        <x:f>I710-'Beta HC3'!$E$9</x:f>
        <x:v>-0.02322643181690965</x:v>
      </x:c>
      <x:c r="M710" s="240" t="n">
        <x:f>1/'Beta HC3'!$E$8+L710^2/'Beta HC3'!$E$11</x:f>
        <x:v>0.004485929106681059</x:v>
      </x:c>
      <x:c r="N710" s="240" t="n">
        <x:f>K710^2/(1-M710)^2</x:f>
        <x:v>0.00010715012625947538</x:v>
      </x:c>
      <x:c r="O710" s="240" t="n">
        <x:f>N710*L710^2/'Beta HC3'!$E$11^2</x:f>
        <x:v>0.000002703164043463075</x:v>
      </x:c>
      <x:c r="P710" s="240" t="n">
        <x:f>N710*(1/'Beta HC3'!$E$8-'Beta HC3'!$E$9*L710/'Beta HC3'!$E$11)^2</x:f>
        <x:v>8.418573754677394e-11</x:v>
      </x:c>
      <x:c r="Q710" s="240" t="n">
        <x:f>N710*(1/'Beta HC3'!$E$8-'Beta HC3'!$E$9*L710/'Beta HC3'!$E$11)*L710/'Beta HC3'!$E$11</x:f>
        <x:v>-1.5085352455572878e-8</x:v>
      </x:c>
      <x:c r="R710" s="240" t="n">
        <x:f>K710*L710/'Beta HC3'!$E$11</x:f>
        <x:v>0.0016367547269586088</x:v>
      </x:c>
      <x:c r="S710" s="240" t="n">
        <x:f>(K710-K709)^2</x:f>
        <x:v>0.0002682056051424501</x:v>
      </x:c>
      <x:c r="T710" s="280" t="n">
        <x:f>E710/$E$9*100</x:f>
        <x:v>148.94230752639191</x:v>
      </x:c>
    </x:row>
    <x:row r="711" ht="24" customHeight="1">
      <x:c r="C711" s="274" t="d">
        <x:v>2024-07-25T00:00:00.000Z</x:v>
      </x:c>
      <x:c r="D711" s="191" t="n">
        <x:v>418.3999938964844</x:v>
      </x:c>
      <x:c r="E711" s="191" t="n">
        <x:v>411.15228271484375</x:v>
      </x:c>
      <x:c r="F711" s="191" t="n">
        <x:v>538.4099731445312</x:v>
      </x:c>
      <x:c r="G711" s="191" t="n">
        <x:v>524.6558227539062</x:v>
      </x:c>
      <x:c r="H711" s="208" t="n">
        <x:f>E711/E710-1</x:f>
        <x:v>-0.024481162886191288</x:v>
      </x:c>
      <x:c r="I711" s="208" t="n">
        <x:f>G711/G710-1</x:f>
        <x:v>-0.005210517088040323</x:v>
      </x:c>
      <x:c r="J711" s="208" t="n">
        <x:f>'Beta HC3'!$E$13+'Beta HC3'!$E$12*I711</x:f>
        <x:v>-0.005867350911833249</x:v>
      </x:c>
      <x:c r="K711" s="240" t="n">
        <x:f>H711-J711</x:f>
        <x:v>-0.01861381197435804</x:v>
      </x:c>
      <x:c r="L711" s="240" t="n">
        <x:f>I711-'Beta HC3'!$E$9</x:f>
        <x:v>-0.005774464705700763</x:v>
      </x:c>
      <x:c r="M711" s="240" t="n">
        <x:f>1/'Beta HC3'!$E$8+L711^2/'Beta HC3'!$E$11</x:f>
        <x:v>0.0010248368876451875</x:v>
      </x:c>
      <x:c r="N711" s="240" t="n">
        <x:f>K711^2/(1-M711)^2</x:f>
        <x:v>0.0003471852480694719</x:v>
      </x:c>
      <x:c r="O711" s="240" t="n">
        <x:f>N711*L711^2/'Beta HC3'!$E$11^2</x:f>
        <x:v>5.413765609697654e-7</x:v>
      </x:c>
      <x:c r="P711" s="240" t="n">
        <x:f>N711*(1/'Beta HC3'!$E$8-'Beta HC3'!$E$9*L711/'Beta HC3'!$E$11)^2</x:f>
        <x:v>2.329250246310613e-10</x:v>
      </x:c>
      <x:c r="Q711" s="240" t="n">
        <x:f>N711*(1/'Beta HC3'!$E$8-'Beta HC3'!$E$9*L711/'Beta HC3'!$E$11)*L711/'Beta HC3'!$E$11</x:f>
        <x:v>-1.1229432256288019e-8</x:v>
      </x:c>
      <x:c r="R711" s="240" t="n">
        <x:f>K711*L711/'Beta HC3'!$E$11</x:f>
        <x:v>0.0007350289002705449</x:v>
      </x:c>
      <x:c r="S711" s="240" t="n">
        <x:f>(K711-K710)^2</x:f>
        <x:v>0.00006903803210552187</x:v>
      </x:c>
      <x:c r="T711" s="280" t="n">
        <x:f>E711/$E$9*100</x:f>
        <x:v>145.2960266351931</x:v>
      </x:c>
    </x:row>
    <x:row r="712" ht="24" customHeight="1">
      <x:c r="C712" s="274" t="d">
        <x:v>2024-07-26T00:00:00.000Z</x:v>
      </x:c>
      <x:c r="D712" s="191" t="n">
        <x:v>425.2699890136719</x:v>
      </x:c>
      <x:c r="E712" s="191" t="n">
        <x:v>417.9032287597656</x:v>
      </x:c>
      <x:c r="F712" s="191" t="n">
        <x:v>544.4400024414062</x:v>
      </x:c>
      <x:c r="G712" s="191" t="n">
        <x:v>530.5318603515625</x:v>
      </x:c>
      <x:c r="H712" s="208" t="n">
        <x:f>E712/E711-1</x:f>
        <x:v>0.016419575735650227</x:v>
      </x:c>
      <x:c r="I712" s="208" t="n">
        <x:f>G712/G711-1</x:f>
        <x:v>0.011199794880409453</x:v>
      </x:c>
      <x:c r="J712" s="208" t="n">
        <x:f>'Beta HC3'!$E$13+'Beta HC3'!$E$12*I712</x:f>
        <x:v>0.012640391486598172</x:v>
      </x:c>
      <x:c r="K712" s="240" t="n">
        <x:f>H712-J712</x:f>
        <x:v>0.0037791842490520547</x:v>
      </x:c>
      <x:c r="L712" s="240" t="n">
        <x:f>I712-'Beta HC3'!$E$9</x:f>
        <x:v>0.010635847262749014</x:v>
      </x:c>
      <x:c r="M712" s="240" t="n">
        <x:f>1/'Beta HC3'!$E$8+L712^2/'Beta HC3'!$E$11</x:f>
        <x:v>0.0015703861803823952</x:v>
      </x:c>
      <x:c r="N712" s="240" t="n">
        <x:f>K712^2/(1-M712)^2</x:f>
        <x:v>0.000014327196719263665</x:v>
      </x:c>
      <x:c r="O712" s="240" t="n">
        <x:f>N712*L712^2/'Beta HC3'!$E$11^2</x:f>
        <x:v>7.579143515492371e-8</x:v>
      </x:c>
      <x:c r="P712" s="240" t="n">
        <x:f>N712*(1/'Beta HC3'!$E$8-'Beta HC3'!$E$9*L712/'Beta HC3'!$E$11)^2</x:f>
        <x:v>8.18407581894302e-12</x:v>
      </x:c>
      <x:c r="Q712" s="240" t="n">
        <x:f>N712*(1/'Beta HC3'!$E$8-'Beta HC3'!$E$9*L712/'Beta HC3'!$E$11)*L712/'Beta HC3'!$E$11</x:f>
        <x:v>7.875803779516089e-10</x:v>
      </x:c>
      <x:c r="R712" s="240" t="n">
        <x:f>K712*L712/'Beta HC3'!$E$11</x:f>
        <x:v>0.0002748701119082092</x:v>
      </x:c>
      <x:c r="S712" s="240" t="n">
        <x:f>(K712-K711)^2</x:f>
        <x:v>0.0005014462798616587</x:v>
      </x:c>
      <x:c r="T712" s="280" t="n">
        <x:f>E712/$E$9*100</x:f>
        <x:v>147.6817257486187</x:v>
      </x:c>
    </x:row>
    <x:row r="713" ht="24" customHeight="1">
      <x:c r="C713" s="274" t="d">
        <x:v>2024-07-29T00:00:00.000Z</x:v>
      </x:c>
      <x:c r="D713" s="191" t="n">
        <x:v>426.7300109863281</x:v>
      </x:c>
      <x:c r="E713" s="191" t="n">
        <x:v>419.33795166015625</x:v>
      </x:c>
      <x:c r="F713" s="191" t="n">
        <x:v>544.760009765625</x:v>
      </x:c>
      <x:c r="G713" s="191" t="n">
        <x:v>530.8438110351562</x:v>
      </x:c>
      <x:c r="H713" s="208" t="n">
        <x:f>E713/E712-1</x:f>
        <x:v>0.0034331462445229555</x:v>
      </x:c>
      <x:c r="I713" s="208" t="n">
        <x:f>G713/G712-1</x:f>
        <x:v>0.0005879961354009478</x:v>
      </x:c>
      <x:c r="J713" s="208" t="n">
        <x:f>'Beta HC3'!$E$13+'Beta HC3'!$E$12*I713</x:f>
        <x:v>0.0006722803419586404</x:v>
      </x:c>
      <x:c r="K713" s="240" t="n">
        <x:f>H713-J713</x:f>
        <x:v>0.0027608659025643153</x:v>
      </x:c>
      <x:c r="L713" s="240" t="n">
        <x:f>I713-'Beta HC3'!$E$9</x:f>
        <x:v>0.00002404851774050838</x:v>
      </x:c>
      <x:c r="M713" s="240" t="n">
        <x:f>1/'Beta HC3'!$E$8+L713^2/'Beta HC3'!$E$11</x:f>
        <x:v>0.0007968167038901528</x:v>
      </x:c>
      <x:c r="N713" s="240" t="n">
        <x:f>K713^2/(1-M713)^2</x:f>
        <x:v>0.000007634542346378924</x:v>
      </x:c>
      <x:c r="O713" s="240" t="n">
        <x:f>N713*L713^2/'Beta HC3'!$E$11^2</x:f>
        <x:v>2.064782723402475e-13</x:v>
      </x:c>
      <x:c r="P713" s="240" t="n">
        <x:f>N713*(1/'Beta HC3'!$E$8-'Beta HC3'!$E$9*L713/'Beta HC3'!$E$11)^2</x:f>
        <x:v>4.846123223373279e-12</x:v>
      </x:c>
      <x:c r="Q713" s="240" t="n">
        <x:f>N713*(1/'Beta HC3'!$E$8-'Beta HC3'!$E$9*L713/'Beta HC3'!$E$11)*L713/'Beta HC3'!$E$11</x:f>
        <x:v>1.0003095274514113e-12</x:v>
      </x:c>
      <x:c r="R713" s="240" t="n">
        <x:f>K713*L713/'Beta HC3'!$E$11</x:f>
        <x:v>4.540367306331081e-7</x:v>
      </x:c>
      <x:c r="S713" s="240" t="n">
        <x:f>(K713-K712)^2</x:f>
        <x:v>0.0000010369722547935237</x:v>
      </x:c>
      <x:c r="T713" s="280" t="n">
        <x:f>E713/$E$9*100</x:f>
        <x:v>148.18873871075726</x:v>
      </x:c>
    </x:row>
    <x:row r="714" ht="24" customHeight="1">
      <x:c r="C714" s="274" t="d">
        <x:v>2024-07-30T00:00:00.000Z</x:v>
      </x:c>
      <x:c r="D714" s="191" t="n">
        <x:v>422.9200134277344</x:v>
      </x:c>
      <x:c r="E714" s="191" t="n">
        <x:v>415.59393310546875</x:v>
      </x:c>
      <x:c r="F714" s="191" t="n">
        <x:v>542</x:v>
      </x:c>
      <x:c r="G714" s="191" t="n">
        <x:v>528.1542358398438</x:v>
      </x:c>
      <x:c r="H714" s="208" t="n">
        <x:f>E714/E713-1</x:f>
        <x:v>-0.00892840378473958</x:v>
      </x:c>
      <x:c r="I714" s="208" t="n">
        <x:f>G714/G713-1</x:f>
        <x:v>-0.0050666036589327446</x:v>
      </x:c>
      <x:c r="J714" s="208" t="n">
        <x:f>'Beta HC3'!$E$13+'Beta HC3'!$E$12*I714</x:f>
        <x:v>-0.005705043657789644</x:v>
      </x:c>
      <x:c r="K714" s="240" t="n">
        <x:f>H714-J714</x:f>
        <x:v>-0.0032233601269499364</x:v>
      </x:c>
      <x:c r="L714" s="240" t="n">
        <x:f>I714-'Beta HC3'!$E$9</x:f>
        <x:v>-0.005630551276593184</x:v>
      </x:c>
      <x:c r="M714" s="240" t="n">
        <x:f>1/'Beta HC3'!$E$8+L714^2/'Beta HC3'!$E$11</x:f>
        <x:v>0.001013612708721984</x:v>
      </x:c>
      <x:c r="N714" s="240" t="n">
        <x:f>K714^2/(1-M714)^2</x:f>
        <x:v>0.000010411145550372555</x:v>
      </x:c>
      <x:c r="O714" s="240" t="n">
        <x:f>N714*L714^2/'Beta HC3'!$E$11^2</x:f>
        <x:v>1.5435300064412162e-8</x:v>
      </x:c>
      <x:c r="P714" s="240" t="n">
        <x:f>N714*(1/'Beta HC3'!$E$8-'Beta HC3'!$E$9*L714/'Beta HC3'!$E$11)^2</x:f>
        <x:v>6.975328312938591e-12</x:v>
      </x:c>
      <x:c r="Q714" s="240" t="n">
        <x:f>N714*(1/'Beta HC3'!$E$8-'Beta HC3'!$E$9*L714/'Beta HC3'!$E$11)*L714/'Beta HC3'!$E$11</x:f>
        <x:v>-3.281254113262139e-10</x:v>
      </x:c>
      <x:c r="R714" s="240" t="n">
        <x:f>K714*L714/'Beta HC3'!$E$11</x:f>
        <x:v>0.0001241129529508847</x:v>
      </x:c>
      <x:c r="S714" s="240" t="n">
        <x:f>(K714-K713)^2</x:f>
        <x:v>0.000035810961172315904</x:v>
      </x:c>
      <x:c r="T714" s="280" t="n">
        <x:f>E714/$E$9*100</x:f>
        <x:v>146.86564981519635</x:v>
      </x:c>
    </x:row>
    <x:row r="715" ht="24" customHeight="1">
      <x:c r="C715" s="274" t="d">
        <x:v>2024-07-31T00:00:00.000Z</x:v>
      </x:c>
      <x:c r="D715" s="191" t="n">
        <x:v>418.3500061035156</x:v>
      </x:c>
      <x:c r="E715" s="191" t="n">
        <x:v>411.1031188964844</x:v>
      </x:c>
      <x:c r="F715" s="191" t="n">
        <x:v>550.8099975585938</x:v>
      </x:c>
      <x:c r="G715" s="191" t="n">
        <x:v>536.7391967773438</x:v>
      </x:c>
      <x:c r="H715" s="208" t="n">
        <x:f>E715/E714-1</x:f>
        <x:v>-0.010805774221551712</x:v>
      </x:c>
      <x:c r="I715" s="208" t="n">
        <x:f>G715/G714-1</x:f>
        <x:v>0.01625464751569905</x:v>
      </x:c>
      <x:c r="J715" s="208" t="n">
        <x:f>'Beta HC3'!$E$13+'Beta HC3'!$E$12*I715</x:f>
        <x:v>0.0183413136028771</x:v>
      </x:c>
      <x:c r="K715" s="240" t="n">
        <x:f>H715-J715</x:f>
        <x:v>-0.029147087824428812</x:v>
      </x:c>
      <x:c r="L715" s="240" t="n">
        <x:f>I715-'Beta HC3'!$E$9</x:f>
        <x:v>0.01569069989803861</x:v>
      </x:c>
      <x:c r="M715" s="240" t="n">
        <x:f>1/'Beta HC3'!$E$8+L715^2/'Beta HC3'!$E$11</x:f>
        <x:v>0.002480424675807203</x:v>
      </x:c>
      <x:c r="N715" s="240" t="n">
        <x:f>K715^2/(1-M715)^2</x:f>
        <x:v>0.0008537829644050547</x:v>
      </x:c>
      <x:c r="O715" s="240" t="n">
        <x:f>N715*L715^2/'Beta HC3'!$E$11^2</x:f>
        <x:v>0.000009829848854801374</x:v>
      </x:c>
      <x:c r="P715" s="240" t="n">
        <x:f>N715*(1/'Beta HC3'!$E$8-'Beta HC3'!$E$9*L715/'Beta HC3'!$E$11)^2</x:f>
        <x:v>4.628694024212092e-10</x:v>
      </x:c>
      <x:c r="Q715" s="240" t="n">
        <x:f>N715*(1/'Beta HC3'!$E$8-'Beta HC3'!$E$9*L715/'Beta HC3'!$E$11)*L715/'Beta HC3'!$E$11</x:f>
        <x:v>6.745321538157185e-8</x:v>
      </x:c>
      <x:c r="R715" s="240" t="n">
        <x:f>K715*L715/'Beta HC3'!$E$11</x:f>
        <x:v>-0.003127482203577384</x:v>
      </x:c>
      <x:c r="S715" s="240" t="n">
        <x:f>(K715-K714)^2</x:f>
        <x:v>0.0006720396577330333</x:v>
      </x:c>
      <x:c r="T715" s="280" t="n">
        <x:f>E715/$E$9*100</x:f>
        <x:v>145.27865276239186</x:v>
      </x:c>
    </x:row>
    <x:row r="716" ht="24" customHeight="1">
      <x:c r="C716" s="274" t="d">
        <x:v>2024-08-01T00:00:00.000Z</x:v>
      </x:c>
      <x:c r="D716" s="191" t="n">
        <x:v>417.1099853515625</x:v>
      </x:c>
      <x:c r="E716" s="191" t="n">
        <x:v>409.88458251953125</x:v>
      </x:c>
      <x:c r="F716" s="191" t="n">
        <x:v>543.010009765625</x:v>
      </x:c>
      <x:c r="G716" s="191" t="n">
        <x:v>529.1384887695312</x:v>
      </x:c>
      <x:c r="H716" s="208" t="n">
        <x:f>E716/E715-1</x:f>
        <x:v>-0.002964065026371032</x:v>
      </x:c>
      <x:c r="I716" s="208" t="n">
        <x:f>G716/G715-1</x:f>
        <x:v>-0.01416089611760829</x:v>
      </x:c>
      <x:c r="J716" s="208" t="n">
        <x:f>'Beta HC3'!$E$13+'Beta HC3'!$E$12*I716</x:f>
        <x:v>-0.015961693406116435</x:v>
      </x:c>
      <x:c r="K716" s="240" t="n">
        <x:f>H716-J716</x:f>
        <x:v>0.012997628379745402</x:v>
      </x:c>
      <x:c r="L716" s="240" t="n">
        <x:f>I716-'Beta HC3'!$E$9</x:f>
        <x:v>-0.01472484373526873</x:v>
      </x:c>
      <x:c r="M716" s="240" t="n">
        <x:f>1/'Beta HC3'!$E$8+L716^2/'Beta HC3'!$E$11</x:f>
        <x:v>0.0022795314002929225</x:v>
      </x:c>
      <x:c r="N716" s="240" t="n">
        <x:f>K716^2/(1-M716)^2</x:f>
        <x:v>0.00016971118558699303</x:v>
      </x:c>
      <x:c r="O716" s="240" t="n">
        <x:f>N716*L716^2/'Beta HC3'!$E$11^2</x:f>
        <x:v>0.0000017207848723543413</x:v>
      </x:c>
      <x:c r="P716" s="240" t="n">
        <x:f>N716*(1/'Beta HC3'!$E$8-'Beta HC3'!$E$9*L716/'Beta HC3'!$E$11)^2</x:f>
        <x:v>1.2365701108619876e-10</x:v>
      </x:c>
      <x:c r="Q716" s="240" t="n">
        <x:f>N716*(1/'Beta HC3'!$E$8-'Beta HC3'!$E$9*L716/'Beta HC3'!$E$11)*L716/'Beta HC3'!$E$11</x:f>
        <x:v>-1.4587224343160144e-8</x:v>
      </x:c>
      <x:c r="R716" s="240" t="n">
        <x:f>K716*L716/'Beta HC3'!$E$11</x:f>
        <x:v>-0.001308796641081585</x:v>
      </x:c>
      <x:c r="S716" s="240" t="n">
        <x:f>(K716-K715)^2</x:f>
        <x:v>0.0017761771039303848</x:v>
      </x:c>
      <x:c r="T716" s="280" t="n">
        <x:f>E716/$E$9*100</x:f>
        <x:v>144.84803738866054</x:v>
      </x:c>
    </x:row>
    <x:row r="717" ht="24" customHeight="1">
      <x:c r="C717" s="274" t="d">
        <x:v>2024-08-02T00:00:00.000Z</x:v>
      </x:c>
      <x:c r="D717" s="191" t="n">
        <x:v>408.489990234375</x:v>
      </x:c>
      <x:c r="E717" s="191" t="n">
        <x:v>401.4139099121094</x:v>
      </x:c>
      <x:c r="F717" s="191" t="n">
        <x:v>532.9000244140625</x:v>
      </x:c>
      <x:c r="G717" s="191" t="n">
        <x:v>519.2868041992188</x:v>
      </x:c>
      <x:c r="H717" s="208" t="n">
        <x:f>E717/E716-1</x:f>
        <x:v>-0.02066599469380681</x:v>
      </x:c>
      <x:c r="I717" s="208" t="n">
        <x:f>G717/G716-1</x:f>
        <x:v>-0.01861834808732543</x:v>
      </x:c>
      <x:c r="J717" s="208" t="n">
        <x:f>'Beta HC3'!$E$13+'Beta HC3'!$E$12*I717</x:f>
        <x:v>-0.020988860041797328</x:v>
      </x:c>
      <x:c r="K717" s="240" t="n">
        <x:f>H717-J717</x:f>
        <x:v>0.0003228653479905169</x:v>
      </x:c>
      <x:c r="L717" s="240" t="n">
        <x:f>I717-'Beta HC3'!$E$9</x:f>
        <x:v>-0.01918229570498587</x:v>
      </x:c>
      <x:c r="M717" s="240" t="n">
        <x:f>1/'Beta HC3'!$E$8+L717^2/'Beta HC3'!$E$11</x:f>
        <x:v>0.0033130901928722723</x:v>
      </x:c>
      <x:c r="N717" s="240" t="n">
        <x:f>K717^2/(1-M717)^2</x:f>
        <x:v>1.0493620733254767e-7</x:v>
      </x:c>
      <x:c r="O717" s="240" t="n">
        <x:f>N717*L717^2/'Beta HC3'!$E$11^2</x:f>
        <x:v>1.805681920199614e-9</x:v>
      </x:c>
      <x:c r="P717" s="240" t="n">
        <x:f>N717*(1/'Beta HC3'!$E$8-'Beta HC3'!$E$9*L717/'Beta HC3'!$E$11)^2</x:f>
        <x:v>7.957048007454686e-14</x:v>
      </x:c>
      <x:c r="Q717" s="240" t="n">
        <x:f>N717*(1/'Beta HC3'!$E$8-'Beta HC3'!$E$9*L717/'Beta HC3'!$E$11)*L717/'Beta HC3'!$E$11</x:f>
        <x:v>-1.1986616589021813e-11</x:v>
      </x:c>
      <x:c r="R717" s="240" t="n">
        <x:f>K717*L717/'Beta HC3'!$E$11</x:f>
        <x:v>-0.00004235253199355378</x:v>
      </x:c>
      <x:c r="S717" s="240" t="n">
        <x:f>(K717-K716)^2</x:f>
        <x:v>0.0001606496179111403</x:v>
      </x:c>
      <x:c r="T717" s="280" t="n">
        <x:f>E717/$E$9*100</x:f>
        <x:v>141.85460861657816</x:v>
      </x:c>
    </x:row>
    <x:row r="718" ht="24" customHeight="1">
      <x:c r="C718" s="274" t="d">
        <x:v>2024-08-05T00:00:00.000Z</x:v>
      </x:c>
      <x:c r="D718" s="191" t="n">
        <x:v>395.1499938964844</x:v>
      </x:c>
      <x:c r="E718" s="191" t="n">
        <x:v>388.30499267578125</x:v>
      </x:c>
      <x:c r="F718" s="191" t="n">
        <x:v>517.3800048828125</x:v>
      </x:c>
      <x:c r="G718" s="191" t="n">
        <x:v>504.16314697265625</x:v>
      </x:c>
      <x:c r="H718" s="208" t="n">
        <x:f>E718/E717-1</x:f>
        <x:v>-0.03265685845116417</x:v>
      </x:c>
      <x:c r="I718" s="208" t="n">
        <x:f>G718/G717-1</x:f>
        <x:v>-0.029123900519452572</x:v>
      </x:c>
      <x:c r="J718" s="208" t="n">
        <x:f>'Beta HC3'!$E$13+'Beta HC3'!$E$12*I718</x:f>
        <x:v>-0.032837145348063285</x:v>
      </x:c>
      <x:c r="K718" s="240" t="n">
        <x:f>H718-J718</x:f>
        <x:v>0.00018028689689911226</x:v>
      </x:c>
      <x:c r="L718" s="240" t="n">
        <x:f>I718-'Beta HC3'!$E$9</x:f>
        <x:v>-0.02968784813711301</x:v>
      </x:c>
      <x:c r="M718" s="240" t="n">
        <x:f>1/'Beta HC3'!$E$8+L718^2/'Beta HC3'!$E$11</x:f>
        <x:v>0.006824001620570108</x:v>
      </x:c>
      <x:c r="N718" s="240" t="n">
        <x:f>K718^2/(1-M718)^2</x:f>
        <x:v>3.2951553649584494e-8</x:v>
      </x:c>
      <x:c r="O718" s="240" t="n">
        <x:f>N718*L718^2/'Beta HC3'!$E$11^2</x:f>
        <x:v>1.358151002653909e-9</x:v>
      </x:c>
      <x:c r="P718" s="240" t="n">
        <x:f>N718*(1/'Beta HC3'!$E$8-'Beta HC3'!$E$9*L718/'Beta HC3'!$E$11)^2</x:f>
        <x:v>2.7365481195200956e-14</x:v>
      </x:c>
      <x:c r="Q718" s="240" t="n">
        <x:f>N718*(1/'Beta HC3'!$E$8-'Beta HC3'!$E$9*L718/'Beta HC3'!$E$11)*L718/'Beta HC3'!$E$11</x:f>
        <x:v>-6.0964297521884775e-12</x:v>
      </x:c>
      <x:c r="R718" s="240" t="n">
        <x:f>K718*L718/'Beta HC3'!$E$11</x:f>
        <x:v>-0.00003660161469638894</x:v>
      </x:c>
      <x:c r="S718" s="240" t="n">
        <x:f>(K718-K717)^2</x:f>
        <x:v>2.032861471562407e-8</x:v>
      </x:c>
      <x:c r="T718" s="280" t="n">
        <x:f>E718/$E$9*100</x:f>
        <x:v>137.22208274234126</x:v>
      </x:c>
    </x:row>
    <x:row r="719" ht="24" customHeight="1">
      <x:c r="C719" s="274" t="d">
        <x:v>2024-08-06T00:00:00.000Z</x:v>
      </x:c>
      <x:c r="D719" s="191" t="n">
        <x:v>399.6099853515625</x:v>
      </x:c>
      <x:c r="E719" s="191" t="n">
        <x:v>392.6877746582031</x:v>
      </x:c>
      <x:c r="F719" s="191" t="n">
        <x:v>522.1500244140625</x:v>
      </x:c>
      <x:c r="G719" s="191" t="n">
        <x:v>508.8113098144531</x:v>
      </x:c>
      <x:c r="H719" s="208" t="n">
        <x:f>E719/E718-1</x:f>
        <x:v>0.011286957585119994</x:v>
      </x:c>
      <x:c r="I719" s="208" t="n">
        <x:f>G719/G718-1</x:f>
        <x:v>0.009219560909415225</x:v>
      </x:c>
      <x:c r="J719" s="208" t="n">
        <x:f>'Beta HC3'!$E$13+'Beta HC3'!$E$12*I719</x:f>
        <x:v>0.010407060377826675</x:v>
      </x:c>
      <x:c r="K719" s="240" t="n">
        <x:f>H719-J719</x:f>
        <x:v>0.0008798972072933189</x:v>
      </x:c>
      <x:c r="L719" s="240" t="n">
        <x:f>I719-'Beta HC3'!$E$9</x:f>
        <x:v>0.008655613291754786</x:v>
      </x:c>
      <x:c r="M719" s="240" t="n">
        <x:f>1/'Beta HC3'!$E$8+L719^2/'Beta HC3'!$E$11</x:f>
        <x:v>0.001309146600140272</x:v>
      </x:c>
      <x:c r="N719" s="240" t="n">
        <x:f>K719^2/(1-M719)^2</x:f>
        <x:v>7.762502156760661e-7</x:v>
      </x:c>
      <x:c r="O719" s="240" t="n">
        <x:f>N719*L719^2/'Beta HC3'!$E$11^2</x:f>
        <x:v>2.719644551955003e-9</x:v>
      </x:c>
      <x:c r="P719" s="240" t="n">
        <x:f>N719*(1/'Beta HC3'!$E$8-'Beta HC3'!$E$9*L719/'Beta HC3'!$E$11)^2</x:f>
        <x:v>4.5242087735976414e-13</x:v>
      </x:c>
      <x:c r="Q719" s="240" t="n">
        <x:f>N719*(1/'Beta HC3'!$E$8-'Beta HC3'!$E$9*L719/'Beta HC3'!$E$11)*L719/'Beta HC3'!$E$11</x:f>
        <x:v>3.507739976540714e-11</x:v>
      </x:c>
      <x:c r="R719" s="240" t="n">
        <x:f>K719*L719/'Beta HC3'!$E$11</x:f>
        <x:v>0.00005208193915572424</x:v>
      </x:c>
      <x:c r="S719" s="240" t="n">
        <x:f>(K719-K718)^2</x:f>
        <x:v>4.894545864098782e-7</x:v>
      </x:c>
      <x:c r="T719" s="280" t="n">
        <x:f>E719/$E$9*100</x:f>
        <x:v>138.77090256999588</x:v>
      </x:c>
    </x:row>
    <x:row r="720" ht="24" customHeight="1">
      <x:c r="C720" s="274" t="d">
        <x:v>2024-08-07T00:00:00.000Z</x:v>
      </x:c>
      <x:c r="D720" s="191" t="n">
        <x:v>398.42999267578125</x:v>
      </x:c>
      <x:c r="E720" s="191" t="n">
        <x:v>391.5282287597656</x:v>
      </x:c>
      <x:c r="F720" s="191" t="n">
        <x:v>518.6599731445312</x:v>
      </x:c>
      <x:c r="G720" s="191" t="n">
        <x:v>505.4103698730469</x:v>
      </x:c>
      <x:c r="H720" s="208" t="n">
        <x:f>E720/E719-1</x:f>
        <x:v>-0.0029528444053211755</x:v>
      </x:c>
      <x:c r="I720" s="208" t="n">
        <x:f>G720/G719-1</x:f>
        <x:v>-0.006684088729565496</x:v>
      </x:c>
      <x:c r="J720" s="208" t="n">
        <x:f>'Beta HC3'!$E$13+'Beta HC3'!$E$12*I720</x:f>
        <x:v>-0.007529262300197791</x:v>
      </x:c>
      <x:c r="K720" s="240" t="n">
        <x:f>H720-J720</x:f>
        <x:v>0.004576417894876616</x:v>
      </x:c>
      <x:c r="L720" s="240" t="n">
        <x:f>I720-'Beta HC3'!$E$9</x:f>
        <x:v>-0.007248036347225936</x:v>
      </x:c>
      <x:c r="M720" s="240" t="n">
        <x:f>1/'Beta HC3'!$E$8+L720^2/'Beta HC3'!$E$11</x:f>
        <x:v>0.0011560638324146259</x:v>
      </x:c>
      <x:c r="N720" s="240" t="n">
        <x:f>K720^2/(1-M720)^2</x:f>
        <x:v>0.000020992109129198393</x:v>
      </x:c>
      <x:c r="O720" s="240" t="n">
        <x:f>N720*L720^2/'Beta HC3'!$E$11^2</x:f>
        <x:v>5.157170899061035e-8</x:v>
      </x:c>
      <x:c r="P720" s="240" t="n">
        <x:f>N720*(1/'Beta HC3'!$E$8-'Beta HC3'!$E$9*L720/'Beta HC3'!$E$11)^2</x:f>
        <x:v>1.4279615083002431e-11</x:v>
      </x:c>
      <x:c r="Q720" s="240" t="n">
        <x:f>N720*(1/'Beta HC3'!$E$8-'Beta HC3'!$E$9*L720/'Beta HC3'!$E$11)*L720/'Beta HC3'!$E$11</x:f>
        <x:v>-8.581515912462855e-10</x:v>
      </x:c>
      <x:c r="R720" s="240" t="n">
        <x:f>K720*L720/'Beta HC3'!$E$11</x:f>
        <x:v>-0.00022683151796051872</x:v>
      </x:c>
      <x:c r="S720" s="240" t="n">
        <x:f>(K720-K719)^2</x:f>
        <x:v>0.000013664265193731288</x:v>
      </x:c>
      <x:c r="T720" s="280" t="n">
        <x:f>E720/$E$9*100</x:f>
        <x:v>138.3611336867207</x:v>
      </x:c>
    </x:row>
    <x:row r="721" ht="24" customHeight="1">
      <x:c r="C721" s="274" t="d">
        <x:v>2024-08-08T00:00:00.000Z</x:v>
      </x:c>
      <x:c r="D721" s="191" t="n">
        <x:v>402.69000244140625</x:v>
      </x:c>
      <x:c r="E721" s="191" t="n">
        <x:v>395.71441650390625</x:v>
      </x:c>
      <x:c r="F721" s="191" t="n">
        <x:v>530.6500244140625</x:v>
      </x:c>
      <x:c r="G721" s="191" t="n">
        <x:v>517.0941772460938</x:v>
      </x:c>
      <x:c r="H721" s="208" t="n">
        <x:f>E721/E720-1</x:f>
        <x:v>0.010691918070380613</x:v>
      </x:c>
      <x:c r="I721" s="208" t="n">
        <x:f>G721/G720-1</x:f>
        <x:v>0.02311746665582204</x:v>
      </x:c>
      <x:c r="J721" s="208" t="n">
        <x:f>'Beta HC3'!$E$13+'Beta HC3'!$E$12*I721</x:f>
        <x:v>0.02608128155818585</x:v>
      </x:c>
      <x:c r="K721" s="240" t="n">
        <x:f>H721-J721</x:f>
        <x:v>-0.015389363487805237</x:v>
      </x:c>
      <x:c r="L721" s="240" t="n">
        <x:f>I721-'Beta HC3'!$E$9</x:f>
        <x:v>0.0225535190381616</x:v>
      </x:c>
      <x:c r="M721" s="240" t="n">
        <x:f>1/'Beta HC3'!$E$8+L721^2/'Beta HC3'!$E$11</x:f>
        <x:v>0.004275264557034681</x:v>
      </x:c>
      <x:c r="N721" s="240" t="n">
        <x:f>K721^2/(1-M721)^2</x:f>
        <x:v>0.00023887061263757288</x:v>
      </x:c>
      <x:c r="O721" s="240" t="n">
        <x:f>N721*L721^2/'Beta HC3'!$E$11^2</x:f>
        <x:v>0.000005682063405342807</x:v>
      </x:c>
      <x:c r="P721" s="240" t="n">
        <x:f>N721*(1/'Beta HC3'!$E$8-'Beta HC3'!$E$9*L721/'Beta HC3'!$E$11)^2</x:f>
        <x:v>1.20358560194179e-10</x:v>
      </x:c>
      <x:c r="Q721" s="240" t="n">
        <x:f>N721*(1/'Beta HC3'!$E$8-'Beta HC3'!$E$9*L721/'Beta HC3'!$E$11)*L721/'Beta HC3'!$E$11</x:f>
        <x:v>2.6151194435419083e-8</x:v>
      </x:c>
      <x:c r="R721" s="240" t="n">
        <x:f>K721*L721/'Beta HC3'!$E$11</x:f>
        <x:v>-0.0023735169291329</x:v>
      </x:c>
      <x:c r="S721" s="240" t="n">
        <x:f>(K721-K720)^2</x:f>
        <x:v>0.0003986324262210453</x:v>
      </x:c>
      <x:c r="T721" s="280" t="n">
        <x:f>E721/$E$9*100</x:f>
        <x:v>139.84047959222409</x:v>
      </x:c>
    </x:row>
    <x:row r="722" ht="24" customHeight="1">
      <x:c r="C722" s="274" t="d">
        <x:v>2024-08-09T00:00:00.000Z</x:v>
      </x:c>
      <x:c r="D722" s="191" t="n">
        <x:v>406.0199890136719</x:v>
      </x:c>
      <x:c r="E722" s="191" t="n">
        <x:v>398.9866943359375</x:v>
      </x:c>
      <x:c r="F722" s="191" t="n">
        <x:v>532.989990234375</x:v>
      </x:c>
      <x:c r="G722" s="191" t="n">
        <x:v>519.3743286132812</x:v>
      </x:c>
      <x:c r="H722" s="208" t="n">
        <x:f>E722/E721-1</x:f>
        <x:v>0.008269291427240644</x:v>
      </x:c>
      <x:c r="I722" s="208" t="n">
        <x:f>G722/G721-1</x:f>
        <x:v>0.0044095475592684785</x:v>
      </x:c>
      <x:c r="J722" s="208" t="n">
        <x:f>'Beta HC3'!$E$13+'Beta HC3'!$E$12*I722</x:f>
        <x:v>0.004982270880303081</x:v>
      </x:c>
      <x:c r="K722" s="240" t="n">
        <x:f>H722-J722</x:f>
        <x:v>0.003287020546937563</x:v>
      </x:c>
      <x:c r="L722" s="240" t="n">
        <x:f>I722-'Beta HC3'!$E$9</x:f>
        <x:v>0.0038455999416080393</x:v>
      </x:c>
      <x:c r="M722" s="240" t="n">
        <x:f>1/'Beta HC3'!$E$8+L722^2/'Beta HC3'!$E$11</x:f>
        <x:v>0.0008979440435349688</x:v>
      </x:c>
      <x:c r="N722" s="240" t="n">
        <x:f>K722^2/(1-M722)^2</x:f>
        <x:v>0.000010823933922600682</x:v>
      </x:c>
      <x:c r="O722" s="240" t="n">
        <x:f>N722*L722^2/'Beta HC3'!$E$11^2</x:f>
        <x:v>7.485624884709301e-9</x:v>
      </x:c>
      <x:c r="P722" s="240" t="n">
        <x:f>N722*(1/'Beta HC3'!$E$8-'Beta HC3'!$E$9*L722/'Beta HC3'!$E$11)^2</x:f>
        <x:v>6.618792306425982e-12</x:v>
      </x:c>
      <x:c r="Q722" s="240" t="n">
        <x:f>N722*(1/'Beta HC3'!$E$8-'Beta HC3'!$E$9*L722/'Beta HC3'!$E$11)*L722/'Beta HC3'!$E$11</x:f>
        <x:v>2.225888505646786e-10</x:v>
      </x:c>
      <x:c r="R722" s="240" t="n">
        <x:f>K722*L722/'Beta HC3'!$E$11</x:f>
        <x:v>0.00008644181612992732</x:v>
      </x:c>
      <x:c r="S722" s="240" t="n">
        <x:f>(K722-K721)^2</x:f>
        <x:v>0.00034880732061319574</x:v>
      </x:c>
      <x:c r="T722" s="280" t="n">
        <x:f>E722/$E$9*100</x:f>
        <x:v>140.9968612712973</x:v>
      </x:c>
    </x:row>
    <x:row r="723" ht="24" customHeight="1">
      <x:c r="C723" s="274" t="d">
        <x:v>2024-08-12T00:00:00.000Z</x:v>
      </x:c>
      <x:c r="D723" s="191" t="n">
        <x:v>406.80999755859375</x:v>
      </x:c>
      <x:c r="E723" s="191" t="n">
        <x:v>399.7630310058594</x:v>
      </x:c>
      <x:c r="F723" s="191" t="n">
        <x:v>533.27001953125</x:v>
      </x:c>
      <x:c r="G723" s="191" t="n">
        <x:v>519.6472778320312</x:v>
      </x:c>
      <x:c r="H723" s="208" t="n">
        <x:f>E723/E722-1</x:f>
        <x:v>0.0019457708263028728</x:v>
      </x:c>
      <x:c r="I723" s="208" t="n">
        <x:f>G723/G722-1</x:f>
        <x:v>0.0005255346745356437</x:v>
      </x:c>
      <x:c r="J723" s="208" t="n">
        <x:f>'Beta HC3'!$E$13+'Beta HC3'!$E$12*I723</x:f>
        <x:v>0.0006018355734650675</x:v>
      </x:c>
      <x:c r="K723" s="240" t="n">
        <x:f>H723-J723</x:f>
        <x:v>0.0013439352528378053</x:v>
      </x:c>
      <x:c r="L723" s="240" t="n">
        <x:f>I723-'Beta HC3'!$E$9</x:f>
        <x:v>-0.00003841294312479564</x:v>
      </x:c>
      <x:c r="M723" s="240" t="n">
        <x:f>1/'Beta HC3'!$E$8+L723^2/'Beta HC3'!$E$11</x:f>
        <x:v>0.0007968228395002932</x:v>
      </x:c>
      <x:c r="N723" s="240" t="n">
        <x:f>K723^2/(1-M723)^2</x:f>
        <x:v>0.0000018090437900292277</x:v>
      </x:c>
      <x:c r="O723" s="240" t="n">
        <x:f>N723*L723^2/'Beta HC3'!$E$11^2</x:f>
        <x:v>1.2482999953269115e-13</x:v>
      </x:c>
      <x:c r="P723" s="240" t="n">
        <x:f>N723*(1/'Beta HC3'!$E$8-'Beta HC3'!$E$9*L723/'Beta HC3'!$E$11)^2</x:f>
        <x:v>1.1490081198499714e-12</x:v>
      </x:c>
      <x:c r="Q723" s="240" t="n">
        <x:f>N723*(1/'Beta HC3'!$E$8-'Beta HC3'!$E$9*L723/'Beta HC3'!$E$11)*L723/'Beta HC3'!$E$11</x:f>
        <x:v>-3.7872243538497987e-13</x:v>
      </x:c>
      <x:c r="R723" s="240" t="n">
        <x:f>K723*L723/'Beta HC3'!$E$11</x:f>
        <x:v>-3.5303136404747117e-7</x:v>
      </x:c>
      <x:c r="S723" s="240" t="n">
        <x:f>(K723-K722)^2</x:f>
        <x:v>0.0000037755804601467414</x:v>
      </x:c>
      <x:c r="T723" s="280" t="n">
        <x:f>E723/$E$9*100</x:f>
        <x:v>141.27120885055925</x:v>
      </x:c>
    </x:row>
    <x:row r="724" ht="24" customHeight="1">
      <x:c r="C724" s="274" t="d">
        <x:v>2024-08-13T00:00:00.000Z</x:v>
      </x:c>
      <x:c r="D724" s="191" t="n">
        <x:v>414.010009765625</x:v>
      </x:c>
      <x:c r="E724" s="191" t="n">
        <x:v>406.8382873535156</x:v>
      </x:c>
      <x:c r="F724" s="191" t="n">
        <x:v>542.0399780273438</x:v>
      </x:c>
      <x:c r="G724" s="191" t="n">
        <x:v>528.1931762695312</x:v>
      </x:c>
      <x:c r="H724" s="208" t="n">
        <x:f>E724/E723-1</x:f>
        <x:v>0.017698625933103118</x:v>
      </x:c>
      <x:c r="I724" s="208" t="n">
        <x:f>G724/G723-1</x:f>
        <x:v>0.01644557530091073</x:v>
      </x:c>
      <x:c r="J724" s="208" t="n">
        <x:f>'Beta HC3'!$E$13+'Beta HC3'!$E$12*I724</x:f>
        <x:v>0.018556644199406558</x:v>
      </x:c>
      <x:c r="K724" s="240" t="n">
        <x:f>H724-J724</x:f>
        <x:v>-0.0008580182663034397</x:v>
      </x:c>
      <x:c r="L724" s="240" t="n">
        <x:f>I724-'Beta HC3'!$E$9</x:f>
        <x:v>0.015881627683250292</x:v>
      </x:c>
      <x:c r="M724" s="240" t="n">
        <x:f>1/'Beta HC3'!$E$8+L724^2/'Beta HC3'!$E$11</x:f>
        <x:v>0.0025216470590253134</x:v>
      </x:c>
      <x:c r="N724" s="240" t="n">
        <x:f>K724^2/(1-M724)^2</x:f>
        <x:v>7.399222860768272e-7</x:v>
      </x:c>
      <x:c r="O724" s="240" t="n">
        <x:f>N724*L724^2/'Beta HC3'!$E$11^2</x:f>
        <x:v>8.7275199883108e-9</x:v>
      </x:c>
      <x:c r="P724" s="240" t="n">
        <x:f>N724*(1/'Beta HC3'!$E$8-'Beta HC3'!$E$9*L724/'Beta HC3'!$E$11)^2</x:f>
        <x:v>4.0033914117222067e-13</x:v>
      </x:c>
      <x:c r="Q724" s="240" t="n">
        <x:f>N724*(1/'Beta HC3'!$E$8-'Beta HC3'!$E$9*L724/'Beta HC3'!$E$11)*L724/'Beta HC3'!$E$11</x:f>
        <x:v>5.910979493014449e-11</x:v>
      </x:c>
      <x:c r="R724" s="240" t="n">
        <x:f>K724*L724/'Beta HC3'!$E$11</x:f>
        <x:v>-0.00009318562138980395</x:v>
      </x:c>
      <x:c r="S724" s="240" t="n">
        <x:f>(K724-K723)^2</x:f>
        <x:v>0.000004848599300458514</x:v>
      </x:c>
      <x:c r="T724" s="280" t="n">
        <x:f>E724/$E$9*100</x:f>
        <x:v>143.77151513112258</x:v>
      </x:c>
    </x:row>
    <x:row r="725" ht="24" customHeight="1">
      <x:c r="C725" s="274" t="d">
        <x:v>2024-08-14T00:00:00.000Z</x:v>
      </x:c>
      <x:c r="D725" s="191" t="n">
        <x:v>416.8599853515625</x:v>
      </x:c>
      <x:c r="E725" s="191" t="n">
        <x:v>409.6389465332031</x:v>
      </x:c>
      <x:c r="F725" s="191" t="n">
        <x:v>543.75</x:v>
      </x:c>
      <x:c r="G725" s="191" t="n">
        <x:v>529.8594360351562</x:v>
      </x:c>
      <x:c r="H725" s="208" t="n">
        <x:f>E725/E724-1</x:f>
        <x:v>0.006883961678989969</x:v>
      </x:c>
      <x:c r="I725" s="208" t="n">
        <x:f>G725/G724-1</x:f>
        <x:v>0.003154640840673739</x:v>
      </x:c>
      <x:c r="J725" s="208" t="n">
        <x:f>'Beta HC3'!$E$13+'Beta HC3'!$E$12*I725</x:f>
        <x:v>0.003566972357857847</x:v>
      </x:c>
      <x:c r="K725" s="240" t="n">
        <x:f>H725-J725</x:f>
        <x:v>0.0033169893211321224</x:v>
      </x:c>
      <x:c r="L725" s="240" t="n">
        <x:f>I725-'Beta HC3'!$E$9</x:f>
        <x:v>0.0025906932230133</x:v>
      </x:c>
      <x:c r="M725" s="240" t="n">
        <x:f>1/'Beta HC3'!$E$8+L725^2/'Beta HC3'!$E$11</x:f>
        <x:v>0.0008427102816581676</x:v>
      </x:c>
      <x:c r="N725" s="240" t="n">
        <x:f>K725^2/(1-M725)^2</x:f>
        <x:v>0.00001102098532512976</x:v>
      </x:c>
      <x:c r="O725" s="240" t="n">
        <x:f>N725*L725^2/'Beta HC3'!$E$11^2</x:f>
        <x:v>3.459131920863389e-9</x:v>
      </x:c>
      <x:c r="P725" s="240" t="n">
        <x:f>N725*(1/'Beta HC3'!$E$8-'Beta HC3'!$E$9*L725/'Beta HC3'!$E$11)^2</x:f>
        <x:v>6.8229636245569005e-12</x:v>
      </x:c>
      <x:c r="Q725" s="240" t="n">
        <x:f>N725*(1/'Beta HC3'!$E$8-'Beta HC3'!$E$9*L725/'Beta HC3'!$E$11)*L725/'Beta HC3'!$E$11</x:f>
        <x:v>1.5362789873129992e-10</x:v>
      </x:c>
      <x:c r="R725" s="240" t="n">
        <x:f>K725*L725/'Beta HC3'!$E$11</x:f>
        <x:v>0.000058764821835278354</x:v>
      </x:c>
      <x:c r="S725" s="240" t="n">
        <x:f>(K725-K724)^2</x:f>
        <x:v>0.00001743068835514451</x:v>
      </x:c>
      <x:c r="T725" s="280" t="n">
        <x:f>E725/$E$9*100</x:f>
        <x:v>144.76123273181557</x:v>
      </x:c>
    </x:row>
    <x:row r="726" ht="24" customHeight="1">
      <x:c r="C726" s="274" t="d">
        <x:v>2024-08-15T00:00:00.000Z</x:v>
      </x:c>
      <x:c r="D726" s="191" t="n">
        <x:v>421.0299987792969</x:v>
      </x:c>
      <x:c r="E726" s="191" t="n">
        <x:v>414.482421875</x:v>
      </x:c>
      <x:c r="F726" s="191" t="n">
        <x:v>553.0700073242188</x:v>
      </x:c>
      <x:c r="G726" s="191" t="n">
        <x:v>538.9414672851562</x:v>
      </x:c>
      <x:c r="H726" s="208" t="n">
        <x:f>E726/E725-1</x:f>
        <x:v>0.011823766716488882</x:v>
      </x:c>
      <x:c r="I726" s="208" t="n">
        <x:f>G726/G725-1</x:f>
        <x:v>0.017140453924835652</x:v>
      </x:c>
      <x:c r="J726" s="208" t="n">
        <x:f>'Beta HC3'!$E$13+'Beta HC3'!$E$12*I726</x:f>
        <x:v>0.019340336465251635</x:v>
      </x:c>
      <x:c r="K726" s="240" t="n">
        <x:f>H726-J726</x:f>
        <x:v>-0.007516569748762754</x:v>
      </x:c>
      <x:c r="L726" s="240" t="n">
        <x:f>I726-'Beta HC3'!$E$9</x:f>
        <x:v>0.016576506307175214</x:v>
      </x:c>
      <x:c r="M726" s="240" t="n">
        <x:f>1/'Beta HC3'!$E$8+L726^2/'Beta HC3'!$E$11</x:f>
        <x:v>0.0026758845181433536</x:v>
      </x:c>
      <x:c r="N726" s="240" t="n">
        <x:f>K726^2/(1-M726)^2</x:f>
        <x:v>0.00005680240742770364</x:v>
      </x:c>
      <x:c r="O726" s="240" t="n">
        <x:f>N726*L726^2/'Beta HC3'!$E$11^2</x:f>
        <x:v>7.299069044648466e-7</x:v>
      </x:c>
      <x:c r="P726" s="240" t="n">
        <x:f>N726*(1/'Beta HC3'!$E$8-'Beta HC3'!$E$9*L726/'Beta HC3'!$E$11)^2</x:f>
        <x:v>3.050973656812401e-11</x:v>
      </x:c>
      <x:c r="Q726" s="240" t="n">
        <x:f>N726*(1/'Beta HC3'!$E$8-'Beta HC3'!$E$9*L726/'Beta HC3'!$E$11)*L726/'Beta HC3'!$E$11</x:f>
        <x:v>4.719032461689295e-9</x:v>
      </x:c>
      <x:c r="R726" s="240" t="n">
        <x:f>K726*L726/'Beta HC3'!$E$11</x:f>
        <x:v>-0.0008520597618059834</x:v>
      </x:c>
      <x:c r="S726" s="240" t="n">
        <x:f>(K726-K725)^2</x:f>
        <x:v>0.00011736600212090153</x:v>
      </x:c>
      <x:c r="T726" s="280" t="n">
        <x:f>E726/$E$9*100</x:f>
        <x:v>146.4728557772279</x:v>
      </x:c>
    </x:row>
    <x:row r="727" ht="24" customHeight="1">
      <x:c r="C727" s="274" t="d">
        <x:v>2024-08-16T00:00:00.000Z</x:v>
      </x:c>
      <x:c r="D727" s="191" t="n">
        <x:v>418.4700012207031</x:v>
      </x:c>
      <x:c r="E727" s="191" t="n">
        <x:v>411.9622802734375</x:v>
      </x:c>
      <x:c r="F727" s="191" t="n">
        <x:v>554.3099975585938</x:v>
      </x:c>
      <x:c r="G727" s="191" t="n">
        <x:v>540.1497802734375</x:v>
      </x:c>
      <x:c r="H727" s="208" t="n">
        <x:f>E727/E726-1</x:f>
        <x:v>-0.006080213462761774</x:v>
      </x:c>
      <x:c r="I727" s="208" t="n">
        <x:f>G727/G726-1</x:f>
        <x:v>0.002242011538596156</x:v>
      </x:c>
      <x:c r="J727" s="208" t="n">
        <x:f>'Beta HC3'!$E$13+'Beta HC3'!$E$12*I727</x:f>
        <x:v>0.0025376983220816844</x:v>
      </x:c>
      <x:c r="K727" s="240" t="n">
        <x:f>H727-J727</x:f>
        <x:v>-0.008617911784843458</x:v>
      </x:c>
      <x:c r="L727" s="240" t="n">
        <x:f>I727-'Beta HC3'!$E$9</x:f>
        <x:v>0.0016780639209357166</x:v>
      </x:c>
      <x:c r="M727" s="240" t="n">
        <x:f>1/'Beta HC3'!$E$8+L727^2/'Beta HC3'!$E$11</x:f>
        <x:v>0.0008160691163133105</x:v>
      </x:c>
      <x:c r="N727" s="240" t="n">
        <x:f>K727^2/(1-M727)^2</x:f>
        <x:v>0.00007438976837516012</x:v>
      </x:c>
      <x:c r="O727" s="240" t="n">
        <x:f>N727*L727^2/'Beta HC3'!$E$11^2</x:f>
        <x:v>9.79591322247495e-9</x:v>
      </x:c>
      <x:c r="P727" s="240" t="n">
        <x:f>N727*(1/'Beta HC3'!$E$8-'Beta HC3'!$E$9*L727/'Beta HC3'!$E$11)^2</x:f>
        <x:v>4.646677266626547e-11</x:v>
      </x:c>
      <x:c r="Q727" s="240" t="n">
        <x:f>N727*(1/'Beta HC3'!$E$8-'Beta HC3'!$E$9*L727/'Beta HC3'!$E$11)*L727/'Beta HC3'!$E$11</x:f>
        <x:v>6.746736046172309e-10</x:v>
      </x:c>
      <x:c r="R727" s="240" t="n">
        <x:f>K727*L727/'Beta HC3'!$E$11</x:f>
        <x:v>-0.00009889353599580539</x:v>
      </x:c>
      <x:c r="S727" s="240" t="n">
        <x:f>(K727-K726)^2</x:f>
        <x:v>0.0000012129542804383915</x:v>
      </x:c>
      <x:c r="T727" s="280" t="n">
        <x:f>E727/$E$9*100</x:f>
        <x:v>145.58226954760204</x:v>
      </x:c>
    </x:row>
    <x:row r="728" ht="24" customHeight="1">
      <x:c r="C728" s="274" t="d">
        <x:v>2024-08-19T00:00:00.000Z</x:v>
      </x:c>
      <x:c r="D728" s="191" t="n">
        <x:v>421.5299987792969</x:v>
      </x:c>
      <x:c r="E728" s="191" t="n">
        <x:v>414.9746398925781</x:v>
      </x:c>
      <x:c r="F728" s="191" t="n">
        <x:v>559.6099853515625</x:v>
      </x:c>
      <x:c r="G728" s="191" t="n">
        <x:v>545.3143920898438</x:v>
      </x:c>
      <x:c r="H728" s="208" t="n">
        <x:f>E728/E727-1</x:f>
        <x:v>0.007312221927554097</x:v>
      </x:c>
      <x:c r="I728" s="208" t="n">
        <x:f>G728/G727-1</x:f>
        <x:v>0.009561443890233168</x:v>
      </x:c>
      <x:c r="J728" s="208" t="n">
        <x:f>'Beta HC3'!$E$13+'Beta HC3'!$E$12*I728</x:f>
        <x:v>0.010792640015285822</x:v>
      </x:c>
      <x:c r="K728" s="240" t="n">
        <x:f>H728-J728</x:f>
        <x:v>-0.0034804180877317254</x:v>
      </x:c>
      <x:c r="L728" s="240" t="n">
        <x:f>I728-'Beta HC3'!$E$9</x:f>
        <x:v>0.008997496272572729</x:v>
      </x:c>
      <x:c r="M728" s="240" t="n">
        <x:f>1/'Beta HC3'!$E$8+L728^2/'Beta HC3'!$E$11</x:f>
        <x:v>0.001350418651938628</x:v>
      </x:c>
      <x:c r="N728" s="240" t="n">
        <x:f>K728^2/(1-M728)^2</x:f>
        <x:v>0.000012146092535240448</x:v>
      </x:c>
      <x:c r="O728" s="240" t="n">
        <x:f>N728*L728^2/'Beta HC3'!$E$11^2</x:f>
        <x:v>4.598272018535193e-8</x:v>
      </x:c>
      <x:c r="P728" s="240" t="n">
        <x:f>N728*(1/'Beta HC3'!$E$8-'Beta HC3'!$E$9*L728/'Beta HC3'!$E$11)^2</x:f>
        <x:v>7.0546602298121405e-12</x:v>
      </x:c>
      <x:c r="Q728" s="240" t="n">
        <x:f>N728*(1/'Beta HC3'!$E$8-'Beta HC3'!$E$9*L728/'Beta HC3'!$E$11)*L728/'Beta HC3'!$E$11</x:f>
        <x:v>5.695546219197788e-10</x:v>
      </x:c>
      <x:c r="R728" s="240" t="n">
        <x:f>K728*L728/'Beta HC3'!$E$11</x:f>
        <x:v>-0.00021414624020709357</x:v>
      </x:c>
      <x:c r="S728" s="240" t="n">
        <x:f>(K728-K727)^2</x:f>
        <x:v>0.00002639384148786278</x:v>
      </x:c>
      <x:c r="T728" s="280" t="n">
        <x:f>E728/$E$9*100</x:f>
        <x:v>146.64679941125112</x:v>
      </x:c>
    </x:row>
    <x:row r="729" ht="24" customHeight="1">
      <x:c r="C729" s="274" t="d">
        <x:v>2024-08-20T00:00:00.000Z</x:v>
      </x:c>
      <x:c r="D729" s="191" t="n">
        <x:v>424.79998779296875</x:v>
      </x:c>
      <x:c r="E729" s="191" t="n">
        <x:v>418.1937561035156</x:v>
      </x:c>
      <x:c r="F729" s="191" t="n">
        <x:v>558.7000122070312</x:v>
      </x:c>
      <x:c r="G729" s="191" t="n">
        <x:v>544.4276123046875</x:v>
      </x:c>
      <x:c r="H729" s="208" t="n">
        <x:f>E729/E728-1</x:f>
        <x:v>0.007757380575764472</x:v>
      </x:c>
      <x:c r="I729" s="208" t="n">
        <x:f>G729/G728-1</x:f>
        <x:v>-0.0016261807830850739</x:v>
      </x:c>
      <x:c r="J729" s="208" t="n">
        <x:f>'Beta HC3'!$E$13+'Beta HC3'!$E$12*I729</x:f>
        <x:v>-0.0018248943681064942</x:v>
      </x:c>
      <x:c r="K729" s="240" t="n">
        <x:f>H729-J729</x:f>
        <x:v>0.009582274943870966</x:v>
      </x:c>
      <x:c r="L729" s="240" t="n">
        <x:f>I729-'Beta HC3'!$E$9</x:f>
        <x:v>-0.002190128400745513</x:v>
      </x:c>
      <x:c r="M729" s="240" t="n">
        <x:f>1/'Beta HC3'!$E$8+L729^2/'Beta HC3'!$E$11</x:f>
        <x:v>0.000829614461321891</x:v>
      </x:c>
      <x:c r="N729" s="240" t="n">
        <x:f>K729^2/(1-M729)^2</x:f>
        <x:v>0.00009197253328622469</x:v>
      </x:c>
      <x:c r="O729" s="240" t="n">
        <x:f>N729*L729^2/'Beta HC3'!$E$11^2</x:f>
        <x:v>2.0630607927215007e-8</x:v>
      </x:c>
      <x:c r="P729" s="240" t="n">
        <x:f>N729*(1/'Beta HC3'!$E$8-'Beta HC3'!$E$9*L729/'Beta HC3'!$E$11)^2</x:f>
        <x:v>5.963886363859204e-11</x:v>
      </x:c>
      <x:c r="Q729" s="240" t="n">
        <x:f>N729*(1/'Beta HC3'!$E$8-'Beta HC3'!$E$9*L729/'Beta HC3'!$E$11)*L729/'Beta HC3'!$E$11</x:f>
        <x:v>-1.1092276650681013e-9</x:v>
      </x:c>
      <x:c r="R729" s="240" t="n">
        <x:f>K729*L729/'Beta HC3'!$E$11</x:f>
        <x:v>-0.00014351442863028038</x:v>
      </x:c>
      <x:c r="S729" s="240" t="n">
        <x:f>(K729-K728)^2</x:f>
        <x:v>0.0001706339492378815</x:v>
      </x:c>
      <x:c r="T729" s="280" t="n">
        <x:f>E729/$E$9*100</x:f>
        <x:v>147.78439444450194</x:v>
      </x:c>
    </x:row>
    <x:row r="730" ht="24" customHeight="1">
      <x:c r="C730" s="274" t="d">
        <x:v>2024-08-21T00:00:00.000Z</x:v>
      </x:c>
      <x:c r="D730" s="191" t="n">
        <x:v>424.1400146484375</x:v>
      </x:c>
      <x:c r="E730" s="191" t="n">
        <x:v>417.5440673828125</x:v>
      </x:c>
      <x:c r="F730" s="191" t="n">
        <x:v>560.6199951171875</x:v>
      </x:c>
      <x:c r="G730" s="191" t="n">
        <x:v>546.298583984375</x:v>
      </x:c>
      <x:c r="H730" s="208" t="n">
        <x:f>E730/E729-1</x:f>
        <x:v>-0.001553559112781988</x:v>
      </x:c>
      <x:c r="I730" s="208" t="n">
        <x:f>G730/G729-1</x:f>
        <x:v>0.0034365848414028566</x:v>
      </x:c>
      <x:c r="J730" s="208" t="n">
        <x:f>'Beta HC3'!$E$13+'Beta HC3'!$E$12*I730</x:f>
        <x:v>0.0038849521102422013</x:v>
      </x:c>
      <x:c r="K730" s="240" t="n">
        <x:f>H730-J730</x:f>
        <x:v>-0.0054385112230241894</x:v>
      </x:c>
      <x:c r="L730" s="240" t="n">
        <x:f>I730-'Beta HC3'!$E$9</x:f>
        <x:v>0.0028726372237424173</x:v>
      </x:c>
      <x:c r="M730" s="240" t="n">
        <x:f>1/'Beta HC3'!$E$8+L730^2/'Beta HC3'!$E$11</x:f>
        <x:v>0.0008532439026685294</x:v>
      </x:c>
      <x:c r="N730" s="240" t="n">
        <x:f>K730^2/(1-M730)^2</x:f>
        <x:v>0.000029627942475604425</x:v>
      </x:c>
      <x:c r="O730" s="240" t="n">
        <x:f>N730*L730^2/'Beta HC3'!$E$11^2</x:f>
        <x:v>1.1433462801911342e-8</x:v>
      </x:c>
      <x:c r="P730" s="240" t="n">
        <x:f>N730*(1/'Beta HC3'!$E$8-'Beta HC3'!$E$9*L730/'Beta HC3'!$E$11)^2</x:f>
        <x:v>1.8291653866780075e-11</x:v>
      </x:c>
      <x:c r="Q730" s="240" t="n">
        <x:f>N730*(1/'Beta HC3'!$E$8-'Beta HC3'!$E$9*L730/'Beta HC3'!$E$11)*L730/'Beta HC3'!$E$11</x:f>
        <x:v>4.5731492876492426e-10</x:v>
      </x:c>
      <x:c r="R730" s="240" t="n">
        <x:f>K730*L730/'Beta HC3'!$E$11</x:f>
        <x:v>-0.00010683613649377099</x:v>
      </x:c>
      <x:c r="S730" s="240" t="n">
        <x:f>(K730-K729)^2</x:f>
        <x:v>0.00022562401707158886</x:v>
      </x:c>
      <x:c r="T730" s="280" t="n">
        <x:f>E730/$E$9*100</x:f>
        <x:v>147.55480265178576</x:v>
      </x:c>
    </x:row>
    <x:row r="731" ht="24" customHeight="1">
      <x:c r="C731" s="274" t="d">
        <x:v>2024-08-22T00:00:00.000Z</x:v>
      </x:c>
      <x:c r="D731" s="191" t="n">
        <x:v>415.54998779296875</x:v>
      </x:c>
      <x:c r="E731" s="191" t="n">
        <x:v>409.0876770019531</x:v>
      </x:c>
      <x:c r="F731" s="191" t="n">
        <x:v>556.219970703125</x:v>
      </x:c>
      <x:c r="G731" s="191" t="n">
        <x:v>542.010986328125</x:v>
      </x:c>
      <x:c r="H731" s="208" t="n">
        <x:f>E731/E730-1</x:f>
        <x:v>-0.020252689575652405</x:v>
      </x:c>
      <x:c r="I731" s="208" t="n">
        <x:f>G731/G730-1</x:f>
        <x:v>-0.007848450978911292</x:v>
      </x:c>
      <x:c r="J731" s="208" t="n">
        <x:f>'Beta HC3'!$E$13+'Beta HC3'!$E$12*I731</x:f>
        <x:v>-0.008842443707765262</x:v>
      </x:c>
      <x:c r="K731" s="240" t="n">
        <x:f>H731-J731</x:f>
        <x:v>-0.011410245867887144</x:v>
      </x:c>
      <x:c r="L731" s="240" t="n">
        <x:f>I731-'Beta HC3'!$E$9</x:f>
        <x:v>-0.008412398596571731</x:v>
      </x:c>
      <x:c r="M731" s="240" t="n">
        <x:f>1/'Beta HC3'!$E$8+L731^2/'Beta HC3'!$E$11</x:f>
        <x:v>0.0012807589064901537</x:v>
      </x:c>
      <x:c r="N731" s="240" t="n">
        <x:f>K731^2/(1-M731)^2</x:f>
        <x:v>0.00013052784605791518</x:v>
      </x:c>
      <x:c r="O731" s="240" t="n">
        <x:f>N731*L731^2/'Beta HC3'!$E$11^2</x:f>
        <x:v>4.319739709961698e-7</x:v>
      </x:c>
      <x:c r="P731" s="240" t="n">
        <x:f>N731*(1/'Beta HC3'!$E$8-'Beta HC3'!$E$9*L731/'Beta HC3'!$E$11)^2</x:f>
        <x:v>8.975936250497384e-11</x:v>
      </x:c>
      <x:c r="Q731" s="240" t="n">
        <x:f>N731*(1/'Beta HC3'!$E$8-'Beta HC3'!$E$9*L731/'Beta HC3'!$E$11)*L731/'Beta HC3'!$E$11</x:f>
        <x:v>-6.2268538007053185e-9</x:v>
      </x:c>
      <x:c r="R731" s="240" t="n">
        <x:f>K731*L731/'Beta HC3'!$E$11</x:f>
        <x:v>0.0006564054924818664</x:v>
      </x:c>
      <x:c r="S731" s="240" t="n">
        <x:f>(K731-K730)^2</x:f>
        <x:v>0.00003566161466865647</x:v>
      </x:c>
      <x:c r="T731" s="280" t="n">
        <x:f>E731/$E$9*100</x:f>
        <x:v>144.56642103828247</x:v>
      </x:c>
    </x:row>
    <x:row r="732" ht="24" customHeight="1">
      <x:c r="C732" s="274" t="d">
        <x:v>2024-08-23T00:00:00.000Z</x:v>
      </x:c>
      <x:c r="D732" s="191" t="n">
        <x:v>416.7900085449219</x:v>
      </x:c>
      <x:c r="E732" s="191" t="n">
        <x:v>410.30841064453125</x:v>
      </x:c>
      <x:c r="F732" s="191" t="n">
        <x:v>562.1300048828125</x:v>
      </x:c>
      <x:c r="G732" s="191" t="n">
        <x:v>547.7699584960938</x:v>
      </x:c>
      <x:c r="H732" s="208" t="n">
        <x:f>E732/E731-1</x:f>
        <x:v>0.0029840391466309235</x:v>
      </x:c>
      <x:c r="I732" s="208" t="n">
        <x:f>G732/G731-1</x:f>
        <x:v>0.010625194531540982</x:v>
      </x:c>
      <x:c r="J732" s="208" t="n">
        <x:f>'Beta HC3'!$E$13+'Beta HC3'!$E$12*I732</x:f>
        <x:v>0.011992350470720331</x:v>
      </x:c>
      <x:c r="K732" s="240" t="n">
        <x:f>H732-J732</x:f>
        <x:v>-0.009008311324089408</x:v>
      </x:c>
      <x:c r="L732" s="240" t="n">
        <x:f>I732-'Beta HC3'!$E$9</x:f>
        <x:v>0.010061246913880544</x:v>
      </x:c>
      <x:c r="M732" s="240" t="n">
        <x:f>1/'Beta HC3'!$E$8+L732^2/'Beta HC3'!$E$11</x:f>
        <x:v>0.0014890595791995419</x:v>
      </x:c>
      <x:c r="N732" s="240" t="n">
        <x:f>K732^2/(1-M732)^2</x:f>
        <x:v>0.00008139188718016326</x:v>
      </x:c>
      <x:c r="O732" s="240" t="n">
        <x:f>N732*L732^2/'Beta HC3'!$E$11^2</x:f>
        <x:v>3.853003961101644e-7</x:v>
      </x:c>
      <x:c r="P732" s="240" t="n">
        <x:f>N732*(1/'Beta HC3'!$E$8-'Beta HC3'!$E$9*L732/'Beta HC3'!$E$11)^2</x:f>
        <x:v>4.676624268639911e-11</x:v>
      </x:c>
      <x:c r="Q732" s="240" t="n">
        <x:f>N732*(1/'Beta HC3'!$E$8-'Beta HC3'!$E$9*L732/'Beta HC3'!$E$11)*L732/'Beta HC3'!$E$11</x:f>
        <x:v>4.24488537320546e-9</x:v>
      </x:c>
      <x:c r="R732" s="240" t="n">
        <x:f>K732*L732/'Beta HC3'!$E$11</x:f>
        <x:v>-0.0006198014036324326</x:v>
      </x:c>
      <x:c r="S732" s="240" t="n">
        <x:f>(K732-K731)^2</x:f>
        <x:v>0.000005769289552688836</x:v>
      </x:c>
      <x:c r="T732" s="280" t="n">
        <x:f>E732/$E$9*100</x:f>
        <x:v>144.99781289794905</x:v>
      </x:c>
    </x:row>
    <x:row r="733" ht="24" customHeight="1">
      <x:c r="C733" s="274" t="d">
        <x:v>2024-08-26T00:00:00.000Z</x:v>
      </x:c>
      <x:c r="D733" s="191" t="n">
        <x:v>413.489990234375</x:v>
      </x:c>
      <x:c r="E733" s="191" t="n">
        <x:v>407.0596618652344</x:v>
      </x:c>
      <x:c r="F733" s="191" t="n">
        <x:v>560.7899780273438</x:v>
      </x:c>
      <x:c r="G733" s="191" t="n">
        <x:v>546.4641723632812</x:v>
      </x:c>
      <x:c r="H733" s="208" t="n">
        <x:f>E733/E732-1</x:f>
        <x:v>-0.007917821558163007</x:v>
      </x:c>
      <x:c r="I733" s="208" t="n">
        <x:f>G733/G732-1</x:f>
        <x:v>-0.0023838221000610504</x:v>
      </x:c>
      <x:c r="J733" s="208" t="n">
        <x:f>'Beta HC3'!$E$13+'Beta HC3'!$E$12*I733</x:f>
        <x:v>-0.0026793711356389235</x:v>
      </x:c>
      <x:c r="K733" s="240" t="n">
        <x:f>H733-J733</x:f>
        <x:v>-0.005238450422524084</x:v>
      </x:c>
      <x:c r="L733" s="240" t="n">
        <x:f>I733-'Beta HC3'!$E$9</x:f>
        <x:v>-0.0029477697177214897</x:v>
      </x:c>
      <x:c r="M733" s="240" t="n">
        <x:f>1/'Beta HC3'!$E$8+L733^2/'Beta HC3'!$E$11</x:f>
        <x:v>0.0008562343662415936</x:v>
      </x:c>
      <x:c r="N733" s="240" t="n">
        <x:f>K733^2/(1-M733)^2</x:f>
        <x:v>0.000027488415728901382</x:v>
      </x:c>
      <x:c r="O733" s="240" t="n">
        <x:f>N733*L733^2/'Beta HC3'!$E$11^2</x:f>
        <x:v>1.1169957978855717e-8</x:v>
      </x:c>
      <x:c r="P733" s="240" t="n">
        <x:f>N733*(1/'Beta HC3'!$E$8-'Beta HC3'!$E$9*L733/'Beta HC3'!$E$11)^2</x:f>
        <x:v>1.795423357804034e-11</x:v>
      </x:c>
      <x:c r="Q733" s="240" t="n">
        <x:f>N733*(1/'Beta HC3'!$E$8-'Beta HC3'!$E$9*L733/'Beta HC3'!$E$11)*L733/'Beta HC3'!$E$11</x:f>
        <x:v>-4.478258976536205e-10</x:v>
      </x:c>
      <x:c r="R733" s="240" t="n">
        <x:f>K733*L733/'Beta HC3'!$E$11</x:f>
        <x:v>0.0001055975282105907</x:v>
      </x:c>
      <x:c r="S733" s="240" t="n">
        <x:f>(K733-K732)^2</x:f>
        <x:v>0.000014211851217150917</x:v>
      </x:c>
      <x:c r="T733" s="280" t="n">
        <x:f>E733/$E$9*100</x:f>
        <x:v>143.84974608909917</x:v>
      </x:c>
    </x:row>
    <x:row r="734" ht="24" customHeight="1">
      <x:c r="C734" s="274" t="d">
        <x:v>2024-08-27T00:00:00.000Z</x:v>
      </x:c>
      <x:c r="D734" s="191" t="n">
        <x:v>413.8399963378906</x:v>
      </x:c>
      <x:c r="E734" s="191" t="n">
        <x:v>407.40423583984375</x:v>
      </x:c>
      <x:c r="F734" s="191" t="n">
        <x:v>561.5599975585938</x:v>
      </x:c>
      <x:c r="G734" s="191" t="n">
        <x:v>547.2145385742188</x:v>
      </x:c>
      <x:c r="H734" s="208" t="n">
        <x:f>E734/E733-1</x:f>
        <x:v>0.0008464950150808281</x:v>
      </x:c>
      <x:c r="I734" s="208" t="n">
        <x:f>G734/G733-1</x:f>
        <x:v>0.0013731297473582593</x:v>
      </x:c>
      <x:c r="J734" s="208" t="n">
        <x:f>'Beta HC3'!$E$13+'Beta HC3'!$E$12*I734</x:f>
        <x:v>0.0015577632423686462</x:v>
      </x:c>
      <x:c r="K734" s="240" t="n">
        <x:f>H734-J734</x:f>
        <x:v>-0.000711268227287818</x:v>
      </x:c>
      <x:c r="L734" s="240" t="n">
        <x:f>I734-'Beta HC3'!$E$9</x:f>
        <x:v>0.00080918212969782</x:v>
      </x:c>
      <x:c r="M734" s="240" t="n">
        <x:f>1/'Beta HC3'!$E$8+L734^2/'Beta HC3'!$E$11</x:f>
        <x:v>0.0008012903967774647</x:v>
      </x:c>
      <x:c r="N734" s="240" t="n">
        <x:f>K734^2/(1-M734)^2</x:f>
        <x:v>5.067142162758582e-7</x:v>
      </x:c>
      <x:c r="O734" s="240" t="n">
        <x:f>N734*L734^2/'Beta HC3'!$E$11^2</x:f>
        <x:v>1.5515664419957942e-11</x:v>
      </x:c>
      <x:c r="P734" s="240" t="n">
        <x:f>N734*(1/'Beta HC3'!$E$8-'Beta HC3'!$E$9*L734/'Beta HC3'!$E$11)^2</x:f>
        <x:v>3.1920319073124456e-13</x:v>
      </x:c>
      <x:c r="Q734" s="240" t="n">
        <x:f>N734*(1/'Beta HC3'!$E$8-'Beta HC3'!$E$9*L734/'Beta HC3'!$E$11)*L734/'Beta HC3'!$E$11</x:f>
        <x:v>2.225454917351915e-12</x:v>
      </x:c>
      <x:c r="R734" s="240" t="n">
        <x:f>K734*L734/'Beta HC3'!$E$11</x:f>
        <x:v>-0.00000393583654084421</x:v>
      </x:c>
      <x:c r="S734" s="240" t="n">
        <x:f>(K734-K733)^2</x:f>
        <x:v>0.000020495378628864253</x:v>
      </x:c>
      <x:c r="T734" s="280" t="n">
        <x:f>E734/$E$9*100</x:f>
        <x:v>143.97151418208423</x:v>
      </x:c>
    </x:row>
    <x:row r="735" ht="24" customHeight="1">
      <x:c r="C735" s="274" t="d">
        <x:v>2024-08-28T00:00:00.000Z</x:v>
      </x:c>
      <x:c r="D735" s="191" t="n">
        <x:v>410.6000061035156</x:v>
      </x:c>
      <x:c r="E735" s="191" t="n">
        <x:v>404.2146301269531</x:v>
      </x:c>
      <x:c r="F735" s="191" t="n">
        <x:v>558.2999877929688</x:v>
      </x:c>
      <x:c r="G735" s="191" t="n">
        <x:v>544.037841796875</x:v>
      </x:c>
      <x:c r="H735" s="208" t="n">
        <x:f>E735/E734-1</x:f>
        <x:v>-0.007829093151953681</x:v>
      </x:c>
      <x:c r="I735" s="208" t="n">
        <x:f>G735/G734-1</x:f>
        <x:v>-0.00580521267877987</x:v>
      </x:c>
      <x:c r="J735" s="208" t="n">
        <x:f>'Beta HC3'!$E$13+'Beta HC3'!$E$12*I735</x:f>
        <x:v>-0.006538055577293077</x:v>
      </x:c>
      <x:c r="K735" s="240" t="n">
        <x:f>H735-J735</x:f>
        <x:v>-0.001291037574660604</x:v>
      </x:c>
      <x:c r="L735" s="240" t="n">
        <x:f>I735-'Beta HC3'!$E$9</x:f>
        <x:v>-0.006369160296440309</x:v>
      </x:c>
      <x:c r="M735" s="240" t="n">
        <x:f>1/'Beta HC3'!$E$8+L735^2/'Beta HC3'!$E$11</x:f>
        <x:v>0.0010742224982281346</x:v>
      </x:c>
      <x:c r="N735" s="240" t="n">
        <x:f>K735^2/(1-M735)^2</x:f>
        <x:v>0.0000016703647785121083</x:v>
      </x:c>
      <x:c r="O735" s="240" t="n">
        <x:f>N735*L735^2/'Beta HC3'!$E$11^2</x:f>
        <x:v>3.168767717856322e-9</x:v>
      </x:c>
      <x:c r="P735" s="240" t="n">
        <x:f>N735*(1/'Beta HC3'!$E$8-'Beta HC3'!$E$9*L735/'Beta HC3'!$E$11)^2</x:f>
        <x:v>1.1269246816370198e-12</x:v>
      </x:c>
      <x:c r="Q735" s="240" t="n">
        <x:f>N735*(1/'Beta HC3'!$E$8-'Beta HC3'!$E$9*L735/'Beta HC3'!$E$11)*L735/'Beta HC3'!$E$11</x:f>
        <x:v>-5.975753133812425e-11</x:v>
      </x:c>
      <x:c r="R735" s="240" t="n">
        <x:f>K735*L735/'Beta HC3'!$E$11</x:f>
        <x:v>0.00005623133869400645</x:v>
      </x:c>
      <x:c r="S735" s="240" t="n">
        <x:f>(K735-K734)^2</x:f>
        <x:v>3.3613249615306603e-7</x:v>
      </x:c>
      <x:c r="T735" s="280" t="n">
        <x:f>E735/$E$9*100</x:f>
        <x:v>142.84434778632487</x:v>
      </x:c>
    </x:row>
    <x:row r="736" ht="24" customHeight="1">
      <x:c r="C736" s="274" t="d">
        <x:v>2024-08-29T00:00:00.000Z</x:v>
      </x:c>
      <x:c r="D736" s="191" t="n">
        <x:v>413.1199951171875</x:v>
      </x:c>
      <x:c r="E736" s="191" t="n">
        <x:v>406.6954040527344</x:v>
      </x:c>
      <x:c r="F736" s="191" t="n">
        <x:v>558.3499755859375</x:v>
      </x:c>
      <x:c r="G736" s="191" t="n">
        <x:v>544.08642578125</x:v>
      </x:c>
      <x:c r="H736" s="208" t="n">
        <x:f>E736/E735-1</x:f>
        <x:v>0.006137269017210345</x:v>
      </x:c>
      <x:c r="I736" s="208" t="n">
        <x:f>G736/G735-1</x:f>
        <x:v>0.00008930258272932257</x:v>
      </x:c>
      <x:c r="J736" s="208" t="n">
        <x:f>'Beta HC3'!$E$13+'Beta HC3'!$E$12*I736</x:f>
        <x:v>0.00010984790153033532</x:v>
      </x:c>
      <x:c r="K736" s="240" t="n">
        <x:f>H736-J736</x:f>
        <x:v>0.00602742111568001</x:v>
      </x:c>
      <x:c r="L736" s="240" t="n">
        <x:f>I736-'Beta HC3'!$E$9</x:f>
        <x:v>-0.0004746450349311168</x:v>
      </x:c>
      <x:c r="M736" s="240" t="n">
        <x:f>1/'Beta HC3'!$E$8+L736^2/'Beta HC3'!$E$11</x:f>
        <x:v>0.0007983533679909855</x:v>
      </x:c>
      <x:c r="N736" s="240" t="n">
        <x:f>K736^2/(1-M736)^2</x:f>
        <x:v>0.00003638788289098962</x:v>
      </x:c>
      <x:c r="O736" s="240" t="n">
        <x:f>N736*L736^2/'Beta HC3'!$E$11^2</x:f>
        <x:v>3.8336229444496687e-10</x:v>
      </x:c>
      <x:c r="P736" s="240" t="n">
        <x:f>N736*(1/'Beta HC3'!$E$8-'Beta HC3'!$E$9*L736/'Beta HC3'!$E$11)^2</x:f>
        <x:v>2.320932001553973e-11</x:v>
      </x:c>
      <x:c r="Q736" s="240" t="n">
        <x:f>N736*(1/'Beta HC3'!$E$8-'Beta HC3'!$E$9*L736/'Beta HC3'!$E$11)*L736/'Beta HC3'!$E$11</x:f>
        <x:v>-9.432697479334745e-11</x:v>
      </x:c>
      <x:c r="R736" s="240" t="n">
        <x:f>K736*L736/'Beta HC3'!$E$11</x:f>
        <x:v>-0.000019564008322171675</x:v>
      </x:c>
      <x:c r="S736" s="240" t="n">
        <x:f>(K736-K735)^2</x:f>
        <x:v>0.00005355983760222205</x:v>
      </x:c>
      <x:c r="T736" s="280" t="n">
        <x:f>E736/$E$9*100</x:f>
        <x:v>143.72102197627748</x:v>
      </x:c>
    </x:row>
    <x:row r="737" ht="24" customHeight="1">
      <x:c r="C737" s="274" t="d">
        <x:v>2024-08-30T00:00:00.000Z</x:v>
      </x:c>
      <x:c r="D737" s="191" t="n">
        <x:v>417.1400146484375</x:v>
      </x:c>
      <x:c r="E737" s="191" t="n">
        <x:v>410.6529235839844</x:v>
      </x:c>
      <x:c r="F737" s="191" t="n">
        <x:v>563.6799926757812</x:v>
      </x:c>
      <x:c r="G737" s="191" t="n">
        <x:v>549.2802734375</x:v>
      </x:c>
      <x:c r="H737" s="208" t="n">
        <x:f>E737/E736-1</x:f>
        <x:v>0.009730917762564184</x:v>
      </x:c>
      <x:c r="I737" s="208" t="n">
        <x:f>G737/G736-1</x:f>
        <x:v>0.009545997492571567</x:v>
      </x:c>
      <x:c r="J737" s="208" t="n">
        <x:f>'Beta HC3'!$E$13+'Beta HC3'!$E$12*I737</x:f>
        <x:v>0.010775219386753333</x:v>
      </x:c>
      <x:c r="K737" s="240" t="n">
        <x:f>H737-J737</x:f>
        <x:v>-0.0010443016241891492</x:v>
      </x:c>
      <x:c r="L737" s="240" t="n">
        <x:f>I737-'Beta HC3'!$E$9</x:f>
        <x:v>0.008982049874911129</x:v>
      </x:c>
      <x:c r="M737" s="240" t="n">
        <x:f>1/'Beta HC3'!$E$8+L737^2/'Beta HC3'!$E$11</x:f>
        <x:v>0.0013485194843167539</x:v>
      </x:c>
      <x:c r="N737" s="240" t="n">
        <x:f>K737^2/(1-M737)^2</x:f>
        <x:v>0.0000010935131412799443</x:v>
      </x:c>
      <x:c r="O737" s="240" t="n">
        <x:f>N737*L737^2/'Beta HC3'!$E$11^2</x:f>
        <x:v>4.125624085805739e-9</x:v>
      </x:c>
      <x:c r="P737" s="240" t="n">
        <x:f>N737*(1/'Beta HC3'!$E$8-'Beta HC3'!$E$9*L737/'Beta HC3'!$E$11)^2</x:f>
        <x:v>6.352306023917673e-13</x:v>
      </x:c>
      <x:c r="Q737" s="240" t="n">
        <x:f>N737*(1/'Beta HC3'!$E$8-'Beta HC3'!$E$9*L737/'Beta HC3'!$E$11)*L737/'Beta HC3'!$E$11</x:f>
        <x:v>5.119299437685165e-11</x:v>
      </x:c>
      <x:c r="R737" s="240" t="n">
        <x:f>K737*L737/'Beta HC3'!$E$11</x:f>
        <x:v>-0.00006414440442738236</x:v>
      </x:c>
      <x:c r="S737" s="240" t="n">
        <x:f>(K737-K736)^2</x:f>
        <x:v>0.00005000926250958256</x:v>
      </x:c>
      <x:c r="T737" s="280" t="n">
        <x:f>E737/$E$9*100</x:f>
        <x:v>145.11955942188033</x:v>
      </x:c>
    </x:row>
    <x:row r="738" ht="24" customHeight="1">
      <x:c r="C738" s="274" t="d">
        <x:v>2024-09-03T00:00:00.000Z</x:v>
      </x:c>
      <x:c r="D738" s="191" t="n">
        <x:v>409.44000244140625</x:v>
      </x:c>
      <x:c r="E738" s="191" t="n">
        <x:v>403.0726623535156</x:v>
      </x:c>
      <x:c r="F738" s="191" t="n">
        <x:v>552.0800170898438</x:v>
      </x:c>
      <x:c r="G738" s="191" t="n">
        <x:v>537.9766235351562</x:v>
      </x:c>
      <x:c r="H738" s="208" t="n">
        <x:f>E738/E737-1</x:f>
        <x:v>-0.0184590460584374</x:v>
      </x:c>
      <x:c r="I738" s="208" t="n">
        <x:f>G738/G737-1</x:f>
        <x:v>-0.02057902030889147</x:v>
      </x:c>
      <x:c r="J738" s="208" t="n">
        <x:f>'Beta HC3'!$E$13+'Beta HC3'!$E$12*I738</x:f>
        <x:v>-0.023200129180023985</x:v>
      </x:c>
      <x:c r="K738" s="240" t="n">
        <x:f>H738-J738</x:f>
        <x:v>0.004741083121586585</x:v>
      </x:c>
      <x:c r="L738" s="240" t="n">
        <x:f>I738-'Beta HC3'!$E$9</x:f>
        <x:v>-0.02114296792655191</x:v>
      </x:c>
      <x:c r="M738" s="240" t="n">
        <x:f>1/'Beta HC3'!$E$8+L738^2/'Beta HC3'!$E$11</x:f>
        <x:v>0.003853769280929703</x:v>
      </x:c>
      <x:c r="N738" s="240" t="n">
        <x:f>K738^2/(1-M738)^2</x:f>
        <x:v>0.000022652124872873048</x:v>
      </x:c>
      <x:c r="O738" s="240" t="n">
        <x:f>N738*L738^2/'Beta HC3'!$E$11^2</x:f>
        <x:v>4.7353880281072344e-7</x:v>
      </x:c>
      <x:c r="P738" s="240" t="n">
        <x:f>N738*(1/'Beta HC3'!$E$8-'Beta HC3'!$E$9*L738/'Beta HC3'!$E$11)^2</x:f>
        <x:v>1.7476130328457646e-11</x:v>
      </x:c>
      <x:c r="Q738" s="240" t="n">
        <x:f>N738*(1/'Beta HC3'!$E$8-'Beta HC3'!$E$9*L738/'Beta HC3'!$E$11)*L738/'Beta HC3'!$E$11</x:f>
        <x:v>-2.8767387496090097e-9</x:v>
      </x:c>
      <x:c r="R738" s="240" t="n">
        <x:f>K738*L738/'Beta HC3'!$E$11</x:f>
        <x:v>-0.0006854896184530379</x:v>
      </x:c>
      <x:c r="S738" s="240" t="n">
        <x:f>(K738-K737)^2</x:f>
        <x:v>0.00003347067665665455</x:v>
      </x:c>
      <x:c r="T738" s="280" t="n">
        <x:f>E738/$E$9*100</x:f>
        <x:v>142.4407907905317</x:v>
      </x:c>
    </x:row>
    <x:row r="739" ht="24" customHeight="1">
      <x:c r="C739" s="274" t="d">
        <x:v>2024-09-04T00:00:00.000Z</x:v>
      </x:c>
      <x:c r="D739" s="191" t="n">
        <x:v>408.8999938964844</x:v>
      </x:c>
      <x:c r="E739" s="191" t="n">
        <x:v>402.54107666015625</x:v>
      </x:c>
      <x:c r="F739" s="191" t="n">
        <x:v>550.9500122070312</x:v>
      </x:c>
      <x:c r="G739" s="191" t="n">
        <x:v>536.8756103515625</x:v>
      </x:c>
      <x:c r="H739" s="208" t="n">
        <x:f>E739/E738-1</x:f>
        <x:v>-0.0013188334089825338</x:v>
      </x:c>
      <x:c r="I739" s="208" t="n">
        <x:f>G739/G738-1</x:f>
        <x:v>-0.0020465818316766082</x:v>
      </x:c>
      <x:c r="J739" s="208" t="n">
        <x:f>'Beta HC3'!$E$13+'Beta HC3'!$E$12*I739</x:f>
        <x:v>-0.0022990276037403797</x:v>
      </x:c>
      <x:c r="K739" s="240" t="n">
        <x:f>H739-J739</x:f>
        <x:v>0.000980194194757846</x:v>
      </x:c>
      <x:c r="L739" s="240" t="n">
        <x:f>I739-'Beta HC3'!$E$9</x:f>
        <x:v>-0.0026105294493370475</x:v>
      </x:c>
      <x:c r="M739" s="240" t="n">
        <x:f>1/'Beta HC3'!$E$8+L739^2/'Beta HC3'!$E$11</x:f>
        <x:v>0.0008434158220195172</x:v>
      </x:c>
      <x:c r="N739" s="240" t="n">
        <x:f>K739^2/(1-M739)^2</x:f>
        <x:v>9.624033873191533e-7</x:v>
      </x:c>
      <x:c r="O739" s="240" t="n">
        <x:f>N739*L739^2/'Beta HC3'!$E$11^2</x:f>
        <x:v>3.067107933844471e-10</x:v>
      </x:c>
      <x:c r="P739" s="240" t="n">
        <x:f>N739*(1/'Beta HC3'!$E$8-'Beta HC3'!$E$9*L739/'Beta HC3'!$E$11)^2</x:f>
        <x:v>6.265783570004074e-13</x:v>
      </x:c>
      <x:c r="Q739" s="240" t="n">
        <x:f>N739*(1/'Beta HC3'!$E$8-'Beta HC3'!$E$9*L739/'Beta HC3'!$E$11)*L739/'Beta HC3'!$E$11</x:f>
        <x:v>-1.3862840437411023e-11</x:v>
      </x:c>
      <x:c r="R739" s="240" t="n">
        <x:f>K739*L739/'Beta HC3'!$E$11</x:f>
        <x:v>-0.000017498389699952308</x:v>
      </x:c>
      <x:c r="S739" s="240" t="n">
        <x:f>(K739-K738)^2</x:f>
        <x:v>0.000014144285519943023</x:v>
      </x:c>
      <x:c r="T739" s="280" t="n">
        <x:f>E739/$E$9*100</x:f>
        <x:v>142.25293511683526</x:v>
      </x:c>
    </x:row>
    <x:row r="740" ht="24" customHeight="1">
      <x:c r="C740" s="274" t="d">
        <x:v>2024-09-05T00:00:00.000Z</x:v>
      </x:c>
      <x:c r="D740" s="191" t="n">
        <x:v>408.3900146484375</x:v>
      </x:c>
      <x:c r="E740" s="191" t="n">
        <x:v>402.0390319824219</x:v>
      </x:c>
      <x:c r="F740" s="191" t="n">
        <x:v>549.6099853515625</x:v>
      </x:c>
      <x:c r="G740" s="191" t="n">
        <x:v>535.56982421875</x:v>
      </x:c>
      <x:c r="H740" s="208" t="n">
        <x:f>E740/E739-1</x:f>
        <x:v>-0.0012471886891638473</x:v>
      </x:c>
      <x:c r="I740" s="208" t="n">
        <x:f>G740/G739-1</x:f>
        <x:v>-0.002432194921198616</x:v>
      </x:c>
      <x:c r="J740" s="208" t="n">
        <x:f>'Beta HC3'!$E$13+'Beta HC3'!$E$12*I740</x:f>
        <x:v>-0.0027339265709298978</x:v>
      </x:c>
      <x:c r="K740" s="240" t="n">
        <x:f>H740-J740</x:f>
        <x:v>0.0014867378817660505</x:v>
      </x:c>
      <x:c r="L740" s="240" t="n">
        <x:f>I740-'Beta HC3'!$E$9</x:f>
        <x:v>-0.0029961425388590553</x:v>
      </x:c>
      <x:c r="M740" s="240" t="n">
        <x:f>1/'Beta HC3'!$E$8+L740^2/'Beta HC3'!$E$11</x:f>
        <x:v>0.0008582005819783622</x:v>
      </x:c>
      <x:c r="N740" s="240" t="n">
        <x:f>K740^2/(1-M740)^2</x:f>
        <x:v>0.0000022141883337435093</x:v>
      </x:c>
      <x:c r="O740" s="240" t="n">
        <x:f>N740*L740^2/'Beta HC3'!$E$11^2</x:f>
        <x:v>9.295103338571639e-10</x:v>
      </x:c>
      <x:c r="P740" s="240" t="n">
        <x:f>N740*(1/'Beta HC3'!$E$8-'Beta HC3'!$E$9*L740/'Beta HC3'!$E$11)^2</x:f>
        <x:v>1.446878923765493e-12</x:v>
      </x:c>
      <x:c r="Q740" s="240" t="n">
        <x:f>N740*(1/'Beta HC3'!$E$8-'Beta HC3'!$E$9*L740/'Beta HC3'!$E$11)*L740/'Beta HC3'!$E$11</x:f>
        <x:v>-3.6672727079945357e-11</x:v>
      </x:c>
      <x:c r="R740" s="240" t="n">
        <x:f>K740*L740/'Beta HC3'!$E$11</x:f>
        <x:v>-0.000030461707204788127</x:v>
      </x:c>
      <x:c r="S740" s="240" t="n">
        <x:f>(K740-K739)^2</x:f>
        <x:v>2.565865068478659e-7</x:v>
      </x:c>
      <x:c r="T740" s="280" t="n">
        <x:f>E740/$E$9*100</x:f>
        <x:v>142.07551886515716</x:v>
      </x:c>
    </x:row>
    <x:row r="741" ht="24" customHeight="1">
      <x:c r="C741" s="274" t="d">
        <x:v>2024-09-06T00:00:00.000Z</x:v>
      </x:c>
      <x:c r="D741" s="191" t="n">
        <x:v>401.70001220703125</x:v>
      </x:c>
      <x:c r="E741" s="191" t="n">
        <x:v>395.4530029296875</x:v>
      </x:c>
      <x:c r="F741" s="191" t="n">
        <x:v>540.3599853515625</x:v>
      </x:c>
      <x:c r="G741" s="191" t="n">
        <x:v>526.5560302734375</x:v>
      </x:c>
      <x:c r="H741" s="208" t="n">
        <x:f>E741/E740-1</x:f>
        <x:v>-0.016381566287878124</x:v>
      </x:c>
      <x:c r="I741" s="208" t="n">
        <x:f>G741/G740-1</x:f>
        <x:v>-0.016830287177701186</x:v>
      </x:c>
      <x:c r="J741" s="208" t="n">
        <x:f>'Beta HC3'!$E$13+'Beta HC3'!$E$12*I741</x:f>
        <x:v>-0.018972263966618833</x:v>
      </x:c>
      <x:c r="K741" s="240" t="n">
        <x:f>H741-J741</x:f>
        <x:v>0.002590697678740709</x:v>
      </x:c>
      <x:c r="L741" s="240" t="n">
        <x:f>I741-'Beta HC3'!$E$9</x:f>
        <x:v>-0.017394234795361625</x:v>
      </x:c>
      <x:c r="M741" s="240" t="n">
        <x:f>1/'Beta HC3'!$E$8+L741^2/'Beta HC3'!$E$11</x:f>
        <x:v>0.002865848607892109</x:v>
      </x:c>
      <x:c r="N741" s="240" t="n">
        <x:f>K741^2/(1-M741)^2</x:f>
        <x:v>0.0000067503499836190855</x:v>
      </x:c>
      <x:c r="O741" s="240" t="n">
        <x:f>N741*L741^2/'Beta HC3'!$E$11^2</x:f>
        <x:v>9.551062107551449e-8</x:v>
      </x:c>
      <x:c r="P741" s="240" t="n">
        <x:f>N741*(1/'Beta HC3'!$E$8-'Beta HC3'!$E$9*L741/'Beta HC3'!$E$11)^2</x:f>
        <x:v>5.0378734344347685e-12</x:v>
      </x:c>
      <x:c r="Q741" s="240" t="n">
        <x:f>N741*(1/'Beta HC3'!$E$8-'Beta HC3'!$E$9*L741/'Beta HC3'!$E$11)*L741/'Beta HC3'!$E$11</x:f>
        <x:v>-6.936644870704425e-10</x:v>
      </x:c>
      <x:c r="R741" s="240" t="n">
        <x:f>K741*L741/'Beta HC3'!$E$11</x:f>
        <x:v>-0.00030816224225524</x:v>
      </x:c>
      <x:c r="S741" s="240" t="n">
        <x:f>(K741-K740)^2</x:f>
        <x:v>0.0000012187272333363291</x:v>
      </x:c>
      <x:c r="T741" s="280" t="n">
        <x:f>E741/$E$9*100</x:f>
        <x:v>139.74809933498292</x:v>
      </x:c>
    </x:row>
    <x:row r="742" ht="24" customHeight="1">
      <x:c r="C742" s="274" t="d">
        <x:v>2024-09-09T00:00:00.000Z</x:v>
      </x:c>
      <x:c r="D742" s="191" t="n">
        <x:v>405.7200012207031</x:v>
      </x:c>
      <x:c r="E742" s="191" t="n">
        <x:v>399.4105529785156</x:v>
      </x:c>
      <x:c r="F742" s="191" t="n">
        <x:v>546.4099731445312</x:v>
      </x:c>
      <x:c r="G742" s="191" t="n">
        <x:v>532.4514770507812</x:v>
      </x:c>
      <x:c r="H742" s="208" t="n">
        <x:f>E742/E741-1</x:f>
        <x:v>0.010007636860787095</x:v>
      </x:c>
      <x:c r="I742" s="208" t="n">
        <x:f>G742/G741-1</x:f>
        <x:v>0.011196238269804315</x:v>
      </x:c>
      <x:c r="J742" s="208" t="n">
        <x:f>'Beta HC3'!$E$13+'Beta HC3'!$E$12*I742</x:f>
        <x:v>0.012636380299424035</x:v>
      </x:c>
      <x:c r="K742" s="240" t="n">
        <x:f>H742-J742</x:f>
        <x:v>-0.0026287434386369404</x:v>
      </x:c>
      <x:c r="L742" s="240" t="n">
        <x:f>I742-'Beta HC3'!$E$9</x:f>
        <x:v>0.010632290652143876</x:v>
      </x:c>
      <x:c r="M742" s="240" t="n">
        <x:f>1/'Beta HC3'!$E$8+L742^2/'Beta HC3'!$E$11</x:f>
        <x:v>0.0015698689034063674</x:v>
      </x:c>
      <x:c r="N742" s="240" t="n">
        <x:f>K742^2/(1-M742)^2</x:f>
        <x:v>0.000006932039769588251</x:v>
      </x:c>
      <x:c r="O742" s="240" t="n">
        <x:f>N742*L742^2/'Beta HC3'!$E$11^2</x:f>
        <x:v>3.66462423216894e-8</x:v>
      </x:c>
      <x:c r="P742" s="240" t="n">
        <x:f>N742*(1/'Beta HC3'!$E$8-'Beta HC3'!$E$9*L742/'Beta HC3'!$E$11)^2</x:f>
        <x:v>3.9599092089723725e-12</x:v>
      </x:c>
      <x:c r="Q742" s="240" t="n">
        <x:f>N742*(1/'Beta HC3'!$E$8-'Beta HC3'!$E$9*L742/'Beta HC3'!$E$11)*L742/'Beta HC3'!$E$11</x:f>
        <x:v>3.809406678787275e-10</x:v>
      </x:c>
      <x:c r="R742" s="240" t="n">
        <x:f>K742*L742/'Beta HC3'!$E$11</x:f>
        <x:v>-0.00019113155951708374</x:v>
      </x:c>
      <x:c r="S742" s="240" t="n">
        <x:f>(K742-K741)^2</x:f>
        <x:v>0.000027242565577772446</x:v>
      </x:c>
      <x:c r="T742" s="280" t="n">
        <x:f>E742/$E$9*100</x:f>
        <x:v>141.14664756511266</x:v>
      </x:c>
    </x:row>
    <x:row r="743" ht="24" customHeight="1">
      <x:c r="C743" s="274" t="d">
        <x:v>2024-09-10T00:00:00.000Z</x:v>
      </x:c>
      <x:c r="D743" s="191" t="n">
        <x:v>414.20001220703125</x:v>
      </x:c>
      <x:c r="E743" s="191" t="n">
        <x:v>407.7586669921875</x:v>
      </x:c>
      <x:c r="F743" s="191" t="n">
        <x:v>548.7899780273438</x:v>
      </x:c>
      <x:c r="G743" s="191" t="n">
        <x:v>534.770751953125</x:v>
      </x:c>
      <x:c r="H743" s="208" t="n">
        <x:f>E743/E742-1</x:f>
        <x:v>0.020901085240281336</x:v>
      </x:c>
      <x:c r="I743" s="208" t="n">
        <x:f>G743/G742-1</x:f>
        <x:v>0.004355842743061</x:v>
      </x:c>
      <x:c r="J743" s="208" t="n">
        <x:f>'Beta HC3'!$E$13+'Beta HC3'!$E$12*I743</x:f>
        <x:v>0.00492170195840604</x:v>
      </x:c>
      <x:c r="K743" s="240" t="n">
        <x:f>H743-J743</x:f>
        <x:v>0.015979383281875297</x:v>
      </x:c>
      <x:c r="L743" s="240" t="n">
        <x:f>I743-'Beta HC3'!$E$9</x:f>
        <x:v>0.003791895125400561</x:v>
      </x:c>
      <x:c r="M743" s="240" t="n">
        <x:f>1/'Beta HC3'!$E$8+L743^2/'Beta HC3'!$E$11</x:f>
        <x:v>0.0008951391166909377</x:v>
      </x:c>
      <x:c r="N743" s="240" t="n">
        <x:f>K743^2/(1-M743)^2</x:f>
        <x:v>0.0002557984354755954</x:v>
      </x:c>
      <x:c r="O743" s="240" t="n">
        <x:f>N743*L743^2/'Beta HC3'!$E$11^2</x:f>
        <x:v>1.719987304515307e-7</x:v>
      </x:c>
      <x:c r="P743" s="240" t="n">
        <x:f>N743*(1/'Beta HC3'!$E$8-'Beta HC3'!$E$9*L743/'Beta HC3'!$E$11)^2</x:f>
        <x:v>1.5650258919792283e-10</x:v>
      </x:c>
      <x:c r="Q743" s="240" t="n">
        <x:f>N743*(1/'Beta HC3'!$E$8-'Beta HC3'!$E$9*L743/'Beta HC3'!$E$11)*L743/'Beta HC3'!$E$11</x:f>
        <x:v>5.188279739414613e-9</x:v>
      </x:c>
      <x:c r="R743" s="240" t="n">
        <x:f>K743*L743/'Beta HC3'!$E$11</x:f>
        <x:v>0.00041435605786129323</x:v>
      </x:c>
      <x:c r="S743" s="240" t="n">
        <x:f>(K743-K742)^2</x:f>
        <x:v>0.00034626238004664147</x:v>
      </x:c>
      <x:c r="T743" s="280" t="n">
        <x:f>E743/$E$9*100</x:f>
        <x:v>144.09676567725103</x:v>
      </x:c>
    </x:row>
    <x:row r="744" ht="24" customHeight="1">
      <x:c r="C744" s="274" t="d">
        <x:v>2024-09-11T00:00:00.000Z</x:v>
      </x:c>
      <x:c r="D744" s="191" t="n">
        <x:v>423.0400085449219</x:v>
      </x:c>
      <x:c r="E744" s="191" t="n">
        <x:v>416.461181640625</x:v>
      </x:c>
      <x:c r="F744" s="191" t="n">
        <x:v>554.4199829101562</x:v>
      </x:c>
      <x:c r="G744" s="191" t="n">
        <x:v>540.2568969726562</x:v>
      </x:c>
      <x:c r="H744" s="208" t="n">
        <x:f>E744/E743-1</x:f>
        <x:v>0.0213423167988831</x:v>
      </x:c>
      <x:c r="I744" s="208" t="n">
        <x:f>G744/G743-1</x:f>
        <x:v>0.010258872609420822</x:v>
      </x:c>
      <x:c r="J744" s="208" t="n">
        <x:f>'Beta HC3'!$E$13+'Beta HC3'!$E$12*I744</x:f>
        <x:v>0.011579208308491306</x:v>
      </x:c>
      <x:c r="K744" s="240" t="n">
        <x:f>H744-J744</x:f>
        <x:v>0.009763108490391793</x:v>
      </x:c>
      <x:c r="L744" s="240" t="n">
        <x:f>I744-'Beta HC3'!$E$9</x:f>
        <x:v>0.009694924991760383</x:v>
      </x:c>
      <x:c r="M744" s="240" t="n">
        <x:f>1/'Beta HC3'!$E$8+L744^2/'Beta HC3'!$E$11</x:f>
        <x:v>0.0014395689395251049</x:v>
      </x:c>
      <x:c r="N744" s="240" t="n">
        <x:f>K744^2/(1-M744)^2</x:f>
        <x:v>0.00009559331562752519</x:v>
      </x:c>
      <x:c r="O744" s="240" t="n">
        <x:f>N744*L744^2/'Beta HC3'!$E$11^2</x:f>
        <x:v>4.201759152790066e-7</x:v>
      </x:c>
      <x:c r="P744" s="240" t="n">
        <x:f>N744*(1/'Beta HC3'!$E$8-'Beta HC3'!$E$9*L744/'Beta HC3'!$E$11)^2</x:f>
        <x:v>5.5131041376497596e-11</x:v>
      </x:c>
      <x:c r="Q744" s="240" t="n">
        <x:f>N744*(1/'Beta HC3'!$E$8-'Beta HC3'!$E$9*L744/'Beta HC3'!$E$11)*L744/'Beta HC3'!$E$11</x:f>
        <x:v>4.812975770836028e-9</x:v>
      </x:c>
      <x:c r="R744" s="240" t="n">
        <x:f>K744*L744/'Beta HC3'!$E$11</x:f>
        <x:v>0.000647276634554878</x:v>
      </x:c>
      <x:c r="S744" s="240" t="n">
        <x:f>(K744-K743)^2</x:f>
        <x:v>0.000038642072283233287</x:v>
      </x:c>
      <x:c r="T744" s="280" t="n">
        <x:f>E744/$E$9*100</x:f>
        <x:v>147.17212450002935</x:v>
      </x:c>
    </x:row>
    <x:row r="745" ht="24" customHeight="1">
      <x:c r="C745" s="274" t="d">
        <x:v>2024-09-12T00:00:00.000Z</x:v>
      </x:c>
      <x:c r="D745" s="191" t="n">
        <x:v>427</x:v>
      </x:c>
      <x:c r="E745" s="191" t="n">
        <x:v>420.3595886230469</x:v>
      </x:c>
      <x:c r="F745" s="191" t="n">
        <x:v>559.0900268554688</x:v>
      </x:c>
      <x:c r="G745" s="191" t="n">
        <x:v>544.8076782226562</x:v>
      </x:c>
      <x:c r="H745" s="208" t="n">
        <x:f>E745/E744-1</x:f>
        <x:v>0.009360793164597814</x:v>
      </x:c>
      <x:c r="I745" s="208" t="n">
        <x:f>G745/G744-1</x:f>
        <x:v>0.008423365394315985</x:v>
      </x:c>
      <x:c r="J745" s="208" t="n">
        <x:f>'Beta HC3'!$E$13+'Beta HC3'!$E$12*I745</x:f>
        <x:v>0.00950910173325161</x:v>
      </x:c>
      <x:c r="K745" s="240" t="n">
        <x:f>H745-J745</x:f>
        <x:v>-0.0001483085686537957</x:v>
      </x:c>
      <x:c r="L745" s="240" t="n">
        <x:f>I745-'Beta HC3'!$E$9</x:f>
        <x:v>0.007859417776655546</x:v>
      </x:c>
      <x:c r="M745" s="240" t="n">
        <x:f>1/'Beta HC3'!$E$8+L745^2/'Beta HC3'!$E$11</x:f>
        <x:v>0.0012192265618098034</x:v>
      </x:c>
      <x:c r="N745" s="240" t="n">
        <x:f>K745^2/(1-M745)^2</x:f>
        <x:v>2.2049164614085196e-8</x:v>
      </x:c>
      <x:c r="O745" s="240" t="n">
        <x:f>N745*L745^2/'Beta HC3'!$E$11^2</x:f>
        <x:v>6.36923997648913e-11</x:v>
      </x:c>
      <x:c r="P745" s="240" t="n">
        <x:f>N745*(1/'Beta HC3'!$E$8-'Beta HC3'!$E$9*L745/'Beta HC3'!$E$11)^2</x:f>
        <x:v>1.2954466389186935e-14</x:v>
      </x:c>
      <x:c r="Q745" s="240" t="n">
        <x:f>N745*(1/'Beta HC3'!$E$8-'Beta HC3'!$E$9*L745/'Beta HC3'!$E$11)*L745/'Beta HC3'!$E$11</x:f>
        <x:v>9.083507318216584e-13</x:v>
      </x:c>
      <x:c r="R745" s="240" t="n">
        <x:f>K745*L745/'Beta HC3'!$E$11</x:f>
        <x:v>-0.000007971021484937805</x:v>
      </x:c>
      <x:c r="S745" s="240" t="n">
        <x:f>(K745-K744)^2</x:f>
        <x:v>0.0000982361881183399</x:v>
      </x:c>
      <x:c r="T745" s="280" t="n">
        <x:f>E745/$E$9*100</x:f>
        <x:v>148.54977231706854</x:v>
      </x:c>
    </x:row>
    <x:row r="746" ht="24" customHeight="1">
      <x:c r="C746" s="274" t="d">
        <x:v>2024-09-13T00:00:00.000Z</x:v>
      </x:c>
      <x:c r="D746" s="191" t="n">
        <x:v>430.5899963378906</x:v>
      </x:c>
      <x:c r="E746" s="191" t="n">
        <x:v>423.89373779296875</x:v>
      </x:c>
      <x:c r="F746" s="191" t="n">
        <x:v>562.010009765625</x:v>
      </x:c>
      <x:c r="G746" s="191" t="n">
        <x:v>547.6530151367188</x:v>
      </x:c>
      <x:c r="H746" s="208" t="n">
        <x:f>E746/E745-1</x:f>
        <x:v>0.008407442736107162</x:v>
      </x:c>
      <x:c r="I746" s="208" t="n">
        <x:f>G746/G745-1</x:f>
        <x:v>0.005222644664893306</x:v>
      </x:c>
      <x:c r="J746" s="208" t="n">
        <x:f>'Beta HC3'!$E$13+'Beta HC3'!$E$12*I746</x:f>
        <x:v>0.005899291336998035</x:v>
      </x:c>
      <x:c r="K746" s="240" t="n">
        <x:f>H746-J746</x:f>
        <x:v>0.002508151399109128</x:v>
      </x:c>
      <x:c r="L746" s="240" t="n">
        <x:f>I746-'Beta HC3'!$E$9</x:f>
        <x:v>0.004658697047232866</x:v>
      </x:c>
      <x:c r="M746" s="240" t="n">
        <x:f>1/'Beta HC3'!$E$8+L746^2/'Beta HC3'!$E$11</x:f>
        <x:v>0.0009452306551111248</x:v>
      </x:c>
      <x:c r="N746" s="240" t="n">
        <x:f>K746^2/(1-M746)^2</x:f>
        <x:v>0.0000063027328822697015</x:v>
      </x:c>
      <x:c r="O746" s="240" t="n">
        <x:f>N746*L746^2/'Beta HC3'!$E$11^2</x:f>
        <x:v>6.396944211653734e-9</x:v>
      </x:c>
      <x:c r="P746" s="240" t="n">
        <x:f>N746*(1/'Beta HC3'!$E$8-'Beta HC3'!$E$9*L746/'Beta HC3'!$E$11)^2</x:f>
        <x:v>3.823248263398712e-12</x:v>
      </x:c>
      <x:c r="Q746" s="240" t="n">
        <x:f>N746*(1/'Beta HC3'!$E$8-'Beta HC3'!$E$9*L746/'Beta HC3'!$E$11)*L746/'Beta HC3'!$E$11</x:f>
        <x:v>1.563876780576513e-10</x:v>
      </x:c>
      <x:c r="R746" s="240" t="n">
        <x:f>K746*L746/'Beta HC3'!$E$11</x:f>
        <x:v>0.0000799052986449464</x:v>
      </x:c>
      <x:c r="S746" s="240" t="n">
        <x:f>(K746-K745)^2</x:f>
        <x:v>0.000007056779560326992</x:v>
      </x:c>
      <x:c r="T746" s="280" t="n">
        <x:f>E746/$E$9*100</x:f>
        <x:v>149.79869602128605</x:v>
      </x:c>
    </x:row>
    <x:row r="747" ht="24" customHeight="1">
      <x:c r="C747" s="274" t="d">
        <x:v>2024-09-16T00:00:00.000Z</x:v>
      </x:c>
      <x:c r="D747" s="191" t="n">
        <x:v>431.3399963378906</x:v>
      </x:c>
      <x:c r="E747" s="191" t="n">
        <x:v>424.632080078125</x:v>
      </x:c>
      <x:c r="F747" s="191" t="n">
        <x:v>562.8400268554688</x:v>
      </x:c>
      <x:c r="G747" s="191" t="n">
        <x:v>548.4618530273438</x:v>
      </x:c>
      <x:c r="H747" s="208" t="n">
        <x:f>E747/E746-1</x:f>
        <x:v>0.00174180984366612</x:v>
      </x:c>
      <x:c r="I747" s="208" t="n">
        <x:f>G747/G746-1</x:f>
        <x:v>0.0014769167123513949</x:v>
      </x:c>
      <x:c r="J747" s="208" t="n">
        <x:f>'Beta HC3'!$E$13+'Beta HC3'!$E$12*I747</x:f>
        <x:v>0.001674815399335619</x:v>
      </x:c>
      <x:c r="K747" s="240" t="n">
        <x:f>H747-J747</x:f>
        <x:v>0.00006699444433050112</x:v>
      </x:c>
      <x:c r="L747" s="240" t="n">
        <x:f>I747-'Beta HC3'!$E$9</x:f>
        <x:v>0.0009129690946909555</x:v>
      </x:c>
      <x:c r="M747" s="240" t="n">
        <x:f>1/'Beta HC3'!$E$8+L747^2/'Beta HC3'!$E$11</x:f>
        <x:v>0.0008025126788963493</x:v>
      </x:c>
      <x:c r="N747" s="240" t="n">
        <x:f>K747^2/(1-M747)^2</x:f>
        <x:v>4.495468016112639e-9</x:v>
      </x:c>
      <x:c r="O747" s="240" t="n">
        <x:f>N747*L747^2/'Beta HC3'!$E$11^2</x:f>
        <x:v>1.752273074188406e-13</x:v>
      </x:c>
      <x:c r="P747" s="240" t="n">
        <x:f>N747*(1/'Beta HC3'!$E$8-'Beta HC3'!$E$9*L747/'Beta HC3'!$E$11)^2</x:f>
        <x:v>2.829051863930775e-15</x:v>
      </x:c>
      <x:c r="Q747" s="240" t="n">
        <x:f>N747*(1/'Beta HC3'!$E$8-'Beta HC3'!$E$9*L747/'Beta HC3'!$E$11)*L747/'Beta HC3'!$E$11</x:f>
        <x:v>2.2264930735684805e-14</x:v>
      </x:c>
      <x:c r="R747" s="240" t="n">
        <x:f>K747*L747/'Beta HC3'!$E$11</x:f>
        <x:v>4.1826567633276175e-7</x:v>
      </x:c>
      <x:c r="S747" s="240" t="n">
        <x:f>(K747-K746)^2</x:f>
        <x:v>0.000005959247277864058</x:v>
      </x:c>
      <x:c r="T747" s="280" t="n">
        <x:f>E747/$E$9*100</x:f>
        <x:v>150.0596168645843</x:v>
      </x:c>
    </x:row>
    <x:row r="748" ht="24" customHeight="1">
      <x:c r="C748" s="274" t="d">
        <x:v>2024-09-17T00:00:00.000Z</x:v>
      </x:c>
      <x:c r="D748" s="191" t="n">
        <x:v>435.1499938964844</x:v>
      </x:c>
      <x:c r="E748" s="191" t="n">
        <x:v>428.38287353515625</x:v>
      </x:c>
      <x:c r="F748" s="191" t="n">
        <x:v>563.0700073242188</x:v>
      </x:c>
      <x:c r="G748" s="191" t="n">
        <x:v>548.6859741210938</x:v>
      </x:c>
      <x:c r="H748" s="208" t="n">
        <x:f>E748/E747-1</x:f>
        <x:v>0.008833043081297953</x:v>
      </x:c>
      <x:c r="I748" s="208" t="n">
        <x:f>G748/G747-1</x:f>
        <x:v>0.000408635700938742</x:v>
      </x:c>
      <x:c r="J748" s="208" t="n">
        <x:f>'Beta HC3'!$E$13+'Beta HC3'!$E$12*I748</x:f>
        <x:v>0.0004699955393370098</x:v>
      </x:c>
      <x:c r="K748" s="240" t="n">
        <x:f>H748-J748</x:f>
        <x:v>0.008363047541960943</x:v>
      </x:c>
      <x:c r="L748" s="240" t="n">
        <x:f>I748-'Beta HC3'!$E$9</x:f>
        <x:v>-0.00015531191672169735</x:v>
      </x:c>
      <x:c r="M748" s="240" t="n">
        <x:f>1/'Beta HC3'!$E$8+L748^2/'Beta HC3'!$E$11</x:f>
        <x:v>0.0007969777045494571</x:v>
      </x:c>
      <x:c r="N748" s="240" t="n">
        <x:f>K748^2/(1-M748)^2</x:f>
        <x:v>0.00007005217974463661</x:v>
      </x:c>
      <x:c r="O748" s="240" t="n">
        <x:f>N748*L748^2/'Beta HC3'!$E$11^2</x:f>
        <x:v>7.902162112839331e-11</x:v>
      </x:c>
      <x:c r="P748" s="240" t="n">
        <x:f>N748*(1/'Beta HC3'!$E$8-'Beta HC3'!$E$9*L748/'Beta HC3'!$E$11)^2</x:f>
        <x:v>4.454376012757551e-11</x:v>
      </x:c>
      <x:c r="Q748" s="240" t="n">
        <x:f>N748*(1/'Beta HC3'!$E$8-'Beta HC3'!$E$9*L748/'Beta HC3'!$E$11)*L748/'Beta HC3'!$E$11</x:f>
        <x:v>-5.932891484289347e-11</x:v>
      </x:c>
      <x:c r="R748" s="240" t="n">
        <x:f>K748*L748/'Beta HC3'!$E$11</x:f>
        <x:v>-0.000008882325955536455</x:v>
      </x:c>
      <x:c r="S748" s="240" t="n">
        <x:f>(K748-K747)^2</x:f>
        <x:v>0.00006882449699870367</x:v>
      </x:c>
      <x:c r="T748" s="280" t="n">
        <x:f>E748/$E$9*100</x:f>
        <x:v>151.38509992511223</x:v>
      </x:c>
    </x:row>
    <x:row r="749" ht="24" customHeight="1">
      <x:c r="C749" s="274" t="d">
        <x:v>2024-09-18T00:00:00.000Z</x:v>
      </x:c>
      <x:c r="D749" s="191" t="n">
        <x:v>430.80999755859375</x:v>
      </x:c>
      <x:c r="E749" s="191" t="n">
        <x:v>424.1103210449219</x:v>
      </x:c>
      <x:c r="F749" s="191" t="n">
        <x:v>561.4000244140625</x:v>
      </x:c>
      <x:c r="G749" s="191" t="n">
        <x:v>547.0586547851562</x:v>
      </x:c>
      <x:c r="H749" s="208" t="n">
        <x:f>E749/E748-1</x:f>
        <x:v>-0.009973677180359353</x:v>
      </x:c>
      <x:c r="I749" s="208" t="n">
        <x:f>G749/G748-1</x:f>
        <x:v>-0.0029658482496188743</x:v>
      </x:c>
      <x:c r="J749" s="208" t="n">
        <x:f>'Beta HC3'!$E$13+'Beta HC3'!$E$12*I749</x:f>
        <x:v>-0.003335787056669382</x:v>
      </x:c>
      <x:c r="K749" s="240" t="n">
        <x:f>H749-J749</x:f>
        <x:v>-0.00663789012368997</x:v>
      </x:c>
      <x:c r="L749" s="240" t="n">
        <x:f>I749-'Beta HC3'!$E$9</x:f>
        <x:v>-0.0035297958672793135</x:v>
      </x:c>
      <x:c r="M749" s="240" t="n">
        <x:f>1/'Beta HC3'!$E$8+L749^2/'Beta HC3'!$E$11</x:f>
        <x:v>0.0008820160737812548</x:v>
      </x:c>
      <x:c r="N749" s="240" t="n">
        <x:f>K749^2/(1-M749)^2</x:f>
        <x:v>0.00004413941430162221</x:v>
      </x:c>
      <x:c r="O749" s="240" t="n">
        <x:f>N749*L749^2/'Beta HC3'!$E$11^2</x:f>
        <x:v>2.5718194088101718e-8</x:v>
      </x:c>
      <x:c r="P749" s="240" t="n">
        <x:f>N749*(1/'Beta HC3'!$E$8-'Beta HC3'!$E$9*L749/'Beta HC3'!$E$11)^2</x:f>
        <x:v>2.899030304533788e-11</x:v>
      </x:c>
      <x:c r="Q749" s="240" t="n">
        <x:f>N749*(1/'Beta HC3'!$E$8-'Beta HC3'!$E$9*L749/'Beta HC3'!$E$11)*L749/'Beta HC3'!$E$11</x:f>
        <x:v>-8.634687257758011e-10</x:v>
      </x:c>
      <x:c r="R749" s="240" t="n">
        <x:f>K749*L749/'Beta HC3'!$E$11</x:f>
        <x:v>0.00016022748320585546</x:v>
      </x:c>
      <x:c r="S749" s="240" t="n">
        <x:f>(K749-K748)^2</x:f>
        <x:v>0.00022502813084874428</x:v>
      </x:c>
      <x:c r="T749" s="280" t="n">
        <x:f>E749/$E$9*100</x:f>
        <x:v>149.87523380854273</x:v>
      </x:c>
    </x:row>
    <x:row r="750" ht="24" customHeight="1">
      <x:c r="C750" s="274" t="d">
        <x:v>2024-09-19T00:00:00.000Z</x:v>
      </x:c>
      <x:c r="D750" s="191" t="n">
        <x:v>438.69000244140625</x:v>
      </x:c>
      <x:c r="E750" s="191" t="n">
        <x:v>431.8678283691406</x:v>
      </x:c>
      <x:c r="F750" s="191" t="n">
        <x:v>570.97998046875</x:v>
      </x:c>
      <x:c r="G750" s="191" t="n">
        <x:v>556.3939819335938</x:v>
      </x:c>
      <x:c r="H750" s="208" t="n">
        <x:f>E750/E749-1</x:f>
        <x:v>0.01829124861924103</x:v>
      </x:c>
      <x:c r="I750" s="208" t="n">
        <x:f>G750/G749-1</x:f>
        <x:v>0.017064581771590426</x:v>
      </x:c>
      <x:c r="J750" s="208" t="n">
        <x:f>'Beta HC3'!$E$13+'Beta HC3'!$E$12*I750</x:f>
        <x:v>0.019254766960529437</x:v>
      </x:c>
      <x:c r="K750" s="240" t="n">
        <x:f>H750-J750</x:f>
        <x:v>-0.0009635183412884073</x:v>
      </x:c>
      <x:c r="L750" s="240" t="n">
        <x:f>I750-'Beta HC3'!$E$9</x:f>
        <x:v>0.016500634153929987</x:v>
      </x:c>
      <x:c r="M750" s="240" t="n">
        <x:f>1/'Beta HC3'!$E$8+L750^2/'Beta HC3'!$E$11</x:f>
        <x:v>0.002658722524832206</x:v>
      </x:c>
      <x:c r="N750" s="240" t="n">
        <x:f>K750^2/(1-M750)^2</x:f>
        <x:v>9.333238950395261e-7</x:v>
      </x:c>
      <x:c r="O750" s="240" t="n">
        <x:f>N750*L750^2/'Beta HC3'!$E$11^2</x:f>
        <x:v>1.1883609667347769e-8</x:v>
      </x:c>
      <x:c r="P750" s="240" t="n">
        <x:f>N750*(1/'Beta HC3'!$E$8-'Beta HC3'!$E$9*L750/'Beta HC3'!$E$11)^2</x:f>
        <x:v>5.017077539858159e-13</x:v>
      </x:c>
      <x:c r="Q750" s="240" t="n">
        <x:f>N750*(1/'Beta HC3'!$E$8-'Beta HC3'!$E$9*L750/'Beta HC3'!$E$11)*L750/'Beta HC3'!$E$11</x:f>
        <x:v>7.721463019045796e-11</x:v>
      </x:c>
      <x:c r="R750" s="240" t="n">
        <x:f>K750*L750/'Beta HC3'!$E$11</x:f>
        <x:v>-0.00010872213771295586</x:v>
      </x:c>
      <x:c r="S750" s="240" t="n">
        <x:f>(K750-K749)^2</x:f>
        <x:v>0.00003219849512491509</x:v>
      </x:c>
      <x:c r="T750" s="280" t="n">
        <x:f>E750/$E$9*100</x:f>
        <x:v>152.61663897200165</x:v>
      </x:c>
    </x:row>
    <x:row r="751" ht="24" customHeight="1">
      <x:c r="C751" s="274" t="d">
        <x:v>2024-09-20T00:00:00.000Z</x:v>
      </x:c>
      <x:c r="D751" s="191" t="n">
        <x:v>435.2699890136719</x:v>
      </x:c>
      <x:c r="E751" s="191" t="n">
        <x:v>428.50091552734375</x:v>
      </x:c>
      <x:c r="F751" s="191" t="n">
        <x:v>568.25</x:v>
      </x:c>
      <x:c r="G751" s="191" t="n">
        <x:v>555.4320068359375</x:v>
      </x:c>
      <x:c r="H751" s="208" t="n">
        <x:f>E751/E750-1</x:f>
        <x:v>-0.007796164985271803</x:v>
      </x:c>
      <x:c r="I751" s="208" t="n">
        <x:f>G751/G750-1</x:f>
        <x:v>-0.0017289459068431379</x:v>
      </x:c>
      <x:c r="J751" s="208" t="n">
        <x:f>'Beta HC3'!$E$13+'Beta HC3'!$E$12*I751</x:f>
        <x:v>-0.0019407940805381552</x:v>
      </x:c>
      <x:c r="K751" s="240" t="n">
        <x:f>H751-J751</x:f>
        <x:v>-0.005855370904733648</x:v>
      </x:c>
      <x:c r="L751" s="240" t="n">
        <x:f>I751-'Beta HC3'!$E$9</x:f>
        <x:v>-0.002292893524503577</x:v>
      </x:c>
      <x:c r="M751" s="240" t="n">
        <x:f>1/'Beta HC3'!$E$8+L751^2/'Beta HC3'!$E$11</x:f>
        <x:v>0.0008327649213505064</x:v>
      </x:c>
      <x:c r="N751" s="240" t="n">
        <x:f>K751^2/(1-M751)^2</x:f>
        <x:v>0.00003434254314602041</x:v>
      </x:c>
      <x:c r="O751" s="240" t="n">
        <x:f>N751*L751^2/'Beta HC3'!$E$11^2</x:f>
        <x:v>8.443353083391171e-9</x:v>
      </x:c>
      <x:c r="P751" s="240" t="n">
        <x:f>N751*(1/'Beta HC3'!$E$8-'Beta HC3'!$E$9*L751/'Beta HC3'!$E$11)^2</x:f>
        <x:v>2.229107653771864e-11</x:v>
      </x:c>
      <x:c r="Q751" s="240" t="n">
        <x:f>N751*(1/'Beta HC3'!$E$8-'Beta HC3'!$E$9*L751/'Beta HC3'!$E$11)*L751/'Beta HC3'!$E$11</x:f>
        <x:v>-4.3383341251781803e-10</x:v>
      </x:c>
      <x:c r="R751" s="240" t="n">
        <x:f>K751*L751/'Beta HC3'!$E$11</x:f>
        <x:v>0.00009181119911155639</x:v>
      </x:c>
      <x:c r="S751" s="240" t="n">
        <x:f>(K751-K750)^2</x:f>
        <x:v>0.00002393022150248577</x:v>
      </x:c>
      <x:c r="T751" s="280" t="n">
        <x:f>E751/$E$9*100</x:f>
        <x:v>151.42681447507823</x:v>
      </x:c>
    </x:row>
    <x:row r="752" ht="24" customHeight="1">
      <x:c r="C752" s="274" t="d">
        <x:v>2024-09-23T00:00:00.000Z</x:v>
      </x:c>
      <x:c r="D752" s="191" t="n">
        <x:v>433.510009765625</x:v>
      </x:c>
      <x:c r="E752" s="191" t="n">
        <x:v>426.7683410644531</x:v>
      </x:c>
      <x:c r="F752" s="191" t="n">
        <x:v>569.6699829101562</x:v>
      </x:c>
      <x:c r="G752" s="191" t="n">
        <x:v>556.8200073242188</x:v>
      </x:c>
      <x:c r="H752" s="208" t="n">
        <x:f>E752/E751-1</x:f>
        <x:v>-0.004043338999074053</x:v>
      </x:c>
      <x:c r="I752" s="208" t="n">
        <x:f>G752/G751-1</x:f>
        <x:v>0.0024989566161088828</x:v>
      </x:c>
      <x:c r="J752" s="208" t="n">
        <x:f>'Beta HC3'!$E$13+'Beta HC3'!$E$12*I752</x:f>
        <x:v>0.002827483995522466</x:v>
      </x:c>
      <x:c r="K752" s="240" t="n">
        <x:f>H752-J752</x:f>
        <x:v>-0.006870822994596519</x:v>
      </x:c>
      <x:c r="L752" s="240" t="n">
        <x:f>I752-'Beta HC3'!$E$9</x:f>
        <x:v>0.0019350089984484435</x:v>
      </x:c>
      <x:c r="M752" s="240" t="n">
        <x:f>1/'Beta HC3'!$E$8+L752^2/'Beta HC3'!$E$11</x:f>
        <x:v>0.0008224176640574055</x:v>
      </x:c>
      <x:c r="N752" s="240" t="n">
        <x:f>K752^2/(1-M752)^2</x:f>
        <x:v>0.00004728595424830815</x:v>
      </x:c>
      <x:c r="O752" s="240" t="n">
        <x:f>N752*L752^2/'Beta HC3'!$E$11^2</x:f>
        <x:v>8.279666775339324e-9</x:v>
      </x:c>
      <x:c r="P752" s="240" t="n">
        <x:f>N752*(1/'Beta HC3'!$E$8-'Beta HC3'!$E$9*L752/'Beta HC3'!$E$11)^2</x:f>
        <x:v>2.946264664314181e-11</x:v>
      </x:c>
      <x:c r="Q752" s="240" t="n">
        <x:f>N752*(1/'Beta HC3'!$E$8-'Beta HC3'!$E$9*L752/'Beta HC3'!$E$11)*L752/'Beta HC3'!$E$11</x:f>
        <x:v>4.939037320417654e-10</x:v>
      </x:c>
      <x:c r="R752" s="240" t="n">
        <x:f>K752*L752/'Beta HC3'!$E$11</x:f>
        <x:v>-0.00009091784031226866</x:v>
      </x:c>
      <x:c r="S752" s="240" t="n">
        <x:f>(K752-K751)^2</x:f>
        <x:v>0.0000010311429468068733</x:v>
      </x:c>
      <x:c r="T752" s="280" t="n">
        <x:f>E752/$E$9*100</x:f>
        <x:v>150.81454453060564</x:v>
      </x:c>
    </x:row>
    <x:row r="753" ht="24" customHeight="1">
      <x:c r="C753" s="274" t="d">
        <x:v>2024-09-24T00:00:00.000Z</x:v>
      </x:c>
      <x:c r="D753" s="191" t="n">
        <x:v>429.1700134277344</x:v>
      </x:c>
      <x:c r="E753" s="191" t="n">
        <x:v>422.49591064453125</x:v>
      </x:c>
      <x:c r="F753" s="191" t="n">
        <x:v>571.2999877929688</x:v>
      </x:c>
      <x:c r="G753" s="191" t="n">
        <x:v>558.4132080078125</x:v>
      </x:c>
      <x:c r="H753" s="208" t="n">
        <x:f>E753/E752-1</x:f>
        <x:v>-0.01001112315235353</x:v>
      </x:c>
      <x:c r="I753" s="208" t="n">
        <x:f>G753/G752-1</x:f>
        <x:v>0.002861248990045917</x:v>
      </x:c>
      <x:c r="J753" s="208" t="n">
        <x:f>'Beta HC3'!$E$13+'Beta HC3'!$E$12*I753</x:f>
        <x:v>0.003236081586027398</x:v>
      </x:c>
      <x:c r="K753" s="240" t="n">
        <x:f>H753-J753</x:f>
        <x:v>-0.013247204738380928</x:v>
      </x:c>
      <x:c r="L753" s="240" t="n">
        <x:f>I753-'Beta HC3'!$E$9</x:f>
        <x:v>0.0022973013723854778</x:v>
      </x:c>
      <x:c r="M753" s="240" t="n">
        <x:f>1/'Beta HC3'!$E$8+L753^2/'Beta HC3'!$E$11</x:f>
        <x:v>0.0008329032827943932</x:v>
      </x:c>
      <x:c r="N753" s="240" t="n">
        <x:f>K753^2/(1-M753)^2</x:f>
        <x:v>0.00017578112879476548</x:v>
      </x:c>
      <x:c r="O753" s="240" t="n">
        <x:f>N753*L753^2/'Beta HC3'!$E$11^2</x:f>
        <x:v>4.3383333148640375e-8</x:v>
      </x:c>
      <x:c r="P753" s="240" t="n">
        <x:f>N753*(1/'Beta HC3'!$E$8-'Beta HC3'!$E$9*L753/'Beta HC3'!$E$11)^2</x:f>
        <x:v>1.0913725852605023e-10</x:v>
      </x:c>
      <x:c r="Q753" s="240" t="n">
        <x:f>N753*(1/'Beta HC3'!$E$8-'Beta HC3'!$E$9*L753/'Beta HC3'!$E$11)*L753/'Beta HC3'!$E$11</x:f>
        <x:v>2.175945322282922e-9</x:v>
      </x:c>
      <x:c r="R753" s="240" t="n">
        <x:f>K753*L753/'Beta HC3'!$E$11</x:f>
        <x:v>-0.00020811317835176107</x:v>
      </x:c>
      <x:c r="S753" s="240" t="n">
        <x:f>(K753-K752)^2</x:f>
        <x:v>0.000040658244142467096</x:v>
      </x:c>
      <x:c r="T753" s="280" t="n">
        <x:f>E753/$E$9*100</x:f>
        <x:v>149.30472155214363</x:v>
      </x:c>
    </x:row>
    <x:row r="754" ht="24" customHeight="1">
      <x:c r="C754" s="274" t="d">
        <x:v>2024-09-25T00:00:00.000Z</x:v>
      </x:c>
      <x:c r="D754" s="191" t="n">
        <x:v>432.1099853515625</x:v>
      </x:c>
      <x:c r="E754" s="191" t="n">
        <x:v>425.3901062011719</x:v>
      </x:c>
      <x:c r="F754" s="191" t="n">
        <x:v>570.0399780273438</x:v>
      </x:c>
      <x:c r="G754" s="191" t="n">
        <x:v>557.181640625</x:v>
      </x:c>
      <x:c r="H754" s="208" t="n">
        <x:f>E754/E753-1</x:f>
        <x:v>0.0068502333010169725</x:v>
      </x:c>
      <x:c r="I754" s="208" t="n">
        <x:f>G754/G753-1</x:f>
        <x:v>-0.0022054768138565217</x:v>
      </x:c>
      <x:c r="J754" s="208" t="n">
        <x:f>'Beta HC3'!$E$13+'Beta HC3'!$E$12*I754</x:f>
        <x:v>-0.0024782312291341626</x:v>
      </x:c>
      <x:c r="K754" s="240" t="n">
        <x:f>H754-J754</x:f>
        <x:v>0.009328464530151135</x:v>
      </x:c>
      <x:c r="L754" s="240" t="n">
        <x:f>I754-'Beta HC3'!$E$9</x:f>
        <x:v>-0.002769424431516961</x:v>
      </x:c>
      <x:c r="M754" s="240" t="n">
        <x:f>1/'Beta HC3'!$E$8+L754^2/'Beta HC3'!$E$11</x:f>
        <x:v>0.0008492616508766763</x:v>
      </x:c>
      <x:c r="N754" s="240" t="n">
        <x:f>K754^2/(1-M754)^2</x:f>
        <x:v>0.00008716824491575874</x:v>
      </x:c>
      <x:c r="O754" s="240" t="n">
        <x:f>N754*L754^2/'Beta HC3'!$E$11^2</x:f>
        <x:v>3.12645414214746e-8</x:v>
      </x:c>
      <x:c r="P754" s="240" t="n">
        <x:f>N754*(1/'Beta HC3'!$E$8-'Beta HC3'!$E$9*L754/'Beta HC3'!$E$11)^2</x:f>
        <x:v>5.683762796427221e-11</x:v>
      </x:c>
      <x:c r="Q754" s="240" t="n">
        <x:f>N754*(1/'Beta HC3'!$E$8-'Beta HC3'!$E$9*L754/'Beta HC3'!$E$11)*L754/'Beta HC3'!$E$11</x:f>
        <x:v>-1.333042525123393e-9</x:v>
      </x:c>
      <x:c r="R754" s="240" t="n">
        <x:f>K754*L754/'Beta HC3'!$E$11</x:f>
        <x:v>-0.0001766676552704449</x:v>
      </x:c>
      <x:c r="S754" s="240" t="n">
        <x:f>(K754-K753)^2</x:f>
        <x:v>0.0005096608429221431</x:v>
      </x:c>
      <x:c r="T754" s="280" t="n">
        <x:f>E754/$E$9*100</x:f>
        <x:v>150.32749372771917</x:v>
      </x:c>
    </x:row>
    <x:row r="755" ht="24" customHeight="1">
      <x:c r="C755" s="274" t="d">
        <x:v>2024-09-26T00:00:00.000Z</x:v>
      </x:c>
      <x:c r="D755" s="191" t="n">
        <x:v>431.30999755859375</x:v>
      </x:c>
      <x:c r="E755" s="191" t="n">
        <x:v>424.60260009765625</x:v>
      </x:c>
      <x:c r="F755" s="191" t="n">
        <x:v>572.2999877929688</x:v>
      </x:c>
      <x:c r="G755" s="191" t="n">
        <x:v>559.3907470703125</x:v>
      </x:c>
      <x:c r="H755" s="208" t="n">
        <x:f>E755/E754-1</x:f>
        <x:v>-0.0018512562752063255</x:v>
      </x:c>
      <x:c r="I755" s="208" t="n">
        <x:f>G755/G754-1</x:f>
        <x:v>0.003964786856283542</x:v>
      </x:c>
      <x:c r="J755" s="208" t="n">
        <x:f>'Beta HC3'!$E$13+'Beta HC3'!$E$12*I755</x:f>
        <x:v>0.00448066454060544</x:v>
      </x:c>
      <x:c r="K755" s="240" t="n">
        <x:f>H755-J755</x:f>
        <x:v>-0.006331920815811766</x:v>
      </x:c>
      <x:c r="L755" s="240" t="n">
        <x:f>I755-'Beta HC3'!$E$9</x:f>
        <x:v>0.0034008392386231027</x:v>
      </x:c>
      <x:c r="M755" s="240" t="n">
        <x:f>1/'Beta HC3'!$E$8+L755^2/'Beta HC3'!$E$11</x:f>
        <x:v>0.0008759042043715443</x:v>
      </x:c>
      <x:c r="N755" s="240" t="n">
        <x:f>K755^2/(1-M755)^2</x:f>
        <x:v>0.00004016354924720323</x:v>
      </x:c>
      <x:c r="O755" s="240" t="n">
        <x:f>N755*L755^2/'Beta HC3'!$E$11^2</x:f>
        <x:v>2.1722960519155006e-8</x:v>
      </x:c>
      <x:c r="P755" s="240" t="n">
        <x:f>N755*(1/'Beta HC3'!$E$8-'Beta HC3'!$E$9*L755/'Beta HC3'!$E$11)^2</x:f>
        <x:v>2.4667709009030935e-11</x:v>
      </x:c>
      <x:c r="Q755" s="240" t="n">
        <x:f>N755*(1/'Beta HC3'!$E$8-'Beta HC3'!$E$9*L755/'Beta HC3'!$E$11)*L755/'Beta HC3'!$E$11</x:f>
        <x:v>7.320216314434864e-10</x:v>
      </x:c>
      <x:c r="R755" s="240" t="n">
        <x:f>K755*L755/'Beta HC3'!$E$11</x:f>
        <x:v>-0.0001472580141122637</x:v>
      </x:c>
      <x:c r="S755" s="240" t="n">
        <x:f>(K755-K754)^2</x:f>
        <x:v>0.0002452476691840495</x:v>
      </x:c>
      <x:c r="T755" s="280" t="n">
        <x:f>E755/$E$9*100</x:f>
        <x:v>150.0491990116197</x:v>
      </x:c>
    </x:row>
    <x:row r="756" ht="24" customHeight="1">
      <x:c r="C756" s="274" t="d">
        <x:v>2024-09-27T00:00:00.000Z</x:v>
      </x:c>
      <x:c r="D756" s="191" t="n">
        <x:v>428.0199890136719</x:v>
      </x:c>
      <x:c r="E756" s="191" t="n">
        <x:v>421.3637390136719</x:v>
      </x:c>
      <x:c r="F756" s="191" t="n">
        <x:v>571.469970703125</x:v>
      </x:c>
      <x:c r="G756" s="191" t="n">
        <x:v>558.5794067382812</x:v>
      </x:c>
      <x:c r="H756" s="208" t="n">
        <x:f>E756/E755-1</x:f>
        <x:v>-0.0076279822197025116</x:v>
      </x:c>
      <x:c r="I756" s="208" t="n">
        <x:f>G756/G755-1</x:f>
        <x:v>-0.0014503999865576045</x:v>
      </x:c>
      <x:c r="J756" s="208" t="n">
        <x:f>'Beta HC3'!$E$13+'Beta HC3'!$E$12*I756</x:f>
        <x:v>-0.001626646723151526</x:v>
      </x:c>
      <x:c r="K756" s="240" t="n">
        <x:f>H756-J756</x:f>
        <x:v>-0.006001335496550986</x:v>
      </x:c>
      <x:c r="L756" s="240" t="n">
        <x:f>I756-'Beta HC3'!$E$9</x:f>
        <x:v>-0.0020143476042180438</x:v>
      </x:c>
      <x:c r="M756" s="240" t="n">
        <x:f>1/'Beta HC3'!$E$8+L756^2/'Beta HC3'!$E$11</x:f>
        <x:v>0.0008245603981287093</x:v>
      </x:c>
      <x:c r="N756" s="240" t="n">
        <x:f>K756^2/(1-M756)^2</x:f>
        <x:v>0.00003607549606523498</x:v>
      </x:c>
      <x:c r="O756" s="240" t="n">
        <x:f>N756*L756^2/'Beta HC3'!$E$11^2</x:f>
        <x:v>6.8453532920938875e-9</x:v>
      </x:c>
      <x:c r="P756" s="240" t="n">
        <x:f>N756*(1/'Beta HC3'!$E$8-'Beta HC3'!$E$9*L756/'Beta HC3'!$E$11)^2</x:f>
        <x:v>2.3353501076905434e-11</x:v>
      </x:c>
      <x:c r="Q756" s="240" t="n">
        <x:f>N756*(1/'Beta HC3'!$E$8-'Beta HC3'!$E$9*L756/'Beta HC3'!$E$11)*L756/'Beta HC3'!$E$11</x:f>
        <x:v>-3.9982867015599667e-10</x:v>
      </x:c>
      <x:c r="R756" s="240" t="n">
        <x:f>K756*L756/'Beta HC3'!$E$11</x:f>
        <x:v>0.00008266842886965279</x:v>
      </x:c>
      <x:c r="S756" s="240" t="n">
        <x:f>(K756-K755)^2</x:f>
        <x:v>1.0928665331075164e-7</x:v>
      </x:c>
      <x:c r="T756" s="280" t="n">
        <x:f>E756/$E$9*100</x:f>
        <x:v>148.90462638947844</x:v>
      </x:c>
    </x:row>
    <x:row r="757" ht="24" customHeight="1">
      <x:c r="C757" s="274" t="d">
        <x:v>2024-09-30T00:00:00.000Z</x:v>
      </x:c>
      <x:c r="D757" s="191" t="n">
        <x:v>430.29998779296875</x:v>
      </x:c>
      <x:c r="E757" s="191" t="n">
        <x:v>423.6082763671875</x:v>
      </x:c>
      <x:c r="F757" s="191" t="n">
        <x:v>573.760009765625</x:v>
      </x:c>
      <x:c r="G757" s="191" t="n">
        <x:v>560.8178100585938</x:v>
      </x:c>
      <x:c r="H757" s="208" t="n">
        <x:f>E757/E756-1</x:f>
        <x:v>0.005326840317986692</x:v>
      </x:c>
      <x:c r="I757" s="208" t="n">
        <x:f>G757/G756-1</x:f>
        <x:v>0.0040073144360677215</x:v>
      </x:c>
      <x:c r="J757" s="208" t="n">
        <x:f>'Beta HC3'!$E$13+'Beta HC3'!$E$12*I757</x:f>
        <x:v>0.004528627644109358</x:v>
      </x:c>
      <x:c r="K757" s="240" t="n">
        <x:f>H757-J757</x:f>
        <x:v>0.0007982126738773337</x:v>
      </x:c>
      <x:c r="L757" s="240" t="n">
        <x:f>I757-'Beta HC3'!$E$9</x:f>
        <x:v>0.0034433668184072823</x:v>
      </x:c>
      <x:c r="M757" s="240" t="n">
        <x:f>1/'Beta HC3'!$E$8+L757^2/'Beta HC3'!$E$11</x:f>
        <x:v>0.0008778946536065882</x:v>
      </x:c>
      <x:c r="N757" s="240" t="n">
        <x:f>K757^2/(1-M757)^2</x:f>
        <x:v>6.382636372987932e-7</x:v>
      </x:c>
      <x:c r="O757" s="240" t="n">
        <x:f>N757*L757^2/'Beta HC3'!$E$11^2</x:f>
        <x:v>3.539006871509883e-10</x:v>
      </x:c>
      <x:c r="P757" s="240" t="n">
        <x:f>N757*(1/'Beta HC3'!$E$8-'Beta HC3'!$E$9*L757/'Beta HC3'!$E$11)^2</x:f>
        <x:v>3.918456606279301e-13</x:v>
      </x:c>
      <x:c r="Q757" s="240" t="n">
        <x:f>N757*(1/'Beta HC3'!$E$8-'Beta HC3'!$E$9*L757/'Beta HC3'!$E$11)*L757/'Beta HC3'!$E$11</x:f>
        <x:v>1.1776011572402494e-11</x:v>
      </x:c>
      <x:c r="R757" s="240" t="n">
        <x:f>K757*L757/'Beta HC3'!$E$11</x:f>
        <x:v>0.00001879573315568156</x:v>
      </x:c>
      <x:c r="S757" s="240" t="n">
        <x:f>(K757-K756)^2</x:f>
        <x:v>0.00004623385532197511</x:v>
      </x:c>
      <x:c r="T757" s="280" t="n">
        <x:f>E757/$E$9*100</x:f>
        <x:v>149.69781755686463</x:v>
      </x:c>
    </x:row>
    <x:row r="758" ht="24" customHeight="1">
      <x:c r="C758" s="274" t="d">
        <x:v>2024-10-01T00:00:00.000Z</x:v>
      </x:c>
      <x:c r="D758" s="191" t="n">
        <x:v>420.69000244140625</x:v>
      </x:c>
      <x:c r="E758" s="191" t="n">
        <x:v>414.1477355957031</x:v>
      </x:c>
      <x:c r="F758" s="191" t="n">
        <x:v>568.6199951171875</x:v>
      </x:c>
      <x:c r="G758" s="191" t="n">
        <x:v>555.7938232421875</x:v>
      </x:c>
      <x:c r="H758" s="208" t="n">
        <x:f>E758/E757-1</x:f>
        <x:v>-0.02233322930471715</x:v>
      </x:c>
      <x:c r="I758" s="208" t="n">
        <x:f>G758/G757-1</x:f>
        <x:v>-0.008958322518112127</x:v>
      </x:c>
      <x:c r="J758" s="208" t="n">
        <x:f>'Beta HC3'!$E$13+'Beta HC3'!$E$12*I758</x:f>
        <x:v>-0.010094169853031229</x:v>
      </x:c>
      <x:c r="K758" s="240" t="n">
        <x:f>H758-J758</x:f>
        <x:v>-0.012239059451685921</x:v>
      </x:c>
      <x:c r="L758" s="240" t="n">
        <x:f>I758-'Beta HC3'!$E$9</x:f>
        <x:v>-0.009522270135772566</x:v>
      </x:c>
      <x:c r="M758" s="240" t="n">
        <x:f>1/'Beta HC3'!$E$8+L758^2/'Beta HC3'!$E$11</x:f>
        <x:v>0.0014168793750933403</x:v>
      </x:c>
      <x:c r="N758" s="240" t="n">
        <x:f>K758^2/(1-M758)^2</x:f>
        <x:v>0.00015021996181950294</x:v>
      </x:c>
      <x:c r="O758" s="240" t="n">
        <x:f>N758*L758^2/'Beta HC3'!$E$11^2</x:f>
        <x:v>6.369764345617634e-7</x:v>
      </x:c>
      <x:c r="P758" s="240" t="n">
        <x:f>N758*(1/'Beta HC3'!$E$8-'Beta HC3'!$E$9*L758/'Beta HC3'!$E$11)^2</x:f>
        <x:v>1.0437006987091013e-10</x:v>
      </x:c>
      <x:c r="Q758" s="240" t="n">
        <x:f>N758*(1/'Beta HC3'!$E$8-'Beta HC3'!$E$9*L758/'Beta HC3'!$E$11)*L758/'Beta HC3'!$E$11</x:f>
        <x:v>-8.153605029760423e-9</x:v>
      </x:c>
      <x:c r="R758" s="240" t="n">
        <x:f>K758*L758/'Beta HC3'!$E$11</x:f>
        <x:v>0.0007969772115794127</x:v>
      </x:c>
      <x:c r="S758" s="240" t="n">
        <x:f>(K758-K757)^2</x:f>
        <x:v>0.00016997046447598862</x:v>
      </x:c>
      <x:c r="T758" s="280" t="n">
        <x:f>E758/$E$9*100</x:f>
        <x:v>146.3545818709515</x:v>
      </x:c>
    </x:row>
    <x:row r="759" ht="24" customHeight="1">
      <x:c r="C759" s="274" t="d">
        <x:v>2024-10-02T00:00:00.000Z</x:v>
      </x:c>
      <x:c r="D759" s="191" t="n">
        <x:v>417.1300048828125</x:v>
      </x:c>
      <x:c r="E759" s="191" t="n">
        <x:v>410.64306640625</x:v>
      </x:c>
      <x:c r="F759" s="191" t="n">
        <x:v>568.8599853515625</x:v>
      </x:c>
      <x:c r="G759" s="191" t="n">
        <x:v>556.0283203125</x:v>
      </x:c>
      <x:c r="H759" s="208" t="n">
        <x:f>E759/E758-1</x:f>
        <x:v>-0.008462364726954386</x:v>
      </x:c>
      <x:c r="I759" s="208" t="n">
        <x:f>G759/G758-1</x:f>
        <x:v>0.0004219137754077895</x:v>
      </x:c>
      <x:c r="J759" s="208" t="n">
        <x:f>'Beta HC3'!$E$13+'Beta HC3'!$E$12*I759</x:f>
        <x:v>0.00048497070752959447</x:v>
      </x:c>
      <x:c r="K759" s="240" t="n">
        <x:f>H759-J759</x:f>
        <x:v>-0.00894733543448398</x:v>
      </x:c>
      <x:c r="L759" s="240" t="n">
        <x:f>I759-'Beta HC3'!$E$9</x:f>
        <x:v>-0.00014203384225264985</x:v>
      </x:c>
      <x:c r="M759" s="240" t="n">
        <x:f>1/'Beta HC3'!$E$8+L759^2/'Beta HC3'!$E$11</x:f>
        <x:v>0.000796950705143431</x:v>
      </x:c>
      <x:c r="N759" s="240" t="n">
        <x:f>K759^2/(1-M759)^2</x:f>
        <x:v>0.00008018256355191267</x:v>
      </x:c>
      <x:c r="O759" s="240" t="n">
        <x:f>N759*L759^2/'Beta HC3'!$E$11^2</x:f>
        <x:v>7.564466974949072e-11</x:v>
      </x:c>
      <x:c r="P759" s="240" t="n">
        <x:f>N759*(1/'Beta HC3'!$E$8-'Beta HC3'!$E$9*L759/'Beta HC3'!$E$11)^2</x:f>
        <x:v>5.0978773071655074e-11</x:v>
      </x:c>
      <x:c r="Q759" s="240" t="n">
        <x:f>N759*(1/'Beta HC3'!$E$8-'Beta HC3'!$E$9*L759/'Beta HC3'!$E$11)*L759/'Beta HC3'!$E$11</x:f>
        <x:v>-6.20988925282857e-11</x:v>
      </x:c>
      <x:c r="R759" s="240" t="n">
        <x:f>K759*L759/'Beta HC3'!$E$11</x:f>
        <x:v>0.000008690463028396571</x:v>
      </x:c>
      <x:c r="S759" s="240" t="n">
        <x:f>(K759-K758)^2</x:f>
        <x:v>0.000010835447005424082</x:v>
      </x:c>
      <x:c r="T759" s="280" t="n">
        <x:f>E759/$E$9*100</x:f>
        <x:v>145.11607601969857</x:v>
      </x:c>
    </x:row>
    <x:row r="760" ht="24" customHeight="1">
      <x:c r="C760" s="274" t="d">
        <x:v>2024-10-03T00:00:00.000Z</x:v>
      </x:c>
      <x:c r="D760" s="191" t="n">
        <x:v>416.5400085449219</x:v>
      </x:c>
      <x:c r="E760" s="191" t="n">
        <x:v>410.062255859375</x:v>
      </x:c>
      <x:c r="F760" s="191" t="n">
        <x:v>567.8200073242188</x:v>
      </x:c>
      <x:c r="G760" s="191" t="n">
        <x:v>555.0118408203125</x:v>
      </x:c>
      <x:c r="H760" s="208" t="n">
        <x:f>E760/E759-1</x:f>
        <x:v>-0.0014143926791653216</x:v>
      </x:c>
      <x:c r="I760" s="208" t="n">
        <x:f>G760/G759-1</x:f>
        <x:v>-0.0018281074093783323</x:v>
      </x:c>
      <x:c r="J760" s="208" t="n">
        <x:f>'Beta HC3'!$E$13+'Beta HC3'!$E$12*I760</x:f>
        <x:v>-0.002052629586669374</x:v>
      </x:c>
      <x:c r="K760" s="240" t="n">
        <x:f>H760-J760</x:f>
        <x:v>0.0006382369075040523</x:v>
      </x:c>
      <x:c r="L760" s="240" t="n">
        <x:f>I760-'Beta HC3'!$E$9</x:f>
        <x:v>-0.0023920550270387715</x:v>
      </x:c>
      <x:c r="M760" s="240" t="n">
        <x:f>1/'Beta HC3'!$E$8+L760^2/'Beta HC3'!$E$11</x:f>
        <x:v>0.0008359418340896384</x:v>
      </x:c>
      <x:c r="N760" s="240" t="n">
        <x:f>K760^2/(1-M760)^2</x:f>
        <x:v>4.0802824072253155e-7</x:v>
      </x:c>
      <x:c r="O760" s="240" t="n">
        <x:f>N760*L760^2/'Beta HC3'!$E$11^2</x:f>
        <x:v>1.0918105275602398e-10</x:v>
      </x:c>
      <x:c r="P760" s="240" t="n">
        <x:f>N760*(1/'Beta HC3'!$E$8-'Beta HC3'!$E$9*L760/'Beta HC3'!$E$11)^2</x:f>
        <x:v>2.65094676698019e-13</x:v>
      </x:c>
      <x:c r="Q760" s="240" t="n">
        <x:f>N760*(1/'Beta HC3'!$E$8-'Beta HC3'!$E$9*L760/'Beta HC3'!$E$11)*L760/'Beta HC3'!$E$11</x:f>
        <x:v>-5.379899244586978e-12</x:v>
      </x:c>
      <x:c r="R760" s="240" t="n">
        <x:f>K760*L760/'Beta HC3'!$E$11</x:f>
        <x:v>-0.00001044023903139338</x:v>
      </x:c>
      <x:c r="S760" s="240" t="n">
        <x:f>(K760-K759)^2</x:f>
        <x:v>0.00009188319712348592</x:v>
      </x:c>
      <x:c r="T760" s="280" t="n">
        <x:f>E760/$E$9*100</x:f>
        <x:v>144.91082490414712</x:v>
      </x:c>
    </x:row>
    <x:row r="761" ht="24" customHeight="1">
      <x:c r="C761" s="274" t="d">
        <x:v>2024-10-04T00:00:00.000Z</x:v>
      </x:c>
      <x:c r="D761" s="191" t="n">
        <x:v>416.05999755859375</x:v>
      </x:c>
      <x:c r="E761" s="191" t="n">
        <x:v>409.5897216796875</x:v>
      </x:c>
      <x:c r="F761" s="191" t="n">
        <x:v>572.97998046875</x:v>
      </x:c>
      <x:c r="G761" s="191" t="n">
        <x:v>560.0553588867188</x:v>
      </x:c>
      <x:c r="H761" s="208" t="n">
        <x:f>E761/E760-1</x:f>
        <x:v>-0.0011523474129487843</x:v>
      </x:c>
      <x:c r="I761" s="208" t="n">
        <x:f>G761/G760-1</x:f>
        <x:v>0.009087226065216614</x:v>
      </x:c>
      <x:c r="J761" s="208" t="n">
        <x:f>'Beta HC3'!$E$13+'Beta HC3'!$E$12*I761</x:f>
        <x:v>0.0102578115877078</x:v>
      </x:c>
      <x:c r="K761" s="240" t="n">
        <x:f>H761-J761</x:f>
        <x:v>-0.011410159000656584</x:v>
      </x:c>
      <x:c r="L761" s="240" t="n">
        <x:f>I761-'Beta HC3'!$E$9</x:f>
        <x:v>0.008523278447556175</x:v>
      </x:c>
      <x:c r="M761" s="240" t="n">
        <x:f>1/'Beta HC3'!$E$8+L761^2/'Beta HC3'!$E$11</x:f>
        <x:v>0.0012936003119356958</x:v>
      </x:c>
      <x:c r="N761" s="240" t="n">
        <x:f>K761^2/(1-M761)^2</x:f>
        <x:v>0.00013052921525959807</x:v>
      </x:c>
      <x:c r="O761" s="240" t="n">
        <x:f>N761*L761^2/'Beta HC3'!$E$11^2</x:f>
        <x:v>4.4344095736649166e-7</x:v>
      </x:c>
      <x:c r="P761" s="240" t="n">
        <x:f>N761*(1/'Beta HC3'!$E$8-'Beta HC3'!$E$9*L761/'Beta HC3'!$E$11)^2</x:f>
        <x:v>7.617791582660207e-11</x:v>
      </x:c>
      <x:c r="Q761" s="240" t="n">
        <x:f>N761*(1/'Beta HC3'!$E$8-'Beta HC3'!$E$9*L761/'Beta HC3'!$E$11)*L761/'Beta HC3'!$E$11</x:f>
        <x:v>5.812091527525391e-9</x:v>
      </x:c>
      <x:c r="R761" s="240" t="n">
        <x:f>K761*L761/'Beta HC3'!$E$11</x:f>
        <x:v>-0.0006650521999811929</x:v>
      </x:c>
      <x:c r="S761" s="240" t="n">
        <x:f>(K761-K760)^2</x:f>
        <x:v>0.000145163843959782</x:v>
      </x:c>
      <x:c r="T761" s="280" t="n">
        <x:f>E761/$E$9*100</x:f>
        <x:v>144.74383728996057</x:v>
      </x:c>
    </x:row>
    <x:row r="762" ht="24" customHeight="1">
      <x:c r="C762" s="274" t="d">
        <x:v>2024-10-07T00:00:00.000Z</x:v>
      </x:c>
      <x:c r="D762" s="191" t="n">
        <x:v>409.5400085449219</x:v>
      </x:c>
      <x:c r="E762" s="191" t="n">
        <x:v>403.1711120605469</x:v>
      </x:c>
      <x:c r="F762" s="191" t="n">
        <x:v>567.7999877929688</x:v>
      </x:c>
      <x:c r="G762" s="191" t="n">
        <x:v>554.9922485351562</x:v>
      </x:c>
      <x:c r="H762" s="208" t="n">
        <x:f>E762/E761-1</x:f>
        <x:v>-0.015670826877243194</x:v>
      </x:c>
      <x:c r="I762" s="208" t="n">
        <x:f>G762/G761-1</x:f>
        <x:v>-0.00904037479728248</x:v>
      </x:c>
      <x:c r="J762" s="208" t="n">
        <x:f>'Beta HC3'!$E$13+'Beta HC3'!$E$12*I762</x:f>
        <x:v>-0.010186709376290064</x:v>
      </x:c>
      <x:c r="K762" s="240" t="n">
        <x:f>H762-J762</x:f>
        <x:v>-0.00548411750095313</x:v>
      </x:c>
      <x:c r="L762" s="240" t="n">
        <x:f>I762-'Beta HC3'!$E$9</x:f>
        <x:v>-0.009604322414942919</x:v>
      </x:c>
      <x:c r="M762" s="240" t="n">
        <x:f>1/'Beta HC3'!$E$8+L762^2/'Beta HC3'!$E$11</x:f>
        <x:v>0.0014276114974814055</x:v>
      </x:c>
      <x:c r="N762" s="240" t="n">
        <x:f>K762^2/(1-M762)^2</x:f>
        <x:v>0.0000301616013905222</x:v>
      </x:c>
      <x:c r="O762" s="240" t="n">
        <x:f>N762*L762^2/'Beta HC3'!$E$11^2</x:f>
        <x:v>1.301075744424332e-7</x:v>
      </x:c>
      <x:c r="P762" s="240" t="n">
        <x:f>N762*(1/'Beta HC3'!$E$8-'Beta HC3'!$E$9*L762/'Beta HC3'!$E$11)^2</x:f>
        <x:v>2.097164050696043e-11</x:v>
      </x:c>
      <x:c r="Q762" s="240" t="n">
        <x:f>N762*(1/'Beta HC3'!$E$8-'Beta HC3'!$E$9*L762/'Beta HC3'!$E$11)*L762/'Beta HC3'!$E$11</x:f>
        <x:v>-1.6518381514056702e-9</x:v>
      </x:c>
      <x:c r="R762" s="240" t="n">
        <x:f>K762*L762/'Beta HC3'!$E$11</x:f>
        <x:v>0.0003601893300377004</x:v>
      </x:c>
      <x:c r="S762" s="240" t="n">
        <x:f>(K762-K761)^2</x:f>
        <x:v>0.00003511796785620756</x:v>
      </x:c>
      <x:c r="T762" s="280" t="n">
        <x:f>E762/$E$9*100</x:f>
        <x:v>142.47558167424174</x:v>
      </x:c>
    </x:row>
    <x:row r="763" ht="24" customHeight="1">
      <x:c r="C763" s="274" t="d">
        <x:v>2024-10-08T00:00:00.000Z</x:v>
      </x:c>
      <x:c r="D763" s="191" t="n">
        <x:v>414.7099914550781</x:v>
      </x:c>
      <x:c r="E763" s="191" t="n">
        <x:v>408.2607116699219</x:v>
      </x:c>
      <x:c r="F763" s="191" t="n">
        <x:v>573.1699829101562</x:v>
      </x:c>
      <x:c r="G763" s="191" t="n">
        <x:v>560.2411499023438</x:v>
      </x:c>
      <x:c r="H763" s="208" t="n">
        <x:f>E763/E762-1</x:f>
        <x:v>0.012623919366054892</x:v>
      </x:c>
      <x:c r="I763" s="208" t="n">
        <x:f>G763/G762-1</x:f>
        <x:v>0.009457612031593898</x:v>
      </x:c>
      <x:c r="J763" s="208" t="n">
        <x:f>'Beta HC3'!$E$13+'Beta HC3'!$E$12*I763</x:f>
        <x:v>0.010675537226737952</x:v>
      </x:c>
      <x:c r="K763" s="240" t="n">
        <x:f>H763-J763</x:f>
        <x:v>0.0019483821393169402</x:v>
      </x:c>
      <x:c r="L763" s="240" t="n">
        <x:f>I763-'Beta HC3'!$E$9</x:f>
        <x:v>0.00889366441393346</x:v>
      </x:c>
      <x:c r="M763" s="240" t="n">
        <x:f>1/'Beta HC3'!$E$8+L763^2/'Beta HC3'!$E$11</x:f>
        <x:v>0.0013377150608533408</x:v>
      </x:c>
      <x:c r="N763" s="240" t="n">
        <x:f>K763^2/(1-M763)^2</x:f>
        <x:v>0.000003806369825867031</x:v>
      </x:c>
      <x:c r="O763" s="240" t="n">
        <x:f>N763*L763^2/'Beta HC3'!$E$11^2</x:f>
        <x:v>1.4079498341742488e-8</x:v>
      </x:c>
      <x:c r="P763" s="240" t="n">
        <x:f>N763*(1/'Beta HC3'!$E$8-'Beta HC3'!$E$9*L763/'Beta HC3'!$E$11)^2</x:f>
        <x:v>2.2131291216340726e-12</x:v>
      </x:c>
      <x:c r="Q763" s="240" t="n">
        <x:f>N763*(1/'Beta HC3'!$E$8-'Beta HC3'!$E$9*L763/'Beta HC3'!$E$11)*L763/'Beta HC3'!$E$11</x:f>
        <x:v>1.7652123894338871e-10</x:v>
      </x:c>
      <x:c r="R763" s="240" t="n">
        <x:f>K763*L763/'Beta HC3'!$E$11</x:f>
        <x:v>0.00011849833257385298</x:v>
      </x:c>
      <x:c r="S763" s="240" t="n">
        <x:f>(K763-K762)^2</x:f>
        <x:v>0.00005524205090261472</x:v>
      </x:c>
      <x:c r="T763" s="280" t="n">
        <x:f>E763/$E$9*100</x:f>
        <x:v>144.27418192892912</x:v>
      </x:c>
    </x:row>
    <x:row r="764" ht="24" customHeight="1">
      <x:c r="C764" s="274" t="d">
        <x:v>2024-10-09T00:00:00.000Z</x:v>
      </x:c>
      <x:c r="D764" s="191" t="n">
        <x:v>417.4599914550781</x:v>
      </x:c>
      <x:c r="E764" s="191" t="n">
        <x:v>410.96795654296875</x:v>
      </x:c>
      <x:c r="F764" s="191" t="n">
        <x:v>577.1400146484375</x:v>
      </x:c>
      <x:c r="G764" s="191" t="n">
        <x:v>564.12158203125</x:v>
      </x:c>
      <x:c r="H764" s="208" t="n">
        <x:f>E764/E763-1</x:f>
        <x:v>0.0066311667903906635</x:v>
      </x:c>
      <x:c r="I764" s="208" t="n">
        <x:f>G764/G763-1</x:f>
        <x:v>0.006926360424582612</x:v>
      </x:c>
      <x:c r="J764" s="208" t="n">
        <x:f>'Beta HC3'!$E$13+'Beta HC3'!$E$12*I764</x:f>
        <x:v>0.007820761962364597</x:v>
      </x:c>
      <x:c r="K764" s="240" t="n">
        <x:f>H764-J764</x:f>
        <x:v>-0.0011895951719739332</x:v>
      </x:c>
      <x:c r="L764" s="240" t="n">
        <x:f>I764-'Beta HC3'!$E$9</x:f>
        <x:v>0.006362412806922172</x:v>
      </x:c>
      <x:c r="M764" s="240" t="n">
        <x:f>1/'Beta HC3'!$E$8+L764^2/'Beta HC3'!$E$11</x:f>
        <x:v>0.00107363503370058</x:v>
      </x:c>
      <x:c r="N764" s="240" t="n">
        <x:f>K764^2/(1-M764)^2</x:f>
        <x:v>0.0000014181802544689953</x:v>
      </x:c>
      <x:c r="O764" s="240" t="n">
        <x:f>N764*L764^2/'Beta HC3'!$E$11^2</x:f>
        <x:v>2.6846634143628473e-9</x:v>
      </x:c>
      <x:c r="P764" s="240" t="n">
        <x:f>N764*(1/'Beta HC3'!$E$8-'Beta HC3'!$E$9*L764/'Beta HC3'!$E$11)^2</x:f>
        <x:v>8.458170801191281e-13</x:v>
      </x:c>
      <x:c r="Q764" s="240" t="n">
        <x:f>N764*(1/'Beta HC3'!$E$8-'Beta HC3'!$E$9*L764/'Beta HC3'!$E$11)*L764/'Beta HC3'!$E$11</x:f>
        <x:v>4.765222104203573e-11</x:v>
      </x:c>
      <x:c r="R764" s="240" t="n">
        <x:f>K764*L764/'Beta HC3'!$E$11</x:f>
        <x:v>-0.00005175810865519216</x:v>
      </x:c>
      <x:c r="S764" s="240" t="n">
        <x:f>(K764-K763)^2</x:f>
        <x:v>0.0000098469016061763</x:v>
      </x:c>
      <x:c r="T764" s="280" t="n">
        <x:f>E764/$E$9*100</x:f>
        <x:v>145.230888092847</x:v>
      </x:c>
    </x:row>
    <x:row r="765" ht="24" customHeight="1">
      <x:c r="C765" s="274" t="d">
        <x:v>2024-10-10T00:00:00.000Z</x:v>
      </x:c>
      <x:c r="D765" s="191" t="n">
        <x:v>415.8399963378906</x:v>
      </x:c>
      <x:c r="E765" s="191" t="n">
        <x:v>409.37310791015625</x:v>
      </x:c>
      <x:c r="F765" s="191" t="n">
        <x:v>576.1300048828125</x:v>
      </x:c>
      <x:c r="G765" s="191" t="n">
        <x:v>563.1343994140625</x:v>
      </x:c>
      <x:c r="H765" s="208" t="n">
        <x:f>E765/E764-1</x:f>
        <x:v>-0.0038807128571002325</x:v>
      </x:c>
      <x:c r="I765" s="208" t="n">
        <x:f>G765/G764-1</x:f>
        <x:v>-0.0017499465516510604</x:v>
      </x:c>
      <x:c r="J765" s="208" t="n">
        <x:f>'Beta HC3'!$E$13+'Beta HC3'!$E$12*I765</x:f>
        <x:v>-0.0019644788541764166</x:v>
      </x:c>
      <x:c r="K765" s="240" t="n">
        <x:f>H765-J765</x:f>
        <x:v>-0.0019162340029238159</x:v>
      </x:c>
      <x:c r="L765" s="240" t="n">
        <x:f>I765-'Beta HC3'!$E$9</x:f>
        <x:v>-0.0023138941693114996</x:v>
      </x:c>
      <x:c r="M765" s="240" t="n">
        <x:f>1/'Beta HC3'!$E$8+L765^2/'Beta HC3'!$E$11</x:f>
        <x:v>0.0008334265102184189</x:v>
      </x:c>
      <x:c r="N765" s="240" t="n">
        <x:f>K765^2/(1-M765)^2</x:f>
        <x:v>0.0000036780810196242542</x:v>
      </x:c>
      <x:c r="O765" s="240" t="n">
        <x:f>N765*L765^2/'Beta HC3'!$E$11^2</x:f>
        <x:v>9.209223176006176e-10</x:v>
      </x:c>
      <x:c r="P765" s="240" t="n">
        <x:f>N765*(1/'Beta HC3'!$E$8-'Beta HC3'!$E$9*L765/'Beta HC3'!$E$11)^2</x:f>
        <x:v>2.38785083473166e-12</x:v>
      </x:c>
      <x:c r="Q765" s="240" t="n">
        <x:f>N765*(1/'Beta HC3'!$E$8-'Beta HC3'!$E$9*L765/'Beta HC3'!$E$11)*L765/'Beta HC3'!$E$11</x:f>
        <x:v>-4.689376424222789e-11</x:v>
      </x:c>
      <x:c r="R765" s="240" t="n">
        <x:f>K765*L765/'Beta HC3'!$E$11</x:f>
        <x:v>0.000030321410177073672</x:v>
      </x:c>
      <x:c r="S765" s="240" t="n">
        <x:f>(K765-K764)^2</x:f>
        <x:v>5.280039906442121e-7</x:v>
      </x:c>
      <x:c r="T765" s="280" t="n">
        <x:f>E765/$E$9*100</x:f>
        <x:v>144.66728871817702</x:v>
      </x:c>
    </x:row>
    <x:row r="766" ht="24" customHeight="1">
      <x:c r="C766" s="274" t="d">
        <x:v>2024-10-11T00:00:00.000Z</x:v>
      </x:c>
      <x:c r="D766" s="191" t="n">
        <x:v>416.32000732421875</x:v>
      </x:c>
      <x:c r="E766" s="191" t="n">
        <x:v>409.845703125</x:v>
      </x:c>
      <x:c r="F766" s="191" t="n">
        <x:v>579.5800170898438</x:v>
      </x:c>
      <x:c r="G766" s="191" t="n">
        <x:v>566.5065307617188</x:v>
      </x:c>
      <x:c r="H766" s="208" t="n">
        <x:f>E766/E765-1</x:f>
        <x:v>0.0011544363948485792</x:v>
      </x:c>
      <x:c r="I766" s="208" t="n">
        <x:f>G766/G765-1</x:f>
        <x:v>0.005988146615026446</x:v>
      </x:c>
      <x:c r="J766" s="208" t="n">
        <x:f>'Beta HC3'!$E$13+'Beta HC3'!$E$12*I766</x:f>
        <x:v>0.006762633418842651</x:v>
      </x:c>
      <x:c r="K766" s="240" t="n">
        <x:f>H766-J766</x:f>
        <x:v>-0.005608197023994072</x:v>
      </x:c>
      <x:c r="L766" s="240" t="n">
        <x:f>I766-'Beta HC3'!$E$9</x:f>
        <x:v>0.0054241989973660065</x:v>
      </x:c>
      <x:c r="M766" s="240" t="n">
        <x:f>1/'Beta HC3'!$E$8+L766^2/'Beta HC3'!$E$11</x:f>
        <x:v>0.000998013033094957</x:v>
      </x:c>
      <x:c r="N766" s="240" t="n">
        <x:f>K766^2/(1-M766)^2</x:f>
        <x:v>0.00003151474672623728</x:v>
      </x:c>
      <x:c r="O766" s="240" t="n">
        <x:f>N766*L766^2/'Beta HC3'!$E$11^2</x:f>
        <x:v>4.3361048200966166e-8</x:v>
      </x:c>
      <x:c r="P766" s="240" t="n">
        <x:f>N766*(1/'Beta HC3'!$E$8-'Beta HC3'!$E$9*L766/'Beta HC3'!$E$11)^2</x:f>
        <x:v>1.8972249269609416e-11</x:v>
      </x:c>
      <x:c r="Q766" s="240" t="n">
        <x:f>N766*(1/'Beta HC3'!$E$8-'Beta HC3'!$E$9*L766/'Beta HC3'!$E$11)*L766/'Beta HC3'!$E$11</x:f>
        <x:v>9.07004197928697e-10</x:v>
      </x:c>
      <x:c r="R766" s="240" t="n">
        <x:f>K766*L766/'Beta HC3'!$E$11</x:f>
        <x:v>-0.00020802533885900818</x:v>
      </x:c>
      <x:c r="S766" s="240" t="n">
        <x:f>(K766-K765)^2</x:f>
        <x:v>0.000013630590948950212</x:v>
      </x:c>
      <x:c r="T766" s="280" t="n">
        <x:f>E766/$E$9*100</x:f>
        <x:v>144.83429790141736</x:v>
      </x:c>
    </x:row>
    <x:row r="767" ht="24" customHeight="1">
      <x:c r="C767" s="274" t="d">
        <x:v>2024-10-14T00:00:00.000Z</x:v>
      </x:c>
      <x:c r="D767" s="191" t="n">
        <x:v>419.1400146484375</x:v>
      </x:c>
      <x:c r="E767" s="191" t="n">
        <x:v>412.6218566894531</x:v>
      </x:c>
      <x:c r="F767" s="191" t="n">
        <x:v>584.3200073242188</x:v>
      </x:c>
      <x:c r="G767" s="191" t="n">
        <x:v>571.1397705078125</x:v>
      </x:c>
      <x:c r="H767" s="208" t="n">
        <x:f>E767/E766-1</x:f>
        <x:v>0.0067736554105251034</x:v>
      </x:c>
      <x:c r="I767" s="208" t="n">
        <x:f>G767/G766-1</x:f>
        <x:v>0.00817861665224573</x:v>
      </x:c>
      <x:c r="J767" s="208" t="n">
        <x:f>'Beta HC3'!$E$13+'Beta HC3'!$E$12*I767</x:f>
        <x:v>0.009233071230035994</x:v>
      </x:c>
      <x:c r="K767" s="240" t="n">
        <x:f>H767-J767</x:f>
        <x:v>-0.002459415819510891</x:v>
      </x:c>
      <x:c r="L767" s="240" t="n">
        <x:f>I767-'Beta HC3'!$E$9</x:f>
        <x:v>0.00761466903458529</x:v>
      </x:c>
      <x:c r="M767" s="240" t="n">
        <x:f>1/'Beta HC3'!$E$8+L767^2/'Beta HC3'!$E$11</x:f>
        <x:v>0.0011933275699742836</x:v>
      </x:c>
      <x:c r="N767" s="240" t="n">
        <x:f>K767^2/(1-M767)^2</x:f>
        <x:v>0.000006063188278563754</x:v>
      </x:c>
      <x:c r="O767" s="240" t="n">
        <x:f>N767*L767^2/'Beta HC3'!$E$11^2</x:f>
        <x:v>1.644060673324605e-8</x:v>
      </x:c>
      <x:c r="P767" s="240" t="n">
        <x:f>N767*(1/'Beta HC3'!$E$8-'Beta HC3'!$E$9*L767/'Beta HC3'!$E$11)^2</x:f>
        <x:v>3.5710618725801173e-12</x:v>
      </x:c>
      <x:c r="Q767" s="240" t="n">
        <x:f>N767*(1/'Beta HC3'!$E$8-'Beta HC3'!$E$9*L767/'Beta HC3'!$E$11)*L767/'Beta HC3'!$E$11</x:f>
        <x:v>2.42302339788907e-10</x:v>
      </x:c>
      <x:c r="R767" s="240" t="n">
        <x:f>K767*L767/'Beta HC3'!$E$11</x:f>
        <x:v>-0.00012806791981839486</x:v>
      </x:c>
      <x:c r="S767" s="240" t="n">
        <x:f>(K767-K766)^2</x:f>
        <x:v>0.000009914823073706552</x:v>
      </x:c>
      <x:c r="T767" s="280" t="n">
        <x:f>E767/$E$9*100</x:f>
        <x:v>145.8153555270269</x:v>
      </x:c>
    </x:row>
    <x:row r="768" ht="24" customHeight="1">
      <x:c r="C768" s="274" t="d">
        <x:v>2024-10-15T00:00:00.000Z</x:v>
      </x:c>
      <x:c r="D768" s="191" t="n">
        <x:v>418.739990234375</x:v>
      </x:c>
      <x:c r="E768" s="191" t="n">
        <x:v>412.22802734375</x:v>
      </x:c>
      <x:c r="F768" s="191" t="n">
        <x:v>579.780029296875</x:v>
      </x:c>
      <x:c r="G768" s="191" t="n">
        <x:v>566.701904296875</x:v>
      </x:c>
      <x:c r="H768" s="208" t="n">
        <x:f>E768/E767-1</x:f>
        <x:v>-0.0009544558518128632</x:v>
      </x:c>
      <x:c r="I768" s="208" t="n">
        <x:f>G768/G767-1</x:f>
        <x:v>-0.007770192937171405</x:v>
      </x:c>
      <x:c r="J768" s="208" t="n">
        <x:f>'Beta HC3'!$E$13+'Beta HC3'!$E$12*I768</x:f>
        <x:v>-0.008754183370002508</x:v>
      </x:c>
      <x:c r="K768" s="240" t="n">
        <x:f>H768-J768</x:f>
        <x:v>0.007799727518189645</x:v>
      </x:c>
      <x:c r="L768" s="240" t="n">
        <x:f>I768-'Beta HC3'!$E$9</x:f>
        <x:v>-0.008334140554831844</x:v>
      </x:c>
      <x:c r="M768" s="240" t="n">
        <x:f>1/'Beta HC3'!$E$8+L768^2/'Beta HC3'!$E$11</x:f>
        <x:v>0.001271796773032469</x:v>
      </x:c>
      <x:c r="N768" s="240" t="n">
        <x:f>K768^2/(1-M768)^2</x:f>
        <x:v>0.00006099078647827399</x:v>
      </x:c>
      <x:c r="O768" s="240" t="n">
        <x:f>N768*L768^2/'Beta HC3'!$E$11^2</x:f>
        <x:v>1.9810735405447362e-7</x:v>
      </x:c>
      <x:c r="P768" s="240" t="n">
        <x:f>N768*(1/'Beta HC3'!$E$8-'Beta HC3'!$E$9*L768/'Beta HC3'!$E$11)^2</x:f>
        <x:v>4.1910673960656326e-11</x:v>
      </x:c>
      <x:c r="Q768" s="240" t="n">
        <x:f>N768*(1/'Beta HC3'!$E$8-'Beta HC3'!$E$9*L768/'Beta HC3'!$E$11)*L768/'Beta HC3'!$E$11</x:f>
        <x:v>-2.8814601723753445e-9</x:v>
      </x:c>
      <x:c r="R768" s="240" t="n">
        <x:f>K768*L768/'Beta HC3'!$E$11</x:f>
        <x:v>-0.00044452645579243824</x:v>
      </x:c>
      <x:c r="S768" s="240" t="n">
        <x:f>(K768-K767)^2</x:f>
        <x:v>0.0001052500220234853</x:v>
      </x:c>
      <x:c r="T768" s="280" t="n">
        <x:f>E768/$E$9*100</x:f>
        <x:v>145.67618120765994</x:v>
      </x:c>
    </x:row>
    <x:row r="769" ht="24" customHeight="1">
      <x:c r="C769" s="274" t="d">
        <x:v>2024-10-16T00:00:00.000Z</x:v>
      </x:c>
      <x:c r="D769" s="191" t="n">
        <x:v>416.1199951171875</x:v>
      </x:c>
      <x:c r="E769" s="191" t="n">
        <x:v>409.6487731933594</x:v>
      </x:c>
      <x:c r="F769" s="191" t="n">
        <x:v>582.2999877929688</x:v>
      </x:c>
      <x:c r="G769" s="191" t="n">
        <x:v>569.1651611328125</x:v>
      </x:c>
      <x:c r="H769" s="208" t="n">
        <x:f>E769/E768-1</x:f>
        <x:v>-0.006256862656841666</x:v>
      </x:c>
      <x:c r="I769" s="208" t="n">
        <x:f>G769/G768-1</x:f>
        <x:v>0.004346653535589828</x:v>
      </x:c>
      <x:c r="J769" s="208" t="n">
        <x:f>'Beta HC3'!$E$13+'Beta HC3'!$E$12*I769</x:f>
        <x:v>0.004911338262392876</x:v>
      </x:c>
      <x:c r="K769" s="240" t="n">
        <x:f>H769-J769</x:f>
        <x:v>-0.011168200919234542</x:v>
      </x:c>
      <x:c r="L769" s="240" t="n">
        <x:f>I769-'Beta HC3'!$E$9</x:f>
        <x:v>0.003782705917929389</x:v>
      </x:c>
      <x:c r="M769" s="240" t="n">
        <x:f>1/'Beta HC3'!$E$8+L769^2/'Beta HC3'!$E$11</x:f>
        <x:v>0.0008946631295920902</x:v>
      </x:c>
      <x:c r="N769" s="240" t="n">
        <x:f>K769^2/(1-M769)^2</x:f>
        <x:v>0.0001249521919961748</x:v>
      </x:c>
      <x:c r="O769" s="240" t="n">
        <x:f>N769*L769^2/'Beta HC3'!$E$11^2</x:f>
        <x:v>8.3611065865151e-8</x:v>
      </x:c>
      <x:c r="P769" s="240" t="n">
        <x:f>N769*(1/'Beta HC3'!$E$8-'Beta HC3'!$E$9*L769/'Beta HC3'!$E$11)^2</x:f>
        <x:v>7.645517281155313e-11</x:v>
      </x:c>
      <x:c r="Q769" s="240" t="n">
        <x:f>N769*(1/'Beta HC3'!$E$8-'Beta HC3'!$E$9*L769/'Beta HC3'!$E$11)*L769/'Beta HC3'!$E$11</x:f>
        <x:v>2.528339077275489e-9</x:v>
      </x:c>
      <x:c r="R769" s="240" t="n">
        <x:f>K769*L769/'Beta HC3'!$E$11</x:f>
        <x:v>-0.0002888970842940204</x:v>
      </x:c>
      <x:c r="S769" s="240" t="n">
        <x:f>(K769-K768)^2</x:f>
        <x:v>0.00035978230920724526</x:v>
      </x:c>
      <x:c r="T769" s="280" t="n">
        <x:f>E769/$E$9*100</x:f>
        <x:v>144.76470534947043</x:v>
      </x:c>
    </x:row>
    <x:row r="770" ht="24" customHeight="1">
      <x:c r="C770" s="274" t="d">
        <x:v>2024-10-17T00:00:00.000Z</x:v>
      </x:c>
      <x:c r="D770" s="191" t="n">
        <x:v>416.7200012207031</x:v>
      </x:c>
      <x:c r="E770" s="191" t="n">
        <x:v>410.2394714355469</x:v>
      </x:c>
      <x:c r="F770" s="191" t="n">
        <x:v>582.3499755859375</x:v>
      </x:c>
      <x:c r="G770" s="191" t="n">
        <x:v>569.214111328125</x:v>
      </x:c>
      <x:c r="H770" s="208" t="n">
        <x:f>E770/E769-1</x:f>
        <x:v>0.001441962678376374</x:v>
      </x:c>
      <x:c r="I770" s="208" t="n">
        <x:f>G770/G769-1</x:f>
        <x:v>0.00008600349890541814</x:v>
      </x:c>
      <x:c r="J770" s="208" t="n">
        <x:f>'Beta HC3'!$E$13+'Beta HC3'!$E$12*I770</x:f>
        <x:v>0.00010612715608192182</x:v>
      </x:c>
      <x:c r="K770" s="240" t="n">
        <x:f>H770-J770</x:f>
        <x:v>0.001335835522294452</x:v>
      </x:c>
      <x:c r="L770" s="240" t="n">
        <x:f>I770-'Beta HC3'!$E$9</x:f>
        <x:v>-0.00047794411875502123</x:v>
      </x:c>
      <x:c r="M770" s="240" t="n">
        <x:f>1/'Beta HC3'!$E$8+L770^2/'Beta HC3'!$E$11</x:f>
        <x:v>0.0007983748589771225</x:v>
      </x:c>
      <x:c r="N770" s="240" t="n">
        <x:f>K770^2/(1-M770)^2</x:f>
        <x:v>0.0000017873092889915281</x:v>
      </x:c>
      <x:c r="O770" s="240" t="n">
        <x:f>N770*L770^2/'Beta HC3'!$E$11^2</x:f>
        <x:v>1.9092758487190522e-11</x:v>
      </x:c>
      <x:c r="P770" s="240" t="n">
        <x:f>N770*(1/'Beta HC3'!$E$8-'Beta HC3'!$E$9*L770/'Beta HC3'!$E$11)^2</x:f>
        <x:v>1.1400376074990008e-12</x:v>
      </x:c>
      <x:c r="Q770" s="240" t="n">
        <x:f>N770*(1/'Beta HC3'!$E$8-'Beta HC3'!$E$9*L770/'Beta HC3'!$E$11)*L770/'Beta HC3'!$E$11</x:f>
        <x:v>-4.665454180065744e-12</x:v>
      </x:c>
      <x:c r="R770" s="240" t="n">
        <x:f>K770*L770/'Beta HC3'!$E$11</x:f>
        <x:v>-0.000004366037597207737</x:v>
      </x:c>
      <x:c r="S770" s="240" t="n">
        <x:f>(K770-K769)^2</x:f>
        <x:v>0.00015635092733108505</x:v>
      </x:c>
      <x:c r="T770" s="280" t="n">
        <x:f>E770/$E$9*100</x:f>
        <x:v>144.97345065173053</x:v>
      </x:c>
    </x:row>
    <x:row r="771" ht="24" customHeight="1">
      <x:c r="C771" s="274" t="d">
        <x:v>2024-10-18T00:00:00.000Z</x:v>
      </x:c>
      <x:c r="D771" s="191" t="n">
        <x:v>418.1600036621094</x:v>
      </x:c>
      <x:c r="E771" s="191" t="n">
        <x:v>411.65704345703125</x:v>
      </x:c>
      <x:c r="F771" s="191" t="n">
        <x:v>584.5900268554688</x:v>
      </x:c>
      <x:c r="G771" s="191" t="n">
        <x:v>571.403564453125</x:v>
      </x:c>
      <x:c r="H771" s="208" t="n">
        <x:f>E771/E770-1</x:f>
        <x:v>0.003455474473297082</x:v>
      </x:c>
      <x:c r="I771" s="208" t="n">
        <x:f>G771/G770-1</x:f>
        <x:v>0.003846449132983487</x:v>
      </x:c>
      <x:c r="J771" s="208" t="n">
        <x:f>'Beta HC3'!$E$13+'Beta HC3'!$E$12*I771</x:f>
        <x:v>0.004347201867679718</x:v>
      </x:c>
      <x:c r="K771" s="240" t="n">
        <x:f>H771-J771</x:f>
        <x:v>-0.0008917273943826361</x:v>
      </x:c>
      <x:c r="L771" s="240" t="n">
        <x:f>I771-'Beta HC3'!$E$9</x:f>
        <x:v>0.003282501515323048</x:v>
      </x:c>
      <x:c r="M771" s="240" t="n">
        <x:f>1/'Beta HC3'!$E$8+L771^2/'Beta HC3'!$E$11</x:f>
        <x:v>0.0008704957374799725</x:v>
      </x:c>
      <x:c r="N771" s="240" t="n">
        <x:f>K771^2/(1-M771)^2</x:f>
        <x:v>7.965639533379124e-7</x:v>
      </x:c>
      <x:c r="O771" s="240" t="n">
        <x:f>N771*L771^2/'Beta HC3'!$E$11^2</x:f>
        <x:v>4.013703090322267e-10</x:v>
      </x:c>
      <x:c r="P771" s="240" t="n">
        <x:f>N771*(1/'Beta HC3'!$E$8-'Beta HC3'!$E$9*L771/'Beta HC3'!$E$11)^2</x:f>
        <x:v>4.898048059644031e-13</x:v>
      </x:c>
      <x:c r="Q771" s="240" t="n">
        <x:f>N771*(1/'Beta HC3'!$E$8-'Beta HC3'!$E$9*L771/'Beta HC3'!$E$11)*L771/'Beta HC3'!$E$11</x:f>
        <x:v>1.4021166368580124e-11</x:v>
      </x:c>
      <x:c r="R771" s="240" t="n">
        <x:f>K771*L771/'Beta HC3'!$E$11</x:f>
        <x:v>-0.000020016788725702242</x:v>
      </x:c>
      <x:c r="S771" s="240" t="n">
        <x:f>(K771-K770)^2</x:f>
        <x:v>0.000004962036547754936</x:v>
      </x:c>
      <x:c r="T771" s="280" t="n">
        <x:f>E771/$E$9*100</x:f>
        <x:v>145.47440270976335</x:v>
      </x:c>
    </x:row>
    <x:row r="772" ht="24" customHeight="1">
      <x:c r="C772" s="274" t="d">
        <x:v>2024-10-21T00:00:00.000Z</x:v>
      </x:c>
      <x:c r="D772" s="191" t="n">
        <x:v>418.7799987792969</x:v>
      </x:c>
      <x:c r="E772" s="191" t="n">
        <x:v>412.2674255371094</x:v>
      </x:c>
      <x:c r="F772" s="191" t="n">
        <x:v>583.6300048828125</x:v>
      </x:c>
      <x:c r="G772" s="191" t="n">
        <x:v>570.4652099609375</x:v>
      </x:c>
      <x:c r="H772" s="208" t="n">
        <x:f>E772/E771-1</x:f>
        <x:v>0.001482744167213168</x:v>
      </x:c>
      <x:c r="I772" s="208" t="n">
        <x:f>G772/G771-1</x:f>
        <x:v>-0.0016421922272843448</x:v>
      </x:c>
      <x:c r="J772" s="208" t="n">
        <x:f>'Beta HC3'!$E$13+'Beta HC3'!$E$12*I772</x:f>
        <x:v>-0.0018429522627544871</x:v>
      </x:c>
      <x:c r="K772" s="240" t="n">
        <x:f>H772-J772</x:f>
        <x:v>0.003325696429967655</x:v>
      </x:c>
      <x:c r="L772" s="240" t="n">
        <x:f>I772-'Beta HC3'!$E$9</x:f>
        <x:v>-0.002206139844944784</x:v>
      </x:c>
      <x:c r="M772" s="240" t="n">
        <x:f>1/'Beta HC3'!$E$8+L772^2/'Beta HC3'!$E$11</x:f>
        <x:v>0.0008300958235972146</x:v>
      </x:c>
      <x:c r="N772" s="240" t="n">
        <x:f>K772^2/(1-M772)^2</x:f>
        <x:v>0.000011078641779004697</x:v>
      </x:c>
      <x:c r="O772" s="240" t="n">
        <x:f>N772*L772^2/'Beta HC3'!$E$11^2</x:f>
        <x:v>2.5215484640316287e-9</x:v>
      </x:c>
      <x:c r="P772" s="240" t="n">
        <x:f>N772*(1/'Beta HC3'!$E$8-'Beta HC3'!$E$9*L772/'Beta HC3'!$E$11)^2</x:f>
        <x:v>7.18495964356788e-12</x:v>
      </x:c>
      <x:c r="Q772" s="240" t="n">
        <x:f>N772*(1/'Beta HC3'!$E$8-'Beta HC3'!$E$9*L772/'Beta HC3'!$E$11)*L772/'Beta HC3'!$E$11</x:f>
        <x:v>-1.3460023756802152e-10</x:v>
      </x:c>
      <x:c r="R772" s="240" t="n">
        <x:f>K772*L772/'Beta HC3'!$E$11</x:f>
        <x:v>-0.00005017333901415675</x:v>
      </x:c>
      <x:c r="S772" s="240" t="n">
        <x:f>(K772-K771)^2</x:f>
        <x:v>0.00001778666371419743</x:v>
      </x:c>
      <x:c r="T772" s="280" t="n">
        <x:f>E772/$E$9*100</x:f>
        <x:v>145.6901040318601</x:v>
      </x:c>
    </x:row>
    <x:row r="773" ht="24" customHeight="1">
      <x:c r="C773" s="274" t="d">
        <x:v>2024-10-22T00:00:00.000Z</x:v>
      </x:c>
      <x:c r="D773" s="191" t="n">
        <x:v>427.510009765625</x:v>
      </x:c>
      <x:c r="E773" s="191" t="n">
        <x:v>420.8616638183594</x:v>
      </x:c>
      <x:c r="F773" s="191" t="n">
        <x:v>583.3200073242188</x:v>
      </x:c>
      <x:c r="G773" s="191" t="n">
        <x:v>570.1621704101562</x:v>
      </x:c>
      <x:c r="H773" s="208" t="n">
        <x:f>E773/E772-1</x:f>
        <x:v>0.02084627052465593</x:v>
      </x:c>
      <x:c r="I773" s="208" t="n">
        <x:f>G773/G772-1</x:f>
        <x:v>-0.0005312147796041611</x:v>
      </x:c>
      <x:c r="J773" s="208" t="n">
        <x:f>'Beta HC3'!$E$13+'Beta HC3'!$E$12*I773</x:f>
        <x:v>-0.0005899788609286563</x:v>
      </x:c>
      <x:c r="K773" s="240" t="n">
        <x:f>H773-J773</x:f>
        <x:v>0.021436249385584586</x:v>
      </x:c>
      <x:c r="L773" s="240" t="n">
        <x:f>I773-'Beta HC3'!$E$9</x:f>
        <x:v>-0.0010951623972646003</x:v>
      </x:c>
      <x:c r="M773" s="240" t="n">
        <x:f>1/'Beta HC3'!$E$8+L773^2/'Beta HC3'!$E$11</x:f>
        <x:v>0.0008050146478513912</x:v>
      </x:c>
      <x:c r="N773" s="240" t="n">
        <x:f>K773^2/(1-M773)^2</x:f>
        <x:v>0.0004602535110906458</x:v>
      </x:c>
      <x:c r="O773" s="240" t="n">
        <x:f>N773*L773^2/'Beta HC3'!$E$11^2</x:f>
        <x:v>2.5814806886897912e-8</x:v>
      </x:c>
      <x:c r="P773" s="240" t="n">
        <x:f>N773*(1/'Beta HC3'!$E$8-'Beta HC3'!$E$9*L773/'Beta HC3'!$E$11)^2</x:f>
        <x:v>2.9532585635045837e-10</x:v>
      </x:c>
      <x:c r="Q773" s="240" t="n">
        <x:f>N773*(1/'Beta HC3'!$E$8-'Beta HC3'!$E$9*L773/'Beta HC3'!$E$11)*L773/'Beta HC3'!$E$11</x:f>
        <x:v>-2.761119329256676e-9</x:v>
      </x:c>
      <x:c r="R773" s="240" t="n">
        <x:f>K773*L773/'Beta HC3'!$E$11</x:f>
        <x:v>-0.00016054052765827114</x:v>
      </x:c>
      <x:c r="S773" s="240" t="n">
        <x:f>(K773-K772)^2</x:f>
        <x:v>0.0003279921283582052</x:v>
      </x:c>
      <x:c r="T773" s="280" t="n">
        <x:f>E773/$E$9*100</x:f>
        <x:v>148.7271993532735</x:v>
      </x:c>
    </x:row>
    <x:row r="774" ht="24" customHeight="1">
      <x:c r="C774" s="274" t="d">
        <x:v>2024-10-23T00:00:00.000Z</x:v>
      </x:c>
      <x:c r="D774" s="191" t="n">
        <x:v>424.6000061035156</x:v>
      </x:c>
      <x:c r="E774" s="191" t="n">
        <x:v>417.99688720703125</x:v>
      </x:c>
      <x:c r="F774" s="191" t="n">
        <x:v>577.989990234375</x:v>
      </x:c>
      <x:c r="G774" s="191" t="n">
        <x:v>564.952392578125</x:v>
      </x:c>
      <x:c r="H774" s="208" t="n">
        <x:f>E774/E773-1</x:f>
        <x:v>-0.006806931725110821</x:v>
      </x:c>
      <x:c r="I774" s="208" t="n">
        <x:f>G774/G773-1</x:f>
        <x:v>-0.009137361442768999</x:v>
      </x:c>
      <x:c r="J774" s="208" t="n">
        <x:f>'Beta HC3'!$E$13+'Beta HC3'!$E$12*I774</x:f>
        <x:v>-0.010296092053121772</x:v>
      </x:c>
      <x:c r="K774" s="240" t="n">
        <x:f>H774-J774</x:f>
        <x:v>0.0034891603280109516</x:v>
      </x:c>
      <x:c r="L774" s="240" t="n">
        <x:f>I774-'Beta HC3'!$E$9</x:f>
        <x:v>-0.009701309060429437</x:v>
      </x:c>
      <x:c r="M774" s="240" t="n">
        <x:f>1/'Beta HC3'!$E$8+L774^2/'Beta HC3'!$E$11</x:f>
        <x:v>0.0014404157229086227</x:v>
      </x:c>
      <x:c r="N774" s="240" t="n">
        <x:f>K774^2/(1-M774)^2</x:f>
        <x:v>0.00001220938765043662</x:v>
      </x:c>
      <x:c r="O774" s="240" t="n">
        <x:f>N774*L774^2/'Beta HC3'!$E$11^2</x:f>
        <x:v>5.373648888957338e-8</x:v>
      </x:c>
      <x:c r="P774" s="240" t="n">
        <x:f>N774*(1/'Beta HC3'!$E$8-'Beta HC3'!$E$9*L774/'Beta HC3'!$E$11)^2</x:f>
        <x:v>8.496917799732655e-12</x:v>
      </x:c>
      <x:c r="Q774" s="240" t="n">
        <x:f>N774*(1/'Beta HC3'!$E$8-'Beta HC3'!$E$9*L774/'Beta HC3'!$E$11)*L774/'Beta HC3'!$E$11</x:f>
        <x:v>-6.757177879417947e-10</x:v>
      </x:c>
      <x:c r="R774" s="240" t="n">
        <x:f>K774*L774/'Beta HC3'!$E$11</x:f>
        <x:v>-0.00023147741707329222</x:v>
      </x:c>
      <x:c r="S774" s="240" t="n">
        <x:f>(K774-K773)^2</x:f>
        <x:v>0.00032209800564047923</x:v>
      </x:c>
      <x:c r="T774" s="280" t="n">
        <x:f>E774/$E$9*100</x:f>
        <x:v>147.7148234616088</x:v>
      </x:c>
    </x:row>
    <x:row r="775" ht="24" customHeight="1">
      <x:c r="C775" s="274" t="d">
        <x:v>2024-10-24T00:00:00.000Z</x:v>
      </x:c>
      <x:c r="D775" s="191" t="n">
        <x:v>424.7300109863281</x:v>
      </x:c>
      <x:c r="E775" s="191" t="n">
        <x:v>418.1248474121094</x:v>
      </x:c>
      <x:c r="F775" s="191" t="n">
        <x:v>579.239990234375</x:v>
      </x:c>
      <x:c r="G775" s="191" t="n">
        <x:v>566.1741333007812</x:v>
      </x:c>
      <x:c r="H775" s="208" t="n">
        <x:f>E775/E774-1</x:f>
        <x:v>0.0003061271722215597</x:v>
      </x:c>
      <x:c r="I775" s="208" t="n">
        <x:f>G775/G774-1</x:f>
        <x:v>0.0021625551793504894</x:v>
      </x:c>
      <x:c r="J775" s="208" t="n">
        <x:f>'Beta HC3'!$E$13+'Beta HC3'!$E$12*I775</x:f>
        <x:v>0.0024480865077747232</x:v>
      </x:c>
      <x:c r="K775" s="240" t="n">
        <x:f>H775-J775</x:f>
        <x:v>-0.0021419593355531635</x:v>
      </x:c>
      <x:c r="L775" s="240" t="n">
        <x:f>I775-'Beta HC3'!$E$9</x:f>
        <x:v>0.00159860756169005</x:v>
      </x:c>
      <x:c r="M775" s="240" t="n">
        <x:f>1/'Beta HC3'!$E$8+L775^2/'Beta HC3'!$E$11</x:f>
        <x:v>0.00081428871082536</x:v>
      </x:c>
      <x:c r="N775" s="240" t="n">
        <x:f>K775^2/(1-M775)^2</x:f>
        <x:v>0.000004595470828094899</x:v>
      </x:c>
      <x:c r="O775" s="240" t="n">
        <x:f>N775*L775^2/'Beta HC3'!$E$11^2</x:f>
        <x:v>5.491973869654407e-10</x:v>
      </x:c>
      <x:c r="P775" s="240" t="n">
        <x:f>N775*(1/'Beta HC3'!$E$8-'Beta HC3'!$E$9*L775/'Beta HC3'!$E$11)^2</x:f>
        <x:v>2.8727379699140115e-12</x:v>
      </x:c>
      <x:c r="Q775" s="240" t="n">
        <x:f>N775*(1/'Beta HC3'!$E$8-'Beta HC3'!$E$9*L775/'Beta HC3'!$E$11)*L775/'Beta HC3'!$E$11</x:f>
        <x:v>3.972027425022617e-11</x:v>
      </x:c>
      <x:c r="R775" s="240" t="n">
        <x:f>K775*L775/'Beta HC3'!$E$11</x:f>
        <x:v>-0.000023415877960374905</x:v>
      </x:c>
      <x:c r="S775" s="240" t="n">
        <x:f>(K775-K774)^2</x:f>
        <x:v>0.00003170950866537844</x:v>
      </x:c>
      <x:c r="T775" s="280" t="n">
        <x:f>E775/$E$9*100</x:f>
        <x:v>147.76004298281035</x:v>
      </x:c>
    </x:row>
    <x:row r="776" ht="24" customHeight="1">
      <x:c r="C776" s="274" t="d">
        <x:v>2024-10-25T00:00:00.000Z</x:v>
      </x:c>
      <x:c r="D776" s="191" t="n">
        <x:v>428.1499938964844</x:v>
      </x:c>
      <x:c r="E776" s="191" t="n">
        <x:v>421.49169921875</x:v>
      </x:c>
      <x:c r="F776" s="191" t="n">
        <x:v>579.0399780273438</x:v>
      </x:c>
      <x:c r="G776" s="191" t="n">
        <x:v>565.9786376953125</x:v>
      </x:c>
      <x:c r="H776" s="208" t="n">
        <x:f>E776/E775-1</x:f>
        <x:v>0.008052264359506456</x:v>
      </x:c>
      <x:c r="I776" s="208" t="n">
        <x:f>G776/G775-1</x:f>
        <x:v>-0.000345292364963834</x:v>
      </x:c>
      <x:c r="J776" s="208" t="n">
        <x:f>'Beta HC3'!$E$13+'Beta HC3'!$E$12*I776</x:f>
        <x:v>-0.00038029338006313995</x:v>
      </x:c>
      <x:c r="K776" s="240" t="n">
        <x:f>H776-J776</x:f>
        <x:v>0.008432557739569595</x:v>
      </x:c>
      <x:c r="L776" s="240" t="n">
        <x:f>I776-'Beta HC3'!$E$9</x:f>
        <x:v>-0.0009092399826242733</x:v>
      </x:c>
      <x:c r="M776" s="240" t="n">
        <x:f>1/'Beta HC3'!$E$8+L776^2/'Beta HC3'!$E$11</x:f>
        <x:v>0.000802466210145081</x:v>
      </x:c>
      <x:c r="N776" s="240" t="n">
        <x:f>K776^2/(1-M776)^2</x:f>
        <x:v>0.00007122229113152128</x:v>
      </x:c>
      <x:c r="O776" s="240" t="n">
        <x:f>N776*L776^2/'Beta HC3'!$E$11^2</x:f>
        <x:v>2.753516689068113e-9</x:v>
      </x:c>
      <x:c r="P776" s="240" t="n">
        <x:f>N776*(1/'Beta HC3'!$E$8-'Beta HC3'!$E$9*L776/'Beta HC3'!$E$11)^2</x:f>
        <x:v>4.561865456108827e-11</x:v>
      </x:c>
      <x:c r="Q776" s="240" t="n">
        <x:f>N776*(1/'Beta HC3'!$E$8-'Beta HC3'!$E$9*L776/'Beta HC3'!$E$11)*L776/'Beta HC3'!$E$11</x:f>
        <x:v>-3.544174468995421e-10</x:v>
      </x:c>
      <x:c r="R776" s="240" t="n">
        <x:f>K776*L776/'Beta HC3'!$E$11</x:f>
        <x:v>-0.0000524318534289667</x:v>
      </x:c>
      <x:c r="S776" s="240" t="n">
        <x:f>(K776-K775)^2</x:f>
        <x:v>0.0001118204113720628</x:v>
      </x:c>
      <x:c r="T776" s="280" t="n">
        <x:f>E776/$E$9*100</x:f>
        <x:v>148.94984591067995</x:v>
      </x:c>
    </x:row>
    <x:row r="777" ht="24" customHeight="1">
      <x:c r="C777" s="274" t="d">
        <x:v>2024-10-28T00:00:00.000Z</x:v>
      </x:c>
      <x:c r="D777" s="191" t="n">
        <x:v>426.5899963378906</x:v>
      </x:c>
      <x:c r="E777" s="191" t="n">
        <x:v>419.9559631347656</x:v>
      </x:c>
      <x:c r="F777" s="191" t="n">
        <x:v>580.8300170898438</x:v>
      </x:c>
      <x:c r="G777" s="191" t="n">
        <x:v>567.7283325195312</x:v>
      </x:c>
      <x:c r="H777" s="208" t="n">
        <x:f>E777/E776-1</x:f>
        <x:v>-0.0036435737330792195</x:v>
      </x:c>
      <x:c r="I777" s="208" t="n">
        <x:f>G777/G776-1</x:f>
        <x:v>0.003091450291027975</x:v>
      </x:c>
      <x:c r="J777" s="208" t="n">
        <x:f>'Beta HC3'!$E$13+'Beta HC3'!$E$12*I777</x:f>
        <x:v>0.003495705314482463</x:v>
      </x:c>
      <x:c r="K777" s="240" t="n">
        <x:f>H777-J777</x:f>
        <x:v>-0.007139279047561682</x:v>
      </x:c>
      <x:c r="L777" s="240" t="n">
        <x:f>I777-'Beta HC3'!$E$9</x:f>
        <x:v>0.002527502673367536</x:v>
      </x:c>
      <x:c r="M777" s="240" t="n">
        <x:f>1/'Beta HC3'!$E$8+L777^2/'Beta HC3'!$E$11</x:f>
        <x:v>0.000840498580737853</x:v>
      </x:c>
      <x:c r="N777" s="240" t="n">
        <x:f>K777^2/(1-M777)^2</x:f>
        <x:v>0.00005105509271763982</x:v>
      </x:c>
      <x:c r="O777" s="240" t="n">
        <x:f>N777*L777^2/'Beta HC3'!$E$11^2</x:f>
        <x:v>1.5252359717263385e-8</x:v>
      </x:c>
      <x:c r="P777" s="240" t="n">
        <x:f>N777*(1/'Beta HC3'!$E$8-'Beta HC3'!$E$9*L777/'Beta HC3'!$E$11)^2</x:f>
        <x:v>3.162719530272511e-11</x:v>
      </x:c>
      <x:c r="Q777" s="240" t="n">
        <x:f>N777*(1/'Beta HC3'!$E$8-'Beta HC3'!$E$9*L777/'Beta HC3'!$E$11)*L777/'Beta HC3'!$E$11</x:f>
        <x:v>6.945425542076643e-10</x:v>
      </x:c>
      <x:c r="R777" s="240" t="n">
        <x:f>K777*L777/'Beta HC3'!$E$11</x:f>
        <x:v>-0.00012339664225057863</x:v>
      </x:c>
      <x:c r="S777" s="240" t="n">
        <x:f>(K777-K776)^2</x:f>
        <x:v>0.00024248210092505493</x:v>
      </x:c>
      <x:c r="T777" s="280" t="n">
        <x:f>E777/$E$9*100</x:f>
        <x:v>148.40713616457361</x:v>
      </x:c>
    </x:row>
    <x:row r="778" ht="24" customHeight="1">
      <x:c r="C778" s="274" t="d">
        <x:v>2024-10-29T00:00:00.000Z</x:v>
      </x:c>
      <x:c r="D778" s="191" t="n">
        <x:v>431.95001220703125</x:v>
      </x:c>
      <x:c r="E778" s="191" t="n">
        <x:v>425.23260498046875</x:v>
      </x:c>
      <x:c r="F778" s="191" t="n">
        <x:v>581.77001953125</x:v>
      </x:c>
      <x:c r="G778" s="191" t="n">
        <x:v>568.6470947265625</x:v>
      </x:c>
      <x:c r="H778" s="208" t="n">
        <x:f>E778/E777-1</x:f>
        <x:v>0.01256475037600513</x:v>
      </x:c>
      <x:c r="I778" s="208" t="n">
        <x:f>G778/G777-1</x:f>
        <x:v>0.0016183131163347575</x:v>
      </x:c>
      <x:c r="J778" s="208" t="n">
        <x:f>'Beta HC3'!$E$13+'Beta HC3'!$E$12*I778</x:f>
        <x:v>0.001834283922909082</x:v>
      </x:c>
      <x:c r="K778" s="240" t="n">
        <x:f>H778-J778</x:f>
        <x:v>0.010730466453096048</x:v>
      </x:c>
      <x:c r="L778" s="240" t="n">
        <x:f>I778-'Beta HC3'!$E$9</x:f>
        <x:v>0.0010543654986743182</x:v>
      </x:c>
      <x:c r="M778" s="240" t="n">
        <x:f>1/'Beta HC3'!$E$8+L778^2/'Beta HC3'!$E$11</x:f>
        <x:v>0.0008044149567617795</x:v>
      </x:c>
      <x:c r="N778" s="240" t="n">
        <x:f>K778^2/(1-M778)^2</x:f>
        <x:v>0.0001153283794206273</x:v>
      </x:c>
      <x:c r="O778" s="240" t="n">
        <x:f>N778*L778^2/'Beta HC3'!$E$11^2</x:f>
        <x:v>5.995608752572258e-9</x:v>
      </x:c>
      <x:c r="P778" s="240" t="n">
        <x:f>N778*(1/'Beta HC3'!$E$8-'Beta HC3'!$E$9*L778/'Beta HC3'!$E$11)^2</x:f>
        <x:v>7.247778698607081e-11</x:v>
      </x:c>
      <x:c r="Q778" s="240" t="n">
        <x:f>N778*(1/'Beta HC3'!$E$8-'Beta HC3'!$E$9*L778/'Beta HC3'!$E$11)*L778/'Beta HC3'!$E$11</x:f>
        <x:v>6.592028929098793e-10</x:v>
      </x:c>
      <x:c r="R778" s="240" t="n">
        <x:f>K778*L778/'Beta HC3'!$E$11</x:f>
        <x:v>0.00007736902944667438</x:v>
      </x:c>
      <x:c r="S778" s="240" t="n">
        <x:f>(K778-K777)^2</x:f>
        <x:v>0.00031932780425827716</x:v>
      </x:c>
      <x:c r="T778" s="280" t="n">
        <x:f>E778/$E$9*100</x:f>
        <x:v>150.27183478449928</x:v>
      </x:c>
    </x:row>
    <x:row r="779" ht="24" customHeight="1">
      <x:c r="C779" s="274" t="d">
        <x:v>2024-10-30T00:00:00.000Z</x:v>
      </x:c>
      <x:c r="D779" s="191" t="n">
        <x:v>432.5299987792969</x:v>
      </x:c>
      <x:c r="E779" s="191" t="n">
        <x:v>425.8035888671875</x:v>
      </x:c>
      <x:c r="F779" s="191" t="n">
        <x:v>580.010009765625</x:v>
      </x:c>
      <x:c r="G779" s="191" t="n">
        <x:v>566.9268188476562</x:v>
      </x:c>
      <x:c r="H779" s="208" t="n">
        <x:f>E779/E778-1</x:f>
        <x:v>0.0013427565996380064</x:v>
      </x:c>
      <x:c r="I779" s="208" t="n">
        <x:f>G779/G778-1</x:f>
        <x:v>-0.003025208244022526</x:v>
      </x:c>
      <x:c r="J779" s="208" t="n">
        <x:f>'Beta HC3'!$E$13+'Beta HC3'!$E$12*I779</x:f>
        <x:v>-0.0034027339548945534</x:v>
      </x:c>
      <x:c r="K779" s="240" t="n">
        <x:f>H779-J779</x:f>
        <x:v>0.00474549055453256</x:v>
      </x:c>
      <x:c r="L779" s="240" t="n">
        <x:f>I779-'Beta HC3'!$E$9</x:f>
        <x:v>-0.003589155861682965</x:v>
      </x:c>
      <x:c r="M779" s="240" t="n">
        <x:f>1/'Beta HC3'!$E$8+L779^2/'Beta HC3'!$E$11</x:f>
        <x:v>0.0008849058702822734</x:v>
      </x:c>
      <x:c r="N779" s="240" t="n">
        <x:f>K779^2/(1-M779)^2</x:f>
        <x:v>0.000022559589163445747</x:v>
      </x:c>
      <x:c r="O779" s="240" t="n">
        <x:f>N779*L779^2/'Beta HC3'!$E$11^2</x:f>
        <x:v>1.3590347004334674e-8</x:v>
      </x:c>
      <x:c r="P779" s="240" t="n">
        <x:f>N779*(1/'Beta HC3'!$E$8-'Beta HC3'!$E$9*L779/'Beta HC3'!$E$11)^2</x:f>
        <x:v>1.4825272805904102e-11</x:v>
      </x:c>
      <x:c r="Q779" s="240" t="n">
        <x:f>N779*(1/'Beta HC3'!$E$8-'Beta HC3'!$E$9*L779/'Beta HC3'!$E$11)*L779/'Beta HC3'!$E$11</x:f>
        <x:v>-4.4886590633079183e-10</x:v>
      </x:c>
      <x:c r="R779" s="240" t="n">
        <x:f>K779*L779/'Beta HC3'!$E$11</x:f>
        <x:v>-0.00011647448343170887</x:v>
      </x:c>
      <x:c r="S779" s="240" t="n">
        <x:f>(K779-K778)^2</x:f>
        <x:v>0.000035819936506385824</x:v>
      </x:c>
      <x:c r="T779" s="280" t="n">
        <x:f>E779/$E$9*100</x:f>
        <x:v>150.47361328239586</x:v>
      </x:c>
    </x:row>
    <x:row r="780" ht="24" customHeight="1">
      <x:c r="C780" s="274" t="d">
        <x:v>2024-10-31T00:00:00.000Z</x:v>
      </x:c>
      <x:c r="D780" s="191" t="n">
        <x:v>406.3500061035156</x:v>
      </x:c>
      <x:c r="E780" s="191" t="n">
        <x:v>400.0307922363281</x:v>
      </x:c>
      <x:c r="F780" s="191" t="n">
        <x:v>568.6400146484375</x:v>
      </x:c>
      <x:c r="G780" s="191" t="n">
        <x:v>555.8133544921875</x:v>
      </x:c>
      <x:c r="H780" s="208" t="n">
        <x:f>E780/E779-1</x:f>
        <x:v>-0.060527429323518844</x:v>
      </x:c>
      <x:c r="I780" s="208" t="n">
        <x:f>G780/G779-1</x:f>
        <x:v>-0.019602996340970624</x:v>
      </x:c>
      <x:c r="J780" s="208" t="n">
        <x:f>'Beta HC3'!$E$13+'Beta HC3'!$E$12*I780</x:f>
        <x:v>-0.022099357896229774</x:v>
      </x:c>
      <x:c r="K780" s="240" t="n">
        <x:f>H780-J780</x:f>
        <x:v>-0.03842807142728907</x:v>
      </x:c>
      <x:c r="L780" s="240" t="n">
        <x:f>I780-'Beta HC3'!$E$9</x:f>
        <x:v>-0.020166943958631063</x:v>
      </x:c>
      <x:c r="M780" s="240" t="n">
        <x:f>1/'Beta HC3'!$E$8+L780^2/'Beta HC3'!$E$11</x:f>
        <x:v>0.0035780468412194236</x:v>
      </x:c>
      <x:c r="N780" s="240" t="n">
        <x:f>K780^2/(1-M780)^2</x:f>
        <x:v>0.0014873411849124745</x:v>
      </x:c>
      <x:c r="O780" s="240" t="n">
        <x:f>N780*L780^2/'Beta HC3'!$E$11^2</x:f>
        <x:v>0.000028288212748277746</x:v>
      </x:c>
      <x:c r="P780" s="240" t="n">
        <x:f>N780*(1/'Beta HC3'!$E$8-'Beta HC3'!$E$9*L780/'Beta HC3'!$E$11)^2</x:f>
        <x:v>1.1376710504739486e-9</x:v>
      </x:c>
      <x:c r="Q780" s="240" t="n">
        <x:f>N780*(1/'Beta HC3'!$E$8-'Beta HC3'!$E$9*L780/'Beta HC3'!$E$11)*L780/'Beta HC3'!$E$11</x:f>
        <x:v>-1.793953196528931e-7</x:v>
      </x:c>
      <x:c r="R780" s="240" t="n">
        <x:f>K780*L780/'Beta HC3'!$E$11</x:f>
        <x:v>0.0052996360068688</x:v>
      </x:c>
      <x:c r="S780" s="240" t="n">
        <x:f>(K780-K779)^2</x:f>
        <x:v>0.0018639564541981946</x:v>
      </x:c>
      <x:c r="T780" s="280" t="n">
        <x:f>E780/$E$9*100</x:f>
        <x:v>141.36583228939114</x:v>
      </x:c>
    </x:row>
    <x:row r="781" ht="24" customHeight="1">
      <x:c r="C781" s="274" t="d">
        <x:v>2024-11-01T00:00:00.000Z</x:v>
      </x:c>
      <x:c r="D781" s="191" t="n">
        <x:v>410.3699951171875</x:v>
      </x:c>
      <x:c r="E781" s="191" t="n">
        <x:v>403.9881896972656</x:v>
      </x:c>
      <x:c r="F781" s="191" t="n">
        <x:v>571.0399780273438</x:v>
      </x:c>
      <x:c r="G781" s="191" t="n">
        <x:v>558.1591186523438</x:v>
      </x:c>
      <x:c r="H781" s="208" t="n">
        <x:f>E781/E780-1</x:f>
        <x:v>0.00989273210398145</x:v>
      </x:c>
      <x:c r="I781" s="208" t="n">
        <x:f>G781/G780-1</x:f>
        <x:v>0.004220417054029646</x:v>
      </x:c>
      <x:c r="J781" s="208" t="n">
        <x:f>'Beta HC3'!$E$13+'Beta HC3'!$E$12*I781</x:f>
        <x:v>0.0047689672772164805</x:v>
      </x:c>
      <x:c r="K781" s="240" t="n">
        <x:f>H781-J781</x:f>
        <x:v>0.005123764826764969</x:v>
      </x:c>
      <x:c r="L781" s="240" t="n">
        <x:f>I781-'Beta HC3'!$E$9</x:f>
        <x:v>0.0036564694363692067</x:v>
      </x:c>
      <x:c r="M781" s="240" t="n">
        <x:f>1/'Beta HC3'!$E$8+L781^2/'Beta HC3'!$E$11</x:f>
        <x:v>0.0008882411778345176</x:v>
      </x:c>
      <x:c r="N781" s="240" t="n">
        <x:f>K781^2/(1-M781)^2</x:f>
        <x:v>0.000026299666143146686</x:v>
      </x:c>
      <x:c r="O781" s="240" t="n">
        <x:f>N781*L781^2/'Beta HC3'!$E$11^2</x:f>
        <x:v>1.644329519578182e-8</x:v>
      </x:c>
      <x:c r="P781" s="240" t="n">
        <x:f>N781*(1/'Beta HC3'!$E$8-'Beta HC3'!$E$9*L781/'Beta HC3'!$E$11)^2</x:f>
        <x:v>1.611215559242944e-11</x:v>
      </x:c>
      <x:c r="Q781" s="240" t="n">
        <x:f>N781*(1/'Beta HC3'!$E$8-'Beta HC3'!$E$9*L781/'Beta HC3'!$E$11)*L781/'Beta HC3'!$E$11</x:f>
        <x:v>5.147202450328569e-10</x:v>
      </x:c>
      <x:c r="R781" s="240" t="n">
        <x:f>K781*L781/'Beta HC3'!$E$11</x:f>
        <x:v>0.0001281175122506809</x:v>
      </x:c>
      <x:c r="S781" s="240" t="n">
        <x:f>(K781-K780)^2</x:f>
        <x:v>0.0018967624410999363</x:v>
      </x:c>
      <x:c r="T781" s="280" t="n">
        <x:f>E781/$E$9*100</x:f>
        <x:v>142.76432659688646</x:v>
      </x:c>
    </x:row>
    <x:row r="782" ht="24" customHeight="1">
      <x:c r="C782" s="274" t="d">
        <x:v>2024-11-04T00:00:00.000Z</x:v>
      </x:c>
      <x:c r="D782" s="191" t="n">
        <x:v>408.4599914550781</x:v>
      </x:c>
      <x:c r="E782" s="191" t="n">
        <x:v>402.1078796386719</x:v>
      </x:c>
      <x:c r="F782" s="191" t="n">
        <x:v>569.8099975585938</x:v>
      </x:c>
      <x:c r="G782" s="191" t="n">
        <x:v>556.9569702148438</x:v>
      </x:c>
      <x:c r="H782" s="208" t="n">
        <x:f>E782/E781-1</x:f>
        <x:v>-0.00465436888143389</x:v>
      </x:c>
      <x:c r="I782" s="208" t="n">
        <x:f>G782/G781-1</x:f>
        <x:v>-0.0021537737131349655</x:v>
      </x:c>
      <x:c r="J782" s="208" t="n">
        <x:f>'Beta HC3'!$E$13+'Beta HC3'!$E$12*I782</x:f>
        <x:v>-0.002419919865450495</x:v>
      </x:c>
      <x:c r="K782" s="240" t="n">
        <x:f>H782-J782</x:f>
        <x:v>-0.002234449015983395</x:v>
      </x:c>
      <x:c r="L782" s="240" t="n">
        <x:f>I782-'Beta HC3'!$E$9</x:f>
        <x:v>-0.0027177213307954047</x:v>
      </x:c>
      <x:c r="M782" s="240" t="n">
        <x:f>1/'Beta HC3'!$E$8+L782^2/'Beta HC3'!$E$11</x:f>
        <x:v>0.0008473215672621342</x:v>
      </x:c>
      <x:c r="N782" s="240" t="n">
        <x:f>K782^2/(1-M782)^2</x:f>
        <x:v>0.000005001234121441978</x:v>
      </x:c>
      <x:c r="O782" s="240" t="n">
        <x:f>N782*L782^2/'Beta HC3'!$E$11^2</x:f>
        <x:v>1.7274351582995387e-9</x:v>
      </x:c>
      <x:c r="P782" s="240" t="n">
        <x:f>N782*(1/'Beta HC3'!$E$8-'Beta HC3'!$E$9*L782/'Beta HC3'!$E$11)^2</x:f>
        <x:v>3.2594199660081023e-12</x:v>
      </x:c>
      <x:c r="Q782" s="240" t="n">
        <x:f>N782*(1/'Beta HC3'!$E$8-'Beta HC3'!$E$9*L782/'Beta HC3'!$E$11)*L782/'Beta HC3'!$E$11</x:f>
        <x:v>-7.503623554620717e-11</x:v>
      </x:c>
      <x:c r="R782" s="240" t="n">
        <x:f>K782*L782/'Beta HC3'!$E$11</x:f>
        <x:v>0.000041527208097666436</x:v>
      </x:c>
      <x:c r="S782" s="240" t="n">
        <x:f>(K782-K781)^2</x:f>
        <x:v>0.000054143310955613655</x:v>
      </x:c>
      <x:c r="T782" s="280" t="n">
        <x:f>E782/$E$9*100</x:f>
        <x:v>142.09984875779506</x:v>
      </x:c>
    </x:row>
    <x:row r="783" ht="24" customHeight="1">
      <x:c r="C783" s="274" t="d">
        <x:v>2024-11-05T00:00:00.000Z</x:v>
      </x:c>
      <x:c r="D783" s="191" t="n">
        <x:v>411.4599914550781</x:v>
      </x:c>
      <x:c r="E783" s="191" t="n">
        <x:v>405.06121826171875</x:v>
      </x:c>
      <x:c r="F783" s="191" t="n">
        <x:v>576.7000122070312</x:v>
      </x:c>
      <x:c r="G783" s="191" t="n">
        <x:v>563.6915283203125</x:v>
      </x:c>
      <x:c r="H783" s="208" t="n">
        <x:f>E783/E782-1</x:f>
        <x:v>0.007344642501660781</x:v>
      </x:c>
      <x:c r="I783" s="208" t="n">
        <x:f>G783/G782-1</x:f>
        <x:v>0.012091702708866281</x:v>
      </x:c>
      <x:c r="J783" s="208" t="n">
        <x:f>'Beta HC3'!$E$13+'Beta HC3'!$E$12*I783</x:f>
        <x:v>0.013646295601276786</x:v>
      </x:c>
      <x:c r="K783" s="240" t="n">
        <x:f>H783-J783</x:f>
        <x:v>-0.0063016530996160055</x:v>
      </x:c>
      <x:c r="L783" s="240" t="n">
        <x:f>I783-'Beta HC3'!$E$9</x:f>
        <x:v>0.011527755091205842</x:v>
      </x:c>
      <x:c r="M783" s="240" t="n">
        <x:f>1/'Beta HC3'!$E$8+L783^2/'Beta HC3'!$E$11</x:f>
        <x:v>0.0017055678129197713</x:v>
      </x:c>
      <x:c r="N783" s="240" t="n">
        <x:f>K783^2/(1-M783)^2</x:f>
        <x:v>0.00003984663816256739</x:v>
      </x:c>
      <x:c r="O783" s="240" t="n">
        <x:f>N783*L783^2/'Beta HC3'!$E$11^2</x:f>
        <x:v>2.476257998991174e-7</x:v>
      </x:c>
      <x:c r="P783" s="240" t="n">
        <x:f>N783*(1/'Beta HC3'!$E$8-'Beta HC3'!$E$9*L783/'Beta HC3'!$E$11)^2</x:f>
        <x:v>2.2554753718494014e-11</x:v>
      </x:c>
      <x:c r="Q783" s="240" t="n">
        <x:f>N783*(1/'Beta HC3'!$E$8-'Beta HC3'!$E$9*L783/'Beta HC3'!$E$11)*L783/'Beta HC3'!$E$11</x:f>
        <x:v>2.3632898533759404e-9</x:v>
      </x:c>
      <x:c r="R783" s="240" t="n">
        <x:f>K783*L783/'Beta HC3'!$E$11</x:f>
        <x:v>-0.0004967714112598861</x:v>
      </x:c>
      <x:c r="S783" s="240" t="n">
        <x:f>(K783-K782)^2</x:f>
        <x:v>0.000016542149057917785</x:v>
      </x:c>
      <x:c r="T783" s="280" t="n">
        <x:f>E783/$E$9*100</x:f>
        <x:v>143.1435213464611</x:v>
      </x:c>
    </x:row>
    <x:row r="784" ht="24" customHeight="1">
      <x:c r="C784" s="274" t="d">
        <x:v>2024-11-06T00:00:00.000Z</x:v>
      </x:c>
      <x:c r="D784" s="191" t="n">
        <x:v>420.17999267578125</x:v>
      </x:c>
      <x:c r="E784" s="191" t="n">
        <x:v>413.6456604003906</x:v>
      </x:c>
      <x:c r="F784" s="191" t="n">
        <x:v>591.0399780273438</x:v>
      </x:c>
      <x:c r="G784" s="191" t="n">
        <x:v>577.7080078125</x:v>
      </x:c>
      <x:c r="H784" s="208" t="n">
        <x:f>E784/E783-1</x:f>
        <x:v>0.0211929499829957</x:v>
      </x:c>
      <x:c r="I784" s="208" t="n">
        <x:f>G784/G783-1</x:f>
        <x:v>0.024865513828021824</x:v>
      </x:c>
      <x:c r="J784" s="208" t="n">
        <x:f>'Beta HC3'!$E$13+'Beta HC3'!$E$12*I784</x:f>
        <x:v>0.02805274967077142</x:v>
      </x:c>
      <x:c r="K784" s="240" t="n">
        <x:f>H784-J784</x:f>
        <x:v>-0.006859799687775718</x:v>
      </x:c>
      <x:c r="L784" s="240" t="n">
        <x:f>I784-'Beta HC3'!$E$9</x:f>
        <x:v>0.024301566210361385</x:v>
      </x:c>
      <x:c r="M784" s="240" t="n">
        <x:f>1/'Beta HC3'!$E$8+L784^2/'Beta HC3'!$E$11</x:f>
        <x:v>0.004835366709890035</x:v>
      </x:c>
      <x:c r="N784" s="240" t="n">
        <x:f>K784^2/(1-M784)^2</x:f>
        <x:v>0.000047515248111119684</x:v>
      </x:c>
      <x:c r="O784" s="240" t="n">
        <x:f>N784*L784^2/'Beta HC3'!$E$11^2</x:f>
        <x:v>0.0000013122490070925082</x:v>
      </x:c>
      <x:c r="P784" s="240" t="n">
        <x:f>N784*(1/'Beta HC3'!$E$8-'Beta HC3'!$E$9*L784/'Beta HC3'!$E$11)^2</x:f>
        <x:v>2.3488687112988005e-11</x:v>
      </x:c>
      <x:c r="Q784" s="240" t="n">
        <x:f>N784*(1/'Beta HC3'!$E$8-'Beta HC3'!$E$9*L784/'Beta HC3'!$E$11)*L784/'Beta HC3'!$E$11</x:f>
        <x:v>5.551847110820426e-9</x:v>
      </x:c>
      <x:c r="R784" s="240" t="n">
        <x:f>K784*L784/'Beta HC3'!$E$11</x:f>
        <x:v>-0.001139995297428179</x:v>
      </x:c>
      <x:c r="S784" s="240" t="n">
        <x:f>(K784-K783)^2</x:f>
        <x:v>3.115276138743278e-7</x:v>
      </x:c>
      <x:c r="T784" s="280" t="n">
        <x:f>E784/$E$9*100</x:f>
        <x:v>146.17715483474655</x:v>
      </x:c>
    </x:row>
    <x:row r="785" ht="24" customHeight="1">
      <x:c r="C785" s="274" t="d">
        <x:v>2024-11-07T00:00:00.000Z</x:v>
      </x:c>
      <x:c r="D785" s="191" t="n">
        <x:v>425.42999267578125</x:v>
      </x:c>
      <x:c r="E785" s="191" t="n">
        <x:v>418.81402587890625</x:v>
      </x:c>
      <x:c r="F785" s="191" t="n">
        <x:v>595.6099853515625</x:v>
      </x:c>
      <x:c r="G785" s="191" t="n">
        <x:v>582.1749267578125</x:v>
      </x:c>
      <x:c r="H785" s="208" t="n">
        <x:f>E785/E784-1</x:f>
        <x:v>0.01249466868215876</x:v>
      </x:c>
      <x:c r="I785" s="208" t="n">
        <x:f>G785/G784-1</x:f>
        <x:v>0.007732139566883456</x:v>
      </x:c>
      <x:c r="J785" s="208" t="n">
        <x:f>'Beta HC3'!$E$13+'Beta HC3'!$E$12*I785</x:f>
        <x:v>0.008729529134152973</x:v>
      </x:c>
      <x:c r="K785" s="240" t="n">
        <x:f>H785-J785</x:f>
        <x:v>0.0037651395480057873</x:v>
      </x:c>
      <x:c r="L785" s="240" t="n">
        <x:f>I785-'Beta HC3'!$E$9</x:f>
        <x:v>0.007168191949223016</x:v>
      </x:c>
      <x:c r="M785" s="240" t="n">
        <x:f>1/'Beta HC3'!$E$8+L785^2/'Beta HC3'!$E$11</x:f>
        <x:v>0.001148192405572239</x:v>
      </x:c>
      <x:c r="N785" s="240" t="n">
        <x:f>K785^2/(1-M785)^2</x:f>
        <x:v>0.000014208886154079347</x:v>
      </x:c>
      <x:c r="O785" s="240" t="n">
        <x:f>N785*L785^2/'Beta HC3'!$E$11^2</x:f>
        <x:v>3.4142397164826345e-8</x:v>
      </x:c>
      <x:c r="P785" s="240" t="n">
        <x:f>N785*(1/'Beta HC3'!$E$8-'Beta HC3'!$E$9*L785/'Beta HC3'!$E$11)^2</x:f>
        <x:v>8.406262471115738e-12</x:v>
      </x:c>
      <x:c r="Q785" s="240" t="n">
        <x:f>N785*(1/'Beta HC3'!$E$8-'Beta HC3'!$E$9*L785/'Beta HC3'!$E$11)*L785/'Beta HC3'!$E$11</x:f>
        <x:v>5.357330976900793e-10</x:v>
      </x:c>
      <x:c r="R785" s="240" t="n">
        <x:f>K785*L785/'Beta HC3'!$E$11</x:f>
        <x:v>0.00018456445512082462</x:v>
      </x:c>
      <x:c r="S785" s="240" t="n">
        <x:f>(K785-K784)^2</x:f>
        <x:v>0.00011288933376404927</x:v>
      </x:c>
      <x:c r="T785" s="280" t="n">
        <x:f>E785/$E$9*100</x:f>
        <x:v>148.0035899533073</x:v>
      </x:c>
    </x:row>
    <x:row r="786" ht="24" customHeight="1">
      <x:c r="C786" s="274" t="d">
        <x:v>2024-11-08T00:00:00.000Z</x:v>
      </x:c>
      <x:c r="D786" s="191" t="n">
        <x:v>422.5400085449219</x:v>
      </x:c>
      <x:c r="E786" s="191" t="n">
        <x:v>415.9689025878906</x:v>
      </x:c>
      <x:c r="F786" s="191" t="n">
        <x:v>598.1900024414062</x:v>
      </x:c>
      <x:c r="G786" s="191" t="n">
        <x:v>584.6966552734375</x:v>
      </x:c>
      <x:c r="H786" s="208" t="n">
        <x:f>E786/E785-1</x:f>
        <x:v>-0.006793285599843379</x:v>
      </x:c>
      <x:c r="I786" s="208" t="n">
        <x:f>G786/G785-1</x:f>
        <x:v>0.004331564963933943</x:v>
      </x:c>
      <x:c r="J786" s="208" t="n">
        <x:f>'Beta HC3'!$E$13+'Beta HC3'!$E$12*I786</x:f>
        <x:v>0.004894321194228402</x:v>
      </x:c>
      <x:c r="K786" s="240" t="n">
        <x:f>H786-J786</x:f>
        <x:v>-0.01168760679407178</x:v>
      </x:c>
      <x:c r="L786" s="240" t="n">
        <x:f>I786-'Beta HC3'!$E$9</x:f>
        <x:v>0.0037676173462735034</x:v>
      </x:c>
      <x:c r="M786" s="240" t="n">
        <x:f>1/'Beta HC3'!$E$8+L786^2/'Beta HC3'!$E$11</x:f>
        <x:v>0.0008938840693575747</x:v>
      </x:c>
      <x:c r="N786" s="240" t="n">
        <x:f>K786^2/(1-M786)^2</x:f>
        <x:v>0.0001368446898063824</x:v>
      </x:c>
      <x:c r="O786" s="240" t="n">
        <x:f>N786*L786^2/'Beta HC3'!$E$11^2</x:f>
        <x:v>9.083981640053485e-8</x:v>
      </x:c>
      <x:c r="P786" s="240" t="n">
        <x:f>N786*(1/'Beta HC3'!$E$8-'Beta HC3'!$E$9*L786/'Beta HC3'!$E$11)^2</x:f>
        <x:v>8.37443577435694e-11</x:v>
      </x:c>
      <x:c r="Q786" s="240" t="n">
        <x:f>N786*(1/'Beta HC3'!$E$8-'Beta HC3'!$E$9*L786/'Beta HC3'!$E$11)*L786/'Beta HC3'!$E$11</x:f>
        <x:v>2.7581374298621442e-9</x:v>
      </x:c>
      <x:c r="R786" s="240" t="n">
        <x:f>K786*L786/'Beta HC3'!$E$11</x:f>
        <x:v>-0.00030112703042847267</x:v>
      </x:c>
      <x:c r="S786" s="240" t="n">
        <x:f>(K786-K785)^2</x:f>
        <x:v>0.00023878736951259166</x:v>
      </x:c>
      <x:c r="T786" s="280" t="n">
        <x:f>E786/$E$9*100</x:f>
        <x:v>146.99815929695237</x:v>
      </x:c>
    </x:row>
    <x:row r="787" ht="24" customHeight="1">
      <x:c r="C787" s="274" t="d">
        <x:v>2024-11-11T00:00:00.000Z</x:v>
      </x:c>
      <x:c r="D787" s="191" t="n">
        <x:v>418.010009765625</x:v>
      </x:c>
      <x:c r="E787" s="191" t="n">
        <x:v>411.5093688964844</x:v>
      </x:c>
      <x:c r="F787" s="191" t="n">
        <x:v>598.760009765625</x:v>
      </x:c>
      <x:c r="G787" s="191" t="n">
        <x:v>585.25390625</x:v>
      </x:c>
      <x:c r="H787" s="208" t="n">
        <x:f>E787/E786-1</x:f>
        <x:v>-0.010720834330792295</x:v>
      </x:c>
      <x:c r="I787" s="208" t="n">
        <x:f>G787/G786-1</x:f>
        <x:v>0.0009530599697067377</x:v>
      </x:c>
      <x:c r="J787" s="208" t="n">
        <x:f>'Beta HC3'!$E$13+'Beta HC3'!$E$12*I787</x:f>
        <x:v>0.001084003617988077</x:v>
      </x:c>
      <x:c r="K787" s="240" t="n">
        <x:f>H787-J787</x:f>
        <x:v>-0.011804837948780372</x:v>
      </x:c>
      <x:c r="L787" s="240" t="n">
        <x:f>I787-'Beta HC3'!$E$9</x:f>
        <x:v>0.0003891123520462983</x:v>
      </x:c>
      <x:c r="M787" s="240" t="n">
        <x:f>1/'Beta HC3'!$E$8+L787^2/'Beta HC3'!$E$11</x:f>
        <x:v>0.0007978481471811994</x:v>
      </x:c>
      <x:c r="N787" s="240" t="n">
        <x:f>K787^2/(1-M787)^2</x:f>
        <x:v>0.0001395768323819149</x:v>
      </x:c>
      <x:c r="O787" s="240" t="n">
        <x:f>N787*L787^2/'Beta HC3'!$E$11^2</x:f>
        <x:v>9.8827565126765e-10</x:v>
      </x:c>
      <x:c r="P787" s="240" t="n">
        <x:f>N787*(1/'Beta HC3'!$E$8-'Beta HC3'!$E$9*L787/'Beta HC3'!$E$11)^2</x:f>
        <x:v>8.828533067070922e-11</x:v>
      </x:c>
      <x:c r="Q787" s="240" t="n">
        <x:f>N787*(1/'Beta HC3'!$E$8-'Beta HC3'!$E$9*L787/'Beta HC3'!$E$11)*L787/'Beta HC3'!$E$11</x:f>
        <x:v>2.953815205221461e-10</x:v>
      </x:c>
      <x:c r="R787" s="240" t="n">
        <x:f>K787*L787/'Beta HC3'!$E$11</x:f>
        <x:v>-0.00003141176996877936</x:v>
      </x:c>
      <x:c r="S787" s="240" t="n">
        <x:f>(K787-K786)^2</x:f>
        <x:v>1.3743143634309844e-8</x:v>
      </x:c>
      <x:c r="T787" s="280" t="n">
        <x:f>E787/$E$9*100</x:f>
        <x:v>145.42221638419835</x:v>
      </x:c>
    </x:row>
    <x:row r="788" ht="24" customHeight="1">
      <x:c r="C788" s="274" t="d">
        <x:v>2024-11-12T00:00:00.000Z</x:v>
      </x:c>
      <x:c r="D788" s="191" t="n">
        <x:v>423.0299987792969</x:v>
      </x:c>
      <x:c r="E788" s="191" t="n">
        <x:v>416.45135498046875</x:v>
      </x:c>
      <x:c r="F788" s="191" t="n">
        <x:v>596.9000244140625</x:v>
      </x:c>
      <x:c r="G788" s="191" t="n">
        <x:v>583.4359130859375</x:v>
      </x:c>
      <x:c r="H788" s="208" t="n">
        <x:f>E788/E787-1</x:f>
        <x:v>0.01200941329048466</x:v>
      </x:c>
      <x:c r="I788" s="208" t="n">
        <x:f>G788/G787-1</x:f>
        <x:v>-0.003106332387785793</x:v>
      </x:c>
      <x:c r="J788" s="208" t="n">
        <x:f>'Beta HC3'!$E$13+'Beta HC3'!$E$12*I788</x:f>
        <x:v>-0.003494226716150432</x:v>
      </x:c>
      <x:c r="K788" s="240" t="n">
        <x:f>H788-J788</x:f>
        <x:v>0.015503640006635093</x:v>
      </x:c>
      <x:c r="L788" s="240" t="n">
        <x:f>I788-'Beta HC3'!$E$9</x:f>
        <x:v>-0.003670280005446232</x:v>
      </x:c>
      <x:c r="M788" s="240" t="n">
        <x:f>1/'Beta HC3'!$E$8+L788^2/'Beta HC3'!$E$11</x:f>
        <x:v>0.0008889331366965215</x:v>
      </x:c>
      <x:c r="N788" s="240" t="n">
        <x:f>K788^2/(1-M788)^2</x:f>
        <x:v>0.00024079075694769124</x:v>
      </x:c>
      <x:c r="O788" s="240" t="n">
        <x:f>N788*L788^2/'Beta HC3'!$E$11^2</x:f>
        <x:v>1.5168859558683762e-7</x:v>
      </x:c>
      <x:c r="P788" s="240" t="n">
        <x:f>N788*(1/'Beta HC3'!$E$8-'Beta HC3'!$E$9*L788/'Beta HC3'!$E$11)^2</x:f>
        <x:v>1.5836035648599475e-10</x:v>
      </x:c>
      <x:c r="Q788" s="240" t="n">
        <x:f>N788*(1/'Beta HC3'!$E$8-'Beta HC3'!$E$9*L788/'Beta HC3'!$E$11)*L788/'Beta HC3'!$E$11</x:f>
        <x:v>-4.901169255595188e-9</x:v>
      </x:c>
      <x:c r="R788" s="240" t="n">
        <x:f>K788*L788/'Beta HC3'!$E$11</x:f>
        <x:v>-0.00038912598655619946</x:v>
      </x:c>
      <x:c r="S788" s="240" t="n">
        <x:f>(K788-K787)^2</x:f>
        <x:v>0.0007457529682414125</x:v>
      </x:c>
      <x:c r="T788" s="280" t="n">
        <x:f>E788/$E$9*100</x:f>
        <x:v>147.16865188237446</x:v>
      </x:c>
    </x:row>
    <x:row r="789" ht="24" customHeight="1">
      <x:c r="C789" s="274" t="d">
        <x:v>2024-11-13T00:00:00.000Z</x:v>
      </x:c>
      <x:c r="D789" s="191" t="n">
        <x:v>425.20001220703125</x:v>
      </x:c>
      <x:c r="E789" s="191" t="n">
        <x:v>418.58758544921875</x:v>
      </x:c>
      <x:c r="F789" s="191" t="n">
        <x:v>597.1900024414062</x:v>
      </x:c>
      <x:c r="G789" s="191" t="n">
        <x:v>583.7193603515625</x:v>
      </x:c>
      <x:c r="H789" s="208" t="n">
        <x:f>E789/E788-1</x:f>
        <x:v>0.005129603837764396</x:v>
      </x:c>
      <x:c r="I789" s="208" t="n">
        <x:f>G789/G788-1</x:f>
        <x:v>0.00048582416554676655</x:v>
      </x:c>
      <x:c r="J789" s="208" t="n">
        <x:f>'Beta HC3'!$E$13+'Beta HC3'!$E$12*I789</x:f>
        <x:v>0.0005570495954599118</x:v>
      </x:c>
      <x:c r="K789" s="240" t="n">
        <x:f>H789-J789</x:f>
        <x:v>0.004572554242304484</x:v>
      </x:c>
      <x:c r="L789" s="240" t="n">
        <x:f>I789-'Beta HC3'!$E$9</x:f>
        <x:v>-0.00007812345211367282</x:v>
      </x:c>
      <x:c r="M789" s="240" t="n">
        <x:f>1/'Beta HC3'!$E$8+L789^2/'Beta HC3'!$E$11</x:f>
        <x:v>0.0007968544859062759</x:v>
      </x:c>
      <x:c r="N789" s="240" t="n">
        <x:f>K789^2/(1-M789)^2</x:f>
        <x:v>0.000020941613839231918</x:v>
      </x:c>
      <x:c r="O789" s="240" t="n">
        <x:f>N789*L789^2/'Beta HC3'!$E$11^2</x:f>
        <x:v>5.977061452950064e-12</x:v>
      </x:c>
      <x:c r="P789" s="240" t="n">
        <x:f>N789*(1/'Beta HC3'!$E$8-'Beta HC3'!$E$9*L789/'Beta HC3'!$E$11)^2</x:f>
        <x:v>1.3306108419911893e-11</x:v>
      </x:c>
      <x:c r="Q789" s="240" t="n">
        <x:f>N789*(1/'Beta HC3'!$E$8-'Beta HC3'!$E$9*L789/'Beta HC3'!$E$11)*L789/'Beta HC3'!$E$11</x:f>
        <x:v>-8.918039455251903e-12</x:v>
      </x:c>
      <x:c r="R789" s="240" t="n">
        <x:f>K789*L789/'Beta HC3'!$E$11</x:f>
        <x:v>-0.000002442854795476883</x:v>
      </x:c>
      <x:c r="S789" s="240" t="n">
        <x:f>(K789-K788)^2</x:f>
        <x:v>0.00011948863598715131</x:v>
      </x:c>
      <x:c r="T789" s="280" t="n">
        <x:f>E789/$E$9*100</x:f>
        <x:v>147.9235687638689</x:v>
      </x:c>
    </x:row>
    <x:row r="790" ht="24" customHeight="1">
      <x:c r="C790" s="274" t="d">
        <x:v>2024-11-14T00:00:00.000Z</x:v>
      </x:c>
      <x:c r="D790" s="191" t="n">
        <x:v>426.8900146484375</x:v>
      </x:c>
      <x:c r="E790" s="191" t="n">
        <x:v>420.2513122558594</x:v>
      </x:c>
      <x:c r="F790" s="191" t="n">
        <x:v>593.3499755859375</x:v>
      </x:c>
      <x:c r="G790" s="191" t="n">
        <x:v>579.9659423828125</x:v>
      </x:c>
      <x:c r="H790" s="208" t="n">
        <x:f>E790/E789-1</x:f>
        <x:v>0.003974620520231564</x:v>
      </x:c>
      <x:c r="I790" s="208" t="n">
        <x:f>G790/G789-1</x:f>
        <x:v>-0.006430175566713103</x:v>
      </x:c>
      <x:c r="J790" s="208" t="n">
        <x:f>'Beta HC3'!$E$13+'Beta HC3'!$E$12*I790</x:f>
        <x:v>-0.007242896055687755</x:v>
      </x:c>
      <x:c r="K790" s="240" t="n">
        <x:f>H790-J790</x:f>
        <x:v>0.01121751657591932</x:v>
      </x:c>
      <x:c r="L790" s="240" t="n">
        <x:f>I790-'Beta HC3'!$E$9</x:f>
        <x:v>-0.006994123184373543</x:v>
      </x:c>
      <x:c r="M790" s="240" t="n">
        <x:f>1/'Beta HC3'!$E$8+L790^2/'Beta HC3'!$E$11</x:f>
        <x:v>0.0011313341566186314</x:v>
      </x:c>
      <x:c r="N790" s="240" t="n">
        <x:f>K790^2/(1-M790)^2</x:f>
        <x:v>0.00012611787964060528</x:v>
      </x:c>
      <x:c r="O790" s="240" t="n">
        <x:f>N790*L790^2/'Beta HC3'!$E$11^2</x:f>
        <x:v>2.885080513982933e-7</x:v>
      </x:c>
      <x:c r="P790" s="240" t="n">
        <x:f>N790*(1/'Beta HC3'!$E$8-'Beta HC3'!$E$9*L790/'Beta HC3'!$E$11)^2</x:f>
        <x:v>8.558649079126457e-11</x:v>
      </x:c>
      <x:c r="Q790" s="240" t="n">
        <x:f>N790*(1/'Beta HC3'!$E$8-'Beta HC3'!$E$9*L790/'Beta HC3'!$E$11)*L790/'Beta HC3'!$E$11</x:f>
        <x:v>-4.969143958893294e-9</x:v>
      </x:c>
      <x:c r="R790" s="240" t="n">
        <x:f>K790*L790/'Beta HC3'!$E$11</x:f>
        <x:v>-0.0005365217820728556</x:v>
      </x:c>
      <x:c r="S790" s="240" t="n">
        <x:f>(K790-K789)^2</x:f>
        <x:v>0.00004415552441515992</x:v>
      </x:c>
      <x:c r="T790" s="280" t="n">
        <x:f>E790/$E$9*100</x:f>
        <x:v>148.51150881570365</x:v>
      </x:c>
    </x:row>
    <x:row r="791" ht="24" customHeight="1">
      <x:c r="C791" s="274" t="d">
        <x:v>2024-11-15T00:00:00.000Z</x:v>
      </x:c>
      <x:c r="D791" s="191" t="n">
        <x:v>415</x:v>
      </x:c>
      <x:c r="E791" s="191" t="n">
        <x:v>408.5461730957031</x:v>
      </x:c>
      <x:c r="F791" s="191" t="n">
        <x:v>585.75</x:v>
      </x:c>
      <x:c r="G791" s="191" t="n">
        <x:v>572.5374145507812</x:v>
      </x:c>
      <x:c r="H791" s="208" t="n">
        <x:f>E791/E790-1</x:f>
        <x:v>-0.02785271293342173</x:v>
      </x:c>
      <x:c r="I791" s="208" t="n">
        <x:f>G791/G790-1</x:f>
        <x:v>-0.012808558725898367</x:v>
      </x:c>
      <x:c r="J791" s="208" t="n">
        <x:f>'Beta HC3'!$E$13+'Beta HC3'!$E$12*I791</x:f>
        <x:v>-0.014436511427269615</x:v>
      </x:c>
      <x:c r="K791" s="240" t="n">
        <x:f>H791-J791</x:f>
        <x:v>-0.013416201506152116</x:v>
      </x:c>
      <x:c r="L791" s="240" t="n">
        <x:f>I791-'Beta HC3'!$E$9</x:f>
        <x:v>-0.013372506343558806</x:v>
      </x:c>
      <x:c r="M791" s="240" t="n">
        <x:f>1/'Beta HC3'!$E$8+L791^2/'Beta HC3'!$E$11</x:f>
        <x:v>0.002019690339646718</x:v>
      </x:c>
      <x:c r="N791" s="240" t="n">
        <x:f>K791^2/(1-M791)^2</x:f>
        <x:v>0.0001807237376286794</x:v>
      </x:c>
      <x:c r="O791" s="240" t="n">
        <x:f>N791*L791^2/'Beta HC3'!$E$11^2</x:f>
        <x:v>0.0000015113169314790413</x:v>
      </x:c>
      <x:c r="P791" s="240" t="n">
        <x:f>N791*(1/'Beta HC3'!$E$8-'Beta HC3'!$E$9*L791/'Beta HC3'!$E$11)^2</x:f>
        <x:v>1.3007693452283055e-10</x:v>
      </x:c>
      <x:c r="Q791" s="240" t="n">
        <x:f>N791*(1/'Beta HC3'!$E$8-'Beta HC3'!$E$9*L791/'Beta HC3'!$E$11)*L791/'Beta HC3'!$E$11</x:f>
        <x:v>-1.4020965499538343e-8</x:v>
      </x:c>
      <x:c r="R791" s="240" t="n">
        <x:f>K791*L791/'Beta HC3'!$E$11</x:f>
        <x:v>0.0012268733887214232</x:v>
      </x:c>
      <x:c r="S791" s="240" t="n">
        <x:f>(K791-K790)^2</x:f>
        <x:v>0.0006068200665469732</x:v>
      </x:c>
      <x:c r="T791" s="280" t="n">
        <x:f>E791/$E$9*100</x:f>
        <x:v>144.37506039335054</x:v>
      </x:c>
    </x:row>
    <x:row r="792" ht="24" customHeight="1">
      <x:c r="C792" s="274" t="d">
        <x:v>2024-11-18T00:00:00.000Z</x:v>
      </x:c>
      <x:c r="D792" s="191" t="n">
        <x:v>415.760009765625</x:v>
      </x:c>
      <x:c r="E792" s="191" t="n">
        <x:v>409.2944030761719</x:v>
      </x:c>
      <x:c r="F792" s="191" t="n">
        <x:v>588.1500244140625</x:v>
      </x:c>
      <x:c r="G792" s="191" t="n">
        <x:v>574.8832397460938</x:v>
      </x:c>
      <x:c r="H792" s="208" t="n">
        <x:f>E792/E791-1</x:f>
        <x:v>0.0018314453291756738</x:v>
      </x:c>
      <x:c r="I792" s="208" t="n">
        <x:f>G792/G791-1</x:f>
        <x:v>0.004097243491332447</x:v>
      </x:c>
      <x:c r="J792" s="208" t="n">
        <x:f>'Beta HC3'!$E$13+'Beta HC3'!$E$12*I792</x:f>
        <x:v>0.004630050687874386</x:v>
      </x:c>
      <x:c r="K792" s="240" t="n">
        <x:f>H792-J792</x:f>
        <x:v>-0.0027986053586987122</x:v>
      </x:c>
      <x:c r="L792" s="240" t="n">
        <x:f>I792-'Beta HC3'!$E$9</x:f>
        <x:v>0.003533295873672008</x:v>
      </x:c>
      <x:c r="M792" s="240" t="n">
        <x:f>1/'Beta HC3'!$E$8+L792^2/'Beta HC3'!$E$11</x:f>
        <x:v>0.0008821851260666206</x:v>
      </x:c>
      <x:c r="N792" s="240" t="n">
        <x:f>K792^2/(1-M792)^2</x:f>
        <x:v>0.00000784602914798636</x:v>
      </x:c>
      <x:c r="O792" s="240" t="n">
        <x:f>N792*L792^2/'Beta HC3'!$E$11^2</x:f>
        <x:v>4.580624086866827e-9</x:v>
      </x:c>
      <x:c r="P792" s="240" t="n">
        <x:f>N792*(1/'Beta HC3'!$E$8-'Beta HC3'!$E$9*L792/'Beta HC3'!$E$11)^2</x:f>
        <x:v>4.812606012712549e-12</x:v>
      </x:c>
      <x:c r="Q792" s="240" t="n">
        <x:f>N792*(1/'Beta HC3'!$E$8-'Beta HC3'!$E$9*L792/'Beta HC3'!$E$11)*L792/'Beta HC3'!$E$11</x:f>
        <x:v>1.484747083594752e-10</x:v>
      </x:c>
      <x:c r="R792" s="240" t="n">
        <x:f>K792*L792/'Beta HC3'!$E$11</x:f>
        <x:v>-0.00006762060140863274</x:v>
      </x:c>
      <x:c r="S792" s="240" t="n">
        <x:f>(K792-K791)^2</x:f>
        <x:v>0.00011273334795041736</x:v>
      </x:c>
      <x:c r="T792" s="280" t="n">
        <x:f>E792/$E$9*100</x:f>
        <x:v>144.63947542335737</x:v>
      </x:c>
    </x:row>
    <x:row r="793" ht="24" customHeight="1">
      <x:c r="C793" s="274" t="d">
        <x:v>2024-11-19T00:00:00.000Z</x:v>
      </x:c>
      <x:c r="D793" s="191" t="n">
        <x:v>417.7900085449219</x:v>
      </x:c>
      <x:c r="E793" s="191" t="n">
        <x:v>411.2928161621094</x:v>
      </x:c>
      <x:c r="F793" s="191" t="n">
        <x:v>590.2999877929688</x:v>
      </x:c>
      <x:c r="G793" s="191" t="n">
        <x:v>576.9847412109375</x:v>
      </x:c>
      <x:c r="H793" s="208" t="n">
        <x:f>E793/E792-1</x:f>
        <x:v>0.0048825810246069246</x:v>
      </x:c>
      <x:c r="I793" s="208" t="n">
        <x:f>G793/G792-1</x:f>
        <x:v>0.00365552745244746</x:v>
      </x:c>
      <x:c r="J793" s="208" t="n">
        <x:f>'Beta HC3'!$E$13+'Beta HC3'!$E$12*I793</x:f>
        <x:v>0.004131878156075093</x:v>
      </x:c>
      <x:c r="K793" s="240" t="n">
        <x:f>H793-J793</x:f>
        <x:v>0.0007507028685318313</x:v>
      </x:c>
      <x:c r="L793" s="240" t="n">
        <x:f>I793-'Beta HC3'!$E$9</x:f>
        <x:v>0.003091579834787021</x:v>
      </x:c>
      <x:c r="M793" s="240" t="n">
        <x:f>1/'Beta HC3'!$E$8+L793^2/'Beta HC3'!$E$11</x:f>
        <x:v>0.0008621736895680366</x:v>
      </x:c>
      <x:c r="N793" s="240" t="n">
        <x:f>K793^2/(1-M793)^2</x:f>
        <x:v>5.645278192494236e-7</x:v>
      </x:c>
      <x:c r="O793" s="240" t="n">
        <x:f>N793*L793^2/'Beta HC3'!$E$11^2</x:f>
        <x:v>2.523254188901873e-10</x:v>
      </x:c>
      <x:c r="P793" s="240" t="n">
        <x:f>N793*(1/'Beta HC3'!$E$8-'Beta HC3'!$E$9*L793/'Beta HC3'!$E$11)^2</x:f>
        <x:v>3.477786636144225e-13</x:v>
      </x:c>
      <x:c r="Q793" s="240" t="n">
        <x:f>N793*(1/'Beta HC3'!$E$8-'Beta HC3'!$E$9*L793/'Beta HC3'!$E$11)*L793/'Beta HC3'!$E$11</x:f>
        <x:v>9.367678313092241e-12</x:v>
      </x:c>
      <x:c r="R793" s="240" t="n">
        <x:f>K793*L793/'Beta HC3'!$E$11</x:f>
        <x:v>0.000015871058873934253</x:v>
      </x:c>
      <x:c r="S793" s="240" t="n">
        <x:f>(K793-K792)^2</x:f>
        <x:v>0.000012597588891886423</x:v>
      </x:c>
      <x:c r="T793" s="280" t="n">
        <x:f>E793/$E$9*100</x:f>
        <x:v>145.34568938146856</x:v>
      </x:c>
    </x:row>
    <x:row r="794" ht="24" customHeight="1">
      <x:c r="C794" s="274" t="d">
        <x:v>2024-11-20T00:00:00.000Z</x:v>
      </x:c>
      <x:c r="D794" s="191" t="n">
        <x:v>415.489990234375</x:v>
      </x:c>
      <x:c r="E794" s="191" t="n">
        <x:v>409.028564453125</x:v>
      </x:c>
      <x:c r="F794" s="191" t="n">
        <x:v>590.5</x:v>
      </x:c>
      <x:c r="G794" s="191" t="n">
        <x:v>577.18017578125</x:v>
      </x:c>
      <x:c r="H794" s="208" t="n">
        <x:f>E794/E793-1</x:f>
        <x:v>-0.005505206072191515</x:v>
      </x:c>
      <x:c r="I794" s="208" t="n">
        <x:f>G794/G793-1</x:f>
        <x:v>0.000338717051515669</x:v>
      </x:c>
      <x:c r="J794" s="208" t="n">
        <x:f>'Beta HC3'!$E$13+'Beta HC3'!$E$12*I794</x:f>
        <x:v>0.0003911404660845106</x:v>
      </x:c>
      <x:c r="K794" s="240" t="n">
        <x:f>H794-J794</x:f>
        <x:v>-0.0058963465382760255</x:v>
      </x:c>
      <x:c r="L794" s="240" t="n">
        <x:f>I794-'Beta HC3'!$E$9</x:f>
        <x:v>-0.00022523056614477037</x:v>
      </x:c>
      <x:c r="M794" s="240" t="n">
        <x:f>1/'Beta HC3'!$E$8+L794^2/'Beta HC3'!$E$11</x:f>
        <x:v>0.00079715965516935</x:v>
      </x:c>
      <x:c r="N794" s="240" t="n">
        <x:f>K794^2/(1-M794)^2</x:f>
        <x:v>0.00003482239839326665</x:v>
      </x:c>
      <x:c r="O794" s="240" t="n">
        <x:f>N794*L794^2/'Beta HC3'!$E$11^2</x:f>
        <x:v>8.260913213728338e-11</x:v>
      </x:c>
      <x:c r="P794" s="240" t="n">
        <x:f>N794*(1/'Beta HC3'!$E$8-'Beta HC3'!$E$9*L794/'Beta HC3'!$E$11)^2</x:f>
        <x:v>2.2157337003383746e-11</x:v>
      </x:c>
      <x:c r="Q794" s="240" t="n">
        <x:f>N794*(1/'Beta HC3'!$E$8-'Beta HC3'!$E$9*L794/'Beta HC3'!$E$11)*L794/'Beta HC3'!$E$11</x:f>
        <x:v>-4.2783155333879317e-11</x:v>
      </x:c>
      <x:c r="R794" s="240" t="n">
        <x:f>K794*L794/'Beta HC3'!$E$11</x:f>
        <x:v>0.000009081711253821944</x:v>
      </x:c>
      <x:c r="S794" s="240" t="n">
        <x:f>(K794-K793)^2</x:f>
        <x:v>0.00004418326581654468</x:v>
      </x:c>
      <x:c r="T794" s="280" t="n">
        <x:f>E794/$E$9*100</x:f>
        <x:v>144.54553140971885</x:v>
      </x:c>
    </x:row>
    <x:row r="795" ht="24" customHeight="1">
      <x:c r="C795" s="274" t="d">
        <x:v>2024-11-21T00:00:00.000Z</x:v>
      </x:c>
      <x:c r="D795" s="191" t="n">
        <x:v>412.8699951171875</x:v>
      </x:c>
      <x:c r="E795" s="191" t="n">
        <x:v>407.26287841796875</x:v>
      </x:c>
      <x:c r="F795" s="191" t="n">
        <x:v>593.6699829101562</x:v>
      </x:c>
      <x:c r="G795" s="191" t="n">
        <x:v>580.2786865234375</x:v>
      </x:c>
      <x:c r="H795" s="208" t="n">
        <x:f>E795/E794-1</x:f>
        <x:v>-0.0043167792878157085</x:v>
      </x:c>
      <x:c r="I795" s="208" t="n">
        <x:f>G795/G794-1</x:f>
        <x:v>0.005368359607974105</x:v>
      </x:c>
      <x:c r="J795" s="208" t="n">
        <x:f>'Beta HC3'!$E$13+'Beta HC3'!$E$12*I795</x:f>
        <x:v>0.006063630359639802</x:v>
      </x:c>
      <x:c r="K795" s="240" t="n">
        <x:f>H795-J795</x:f>
        <x:v>-0.01038040964745551</x:v>
      </x:c>
      <x:c r="L795" s="240" t="n">
        <x:f>I795-'Beta HC3'!$E$9</x:f>
        <x:v>0.004804411990313665</x:v>
      </x:c>
      <x:c r="M795" s="240" t="n">
        <x:f>1/'Beta HC3'!$E$8+L795^2/'Beta HC3'!$E$11</x:f>
        <x:v>0.0009546602991029528</x:v>
      </x:c>
      <x:c r="N795" s="240" t="n">
        <x:f>K795^2/(1-M795)^2</x:f>
        <x:v>0.00010795893427474592</x:v>
      </x:c>
      <x:c r="O795" s="240" t="n">
        <x:f>N795*L795^2/'Beta HC3'!$E$11^2</x:f>
        <x:v>1.1653430646494471e-7</x:v>
      </x:c>
      <x:c r="P795" s="240" t="n">
        <x:f>N795*(1/'Beta HC3'!$E$8-'Beta HC3'!$E$9*L795/'Beta HC3'!$E$11)^2</x:f>
        <x:v>6.539360151245678e-11</x:v>
      </x:c>
      <x:c r="Q795" s="240" t="n">
        <x:f>N795*(1/'Beta HC3'!$E$8-'Beta HC3'!$E$9*L795/'Beta HC3'!$E$11)*L795/'Beta HC3'!$E$11</x:f>
        <x:v>2.760543062424332e-9</x:v>
      </x:c>
      <x:c r="R795" s="240" t="n">
        <x:f>K795*L795/'Beta HC3'!$E$11</x:f>
        <x:v>-0.0003410453215040738</x:v>
      </x:c>
      <x:c r="S795" s="240" t="n">
        <x:f>(K795-K794)^2</x:f>
        <x:v>0.00002010682196710438</x:v>
      </x:c>
      <x:c r="T795" s="280" t="n">
        <x:f>E795/$E$9*100</x:f>
        <x:v>143.92156025358304</x:v>
      </x:c>
    </x:row>
    <x:row r="796" ht="24" customHeight="1">
      <x:c r="C796" s="274" t="d">
        <x:v>2024-11-22T00:00:00.000Z</x:v>
      </x:c>
      <x:c r="D796" s="191" t="n">
        <x:v>417</x:v>
      </x:c>
      <x:c r="E796" s="191" t="n">
        <x:v>411.3367919921875</x:v>
      </x:c>
      <x:c r="F796" s="191" t="n">
        <x:v>595.510009765625</x:v>
      </x:c>
      <x:c r="G796" s="191" t="n">
        <x:v>582.0772705078125</x:v>
      </x:c>
      <x:c r="H796" s="208" t="n">
        <x:f>E796/E795-1</x:f>
        <x:v>0.01000315469468771</x:v>
      </x:c>
      <x:c r="I796" s="208" t="n">
        <x:f>G796/G795-1</x:f>
        <x:v>0.003099517569998378</x:v>
      </x:c>
      <x:c r="J796" s="208" t="n">
        <x:f>'Beta HC3'!$E$13+'Beta HC3'!$E$12*I796</x:f>
        <x:v>0.003504803686367626</x:v>
      </x:c>
      <x:c r="K796" s="240" t="n">
        <x:f>H796-J796</x:f>
        <x:v>0.0064983510083200845</x:v>
      </x:c>
      <x:c r="L796" s="240" t="n">
        <x:f>I796-'Beta HC3'!$E$9</x:f>
        <x:v>0.0025355699523379386</x:v>
      </x:c>
      <x:c r="M796" s="240" t="n">
        <x:f>1/'Beta HC3'!$E$8+L796^2/'Beta HC3'!$E$11</x:f>
        <x:v>0.0008407778985256506</x:v>
      </x:c>
      <x:c r="N796" s="240" t="n">
        <x:f>K796^2/(1-M796)^2</x:f>
        <x:v>0.00004229966517256943</x:v>
      </x:c>
      <x:c r="O796" s="240" t="n">
        <x:f>N796*L796^2/'Beta HC3'!$E$11^2</x:f>
        <x:v>1.2717532190570715e-8</x:v>
      </x:c>
      <x:c r="P796" s="240" t="n">
        <x:f>N796*(1/'Beta HC3'!$E$8-'Beta HC3'!$E$9*L796/'Beta HC3'!$E$11)^2</x:f>
        <x:v>2.6201382428609047e-11</x:v>
      </x:c>
      <x:c r="Q796" s="240" t="n">
        <x:f>N796*(1/'Beta HC3'!$E$8-'Beta HC3'!$E$9*L796/'Beta HC3'!$E$11)*L796/'Beta HC3'!$E$11</x:f>
        <x:v>5.772494473564176e-10</x:v>
      </x:c>
      <x:c r="R796" s="240" t="n">
        <x:f>K796*L796/'Beta HC3'!$E$11</x:f>
        <x:v>0.00011267722014990448</x:v>
      </x:c>
      <x:c r="S796" s="240" t="n">
        <x:f>(K796-K795)^2</x:f>
        <x:v>0.0002848925612749581</x:v>
      </x:c>
      <x:c r="T796" s="280" t="n">
        <x:f>E796/$E$9*100</x:f>
        <x:v>145.36122988470046</x:v>
      </x:c>
    </x:row>
    <x:row r="797" ht="24" customHeight="1">
      <x:c r="C797" s="274" t="d">
        <x:v>2024-11-25T00:00:00.000Z</x:v>
      </x:c>
      <x:c r="D797" s="191" t="n">
        <x:v>418.7900085449219</x:v>
      </x:c>
      <x:c r="E797" s="191" t="n">
        <x:v>413.1025085449219</x:v>
      </x:c>
      <x:c r="F797" s="191" t="n">
        <x:v>597.530029296875</x:v>
      </x:c>
      <x:c r="G797" s="191" t="n">
        <x:v>584.0516357421875</x:v>
      </x:c>
      <x:c r="H797" s="208" t="n">
        <x:f>E797/E796-1</x:f>
        <x:v>0.004292629755249022</x:v>
      </x:c>
      <x:c r="I797" s="208" t="n">
        <x:f>G797/G796-1</x:f>
        <x:v>0.0033919297907862855</x:v>
      </x:c>
      <x:c r="J797" s="208" t="n">
        <x:f>'Beta HC3'!$E$13+'Beta HC3'!$E$12*I797</x:f>
        <x:v>0.0038345896201695344</x:v>
      </x:c>
      <x:c r="K797" s="240" t="n">
        <x:f>H797-J797</x:f>
        <x:v>0.0004580401350794878</x:v>
      </x:c>
      <x:c r="L797" s="240" t="n">
        <x:f>I797-'Beta HC3'!$E$9</x:f>
        <x:v>0.0028279821731258463</x:v>
      </x:c>
      <x:c r="M797" s="240" t="n">
        <x:f>1/'Beta HC3'!$E$8+L797^2/'Beta HC3'!$E$11</x:f>
        <x:v>0.0008515030981969343</x:v>
      </x:c>
      <x:c r="N797" s="240" t="n">
        <x:f>K797^2/(1-M797)^2</x:f>
        <x:v>2.1015851421856211e-7</x:v>
      </x:c>
      <x:c r="O797" s="240" t="n">
        <x:f>N797*L797^2/'Beta HC3'!$E$11^2</x:f>
        <x:v>7.859864283559266e-11</x:v>
      </x:c>
      <x:c r="P797" s="240" t="n">
        <x:f>N797*(1/'Beta HC3'!$E$8-'Beta HC3'!$E$9*L797/'Beta HC3'!$E$11)^2</x:f>
        <x:v>1.2980422345082334e-13</x:v>
      </x:c>
      <x:c r="Q797" s="240" t="n">
        <x:f>N797*(1/'Beta HC3'!$E$8-'Beta HC3'!$E$9*L797/'Beta HC3'!$E$11)*L797/'Beta HC3'!$E$11</x:f>
        <x:v>3.194125200671183e-12</x:v>
      </x:c>
      <x:c r="R797" s="240" t="n">
        <x:f>K797*L797/'Beta HC3'!$E$11</x:f>
        <x:v>0.000008858038487631053</x:v>
      </x:c>
      <x:c r="S797" s="240" t="n">
        <x:f>(K797-K796)^2</x:f>
        <x:v>0.00003648535544538858</x:v>
      </x:c>
      <x:c r="T797" s="280" t="n">
        <x:f>E797/$E$9*100</x:f>
        <x:v>145.98521182536314</x:v>
      </x:c>
    </x:row>
    <x:row r="798" ht="24" customHeight="1">
      <x:c r="C798" s="274" t="d">
        <x:v>2024-11-26T00:00:00.000Z</x:v>
      </x:c>
      <x:c r="D798" s="191" t="n">
        <x:v>427.989990234375</x:v>
      </x:c>
      <x:c r="E798" s="191" t="n">
        <x:v>422.1775207519531</x:v>
      </x:c>
      <x:c r="F798" s="191" t="n">
        <x:v>600.6500244140625</x:v>
      </x:c>
      <x:c r="G798" s="191" t="n">
        <x:v>587.1012573242188</x:v>
      </x:c>
      <x:c r="H798" s="208" t="n">
        <x:f>E798/E797-1</x:f>
        <x:v>0.021967942627596937</x:v>
      </x:c>
      <x:c r="I798" s="208" t="n">
        <x:f>G798/G797-1</x:f>
        <x:v>0.005221493093082286</x:v>
      </x:c>
      <x:c r="J798" s="208" t="n">
        <x:f>'Beta HC3'!$E$13+'Beta HC3'!$E$12*I798</x:f>
        <x:v>0.005897992580796895</x:v>
      </x:c>
      <x:c r="K798" s="240" t="n">
        <x:f>H798-J798</x:f>
        <x:v>0.016069950046800043</x:v>
      </x:c>
      <x:c r="L798" s="240" t="n">
        <x:f>I798-'Beta HC3'!$E$9</x:f>
        <x:v>0.004657545475421846</x:v>
      </x:c>
      <x:c r="M798" s="240" t="n">
        <x:f>1/'Beta HC3'!$E$8+L798^2/'Beta HC3'!$E$11</x:f>
        <x:v>0.0009451572900687958</x:v>
      </x:c>
      <x:c r="N798" s="240" t="n">
        <x:f>K798^2/(1-M798)^2</x:f>
        <x:v>0.00025873214852816304</x:v>
      </x:c>
      <x:c r="O798" s="240" t="n">
        <x:f>N798*L798^2/'Beta HC3'!$E$11^2</x:f>
        <x:v>2.624697911493504e-7</x:v>
      </x:c>
      <x:c r="P798" s="240" t="n">
        <x:f>N798*(1/'Beta HC3'!$E$8-'Beta HC3'!$E$9*L798/'Beta HC3'!$E$11)^2</x:f>
        <x:v>1.569491420741304e-10</x:v>
      </x:c>
      <x:c r="Q798" s="240" t="n">
        <x:f>N798*(1/'Beta HC3'!$E$8-'Beta HC3'!$E$9*L798/'Beta HC3'!$E$11)*L798/'Beta HC3'!$E$11</x:f>
        <x:v>6.418287041046602e-9</x:v>
      </x:c>
      <x:c r="R798" s="240" t="n">
        <x:f>K798*L798/'Beta HC3'!$E$11</x:f>
        <x:v>0.0005118338354841475</x:v>
      </x:c>
      <x:c r="S798" s="240" t="n">
        <x:f>(K798-K797)^2</x:f>
        <x:v>0.0002437317310916785</x:v>
      </x:c>
      <x:c r="T798" s="280" t="n">
        <x:f>E798/$E$9*100</x:f>
        <x:v>149.19220658322033</x:v>
      </x:c>
    </x:row>
    <x:row r="799" ht="24" customHeight="1">
      <x:c r="C799" s="274" t="d">
        <x:v>2024-11-27T00:00:00.000Z</x:v>
      </x:c>
      <x:c r="D799" s="191" t="n">
        <x:v>422.989990234375</x:v>
      </x:c>
      <x:c r="E799" s="191" t="n">
        <x:v>417.2454528808594</x:v>
      </x:c>
      <x:c r="F799" s="191" t="n">
        <x:v>598.8300170898438</x:v>
      </x:c>
      <x:c r="G799" s="191" t="n">
        <x:v>585.322265625</x:v>
      </x:c>
      <x:c r="H799" s="208" t="n">
        <x:f>E799/E798-1</x:f>
        <x:v>-0.01168245022214609</x:v>
      </x:c>
      <x:c r="I799" s="208" t="n">
        <x:f>G799/G798-1</x:f>
        <x:v>-0.0030301275581092746</x:v>
      </x:c>
      <x:c r="J799" s="208" t="n">
        <x:f>'Beta HC3'!$E$13+'Beta HC3'!$E$12*I799</x:f>
        <x:v>-0.0034082820150453637</x:v>
      </x:c>
      <x:c r="K799" s="240" t="n">
        <x:f>H799-J799</x:f>
        <x:v>-0.008274168207100727</x:v>
      </x:c>
      <x:c r="L799" s="240" t="n">
        <x:f>I799-'Beta HC3'!$E$9</x:f>
        <x:v>-0.003594075175769714</x:v>
      </x:c>
      <x:c r="M799" s="240" t="n">
        <x:f>1/'Beta HC3'!$E$8+L799^2/'Beta HC3'!$E$11</x:f>
        <x:v>0.0008851475174718891</x:v>
      </x:c>
      <x:c r="N799" s="240" t="n">
        <x:f>K799^2/(1-M799)^2</x:f>
        <x:v>0.00006858321831626207</x:v>
      </x:c>
      <x:c r="O799" s="240" t="n">
        <x:f>N799*L799^2/'Beta HC3'!$E$11^2</x:f>
        <x:v>4.1429233404401274e-8</x:v>
      </x:c>
      <x:c r="P799" s="240" t="n">
        <x:f>N799*(1/'Beta HC3'!$E$8-'Beta HC3'!$E$9*L799/'Beta HC3'!$E$11)^2</x:f>
        <x:v>4.507229739914293e-11</x:v>
      </x:c>
      <x:c r="Q799" s="240" t="n">
        <x:f>N799*(1/'Beta HC3'!$E$8-'Beta HC3'!$E$9*L799/'Beta HC3'!$E$11)*L799/'Beta HC3'!$E$11</x:f>
        <x:v>-1.3664957844873438e-9</x:v>
      </x:c>
      <x:c r="R799" s="240" t="n">
        <x:f>K799*L799/'Beta HC3'!$E$11</x:f>
        <x:v>0.00020336155953727732</x:v>
      </x:c>
      <x:c r="S799" s="240" t="n">
        <x:f>(K799-K798)^2</x:f>
        <x:v>0.0005926360935599046</x:v>
      </x:c>
      <x:c r="T799" s="280" t="n">
        <x:f>E799/$E$9*100</x:f>
        <x:v>147.4492760562797</x:v>
      </x:c>
    </x:row>
    <x:row r="800" ht="24" customHeight="1">
      <x:c r="C800" s="274" t="d">
        <x:v>2024-11-29T00:00:00.000Z</x:v>
      </x:c>
      <x:c r="D800" s="191" t="n">
        <x:v>423.4599914550781</x:v>
      </x:c>
      <x:c r="E800" s="191" t="n">
        <x:v>417.70904541015625</x:v>
      </x:c>
      <x:c r="F800" s="191" t="n">
        <x:v>602.5499877929688</x:v>
      </x:c>
      <x:c r="G800" s="191" t="n">
        <x:v>588.9584350585938</x:v>
      </x:c>
      <x:c r="H800" s="208" t="n">
        <x:f>E800/E799-1</x:f>
        <x:v>0.0011110786854500176</x:v>
      </x:c>
      <x:c r="I800" s="208" t="n">
        <x:f>G800/G799-1</x:f>
        <x:v>0.006212252031299492</x:v>
      </x:c>
      <x:c r="J800" s="208" t="n">
        <x:f>'Beta HC3'!$E$13+'Beta HC3'!$E$12*I800</x:f>
        <x:v>0.007015382136993108</x:v>
      </x:c>
      <x:c r="K800" s="240" t="n">
        <x:f>H800-J800</x:f>
        <x:v>-0.005904303451543091</x:v>
      </x:c>
      <x:c r="L800" s="240" t="n">
        <x:f>I800-'Beta HC3'!$E$9</x:f>
        <x:v>0.0056483044136390525</x:v>
      </x:c>
      <x:c r="M800" s="240" t="n">
        <x:f>1/'Beta HC3'!$E$8+L800^2/'Beta HC3'!$E$11</x:f>
        <x:v>0.0010149820052503145</x:v>
      </x:c>
      <x:c r="N800" s="240" t="n">
        <x:f>K800^2/(1-M800)^2</x:f>
        <x:v>0.000034931673301324804</x:v>
      </x:c>
      <x:c r="O800" s="240" t="n">
        <x:f>N800*L800^2/'Beta HC3'!$E$11^2</x:f>
        <x:v>5.211590722196057e-8</x:v>
      </x:c>
      <x:c r="P800" s="240" t="n">
        <x:f>N800*(1/'Beta HC3'!$E$8-'Beta HC3'!$E$9*L800/'Beta HC3'!$E$11)^2</x:f>
        <x:v>2.0982456461147974e-11</x:v>
      </x:c>
      <x:c r="Q800" s="240" t="n">
        <x:f>N800*(1/'Beta HC3'!$E$8-'Beta HC3'!$E$9*L800/'Beta HC3'!$E$11)*L800/'Beta HC3'!$E$11</x:f>
        <x:v>1.0457149488354916e-9</x:v>
      </x:c>
      <x:c r="R800" s="240" t="n">
        <x:f>K800*L800/'Beta HC3'!$E$11</x:f>
        <x:v>-0.00022805737763802376</x:v>
      </x:c>
      <x:c r="S800" s="240" t="n">
        <x:f>(K800-K799)^2</x:f>
        <x:v>0.000005616258959634256</x:v>
      </x:c>
      <x:c r="T800" s="280" t="n">
        <x:f>E800/$E$9*100</x:f>
        <x:v>147.61310380409088</x:v>
      </x:c>
    </x:row>
    <x:row r="801" ht="24" customHeight="1">
      <x:c r="C801" s="274" t="d">
        <x:v>2024-12-02T00:00:00.000Z</x:v>
      </x:c>
      <x:c r="D801" s="191" t="n">
        <x:v>430.9800109863281</x:v>
      </x:c>
      <x:c r="E801" s="191" t="n">
        <x:v>425.1269836425781</x:v>
      </x:c>
      <x:c r="F801" s="191" t="n">
        <x:v>603.6300048828125</x:v>
      </x:c>
      <x:c r="G801" s="191" t="n">
        <x:v>590.0140380859375</x:v>
      </x:c>
      <x:c r="H801" s="208" t="n">
        <x:f>E801/E800-1</x:f>
        <x:v>0.017758624846483828</x:v>
      </x:c>
      <x:c r="I801" s="208" t="n">
        <x:f>G801/G800-1</x:f>
        <x:v>0.001792321774351846</x:v>
      </x:c>
      <x:c r="J801" s="208" t="n">
        <x:f>'Beta HC3'!$E$13+'Beta HC3'!$E$12*I801</x:f>
        <x:v>0.002030532929257573</x:v>
      </x:c>
      <x:c r="K801" s="240" t="n">
        <x:f>H801-J801</x:f>
        <x:v>0.015728091917226256</x:v>
      </x:c>
      <x:c r="L801" s="240" t="n">
        <x:f>I801-'Beta HC3'!$E$9</x:f>
        <x:v>0.0012283741566914068</x:v>
      </x:c>
      <x:c r="M801" s="240" t="n">
        <x:f>1/'Beta HC3'!$E$8+L801^2/'Beta HC3'!$E$11</x:f>
        <x:v>0.0008071312997233376</x:v>
      </x:c>
      <x:c r="N801" s="240" t="n">
        <x:f>K801^2/(1-M801)^2</x:f>
        <x:v>0.00024777268411963225</x:v>
      </x:c>
      <x:c r="O801" s="240" t="n">
        <x:f>N801*L801^2/'Beta HC3'!$E$11^2</x:f>
        <x:v>1.7483544779330626e-8</x:v>
      </x:c>
      <x:c r="P801" s="240" t="n">
        <x:f>N801*(1/'Beta HC3'!$E$8-'Beta HC3'!$E$9*L801/'Beta HC3'!$E$11)^2</x:f>
        <x:v>1.554485154678794e-10</x:v>
      </x:c>
      <x:c r="Q801" s="240" t="n">
        <x:f>N801*(1/'Beta HC3'!$E$8-'Beta HC3'!$E$9*L801/'Beta HC3'!$E$11)*L801/'Beta HC3'!$E$11</x:f>
        <x:v>1.6485724373114876e-9</x:v>
      </x:c>
      <x:c r="R801" s="240" t="n">
        <x:f>K801*L801/'Beta HC3'!$E$11</x:f>
        <x:v>0.00013211863281435376</x:v>
      </x:c>
      <x:c r="S801" s="240" t="n">
        <x:f>(K801-K800)^2</x:f>
        <x:v>0.0004679605293907535</x:v>
      </x:c>
      <x:c r="T801" s="280" t="n">
        <x:f>E801/$E$9*100</x:f>
        <x:v>150.2345095369728</x:v>
      </x:c>
    </x:row>
    <x:row r="802" ht="24" customHeight="1">
      <x:c r="C802" s="274" t="d">
        <x:v>2024-12-03T00:00:00.000Z</x:v>
      </x:c>
      <x:c r="D802" s="191" t="n">
        <x:v>431.20001220703125</x:v>
      </x:c>
      <x:c r="E802" s="191" t="n">
        <x:v>425.3439636230469</x:v>
      </x:c>
      <x:c r="F802" s="191" t="n">
        <x:v>603.9099731445312</x:v>
      </x:c>
      <x:c r="G802" s="191" t="n">
        <x:v>590.2876586914062</x:v>
      </x:c>
      <x:c r="H802" s="208" t="n">
        <x:f>E802/E801-1</x:f>
        <x:v>0.0005103886340256381</x:v>
      </x:c>
      <x:c r="I802" s="208" t="n">
        <x:f>G802/G801-1</x:f>
        <x:v>0.00046375270384491074</x:v>
      </x:c>
      <x:c r="J802" s="208" t="n">
        <x:f>'Beta HC3'!$E$13+'Beta HC3'!$E$12*I802</x:f>
        <x:v>0.0005321571419635887</x:v>
      </x:c>
      <x:c r="K802" s="240" t="n">
        <x:f>H802-J802</x:f>
        <x:v>-0.000021768507937950624</x:v>
      </x:c>
      <x:c r="L802" s="240" t="n">
        <x:f>I802-'Beta HC3'!$E$9</x:f>
        <x:v>-0.00010019491381552863</x:v>
      </x:c>
      <x:c r="M802" s="240" t="n">
        <x:f>1/'Beta HC3'!$E$8+L802^2/'Beta HC3'!$E$11</x:f>
        <x:v>0.0007968814002957523</x:v>
      </x:c>
      <x:c r="N802" s="240" t="n">
        <x:f>K802^2/(1-M802)^2</x:f>
        <x:v>4.746240746432871e-10</x:v>
      </x:c>
      <x:c r="O802" s="240" t="n">
        <x:f>N802*L802^2/'Beta HC3'!$E$11^2</x:f>
        <x:v>2.228208560109496e-16</x:v>
      </x:c>
      <x:c r="P802" s="240" t="n">
        <x:f>N802*(1/'Beta HC3'!$E$8-'Beta HC3'!$E$9*L802/'Beta HC3'!$E$11)^2</x:f>
        <x:v>3.0163617214221697e-16</x:v>
      </x:c>
      <x:c r="Q802" s="240" t="n">
        <x:f>N802*(1/'Beta HC3'!$E$8-'Beta HC3'!$E$9*L802/'Beta HC3'!$E$11)*L802/'Beta HC3'!$E$11</x:f>
        <x:v>-2.592505160662075e-16</x:v>
      </x:c>
      <x:c r="R802" s="240" t="n">
        <x:f>K802*L802/'Beta HC3'!$E$11</x:f>
        <x:v>1.4915289937347373e-8</x:v>
      </x:c>
      <x:c r="S802" s="240" t="n">
        <x:f>(K802-K801)^2</x:f>
        <x:v>0.0002480581034121536</x:v>
      </x:c>
      <x:c r="T802" s="280" t="n">
        <x:f>E802/$E$9*100</x:f>
        <x:v>150.31118752307887</x:v>
      </x:c>
    </x:row>
    <x:row r="803" ht="24" customHeight="1">
      <x:c r="C803" s="274" t="d">
        <x:v>2024-12-04T00:00:00.000Z</x:v>
      </x:c>
      <x:c r="D803" s="191" t="n">
        <x:v>437.4200134277344</x:v>
      </x:c>
      <x:c r="E803" s="191" t="n">
        <x:v>431.4794921875</x:v>
      </x:c>
      <x:c r="F803" s="191" t="n">
        <x:v>607.6599731445312</x:v>
      </x:c>
      <x:c r="G803" s="191" t="n">
        <x:v>593.9531860351562</x:v>
      </x:c>
      <x:c r="H803" s="208" t="n">
        <x:f>E803/E802-1</x:f>
        <x:v>0.014424863379254749</x:v>
      </x:c>
      <x:c r="I803" s="208" t="n">
        <x:f>G803/G802-1</x:f>
        <x:v>0.0062097306114716755</x:v>
      </x:c>
      <x:c r="J803" s="208" t="n">
        <x:f>'Beta HC3'!$E$13+'Beta HC3'!$E$12*I803</x:f>
        <x:v>0.007012538450124678</x:v>
      </x:c>
      <x:c r="K803" s="240" t="n">
        <x:f>H803-J803</x:f>
        <x:v>0.007412324929130071</x:v>
      </x:c>
      <x:c r="L803" s="240" t="n">
        <x:f>I803-'Beta HC3'!$E$9</x:f>
        <x:v>0.005645782993811236</x:v>
      </x:c>
      <x:c r="M803" s="240" t="n">
        <x:f>1/'Beta HC3'!$E$8+L803^2/'Beta HC3'!$E$11</x:f>
        <x:v>0.0010147872659211506</x:v>
      </x:c>
      <x:c r="N803" s="240" t="n">
        <x:f>K803^2/(1-M803)^2</x:f>
        <x:v>0.0000550542408456107</x:v>
      </x:c>
      <x:c r="O803" s="240" t="n">
        <x:f>N803*L803^2/'Beta HC3'!$E$11^2</x:f>
        <x:v>8.206422334337392e-8</x:v>
      </x:c>
      <x:c r="P803" s="240" t="n">
        <x:f>N803*(1/'Beta HC3'!$E$8-'Beta HC3'!$E$9*L803/'Beta HC3'!$E$11)^2</x:f>
        <x:v>3.307033672673692e-11</x:v>
      </x:c>
      <x:c r="Q803" s="240" t="n">
        <x:f>N803*(1/'Beta HC3'!$E$8-'Beta HC3'!$E$9*L803/'Beta HC3'!$E$11)*L803/'Beta HC3'!$E$11</x:f>
        <x:v>1.6473892980056417e-9</x:v>
      </x:c>
      <x:c r="R803" s="240" t="n">
        <x:f>K803*L803/'Beta HC3'!$E$11</x:f>
        <x:v>0.00028617783351419715</x:v>
      </x:c>
      <x:c r="S803" s="240" t="n">
        <x:f>(K803-K802)^2</x:f>
        <x:v>0.00005526574523105783</x:v>
      </x:c>
      <x:c r="T803" s="280" t="n">
        <x:f>E803/$E$9*100</x:f>
        <x:v>152.47940586747285</x:v>
      </x:c>
    </x:row>
    <x:row r="804" ht="24" customHeight="1">
      <x:c r="C804" s="274" t="d">
        <x:v>2024-12-05T00:00:00.000Z</x:v>
      </x:c>
      <x:c r="D804" s="191" t="n">
        <x:v>442.6199951171875</x:v>
      </x:c>
      <x:c r="E804" s="191" t="n">
        <x:v>436.6088562011719</x:v>
      </x:c>
      <x:c r="F804" s="191" t="n">
        <x:v>606.6599731445312</x:v>
      </x:c>
      <x:c r="G804" s="191" t="n">
        <x:v>592.9757080078125</x:v>
      </x:c>
      <x:c r="H804" s="208" t="n">
        <x:f>E804/E803-1</x:f>
        <x:v>0.011887851234057889</x:v>
      </x:c>
      <x:c r="I804" s="208" t="n">
        <x:f>G804/G803-1</x:f>
        <x:v>-0.00164571560575133</x:v>
      </x:c>
      <x:c r="J804" s="208" t="n">
        <x:f>'Beta HC3'!$E$13+'Beta HC3'!$E$12*I804</x:f>
        <x:v>-0.0018469259703332653</x:v>
      </x:c>
      <x:c r="K804" s="240" t="n">
        <x:f>H804-J804</x:f>
        <x:v>0.013734777204391153</x:v>
      </x:c>
      <x:c r="L804" s="240" t="n">
        <x:f>I804-'Beta HC3'!$E$9</x:f>
        <x:v>-0.0022096632234117693</x:v>
      </x:c>
      <x:c r="M804" s="240" t="n">
        <x:f>1/'Beta HC3'!$E$8+L804^2/'Beta HC3'!$E$11</x:f>
        <x:v>0.0008302022198552748</x:v>
      </x:c>
      <x:c r="N804" s="240" t="n">
        <x:f>K804^2/(1-M804)^2</x:f>
        <x:v>0.0001889577208564787</x:v>
      </x:c>
      <x:c r="O804" s="240" t="n">
        <x:f>N804*L804^2/'Beta HC3'!$E$11^2</x:f>
        <x:v>4.3145105959838364e-8</x:v>
      </x:c>
      <x:c r="P804" s="240" t="n">
        <x:f>N804*(1/'Beta HC3'!$E$8-'Beta HC3'!$E$9*L804/'Beta HC3'!$E$11)^2</x:f>
        <x:v>1.225510708741808e-10</x:v>
      </x:c>
      <x:c r="Q804" s="240" t="n">
        <x:f>N804*(1/'Beta HC3'!$E$8-'Beta HC3'!$E$9*L804/'Beta HC3'!$E$11)*L804/'Beta HC3'!$E$11</x:f>
        <x:v>-2.299451877808751e-9</x:v>
      </x:c>
      <x:c r="R804" s="240" t="n">
        <x:f>K804*L804/'Beta HC3'!$E$11</x:f>
        <x:v>-0.00020754155577016204</x:v>
      </x:c>
      <x:c r="S804" s="240" t="n">
        <x:f>(K804-K803)^2</x:f>
        <x:v>0.00003997340277295404</x:v>
      </x:c>
      <x:c r="T804" s="280" t="n">
        <x:f>E804/$E$9*100</x:f>
        <x:v>154.2920583606829</x:v>
      </x:c>
    </x:row>
    <x:row r="805" ht="24" customHeight="1">
      <x:c r="C805" s="274" t="d">
        <x:v>2024-12-06T00:00:00.000Z</x:v>
      </x:c>
      <x:c r="D805" s="191" t="n">
        <x:v>443.57000732421875</x:v>
      </x:c>
      <x:c r="E805" s="191" t="n">
        <x:v>437.5459289550781</x:v>
      </x:c>
      <x:c r="F805" s="191" t="n">
        <x:v>607.8099975585938</x:v>
      </x:c>
      <x:c r="G805" s="191" t="n">
        <x:v>594.099853515625</x:v>
      </x:c>
      <x:c r="H805" s="208" t="n">
        <x:f>E805/E804-1</x:f>
        <x:v>0.0021462522818695984</x:v>
      </x:c>
      <x:c r="I805" s="208" t="n">
        <x:f>G805/G804-1</x:f>
        <x:v>0.0018957699154138474</x:v>
      </x:c>
      <x:c r="J805" s="208" t="n">
        <x:f>'Beta HC3'!$E$13+'Beta HC3'!$E$12*I805</x:f>
        <x:v>0.0021472029566192152</x:v>
      </x:c>
      <x:c r="K805" s="240" t="n">
        <x:f>H805-J805</x:f>
        <x:v>-9.506747496168533e-7</x:v>
      </x:c>
      <x:c r="L805" s="240" t="n">
        <x:f>I805-'Beta HC3'!$E$9</x:f>
        <x:v>0.0013318222977534082</x:v>
      </x:c>
      <x:c r="M805" s="240" t="n">
        <x:f>1/'Beta HC3'!$E$8+L805^2/'Beta HC3'!$E$11</x:f>
        <x:v>0.0008089424452356883</x:v>
      </x:c>
      <x:c r="N805" s="240" t="n">
        <x:f>K805^2/(1-M805)^2</x:f>
        <x:v>9.052464717655694e-13</x:v>
      </x:c>
      <x:c r="O805" s="240" t="n">
        <x:f>N805*L805^2/'Beta HC3'!$E$11^2</x:f>
        <x:v>7.508862072956772e-17</x:v>
      </x:c>
      <x:c r="P805" s="240" t="n">
        <x:f>N805*(1/'Beta HC3'!$E$8-'Beta HC3'!$E$9*L805/'Beta HC3'!$E$11)^2</x:f>
        <x:v>5.673648096353593e-19</x:v>
      </x:c>
      <x:c r="Q805" s="240" t="n">
        <x:f>N805*(1/'Beta HC3'!$E$8-'Beta HC3'!$E$9*L805/'Beta HC3'!$E$11)*L805/'Beta HC3'!$E$11</x:f>
        <x:v>6.527069863730041e-18</x:v>
      </x:c>
      <x:c r="R805" s="240" t="n">
        <x:f>K805*L805/'Beta HC3'!$E$11</x:f>
        <x:v>-8.658359262685185e-9</x:v>
      </x:c>
      <x:c r="S805" s="240" t="n">
        <x:f>(K805-K804)^2</x:f>
        <x:v>0.000188670220369805</x:v>
      </x:c>
      <x:c r="T805" s="280" t="n">
        <x:f>E805/$E$9*100</x:f>
        <x:v>154.62320804301385</x:v>
      </x:c>
    </x:row>
    <x:row r="806" ht="24" customHeight="1">
      <x:c r="C806" s="274" t="d">
        <x:v>2024-12-09T00:00:00.000Z</x:v>
      </x:c>
      <x:c r="D806" s="191" t="n">
        <x:v>446.0199890136719</x:v>
      </x:c>
      <x:c r="E806" s="191" t="n">
        <x:v>439.9626159667969</x:v>
      </x:c>
      <x:c r="F806" s="191" t="n">
        <x:v>604.6799926757812</x:v>
      </x:c>
      <x:c r="G806" s="191" t="n">
        <x:v>591.0403442382812</x:v>
      </x:c>
      <x:c r="H806" s="208" t="n">
        <x:f>E806/E805-1</x:f>
        <x:v>0.005523276190662285</x:v>
      </x:c>
      <x:c r="I806" s="208" t="n">
        <x:f>G806/G805-1</x:f>
        <x:v>-0.0051498233154559925</x:v>
      </x:c>
      <x:c r="J806" s="208" t="n">
        <x:f>'Beta HC3'!$E$13+'Beta HC3'!$E$12*I806</x:f>
        <x:v>-0.005798899762925207</x:v>
      </x:c>
      <x:c r="K806" s="240" t="n">
        <x:f>H806-J806</x:f>
        <x:v>0.011322175953587492</x:v>
      </x:c>
      <x:c r="L806" s="240" t="n">
        <x:f>I806-'Beta HC3'!$E$9</x:f>
        <x:v>-0.005713770933116432</x:v>
      </x:c>
      <x:c r="M806" s="240" t="n">
        <x:f>1/'Beta HC3'!$E$8+L806^2/'Beta HC3'!$E$11</x:f>
        <x:v>0.0010200686836266048</x:v>
      </x:c>
      <x:c r="N806" s="240" t="n">
        <x:f>K806^2/(1-M806)^2</x:f>
        <x:v>0.0001284535976473916</x:v>
      </x:c>
      <x:c r="O806" s="240" t="n">
        <x:f>N806*L806^2/'Beta HC3'!$E$11^2</x:f>
        <x:v>1.9611311856007757e-7</x:v>
      </x:c>
      <x:c r="P806" s="240" t="n">
        <x:f>N806*(1/'Beta HC3'!$E$8-'Beta HC3'!$E$9*L806/'Beta HC3'!$E$11)^2</x:f>
        <x:v>8.612969487126617e-11</x:v>
      </x:c>
      <x:c r="Q806" s="240" t="n">
        <x:f>N806*(1/'Beta HC3'!$E$8-'Beta HC3'!$E$9*L806/'Beta HC3'!$E$11)*L806/'Beta HC3'!$E$11</x:f>
        <x:v>-4.109886015673905e-9</x:v>
      </x:c>
      <x:c r="R806" s="240" t="n">
        <x:f>K806*L806/'Beta HC3'!$E$11</x:f>
        <x:v>-0.00044239487443036946</x:v>
      </x:c>
      <x:c r="S806" s="240" t="n">
        <x:f>(K806-K805)^2</x:f>
        <x:v>0.0001282131966413569</x:v>
      </x:c>
      <x:c r="T806" s="280" t="n">
        <x:f>E806/$E$9*100</x:f>
        <x:v>155.47723472652166</x:v>
      </x:c>
    </x:row>
    <x:row r="807" ht="24" customHeight="1">
      <x:c r="C807" s="274" t="d">
        <x:v>2024-12-10T00:00:00.000Z</x:v>
      </x:c>
      <x:c r="D807" s="191" t="n">
        <x:v>443.3299865722656</x:v>
      </x:c>
      <x:c r="E807" s="191" t="n">
        <x:v>437.3092041015625</x:v>
      </x:c>
      <x:c r="F807" s="191" t="n">
        <x:v>602.7999877929688</x:v>
      </x:c>
      <x:c r="G807" s="191" t="n">
        <x:v>589.2028198242188</x:v>
      </x:c>
      <x:c r="H807" s="208" t="n">
        <x:f>E807/E806-1</x:f>
        <x:v>-0.0060309939275263735</x:v>
      </x:c>
      <x:c r="I807" s="208" t="n">
        <x:f>G807/G806-1</x:f>
        <x:v>-0.0031089661339965824</x:v>
      </x:c>
      <x:c r="J807" s="208" t="n">
        <x:f>'Beta HC3'!$E$13+'Beta HC3'!$E$12*I807</x:f>
        <x:v>-0.0034971970860316294</x:v>
      </x:c>
      <x:c r="K807" s="240" t="n">
        <x:f>H807-J807</x:f>
        <x:v>-0.002533796841494744</x:v>
      </x:c>
      <x:c r="L807" s="240" t="n">
        <x:f>I807-'Beta HC3'!$E$9</x:f>
        <x:v>-0.0036729137516570217</x:v>
      </x:c>
      <x:c r="M807" s="240" t="n">
        <x:f>1/'Beta HC3'!$E$8+L807^2/'Beta HC3'!$E$11</x:f>
        <x:v>0.0008890653929673189</x:v>
      </x:c>
      <x:c r="N807" s="240" t="n">
        <x:f>K807^2/(1-M807)^2</x:f>
        <x:v>0.000006431557500619329</x:v>
      </x:c>
      <x:c r="O807" s="240" t="n">
        <x:f>N807*L807^2/'Beta HC3'!$E$11^2</x:f>
        <x:v>4.057442183481105e-9</x:v>
      </x:c>
      <x:c r="P807" s="240" t="n">
        <x:f>N807*(1/'Beta HC3'!$E$8-'Beta HC3'!$E$9*L807/'Beta HC3'!$E$11)^2</x:f>
        <x:v>4.22993500456913e-12</x:v>
      </x:c>
      <x:c r="Q807" s="240" t="n">
        <x:f>N807*(1/'Beta HC3'!$E$8-'Beta HC3'!$E$9*L807/'Beta HC3'!$E$11)*L807/'Beta HC3'!$E$11</x:f>
        <x:v>-1.3100655220607147e-10</x:v>
      </x:c>
      <x:c r="R807" s="240" t="n">
        <x:f>K807*L807/'Beta HC3'!$E$11</x:f>
        <x:v>0.00006364142304958338</x:v>
      </x:c>
      <x:c r="S807" s="240" t="n">
        <x:f>(K807-K806)^2</x:f>
        <x:v>0.00019198798209805906</x:v>
      </x:c>
      <x:c r="T807" s="280" t="n">
        <x:f>E807/$E$9*100</x:f>
        <x:v>154.5395524680174</x:v>
      </x:c>
    </x:row>
    <x:row r="808" ht="24" customHeight="1">
      <x:c r="C808" s="274" t="d">
        <x:v>2024-12-11T00:00:00.000Z</x:v>
      </x:c>
      <x:c r="D808" s="191" t="n">
        <x:v>448.989990234375</x:v>
      </x:c>
      <x:c r="E808" s="191" t="n">
        <x:v>442.8924255371094</x:v>
      </x:c>
      <x:c r="F808" s="191" t="n">
        <x:v>607.4600219726562</x:v>
      </x:c>
      <x:c r="G808" s="191" t="n">
        <x:v>593.757568359375</x:v>
      </x:c>
      <x:c r="H808" s="208" t="n">
        <x:f>E808/E807-1</x:f>
        <x:v>0.01276721684149651</x:v>
      </x:c>
      <x:c r="I808" s="208" t="n">
        <x:f>G808/G807-1</x:f>
        <x:v>0.007730357666168475</x:v>
      </x:c>
      <x:c r="J808" s="208" t="n">
        <x:f>'Beta HC3'!$E$13+'Beta HC3'!$E$12*I808</x:f>
        <x:v>0.008727519485617598</x:v>
      </x:c>
      <x:c r="K808" s="240" t="n">
        <x:f>H808-J808</x:f>
        <x:v>0.0040396973558789115</x:v>
      </x:c>
      <x:c r="L808" s="240" t="n">
        <x:f>I808-'Beta HC3'!$E$9</x:f>
        <x:v>0.007166410048508035</x:v>
      </x:c>
      <x:c r="M808" s="240" t="n">
        <x:f>1/'Beta HC3'!$E$8+L808^2/'Beta HC3'!$E$11</x:f>
        <x:v>0.001148017732281285</x:v>
      </x:c>
      <x:c r="N808" s="240" t="n">
        <x:f>K808^2/(1-M808)^2</x:f>
        <x:v>0.000016356688707238283</x:v>
      </x:c>
      <x:c r="O808" s="240" t="n">
        <x:f>N808*L808^2/'Beta HC3'!$E$11^2</x:f>
        <x:v>3.9283793495036633e-8</x:v>
      </x:c>
      <x:c r="P808" s="240" t="n">
        <x:f>N808*(1/'Beta HC3'!$E$8-'Beta HC3'!$E$9*L808/'Beta HC3'!$E$11)^2</x:f>
        <x:v>9.677118519058372e-12</x:v>
      </x:c>
      <x:c r="Q808" s="240" t="n">
        <x:f>N808*(1/'Beta HC3'!$E$8-'Beta HC3'!$E$9*L808/'Beta HC3'!$E$11)*L808/'Beta HC3'!$E$11</x:f>
        <x:v>6.165662377471571e-10</x:v>
      </x:c>
      <x:c r="R808" s="240" t="n">
        <x:f>K808*L808/'Beta HC3'!$E$11</x:f>
        <x:v>0.00019797385758189755</x:v>
      </x:c>
      <x:c r="S808" s="240" t="n">
        <x:f>(K808-K807)^2</x:f>
        <x:v>0.00004321082596290512</x:v>
      </x:c>
      <x:c r="T808" s="280" t="n">
        <x:f>E808/$E$9*100</x:f>
        <x:v>156.5125924449644</x:v>
      </x:c>
    </x:row>
    <x:row r="809" ht="24" customHeight="1">
      <x:c r="C809" s="274" t="d">
        <x:v>2024-12-12T00:00:00.000Z</x:v>
      </x:c>
      <x:c r="D809" s="191" t="n">
        <x:v>449.55999755859375</x:v>
      </x:c>
      <x:c r="E809" s="191" t="n">
        <x:v>443.45458984375</x:v>
      </x:c>
      <x:c r="F809" s="191" t="n">
        <x:v>604.3300170898438</x:v>
      </x:c>
      <x:c r="G809" s="191" t="n">
        <x:v>590.6983032226562</x:v>
      </x:c>
      <x:c r="H809" s="208" t="n">
        <x:f>E809/E808-1</x:f>
        <x:v>0.0012693021470369104</x:v>
      </x:c>
      <x:c r="I809" s="208" t="n">
        <x:f>G809/G808-1</x:f>
        <x:v>-0.005152380870145135</x:v>
      </x:c>
      <x:c r="J809" s="208" t="n">
        <x:f>'Beta HC3'!$E$13+'Beta HC3'!$E$12*I809</x:f>
        <x:v>-0.005801784203114251</x:v>
      </x:c>
      <x:c r="K809" s="240" t="n">
        <x:f>H809-J809</x:f>
        <x:v>0.007071086350151161</x:v>
      </x:c>
      <x:c r="L809" s="240" t="n">
        <x:f>I809-'Beta HC3'!$E$9</x:f>
        <x:v>-0.005716328487805574</x:v>
      </x:c>
      <x:c r="M809" s="240" t="n">
        <x:f>1/'Beta HC3'!$E$8+L809^2/'Beta HC3'!$E$11</x:f>
        <x:v>0.001020268592604439</x:v>
      </x:c>
      <x:c r="N809" s="240" t="n">
        <x:f>K809^2/(1-M809)^2</x:f>
        <x:v>0.00005010244592122532</x:v>
      </x:c>
      <x:c r="O809" s="240" t="n">
        <x:f>N809*L809^2/'Beta HC3'!$E$11^2</x:f>
        <x:v>7.656107199863796e-8</x:v>
      </x:c>
      <x:c r="P809" s="240" t="n">
        <x:f>N809*(1/'Beta HC3'!$E$8-'Beta HC3'!$E$9*L809/'Beta HC3'!$E$11)^2</x:f>
        <x:v>3.359510685226192e-11</x:v>
      </x:c>
      <x:c r="Q809" s="240" t="n">
        <x:f>N809*(1/'Beta HC3'!$E$8-'Beta HC3'!$E$9*L809/'Beta HC3'!$E$11)*L809/'Beta HC3'!$E$11</x:f>
        <x:v>-1.6037697448567736e-9</x:v>
      </x:c>
      <x:c r="R809" s="240" t="n">
        <x:f>K809*L809/'Beta HC3'!$E$11</x:f>
        <x:v>-0.00027641440986384946</x:v>
      </x:c>
      <x:c r="S809" s="240" t="n">
        <x:f>(K809-K808)^2</x:f>
        <x:v>0.000009189319234594923</x:v>
      </x:c>
      <x:c r="T809" s="280" t="n">
        <x:f>E809/$E$9*100</x:f>
        <x:v>156.7112542145931</x:v>
      </x:c>
    </x:row>
    <x:row r="810" ht="24" customHeight="1">
      <x:c r="C810" s="274" t="d">
        <x:v>2024-12-13T00:00:00.000Z</x:v>
      </x:c>
      <x:c r="D810" s="191" t="n">
        <x:v>447.2699890136719</x:v>
      </x:c>
      <x:c r="E810" s="191" t="n">
        <x:v>441.1956787109375</x:v>
      </x:c>
      <x:c r="F810" s="191" t="n">
        <x:v>604.2100219726562</x:v>
      </x:c>
      <x:c r="G810" s="191" t="n">
        <x:v>590.5810546875</x:v>
      </x:c>
      <x:c r="H810" s="208" t="n">
        <x:f>E810/E809-1</x:f>
        <x:v>-0.005093895033555618</x:v>
      </x:c>
      <x:c r="I810" s="208" t="n">
        <x:f>G810/G809-1</x:f>
        <x:v>-0.00019849140333838555</x:v>
      </x:c>
      <x:c r="J810" s="208" t="n">
        <x:f>'Beta HC3'!$E$13+'Beta HC3'!$E$12*I810</x:f>
        <x:v>-0.0002147295329632559</x:v>
      </x:c>
      <x:c r="K810" s="240" t="n">
        <x:f>H810-J810</x:f>
        <x:v>-0.004879165500592361</x:v>
      </x:c>
      <x:c r="L810" s="240" t="n">
        <x:f>I810-'Beta HC3'!$E$9</x:f>
        <x:v>-0.0007624390209988249</x:v>
      </x:c>
      <x:c r="M810" s="240" t="n">
        <x:f>1/'Beta HC3'!$E$8+L810^2/'Beta HC3'!$E$11</x:f>
        <x:v>0.0008007880277934011</x:v>
      </x:c>
      <x:c r="N810" s="240" t="n">
        <x:f>K810^2/(1-M810)^2</x:f>
        <x:v>0.00002384442935877714</x:v>
      </x:c>
      <x:c r="O810" s="240" t="n">
        <x:f>N810*L810^2/'Beta HC3'!$E$11^2</x:f>
        <x:v>6.482042680865553e-10</x:v>
      </x:c>
      <x:c r="P810" s="240" t="n">
        <x:f>N810*(1/'Beta HC3'!$E$8-'Beta HC3'!$E$9*L810/'Beta HC3'!$E$11)^2</x:f>
        <x:v>1.5251017273435145e-11</x:v>
      </x:c>
      <x:c r="Q810" s="240" t="n">
        <x:f>N810*(1/'Beta HC3'!$E$8-'Beta HC3'!$E$9*L810/'Beta HC3'!$E$11)*L810/'Beta HC3'!$E$11</x:f>
        <x:v>-9.942723213135545e-11</x:v>
      </x:c>
      <x:c r="R810" s="240" t="n">
        <x:f>K810*L810/'Beta HC3'!$E$11</x:f>
        <x:v>0.00002543946806283649</x:v>
      </x:c>
      <x:c r="S810" s="240" t="n">
        <x:f>(K810-K809)^2</x:f>
        <x:v>0.000142808519296199</x:v>
      </x:c>
      <x:c r="T810" s="280" t="n">
        <x:f>E810/$E$9*100</x:f>
        <x:v>155.91298353504712</x:v>
      </x:c>
    </x:row>
    <x:row r="811" ht="24" customHeight="1">
      <x:c r="C811" s="274" t="d">
        <x:v>2024-12-16T00:00:00.000Z</x:v>
      </x:c>
      <x:c r="D811" s="191" t="n">
        <x:v>451.5899963378906</x:v>
      </x:c>
      <x:c r="E811" s="191" t="n">
        <x:v>445.45703125</x:v>
      </x:c>
      <x:c r="F811" s="191" t="n">
        <x:v>606.7899780273438</x:v>
      </x:c>
      <x:c r="G811" s="191" t="n">
        <x:v>593.1027221679688</x:v>
      </x:c>
      <x:c r="H811" s="208" t="n">
        <x:f>E811/E810-1</x:f>
        <x:v>0.009658645233137975</x:v>
      </x:c>
      <x:c r="I811" s="208" t="n">
        <x:f>G811/G810-1</x:f>
        <x:v>0.004269807608039633</x:v>
      </x:c>
      <x:c r="J811" s="208" t="n">
        <x:f>'Beta HC3'!$E$13+'Beta HC3'!$E$12*I811</x:f>
        <x:v>0.004824670523583162</x:v>
      </x:c>
      <x:c r="K811" s="240" t="n">
        <x:f>H811-J811</x:f>
        <x:v>0.004833974709554813</x:v>
      </x:c>
      <x:c r="L811" s="240" t="n">
        <x:f>I811-'Beta HC3'!$E$9</x:f>
        <x:v>0.0037058599903791937</x:v>
      </x:c>
      <x:c r="M811" s="240" t="n">
        <x:f>1/'Beta HC3'!$E$8+L811^2/'Beta HC3'!$E$11</x:f>
        <x:v>0.0008907278383878224</x:v>
      </x:c>
      <x:c r="N811" s="240" t="n">
        <x:f>K811^2/(1-M811)^2</x:f>
        <x:v>0.000023408995007053544</x:v>
      </x:c>
      <x:c r="O811" s="240" t="n">
        <x:f>N811*L811^2/'Beta HC3'!$E$11^2</x:f>
        <x:v>1.503403325612406e-8</x:v>
      </x:c>
      <x:c r="P811" s="240" t="n">
        <x:f>N811*(1/'Beta HC3'!$E$8-'Beta HC3'!$E$9*L811/'Beta HC3'!$E$11)^2</x:f>
        <x:v>1.4334243591632328e-11</x:v>
      </x:c>
      <x:c r="Q811" s="240" t="n">
        <x:f>N811*(1/'Beta HC3'!$E$8-'Beta HC3'!$E$9*L811/'Beta HC3'!$E$11)*L811/'Beta HC3'!$E$11</x:f>
        <x:v>4.642213856103396e-10</x:v>
      </x:c>
      <x:c r="R811" s="240" t="n">
        <x:f>K811*L811/'Beta HC3'!$E$11</x:f>
        <x:v>0.00012250413348201025</x:v>
      </x:c>
      <x:c r="S811" s="240" t="n">
        <x:f>(K811-K810)^2</x:f>
        <x:v>0.0000943450927419779</x:v>
      </x:c>
      <x:c r="T811" s="280" t="n">
        <x:f>E811/$E$9*100</x:f>
        <x:v>157.41889173025223</x:v>
      </x:c>
    </x:row>
    <x:row r="812" ht="24" customHeight="1">
      <x:c r="C812" s="274" t="d">
        <x:v>2024-12-17T00:00:00.000Z</x:v>
      </x:c>
      <x:c r="D812" s="191" t="n">
        <x:v>454.4599914550781</x:v>
      </x:c>
      <x:c r="E812" s="191" t="n">
        <x:v>448.2880554199219</x:v>
      </x:c>
      <x:c r="F812" s="191" t="n">
        <x:v>604.2899780273438</x:v>
      </x:c>
      <x:c r="G812" s="191" t="n">
        <x:v>590.6591186523438</x:v>
      </x:c>
      <x:c r="H812" s="208" t="n">
        <x:f>E812/E811-1</x:f>
        <x:v>0.006355324916474503</x:v>
      </x:c>
      <x:c r="I812" s="208" t="n">
        <x:f>G812/G811-1</x:f>
        <x:v>-0.004120034227280023</x:v>
      </x:c>
      <x:c r="J812" s="208" t="n">
        <x:f>'Beta HC3'!$E$13+'Beta HC3'!$E$12*I812</x:f>
        <x:v>-0.00463749154562141</x:v>
      </x:c>
      <x:c r="K812" s="240" t="n">
        <x:f>H812-J812</x:f>
        <x:v>0.010992816462095913</x:v>
      </x:c>
      <x:c r="L812" s="240" t="n">
        <x:f>I812-'Beta HC3'!$E$9</x:f>
        <x:v>-0.0046839818449404625</x:v>
      </x:c>
      <x:c r="M812" s="240" t="n">
        <x:f>1/'Beta HC3'!$E$8+L812^2/'Beta HC3'!$E$11</x:f>
        <x:v>0.0009468460855699003</x:v>
      </x:c>
      <x:c r="N812" s="240" t="n">
        <x:f>K812^2/(1-M812)^2</x:f>
        <x:v>0.0001210711767664904</x:v>
      </x:c>
      <x:c r="O812" s="240" t="n">
        <x:f>N812*L812^2/'Beta HC3'!$E$11^2</x:f>
        <x:v>1.2421838901655252e-7</x:v>
      </x:c>
      <x:c r="P812" s="240" t="n">
        <x:f>N812*(1/'Beta HC3'!$E$8-'Beta HC3'!$E$9*L812/'Beta HC3'!$E$11)^2</x:f>
        <x:v>8.03941598465798e-11</x:v>
      </x:c>
      <x:c r="Q812" s="240" t="n">
        <x:f>N812*(1/'Beta HC3'!$E$8-'Beta HC3'!$E$9*L812/'Beta HC3'!$E$11)*L812/'Beta HC3'!$E$11</x:f>
        <x:v>-3.1601318046058393e-9</x:v>
      </x:c>
      <x:c r="R812" s="240" t="n">
        <x:f>K812*L812/'Beta HC3'!$E$11</x:f>
        <x:v>-0.0003521125799935598</x:v>
      </x:c>
      <x:c r="S812" s="240" t="n">
        <x:f>(K812-K811)^2</x:f>
        <x:v>0.000037931331732843526</x:v>
      </x:c>
      <x:c r="T812" s="280" t="n">
        <x:f>E812/$E$9*100</x:f>
        <x:v>158.4193399351893</x:v>
      </x:c>
    </x:row>
    <x:row r="813" ht="24" customHeight="1">
      <x:c r="C813" s="274" t="d">
        <x:v>2024-12-18T00:00:00.000Z</x:v>
      </x:c>
      <x:c r="D813" s="191" t="n">
        <x:v>437.3900146484375</x:v>
      </x:c>
      <x:c r="E813" s="191" t="n">
        <x:v>431.4499206542969</x:v>
      </x:c>
      <x:c r="F813" s="191" t="n">
        <x:v>586.280029296875</x:v>
      </x:c>
      <x:c r="G813" s="191" t="n">
        <x:v>573.0554809570312</x:v>
      </x:c>
      <x:c r="H813" s="208" t="n">
        <x:f>E813/E812-1</x:f>
        <x:v>-0.03756097125954505</x:v>
      </x:c>
      <x:c r="I813" s="208" t="n">
        <x:f>G813/G812-1</x:f>
        <x:v>-0.029803379207074987</x:v>
      </x:c>
      <x:c r="J813" s="208" t="n">
        <x:f>'Beta HC3'!$E$13+'Beta HC3'!$E$12*I813</x:f>
        <x:v>-0.033603469385041836</x:v>
      </x:c>
      <x:c r="K813" s="240" t="n">
        <x:f>H813-J813</x:f>
        <x:v>-0.003957501874503215</x:v>
      </x:c>
      <x:c r="L813" s="240" t="n">
        <x:f>I813-'Beta HC3'!$E$9</x:f>
        <x:v>-0.030367326824735426</x:v>
      </x:c>
      <x:c r="M813" s="240" t="n">
        <x:f>1/'Beta HC3'!$E$8+L813^2/'Beta HC3'!$E$11</x:f>
        <x:v>0.007103052655322509</x:v>
      </x:c>
      <x:c r="N813" s="240" t="n">
        <x:f>K813^2/(1-M813)^2</x:f>
        <x:v>0.000015886707792901654</x:v>
      </x:c>
      <x:c r="O813" s="240" t="n">
        <x:f>N813*L813^2/'Beta HC3'!$E$11^2</x:f>
        <x:v>6.851122886934036e-7</x:v>
      </x:c>
      <x:c r="P813" s="240" t="n">
        <x:f>N813*(1/'Beta HC3'!$E$8-'Beta HC3'!$E$9*L813/'Beta HC3'!$E$11)^2</x:f>
        <x:v>1.3269517005492751e-11</x:v>
      </x:c>
      <x:c r="Q813" s="240" t="n">
        <x:f>N813*(1/'Beta HC3'!$E$8-'Beta HC3'!$E$9*L813/'Beta HC3'!$E$11)*L813/'Beta HC3'!$E$11</x:f>
        <x:v>-3.0151466242107e-9</x:v>
      </x:c>
      <x:c r="R813" s="240" t="n">
        <x:f>K813*L813/'Beta HC3'!$E$11</x:f>
        <x:v>0.0008218357972159105</x:v>
      </x:c>
      <x:c r="S813" s="240" t="n">
        <x:f>(K813-K812)^2</x:f>
        <x:v>0.0002235120183656521</x:v>
      </x:c>
      <x:c r="T813" s="280" t="n">
        <x:f>E813/$E$9*100</x:f>
        <x:v>152.46895566092758</x:v>
      </x:c>
    </x:row>
    <x:row r="814" ht="24" customHeight="1">
      <x:c r="C814" s="274" t="d">
        <x:v>2024-12-19T00:00:00.000Z</x:v>
      </x:c>
      <x:c r="D814" s="191" t="n">
        <x:v>437.0299987792969</x:v>
      </x:c>
      <x:c r="E814" s="191" t="n">
        <x:v>431.0947570800781</x:v>
      </x:c>
      <x:c r="F814" s="191" t="n">
        <x:v>586.0999755859375</x:v>
      </x:c>
      <x:c r="G814" s="191" t="n">
        <x:v>572.8795166015625</x:v>
      </x:c>
      <x:c r="H814" s="208" t="n">
        <x:f>E814/E813-1</x:f>
        <x:v>-0.0008231860923282319</x:v>
      </x:c>
      <x:c r="I814" s="208" t="n">
        <x:f>G814/G813-1</x:f>
        <x:v>-0.00030706338446473413</x:v>
      </x:c>
      <x:c r="J814" s="208" t="n">
        <x:f>'Beta HC3'!$E$13+'Beta HC3'!$E$12*I814</x:f>
        <x:v>-0.00033717828727317415</x:v>
      </x:c>
      <x:c r="K814" s="240" t="n">
        <x:f>H814-J814</x:f>
        <x:v>-0.00048600780505505777</x:v>
      </x:c>
      <x:c r="L814" s="240" t="n">
        <x:f>I814-'Beta HC3'!$E$9</x:f>
        <x:v>-0.0008710110021251735</x:v>
      </x:c>
      <x:c r="M814" s="240" t="n">
        <x:f>1/'Beta HC3'!$E$8+L814^2/'Beta HC3'!$E$11</x:f>
        <x:v>0.0008020008048582828</x:v>
      </x:c>
      <x:c r="N814" s="240" t="n">
        <x:f>K814^2/(1-M814)^2</x:f>
        <x:v>2.3658291377758379e-7</x:v>
      </x:c>
      <x:c r="O814" s="240" t="n">
        <x:f>N814*L814^2/'Beta HC3'!$E$11^2</x:f>
        <x:v>8.393544180524524e-12</x:v>
      </x:c>
      <x:c r="P814" s="240" t="n">
        <x:f>N814*(1/'Beta HC3'!$E$8-'Beta HC3'!$E$9*L814/'Beta HC3'!$E$11)^2</x:f>
        <x:v>1.5147811299884337e-13</x:v>
      </x:c>
      <x:c r="Q814" s="240" t="n">
        <x:f>N814*(1/'Beta HC3'!$E$8-'Beta HC3'!$E$9*L814/'Beta HC3'!$E$11)*L814/'Beta HC3'!$E$11</x:f>
        <x:v>-1.1275806994793224e-12</x:v>
      </x:c>
      <x:c r="R814" s="240" t="n">
        <x:f>K814*L814/'Beta HC3'!$E$11</x:f>
        <x:v>0.000002894837874721098</x:v>
      </x:c>
      <x:c r="S814" s="240" t="n">
        <x:f>(K814-K813)^2</x:f>
        <x:v>0.000012051271074213727</x:v>
      </x:c>
      <x:c r="T814" s="280" t="n">
        <x:f>E814/$E$9*100</x:f>
        <x:v>152.34344533711567</x:v>
      </x:c>
    </x:row>
    <x:row r="815" ht="24" customHeight="1">
      <x:c r="C815" s="274" t="d">
        <x:v>2024-12-20T00:00:00.000Z</x:v>
      </x:c>
      <x:c r="D815" s="191" t="n">
        <x:v>436.6000061035156</x:v>
      </x:c>
      <x:c r="E815" s="191" t="n">
        <x:v>430.6706237792969</x:v>
      </x:c>
      <x:c r="F815" s="191" t="n">
        <x:v>591.1500244140625</x:v>
      </x:c>
      <x:c r="G815" s="191" t="n">
        <x:v>579.7603149414062</x:v>
      </x:c>
      <x:c r="H815" s="208" t="n">
        <x:f>E815/E814-1</x:f>
        <x:v>-0.0009838516795100949</x:v>
      </x:c>
      <x:c r="I815" s="208" t="n">
        <x:f>G815/G814-1</x:f>
        <x:v>0.012010899570405353</x:v>
      </x:c>
      <x:c r="J815" s="208" t="n">
        <x:f>'Beta HC3'!$E$13+'Beta HC3'!$E$12*I815</x:f>
        <x:v>0.013555164873567596</x:v>
      </x:c>
      <x:c r="K815" s="240" t="n">
        <x:f>H815-J815</x:f>
        <x:v>-0.014539016553077691</x:v>
      </x:c>
      <x:c r="L815" s="240" t="n">
        <x:f>I815-'Beta HC3'!$E$9</x:f>
        <x:v>0.011446951952744915</x:v>
      </x:c>
      <x:c r="M815" s="240" t="n">
        <x:f>1/'Beta HC3'!$E$8+L815^2/'Beta HC3'!$E$11</x:f>
        <x:v>0.0016928727290852607</x:v>
      </x:c>
      <x:c r="N815" s="240" t="n">
        <x:f>K815^2/(1-M815)^2</x:f>
        <x:v>0.0002121005128371975</x:v>
      </x:c>
      <x:c r="O815" s="240" t="n">
        <x:f>N815*L815^2/'Beta HC3'!$E$11^2</x:f>
        <x:v>0.0000012996791781381029</x:v>
      </x:c>
      <x:c r="P815" s="240" t="n">
        <x:f>N815*(1/'Beta HC3'!$E$8-'Beta HC3'!$E$9*L815/'Beta HC3'!$E$11)^2</x:f>
        <x:v>1.2015664940449414e-10</x:v>
      </x:c>
      <x:c r="Q815" s="240" t="n">
        <x:f>N815*(1/'Beta HC3'!$E$8-'Beta HC3'!$E$9*L815/'Beta HC3'!$E$11)*L815/'Beta HC3'!$E$11</x:f>
        <x:v>1.2496603352345832e-8</x:v>
      </x:c>
      <x:c r="R815" s="240" t="n">
        <x:f>K815*L815/'Beta HC3'!$E$11</x:f>
        <x:v>-0.0011381047930255482</x:v>
      </x:c>
      <x:c r="S815" s="240" t="n">
        <x:f>(K815-K814)^2</x:f>
        <x:v>0.00019748705487200068</x:v>
      </x:c>
      <x:c r="T815" s="280" t="n">
        <x:f>E815/$E$9*100</x:f>
        <x:v>152.1935619825584</x:v>
      </x:c>
    </x:row>
    <x:row r="816" ht="24" customHeight="1">
      <x:c r="C816" s="274" t="d">
        <x:v>2024-12-23T00:00:00.000Z</x:v>
      </x:c>
      <x:c r="D816" s="191" t="n">
        <x:v>435.25</x:v>
      </x:c>
      <x:c r="E816" s="191" t="n">
        <x:v>429.3389892578125</x:v>
      </x:c>
      <x:c r="F816" s="191" t="n">
        <x:v>594.6900024414062</x:v>
      </x:c>
      <x:c r="G816" s="191" t="n">
        <x:v>583.2320556640625</x:v>
      </x:c>
      <x:c r="H816" s="208" t="n">
        <x:f>E816/E815-1</x:f>
        <x:v>-0.003092002212267908</x:v>
      </x:c>
      <x:c r="I816" s="208" t="n">
        <x:f>G816/G815-1</x:f>
        <x:v>0.005988234505162948</x:v>
      </x:c>
      <x:c r="J816" s="208" t="n">
        <x:f>'Beta HC3'!$E$13+'Beta HC3'!$E$12*I816</x:f>
        <x:v>0.006762732542369911</x:v>
      </x:c>
      <x:c r="K816" s="240" t="n">
        <x:f>H816-J816</x:f>
        <x:v>-0.009854734754637818</x:v>
      </x:c>
      <x:c r="L816" s="240" t="n">
        <x:f>I816-'Beta HC3'!$E$9</x:f>
        <x:v>0.0054242868875025085</x:v>
      </x:c>
      <x:c r="M816" s="240" t="n">
        <x:f>1/'Beta HC3'!$E$8+L816^2/'Beta HC3'!$E$11</x:f>
        <x:v>0.0009980195533807015</x:v>
      </x:c>
      <x:c r="N816" s="240" t="n">
        <x:f>K816^2/(1-M816)^2</x:f>
        <x:v>0.00009730993459431113</x:v>
      </x:c>
      <x:c r="O816" s="240" t="n">
        <x:f>N816*L816^2/'Beta HC3'!$E$11^2</x:f>
        <x:v>1.338927944066273e-7</x:v>
      </x:c>
      <x:c r="P816" s="240" t="n">
        <x:f>N816*(1/'Beta HC3'!$E$8-'Beta HC3'!$E$9*L816/'Beta HC3'!$E$11)^2</x:f>
        <x:v>5.858167728747576e-11</x:v>
      </x:c>
      <x:c r="Q816" s="240" t="n">
        <x:f>N816*(1/'Beta HC3'!$E$8-'Beta HC3'!$E$9*L816/'Beta HC3'!$E$11)*L816/'Beta HC3'!$E$11</x:f>
        <x:v>2.8006542937405506e-9</x:v>
      </x:c>
      <x:c r="R816" s="240" t="n">
        <x:f>K816*L816/'Beta HC3'!$E$11</x:f>
        <x:v>-0.00036554845440223463</x:v>
      </x:c>
      <x:c r="S816" s="240" t="n">
        <x:f>(K816-K815)^2</x:f>
        <x:v>0.000021942495967195096</x:v>
      </x:c>
      <x:c r="T816" s="280" t="n">
        <x:f>E816/$E$9*100</x:f>
        <x:v>151.7229791522154</x:v>
      </x:c>
    </x:row>
    <x:row r="817" ht="24" customHeight="1">
      <x:c r="C817" s="274" t="d">
        <x:v>2024-12-24T00:00:00.000Z</x:v>
      </x:c>
      <x:c r="D817" s="191" t="n">
        <x:v>439.3299865722656</x:v>
      </x:c>
      <x:c r="E817" s="191" t="n">
        <x:v>433.3635559082031</x:v>
      </x:c>
      <x:c r="F817" s="191" t="n">
        <x:v>601.2999877929688</x:v>
      </x:c>
      <x:c r="G817" s="191" t="n">
        <x:v>589.7147216796875</x:v>
      </x:c>
      <x:c r="H817" s="208" t="n">
        <x:f>E817/E816-1</x:f>
        <x:v>0.009373867156457827</x:v>
      </x:c>
      <x:c r="I817" s="208" t="n">
        <x:f>G817/G816-1</x:f>
        <x:v>0.011115071527136644</x:v>
      </x:c>
      <x:c r="J817" s="208" t="n">
        <x:f>'Beta HC3'!$E$13+'Beta HC3'!$E$12*I817</x:f>
        <x:v>0.01254483949462391</x:v>
      </x:c>
      <x:c r="K817" s="240" t="n">
        <x:f>H817-J817</x:f>
        <x:v>-0.003170972338166083</x:v>
      </x:c>
      <x:c r="L817" s="240" t="n">
        <x:f>I817-'Beta HC3'!$E$9</x:f>
        <x:v>0.010551123909476205</x:v>
      </x:c>
      <x:c r="M817" s="240" t="n">
        <x:f>1/'Beta HC3'!$E$8+L817^2/'Beta HC3'!$E$11</x:f>
        <x:v>0.0015581109578644264</x:v>
      </x:c>
      <x:c r="N817" s="240" t="n">
        <x:f>K817^2/(1-M817)^2</x:f>
        <x:v>0.000010086472769884034</x:v>
      </x:c>
      <x:c r="O817" s="240" t="n">
        <x:f>N817*L817^2/'Beta HC3'!$E$11^2</x:f>
        <x:v>5.251114520496302e-8</x:v>
      </x:c>
      <x:c r="P817" s="240" t="n">
        <x:f>N817*(1/'Beta HC3'!$E$8-'Beta HC3'!$E$9*L817/'Beta HC3'!$E$11)^2</x:f>
        <x:v>5.766644232731403e-12</x:v>
      </x:c>
      <x:c r="Q817" s="240" t="n">
        <x:f>N817*(1/'Beta HC3'!$E$8-'Beta HC3'!$E$9*L817/'Beta HC3'!$E$11)*L817/'Beta HC3'!$E$11</x:f>
        <x:v>5.50284556071058e-10</x:v>
      </x:c>
      <x:c r="R817" s="240" t="n">
        <x:f>K817*L817/'Beta HC3'!$E$11</x:f>
        <x:v>-0.00022879605832547652</x:v>
      </x:c>
      <x:c r="S817" s="240" t="n">
        <x:f>(K817-K816)^2</x:f>
        <x:v>0.00004467268003984009</x:v>
      </x:c>
      <x:c r="T817" s="280" t="n">
        <x:f>E817/$E$9*100</x:f>
        <x:v>153.14521020337028</x:v>
      </x:c>
    </x:row>
    <x:row r="818" ht="24" customHeight="1">
      <x:c r="C818" s="274" t="d">
        <x:v>2024-12-26T00:00:00.000Z</x:v>
      </x:c>
      <x:c r="D818" s="191" t="n">
        <x:v>438.1099853515625</x:v>
      </x:c>
      <x:c r="E818" s="191" t="n">
        <x:v>432.1601257324219</x:v>
      </x:c>
      <x:c r="F818" s="191" t="n">
        <x:v>601.3400268554688</x:v>
      </x:c>
      <x:c r="G818" s="191" t="n">
        <x:v>589.7539672851562</x:v>
      </x:c>
      <x:c r="H818" s="208" t="n">
        <x:f>E818/E817-1</x:f>
        <x:v>-0.0027769528825727363</x:v>
      </x:c>
      <x:c r="I818" s="208" t="n">
        <x:f>G818/G817-1</x:f>
        <x:v>0.0000665501538725799</x:v>
      </x:c>
      <x:c r="J818" s="208" t="n">
        <x:f>'Beta HC3'!$E$13+'Beta HC3'!$E$12*I818</x:f>
        <x:v>0.0000841874452861869</x:v>
      </x:c>
      <x:c r="K818" s="240" t="n">
        <x:f>H818-J818</x:f>
        <x:v>-0.002861140327858923</x:v>
      </x:c>
      <x:c r="L818" s="240" t="n">
        <x:f>I818-'Beta HC3'!$E$9</x:f>
        <x:v>-0.0004973974637878595</x:v>
      </x:c>
      <x:c r="M818" s="240" t="n">
        <x:f>1/'Beta HC3'!$E$8+L818^2/'Beta HC3'!$E$11</x:f>
        <x:v>0.0007985046092833007</x:v>
      </x:c>
      <x:c r="N818" s="240" t="n">
        <x:f>K818^2/(1-M818)^2</x:f>
        <x:v>0.000008199212966496162</x:v>
      </x:c>
      <x:c r="O818" s="240" t="n">
        <x:f>N818*L818^2/'Beta HC3'!$E$11^2</x:f>
        <x:v>9.486238136920652e-11</x:v>
      </x:c>
      <x:c r="P818" s="240" t="n">
        <x:f>N818*(1/'Beta HC3'!$E$8-'Beta HC3'!$E$9*L818/'Beta HC3'!$E$11)^2</x:f>
        <x:v>5.2308614882799686e-12</x:v>
      </x:c>
      <x:c r="Q818" s="240" t="n">
        <x:f>N818*(1/'Beta HC3'!$E$8-'Beta HC3'!$E$9*L818/'Beta HC3'!$E$11)*L818/'Beta HC3'!$E$11</x:f>
        <x:v>-2.2275815975867408e-11</x:v>
      </x:c>
      <x:c r="R818" s="240" t="n">
        <x:f>K818*L818/'Beta HC3'!$E$11</x:f>
        <x:v>0.000009731954878483088</x:v>
      </x:c>
      <x:c r="S818" s="240" t="n">
        <x:f>(K818-K817)^2</x:f>
        <x:v>9.599587461097609e-8</x:v>
      </x:c>
      <x:c r="T818" s="280" t="n">
        <x:f>E818/$E$9*100</x:f>
        <x:v>152.71993317044382</x:v>
      </x:c>
    </x:row>
    <x:row r="819" ht="24" customHeight="1">
      <x:c r="C819" s="274" t="d">
        <x:v>2024-12-27T00:00:00.000Z</x:v>
      </x:c>
      <x:c r="D819" s="191" t="n">
        <x:v>430.5299987792969</x:v>
      </x:c>
      <x:c r="E819" s="191" t="n">
        <x:v>424.68304443359375</x:v>
      </x:c>
      <x:c r="F819" s="191" t="n">
        <x:v>595.010009765625</x:v>
      </x:c>
      <x:c r="G819" s="191" t="n">
        <x:v>583.5458984375</x:v>
      </x:c>
      <x:c r="H819" s="208" t="n">
        <x:f>E819/E818-1</x:f>
        <x:v>-0.017301645509649966</x:v>
      </x:c>
      <x:c r="I819" s="208" t="n">
        <x:f>G819/G818-1</x:f>
        <x:v>-0.010526540204950474</x:v>
      </x:c>
      <x:c r="J819" s="208" t="n">
        <x:f>'Beta HC3'!$E$13+'Beta HC3'!$E$12*I819</x:f>
        <x:v>-0.011862824161887123</x:v>
      </x:c>
      <x:c r="K819" s="240" t="n">
        <x:f>H819-J819</x:f>
        <x:v>-0.005438821347762843</x:v>
      </x:c>
      <x:c r="L819" s="240" t="n">
        <x:f>I819-'Beta HC3'!$E$9</x:f>
        <x:v>-0.011090487822610913</x:v>
      </x:c>
      <x:c r="M819" s="240" t="n">
        <x:f>1/'Beta HC3'!$E$8+L819^2/'Beta HC3'!$E$11</x:f>
        <x:v>0.001637934105402699</x:v>
      </x:c>
      <x:c r="N819" s="240" t="n">
        <x:f>K819^2/(1-M819)^2</x:f>
        <x:v>0.000029677918983485688</x:v>
      </x:c>
      <x:c r="O819" s="240" t="n">
        <x:f>N819*L819^2/'Beta HC3'!$E$11^2</x:f>
        <x:v>1.7070626741579898e-7</x:v>
      </x:c>
      <x:c r="P819" s="240" t="n">
        <x:f>N819*(1/'Beta HC3'!$E$8-'Beta HC3'!$E$9*L819/'Beta HC3'!$E$11)^2</x:f>
        <x:v>2.0919978064368747e-11</x:v>
      </x:c>
      <x:c r="Q819" s="240" t="n">
        <x:f>N819*(1/'Beta HC3'!$E$8-'Beta HC3'!$E$9*L819/'Beta HC3'!$E$11)*L819/'Beta HC3'!$E$11</x:f>
        <x:v>-1.8897543146633585e-9</x:v>
      </x:c>
      <x:c r="R819" s="240" t="n">
        <x:f>K819*L819/'Beta HC3'!$E$11</x:f>
        <x:v>0.0004124894109629521</x:v>
      </x:c>
      <x:c r="S819" s="240" t="n">
        <x:f>(K819-K818)^2</x:f>
        <x:v>0.0000066444394403729115</x:v>
      </x:c>
      <x:c r="T819" s="280" t="n">
        <x:f>E819/$E$9*100</x:f>
        <x:v>150.07762702447138</x:v>
      </x:c>
    </x:row>
    <x:row r="820" ht="24" customHeight="1">
      <x:c r="C820" s="274" t="d">
        <x:v>2024-12-30T00:00:00.000Z</x:v>
      </x:c>
      <x:c r="D820" s="191" t="n">
        <x:v>424.8299865722656</x:v>
      </x:c>
      <x:c r="E820" s="191" t="n">
        <x:v>419.0604248046875</x:v>
      </x:c>
      <x:c r="F820" s="191" t="n">
        <x:v>588.219970703125</x:v>
      </x:c>
      <x:c r="G820" s="191" t="n">
        <x:v>576.88671875</x:v>
      </x:c>
      <x:c r="H820" s="208" t="n">
        <x:f>E820/E819-1</x:f>
        <x:v>-0.013239567019693976</x:v>
      </x:c>
      <x:c r="I820" s="208" t="n">
        <x:f>G820/G819-1</x:f>
        <x:v>-0.011411578258592181</x:v>
      </x:c>
      <x:c r="J820" s="208" t="n">
        <x:f>'Beta HC3'!$E$13+'Beta HC3'!$E$12*I820</x:f>
        <x:v>-0.012860980463918545</x:v>
      </x:c>
      <x:c r="K820" s="240" t="n">
        <x:f>H820-J820</x:f>
        <x:v>-0.0003785865557754311</x:v>
      </x:c>
      <x:c r="L820" s="240" t="n">
        <x:f>I820-'Beta HC3'!$E$9</x:f>
        <x:v>-0.01197552587625262</x:v>
      </x:c>
      <x:c r="M820" s="240" t="n">
        <x:f>1/'Beta HC3'!$E$8+L820^2/'Beta HC3'!$E$11</x:f>
        <x:v>0.0017775361732580769</x:v>
      </x:c>
      <x:c r="N820" s="240" t="n">
        <x:f>K820^2/(1-M820)^2</x:f>
        <x:v>1.4383868265927076e-7</x:v>
      </x:c>
      <x:c r="O820" s="240" t="n">
        <x:f>N820*L820^2/'Beta HC3'!$E$11^2</x:f>
        <x:v>9.646718525551102e-10</x:v>
      </x:c>
      <x:c r="P820" s="240" t="n">
        <x:f>N820*(1/'Beta HC3'!$E$8-'Beta HC3'!$E$9*L820/'Beta HC3'!$E$11)^2</x:f>
        <x:v>1.0221800635882319e-13</x:v>
      </x:c>
      <x:c r="Q820" s="240" t="n">
        <x:f>N820*(1/'Beta HC3'!$E$8-'Beta HC3'!$E$9*L820/'Beta HC3'!$E$11)*L820/'Beta HC3'!$E$11</x:f>
        <x:v>-9.930097358971663e-12</x:v>
      </x:c>
      <x:c r="R820" s="240" t="n">
        <x:f>K820*L820/'Beta HC3'!$E$11</x:f>
        <x:v>0.000031003958172133936</x:v>
      </x:c>
      <x:c r="S820" s="240" t="n">
        <x:f>(K820-K819)^2</x:f>
        <x:v>0.000025605976150039882</x:v>
      </x:c>
      <x:c r="T820" s="280" t="n">
        <x:f>E820/$E$9*100</x:f>
        <x:v>148.09066422332427</x:v>
      </x:c>
    </x:row>
    <x:row r="821" ht="24" customHeight="1">
      <x:c r="C821" s="274" t="d">
        <x:v>2024-12-31T00:00:00.000Z</x:v>
      </x:c>
      <x:c r="D821" s="191" t="n">
        <x:v>421.5</x:v>
      </x:c>
      <x:c r="E821" s="191" t="n">
        <x:v>415.77569580078125</x:v>
      </x:c>
      <x:c r="F821" s="191" t="n">
        <x:v>586.0800170898438</x:v>
      </x:c>
      <x:c r="G821" s="191" t="n">
        <x:v>574.7880249023438</x:v>
      </x:c>
      <x:c r="H821" s="208" t="n">
        <x:f>E821/E820-1</x:f>
        <x:v>-0.007838318317548554</x:v>
      </x:c>
      <x:c r="I821" s="208" t="n">
        <x:f>G821/G820-1</x:f>
        <x:v>-0.0036379652702070997</x:v>
      </x:c>
      <x:c r="J821" s="208" t="n">
        <x:f>'Beta HC3'!$E$13+'Beta HC3'!$E$12*I821</x:f>
        <x:v>-0.004093808519184163</x:v>
      </x:c>
      <x:c r="K821" s="240" t="n">
        <x:f>H821-J821</x:f>
        <x:v>-0.003744509798364391</x:v>
      </x:c>
      <x:c r="L821" s="240" t="n">
        <x:f>I821-'Beta HC3'!$E$9</x:f>
        <x:v>-0.004201912887867539</x:v>
      </x:c>
      <x:c r="M821" s="240" t="n">
        <x:f>1/'Beta HC3'!$E$8+L821^2/'Beta HC3'!$E$11</x:f>
        <x:v>0.0009175528265783856</x:v>
      </x:c>
      <x:c r="N821" s="240" t="n">
        <x:f>K821^2/(1-M821)^2</x:f>
        <x:v>0.000014047119752600575</x:v>
      </x:c>
      <x:c r="O821" s="240" t="n">
        <x:f>N821*L821^2/'Beta HC3'!$E$11^2</x:f>
        <x:v>1.1598346971421875e-8</x:v>
      </x:c>
      <x:c r="P821" s="240" t="n">
        <x:f>N821*(1/'Beta HC3'!$E$8-'Beta HC3'!$E$9*L821/'Beta HC3'!$E$11)^2</x:f>
        <x:v>9.285111101476746e-12</x:v>
      </x:c>
      <x:c r="Q821" s="240" t="n">
        <x:f>N821*(1/'Beta HC3'!$E$8-'Beta HC3'!$E$9*L821/'Beta HC3'!$E$11)*L821/'Beta HC3'!$E$11</x:f>
        <x:v>-3.28164501771792e-10</x:v>
      </x:c>
      <x:c r="R821" s="240" t="n">
        <x:f>K821*L821/'Beta HC3'!$E$11</x:f>
        <x:v>0.00010759680545449599</x:v>
      </x:c>
      <x:c r="S821" s="240" t="n">
        <x:f>(K821-K820)^2</x:f>
        <x:v>0.000011329439275000578</x:v>
      </x:c>
      <x:c r="T821" s="280" t="n">
        <x:f>E821/$E$9*100</x:f>
        <x:v>146.92988245728463</x:v>
      </x:c>
    </x:row>
    <x:row r="822" ht="24" customHeight="1">
      <x:c r="C822" s="274" t="d">
        <x:v>2025-01-02T00:00:00.000Z</x:v>
      </x:c>
      <x:c r="D822" s="191" t="n">
        <x:v>418.5799865722656</x:v>
      </x:c>
      <x:c r="E822" s="191" t="n">
        <x:v>412.8953552246094</x:v>
      </x:c>
      <x:c r="F822" s="191" t="n">
        <x:v>584.6400146484375</x:v>
      </x:c>
      <x:c r="G822" s="191" t="n">
        <x:v>573.375732421875</x:v>
      </x:c>
      <x:c r="H822" s="208" t="n">
        <x:f>E822/E821-1</x:f>
        <x:v>-0.006927630944431162</x:v>
      </x:c>
      <x:c r="I822" s="208" t="n">
        <x:f>G822/G821-1</x:f>
        <x:v>-0.002457066638973049</x:v>
      </x:c>
      <x:c r="J822" s="208" t="n">
        <x:f>'Beta HC3'!$E$13+'Beta HC3'!$E$12*I822</x:f>
        <x:v>-0.0027619771860833875</x:v>
      </x:c>
      <x:c r="K822" s="240" t="n">
        <x:f>H822-J822</x:f>
        <x:v>-0.004165653758347775</x:v>
      </x:c>
      <x:c r="L822" s="240" t="n">
        <x:f>I822-'Beta HC3'!$E$9</x:f>
        <x:v>-0.003021014256633488</x:v>
      </x:c>
      <x:c r="M822" s="240" t="n">
        <x:f>1/'Beta HC3'!$E$8+L822^2/'Beta HC3'!$E$11</x:f>
        <x:v>0.000859224003324167</x:v>
      </x:c>
      <x:c r="N822" s="240" t="n">
        <x:f>K822^2/(1-M822)^2</x:f>
        <x:v>0.000017382529374462516</x:v>
      </x:c>
      <x:c r="O822" s="240" t="n">
        <x:f>N822*L822^2/'Beta HC3'!$E$11^2</x:f>
        <x:v>7.4187928433629446e-9</x:v>
      </x:c>
      <x:c r="P822" s="240" t="n">
        <x:f>N822*(1/'Beta HC3'!$E$8-'Beta HC3'!$E$9*L822/'Beta HC3'!$E$11)^2</x:f>
        <x:v>1.1361447400984323e-11</x:v>
      </x:c>
      <x:c r="Q822" s="240" t="n">
        <x:f>N822*(1/'Beta HC3'!$E$8-'Beta HC3'!$E$9*L822/'Beta HC3'!$E$11)*L822/'Beta HC3'!$E$11</x:f>
        <x:v>-2.9032434391326366e-10</x:v>
      </x:c>
      <x:c r="R822" s="240" t="n">
        <x:f>K822*L822/'Beta HC3'!$E$11</x:f>
        <x:v>0.00008605840755342393</x:v>
      </x:c>
      <x:c r="S822" s="240" t="n">
        <x:f>(K822-K821)^2</x:f>
        <x:v>1.7736223503048625e-7</x:v>
      </x:c>
      <x:c r="T822" s="280" t="n">
        <x:f>E822/$E$9*100</x:f>
        <x:v>145.91200645691194</x:v>
      </x:c>
    </x:row>
    <x:row r="823" ht="24" customHeight="1">
      <x:c r="C823" s="274" t="d">
        <x:v>2025-01-03T00:00:00.000Z</x:v>
      </x:c>
      <x:c r="D823" s="191" t="n">
        <x:v>423.3500061035156</x:v>
      </x:c>
      <x:c r="E823" s="191" t="n">
        <x:v>417.6005554199219</x:v>
      </x:c>
      <x:c r="F823" s="191" t="n">
        <x:v>591.9500122070312</x:v>
      </x:c>
      <x:c r="G823" s="191" t="n">
        <x:v>580.5447998046875</x:v>
      </x:c>
      <x:c r="H823" s="208" t="n">
        <x:f>E823/E822-1</x:f>
        <x:v>0.011395623941453437</x:v>
      </x:c>
      <x:c r="I823" s="208" t="n">
        <x:f>G823/G822-1</x:f>
        <x:v>0.012503262655590985</x:v>
      </x:c>
      <x:c r="J823" s="208" t="n">
        <x:f>'Beta HC3'!$E$13+'Beta HC3'!$E$12*I823</x:f>
        <x:v>0.014110457738482794</x:v>
      </x:c>
      <x:c r="K823" s="240" t="n">
        <x:f>H823-J823</x:f>
        <x:v>-0.0027148337970293573</x:v>
      </x:c>
      <x:c r="L823" s="240" t="n">
        <x:f>I823-'Beta HC3'!$E$9</x:f>
        <x:v>0.011939315037930547</x:v>
      </x:c>
      <x:c r="M823" s="240" t="n">
        <x:f>1/'Beta HC3'!$E$8+L823^2/'Beta HC3'!$E$11</x:f>
        <x:v>0.0017716142409747936</x:v>
      </x:c>
      <x:c r="N823" s="240" t="n">
        <x:f>K823^2/(1-M823)^2</x:f>
        <x:v>0.00000739650684440862</x:v>
      </x:c>
      <x:c r="O823" s="240" t="n">
        <x:f>N823*L823^2/'Beta HC3'!$E$11^2</x:f>
        <x:v>4.930604980824829e-8</x:v>
      </x:c>
      <x:c r="P823" s="240" t="n">
        <x:f>N823*(1/'Beta HC3'!$E$8-'Beta HC3'!$E$9*L823/'Beta HC3'!$E$11)^2</x:f>
        <x:v>4.1690656198975804e-12</x:v>
      </x:c>
      <x:c r="Q823" s="240" t="n">
        <x:f>N823*(1/'Beta HC3'!$E$8-'Beta HC3'!$E$9*L823/'Beta HC3'!$E$11)*L823/'Beta HC3'!$E$11</x:f>
        <x:v>4.5338742495632324e-10</x:v>
      </x:c>
      <x:c r="R823" s="240" t="n">
        <x:f>K823*L823/'Beta HC3'!$E$11</x:f>
        <x:v>-0.0002216562698437433</x:v>
      </x:c>
      <x:c r="S823" s="240" t="n">
        <x:f>(K823-K822)^2</x:f>
        <x:v>0.000002104878560159976</x:v>
      </x:c>
      <x:c r="T823" s="280" t="n">
        <x:f>E823/$E$9*100</x:f>
        <x:v>147.57476481103785</x:v>
      </x:c>
    </x:row>
    <x:row r="824" ht="24" customHeight="1">
      <x:c r="C824" s="274" t="d">
        <x:v>2025-01-06T00:00:00.000Z</x:v>
      </x:c>
      <x:c r="D824" s="191" t="n">
        <x:v>427.8500061035156</x:v>
      </x:c>
      <x:c r="E824" s="191" t="n">
        <x:v>422.03948974609375</x:v>
      </x:c>
      <x:c r="F824" s="191" t="n">
        <x:v>595.3599853515625</x:v>
      </x:c>
      <x:c r="G824" s="191" t="n">
        <x:v>583.8890991210938</x:v>
      </x:c>
      <x:c r="H824" s="208" t="n">
        <x:f>E824/E823-1</x:f>
        <x:v>0.010629617869421404</x:v>
      </x:c>
      <x:c r="I824" s="208" t="n">
        <x:f>G824/G823-1</x:f>
        <x:v>0.005760622293975226</x:v>
      </x:c>
      <x:c r="J824" s="208" t="n">
        <x:f>'Beta HC3'!$E$13+'Beta HC3'!$E$12*I824</x:f>
        <x:v>0.006506028819765564</x:v>
      </x:c>
      <x:c r="K824" s="240" t="n">
        <x:f>H824-J824</x:f>
        <x:v>0.00412358904965584</x:v>
      </x:c>
      <x:c r="L824" s="240" t="n">
        <x:f>I824-'Beta HC3'!$E$9</x:f>
        <x:v>0.005196674676314786</x:v>
      </x:c>
      <x:c r="M824" s="240" t="n">
        <x:f>1/'Beta HC3'!$E$8+L824^2/'Beta HC3'!$E$11</x:f>
        <x:v>0.0009814878822772164</x:v>
      </x:c>
      <x:c r="N824" s="240" t="n">
        <x:f>K824^2/(1-M824)^2</x:f>
        <x:v>0.000017037414269287107</x:v>
      </x:c>
      <x:c r="O824" s="240" t="n">
        <x:f>N824*L824^2/'Beta HC3'!$E$11^2</x:f>
        <x:v>2.1516392896056562e-8</x:v>
      </x:c>
      <x:c r="P824" s="240" t="n">
        <x:f>N824*(1/'Beta HC3'!$E$8-'Beta HC3'!$E$9*L824/'Beta HC3'!$E$11)^2</x:f>
        <x:v>1.0279935989168801e-11</x:v>
      </x:c>
      <x:c r="Q824" s="240" t="n">
        <x:f>N824*(1/'Beta HC3'!$E$8-'Beta HC3'!$E$9*L824/'Beta HC3'!$E$11)*L824/'Beta HC3'!$E$11</x:f>
        <x:v>4.703053706787408e-10</x:v>
      </x:c>
      <x:c r="R824" s="240" t="n">
        <x:f>K824*L824/'Beta HC3'!$E$11</x:f>
        <x:v>0.00014654070241881437</x:v>
      </x:c>
      <x:c r="S824" s="240" t="n">
        <x:f>(K824-K823)^2</x:f>
        <x:v>0.000046764027030066073</x:v>
      </x:c>
      <x:c r="T824" s="280" t="n">
        <x:f>E824/$E$9*100</x:f>
        <x:v>149.1434281681489</x:v>
      </x:c>
    </x:row>
    <x:row r="825" ht="24" customHeight="1">
      <x:c r="C825" s="274" t="d">
        <x:v>2025-01-07T00:00:00.000Z</x:v>
      </x:c>
      <x:c r="D825" s="191" t="n">
        <x:v>422.3699951171875</x:v>
      </x:c>
      <x:c r="E825" s="191" t="n">
        <x:v>416.63385009765625</x:v>
      </x:c>
      <x:c r="F825" s="191" t="n">
        <x:v>588.6300048828125</x:v>
      </x:c>
      <x:c r="G825" s="191" t="n">
        <x:v>577.2887573242188</x:v>
      </x:c>
      <x:c r="H825" s="208" t="n">
        <x:f>E825/E824-1</x:f>
        <x:v>-0.012808374049759208</x:v>
      </x:c>
      <x:c r="I825" s="208" t="n">
        <x:f>G825/G824-1</x:f>
        <x:v>-0.011304101766603014</x:v>
      </x:c>
      <x:c r="J825" s="208" t="n">
        <x:f>'Beta HC3'!$E$13+'Beta HC3'!$E$12*I825</x:f>
        <x:v>-0.012739767215112132</x:v>
      </x:c>
      <x:c r="K825" s="240" t="n">
        <x:f>H825-J825</x:f>
        <x:v>-0.00006860683464707598</x:v>
      </x:c>
      <x:c r="L825" s="240" t="n">
        <x:f>I825-'Beta HC3'!$E$9</x:f>
        <x:v>-0.011868049384263453</x:v>
      </x:c>
      <x:c r="M825" s="240" t="n">
        <x:f>1/'Beta HC3'!$E$8+L825^2/'Beta HC3'!$E$11</x:f>
        <x:v>0.0017600118110481246</x:v>
      </x:c>
      <x:c r="N825" s="240" t="n">
        <x:f>K825^2/(1-M825)^2</x:f>
        <x:v>4.723509995312994e-9</x:v>
      </x:c>
      <x:c r="O825" s="240" t="n">
        <x:f>N825*L825^2/'Beta HC3'!$E$11^2</x:f>
        <x:v>3.1112739382396085e-11</x:v>
      </x:c>
      <x:c r="P825" s="240" t="n">
        <x:f>N825*(1/'Beta HC3'!$E$8-'Beta HC3'!$E$9*L825/'Beta HC3'!$E$11)^2</x:f>
        <x:v>3.353430994336977e-15</x:v>
      </x:c>
      <x:c r="Q825" s="240" t="n">
        <x:f>N825*(1/'Beta HC3'!$E$8-'Beta HC3'!$E$9*L825/'Beta HC3'!$E$11)*L825/'Beta HC3'!$E$11</x:f>
        <x:v>-3.230083970482126e-13</x:v>
      </x:c>
      <x:c r="R825" s="240" t="n">
        <x:f>K825*L825/'Beta HC3'!$E$11</x:f>
        <x:v>0.000005568062336301288</x:v>
      </x:c>
      <x:c r="S825" s="240" t="n">
        <x:f>(K825-K824)^2</x:f>
        <x:v>0.000017574506332366305</x:v>
      </x:c>
      <x:c r="T825" s="280" t="n">
        <x:f>E825/$E$9*100</x:f>
        <x:v>147.23314335310783</x:v>
      </x:c>
    </x:row>
    <x:row r="826" ht="24" customHeight="1">
      <x:c r="C826" s="274" t="d">
        <x:v>2025-01-08T00:00:00.000Z</x:v>
      </x:c>
      <x:c r="D826" s="191" t="n">
        <x:v>424.55999755859375</x:v>
      </x:c>
      <x:c r="E826" s="191" t="n">
        <x:v>418.7940979003906</x:v>
      </x:c>
      <x:c r="F826" s="191" t="n">
        <x:v>589.489990234375</x:v>
      </x:c>
      <x:c r="G826" s="191" t="n">
        <x:v>578.1322631835938</x:v>
      </x:c>
      <x:c r="H826" s="208" t="n">
        <x:f>E826/E825-1</x:f>
        <x:v>0.0051850030961910765</x:v>
      </x:c>
      <x:c r="I826" s="208" t="n">
        <x:f>G826/G825-1</x:f>
        <x:v>0.0014611506783619443</x:v>
      </x:c>
      <x:c r="J826" s="208" t="n">
        <x:f>'Beta HC3'!$E$13+'Beta HC3'!$E$12*I826</x:f>
        <x:v>0.0016570342812019315</x:v>
      </x:c>
      <x:c r="K826" s="240" t="n">
        <x:f>H826-J826</x:f>
        <x:v>0.003527968814989145</x:v>
      </x:c>
      <x:c r="L826" s="240" t="n">
        <x:f>I826-'Beta HC3'!$E$9</x:f>
        <x:v>0.000897203060701505</x:v>
      </x:c>
      <x:c r="M826" s="240" t="n">
        <x:f>1/'Beta HC3'!$E$8+L826^2/'Beta HC3'!$E$11</x:f>
        <x:v>0.000802317514901099</x:v>
      </x:c>
      <x:c r="N826" s="240" t="n">
        <x:f>K826^2/(1-M826)^2</x:f>
        <x:v>0.000012466560213864422</x:v>
      </x:c>
      <x:c r="O826" s="240" t="n">
        <x:f>N826*L826^2/'Beta HC3'!$E$11^2</x:f>
        <x:v>4.692916800216906e-10</x:v>
      </x:c>
      <x:c r="P826" s="240" t="n">
        <x:f>N826*(1/'Beta HC3'!$E$8-'Beta HC3'!$E$9*L826/'Beta HC3'!$E$11)^2</x:f>
        <x:v>7.846558317803524e-12</x:v>
      </x:c>
      <x:c r="Q826" s="240" t="n">
        <x:f>N826*(1/'Beta HC3'!$E$8-'Beta HC3'!$E$9*L826/'Beta HC3'!$E$11)*L826/'Beta HC3'!$E$11</x:f>
        <x:v>6.068215994301939e-11</x:v>
      </x:c>
      <x:c r="R826" s="240" t="n">
        <x:f>K826*L826/'Beta HC3'!$E$11</x:f>
        <x:v>0.000021645760329498096</x:v>
      </x:c>
      <x:c r="S826" s="240" t="n">
        <x:f>(K826-K825)^2</x:f>
        <x:v>0.000012935356403556204</x:v>
      </x:c>
      <x:c r="T826" s="280" t="n">
        <x:f>E826/$E$9*100</x:f>
        <x:v>147.99654765725566</x:v>
      </x:c>
    </x:row>
    <x:row r="827" ht="24" customHeight="1">
      <x:c r="C827" s="274" t="d">
        <x:v>2025-01-10T00:00:00.000Z</x:v>
      </x:c>
      <x:c r="D827" s="191" t="n">
        <x:v>418.95001220703125</x:v>
      </x:c>
      <x:c r="E827" s="191" t="n">
        <x:v>413.26031494140625</x:v>
      </x:c>
      <x:c r="F827" s="191" t="n">
        <x:v>580.489990234375</x:v>
      </x:c>
      <x:c r="G827" s="191" t="n">
        <x:v>569.3056640625</x:v>
      </x:c>
      <x:c r="H827" s="208" t="n">
        <x:f>E827/E826-1</x:f>
        <x:v>-0.013213612576509104</x:v>
      </x:c>
      <x:c r="I827" s="208" t="n">
        <x:f>G827/G826-1</x:f>
        <x:v>-0.015267439102063629</x:v>
      </x:c>
      <x:c r="J827" s="208" t="n">
        <x:f>'Beta HC3'!$E$13+'Beta HC3'!$E$12*I827</x:f>
        <x:v>-0.017209665568282802</x:v>
      </x:c>
      <x:c r="K827" s="240" t="n">
        <x:f>H827-J827</x:f>
        <x:v>0.003996052991773698</x:v>
      </x:c>
      <x:c r="L827" s="240" t="n">
        <x:f>I827-'Beta HC3'!$E$9</x:f>
        <x:v>-0.015831386719724068</x:v>
      </x:c>
      <x:c r="M827" s="240" t="n">
        <x:f>1/'Beta HC3'!$E$8+L827^2/'Beta HC3'!$E$11</x:f>
        <x:v>0.002510751416502578</x:v>
      </x:c>
      <x:c r="N827" s="240" t="n">
        <x:f>K827^2/(1-M827)^2</x:f>
        <x:v>0.000016048928080487186</x:v>
      </x:c>
      <x:c r="O827" s="240" t="n">
        <x:f>N827*L827^2/'Beta HC3'!$E$11^2</x:f>
        <x:v>1.8810427644995658e-7</x:v>
      </x:c>
      <x:c r="P827" s="240" t="n">
        <x:f>N827*(1/'Beta HC3'!$E$8-'Beta HC3'!$E$9*L827/'Beta HC3'!$E$11)^2</x:f>
        <x:v>1.1810977377552571e-11</x:v>
      </x:c>
      <x:c r="Q827" s="240" t="n">
        <x:f>N827*(1/'Beta HC3'!$E$8-'Beta HC3'!$E$9*L827/'Beta HC3'!$E$11)*L827/'Beta HC3'!$E$11</x:f>
        <x:v>-1.4905352574734125e-9</x:v>
      </x:c>
      <x:c r="R827" s="240" t="n">
        <x:f>K827*L827/'Beta HC3'!$E$11</x:f>
        <x:v>-0.00043262096121000795</x:v>
      </x:c>
      <x:c r="S827" s="240" t="n">
        <x:f>(K827-K826)^2</x:f>
        <x:v>2.191027965560725e-7</x:v>
      </x:c>
      <x:c r="T827" s="280" t="n">
        <x:f>E827/$E$9*100</x:f>
        <x:v>146.04097861385182</x:v>
      </x:c>
    </x:row>
    <x:row r="828" ht="24" customHeight="1">
      <x:c r="C828" s="274" t="d">
        <x:v>2025-01-13T00:00:00.000Z</x:v>
      </x:c>
      <x:c r="D828" s="191" t="n">
        <x:v>417.19000244140625</x:v>
      </x:c>
      <x:c r="E828" s="191" t="n">
        <x:v>411.5242004394531</x:v>
      </x:c>
      <x:c r="F828" s="191" t="n">
        <x:v>581.3900146484375</x:v>
      </x:c>
      <x:c r="G828" s="191" t="n">
        <x:v>570.188232421875</x:v>
      </x:c>
      <x:c r="H828" s="208" t="n">
        <x:f>E828/E827-1</x:f>
        <x:v>-0.004201019161976127</x:v>
      </x:c>
      <x:c r="I828" s="208" t="n">
        <x:f>G828/G827-1</x:f>
        <x:v>0.0015502539586151887</x:v>
      </x:c>
      <x:c r="J828" s="208" t="n">
        <x:f>'Beta HC3'!$E$13+'Beta HC3'!$E$12*I828</x:f>
        <x:v>0.0017575260062192757</x:v>
      </x:c>
      <x:c r="K828" s="240" t="n">
        <x:f>H828-J828</x:f>
        <x:v>-0.005958545168195403</x:v>
      </x:c>
      <x:c r="L828" s="240" t="n">
        <x:f>I828-'Beta HC3'!$E$9</x:f>
        <x:v>0.0009863063409547494</x:v>
      </x:c>
      <x:c r="M828" s="240" t="n">
        <x:f>1/'Beta HC3'!$E$8+L828^2/'Beta HC3'!$E$11</x:f>
        <x:v>0.0008034651897023803</x:v>
      </x:c>
      <x:c r="N828" s="240" t="n">
        <x:f>K828^2/(1-M828)^2</x:f>
        <x:v>0.000035561382229989054</x:v>
      </x:c>
      <x:c r="O828" s="240" t="n">
        <x:f>N828*L828^2/'Beta HC3'!$E$11^2</x:f>
        <x:v>1.6177708523281126e-9</x:v>
      </x:c>
      <x:c r="P828" s="240" t="n">
        <x:f>N828*(1/'Beta HC3'!$E$8-'Beta HC3'!$E$9*L828/'Beta HC3'!$E$11)^2</x:f>
        <x:v>2.2363249185872317e-11</x:v>
      </x:c>
      <x:c r="Q828" s="240" t="n">
        <x:f>N828*(1/'Beta HC3'!$E$8-'Beta HC3'!$E$9*L828/'Beta HC3'!$E$11)*L828/'Beta HC3'!$E$11</x:f>
        <x:v>1.9020676301397546e-10</x:v>
      </x:c>
      <x:c r="R828" s="240" t="n">
        <x:f>K828*L828/'Beta HC3'!$E$11</x:f>
        <x:v>-0.000040189205659738714</x:v>
      </x:c>
      <x:c r="S828" s="240" t="n">
        <x:f>(K828-K827)^2</x:f>
        <x:v>0.0000990940245264602</x:v>
      </x:c>
      <x:c r="T828" s="280" t="n">
        <x:f>E828/$E$9*100</x:f>
        <x:v>145.42745766426128</x:v>
      </x:c>
    </x:row>
    <x:row r="829" ht="24" customHeight="1">
      <x:c r="C829" s="274" t="d">
        <x:v>2025-01-14T00:00:00.000Z</x:v>
      </x:c>
      <x:c r="D829" s="191" t="n">
        <x:v>415.6700134277344</x:v>
      </x:c>
      <x:c r="E829" s="191" t="n">
        <x:v>410.0248718261719</x:v>
      </x:c>
      <x:c r="F829" s="191" t="n">
        <x:v>582.1900024414062</x:v>
      </x:c>
      <x:c r="G829" s="191" t="n">
        <x:v>570.9728393554688</x:v>
      </x:c>
      <x:c r="H829" s="208" t="n">
        <x:f>E829/E828-1</x:f>
        <x:v>-0.0036433546597749444</x:v>
      </x:c>
      <x:c r="I829" s="208" t="n">
        <x:f>G829/G828-1</x:f>
        <x:v>0.0013760489764251815</x:v>
      </x:c>
      <x:c r="J829" s="208" t="n">
        <x:f>'Beta HC3'!$E$13+'Beta HC3'!$E$12*I829</x:f>
        <x:v>0.0015610555831648775</x:v>
      </x:c>
      <x:c r="K829" s="240" t="n">
        <x:f>H829-J829</x:f>
        <x:v>-0.005204410242939822</x:v>
      </x:c>
      <x:c r="L829" s="240" t="n">
        <x:f>I829-'Beta HC3'!$E$9</x:f>
        <x:v>0.0008121013587647422</x:v>
      </x:c>
      <x:c r="M829" s="240" t="n">
        <x:f>1/'Beta HC3'!$E$8+L829^2/'Beta HC3'!$E$11</x:f>
        <x:v>0.000801322762439572</x:v>
      </x:c>
      <x:c r="N829" s="240" t="n">
        <x:f>K829^2/(1-M829)^2</x:f>
        <x:v>0.000027129347283587054</x:v>
      </x:c>
      <x:c r="O829" s="240" t="n">
        <x:f>N829*L829^2/'Beta HC3'!$E$11^2</x:f>
        <x:v>8.3670919578555e-10</x:v>
      </x:c>
      <x:c r="P829" s="240" t="n">
        <x:f>N829*(1/'Beta HC3'!$E$8-'Beta HC3'!$E$9*L829/'Beta HC3'!$E$11)^2</x:f>
        <x:v>1.708957094719965e-11</x:v>
      </x:c>
      <x:c r="Q829" s="240" t="n">
        <x:f>N829*(1/'Beta HC3'!$E$8-'Beta HC3'!$E$9*L829/'Beta HC3'!$E$11)*L829/'Beta HC3'!$E$11</x:f>
        <x:v>1.1957843101308664e-10</x:v>
      </x:c>
      <x:c r="R829" s="240" t="n">
        <x:f>K829*L829/'Beta HC3'!$E$11</x:f>
        <x:v>-0.00002890274701137379</x:v>
      </x:c>
      <x:c r="S829" s="240" t="n">
        <x:f>(K829-K828)^2</x:f>
        <x:v>5.6871948549024e-7</x:v>
      </x:c>
      <x:c r="T829" s="280" t="n">
        <x:f>E829/$E$9*100</x:f>
        <x:v>144.89761385872097</x:v>
      </x:c>
    </x:row>
    <x:row r="830" ht="24" customHeight="1">
      <x:c r="C830" s="274" t="d">
        <x:v>2025-01-15T00:00:00.000Z</x:v>
      </x:c>
      <x:c r="D830" s="191" t="n">
        <x:v>426.30999755859375</x:v>
      </x:c>
      <x:c r="E830" s="191" t="n">
        <x:v>420.5203552246094</x:v>
      </x:c>
      <x:c r="F830" s="191" t="n">
        <x:v>592.780029296875</x:v>
      </x:c>
      <x:c r="G830" s="191" t="n">
        <x:v>581.35888671875</x:v>
      </x:c>
      <x:c r="H830" s="208" t="n">
        <x:f>E830/E829-1</x:f>
        <x:v>0.025597187194261295</x:v>
      </x:c>
      <x:c r="I830" s="208" t="n">
        <x:f>G830/G829-1</x:f>
        <x:v>0.01819009004877592</x:v>
      </x:c>
      <x:c r="J830" s="208" t="n">
        <x:f>'Beta HC3'!$E$13+'Beta HC3'!$E$12*I830</x:f>
        <x:v>0.020524128402377717</x:v>
      </x:c>
      <x:c r="K830" s="240" t="n">
        <x:f>H830-J830</x:f>
        <x:v>0.005073058791883578</x:v>
      </x:c>
      <x:c r="L830" s="240" t="n">
        <x:f>I830-'Beta HC3'!$E$9</x:f>
        <x:v>0.01762614243111548</x:v>
      </x:c>
      <x:c r="M830" s="240" t="n">
        <x:f>1/'Beta HC3'!$E$8+L830^2/'Beta HC3'!$E$11</x:f>
        <x:v>0.002921386990701636</x:v>
      </x:c>
      <x:c r="N830" s="240" t="n">
        <x:f>K830^2/(1-M830)^2</x:f>
        <x:v>0.00002588695620781781</x:v>
      </x:c>
      <x:c r="O830" s="240" t="n">
        <x:f>N830*L830^2/'Beta HC3'!$E$11^2</x:f>
        <x:v>3.7610600041165213e-7</x:v>
      </x:c>
      <x:c r="P830" s="240" t="n">
        <x:f>N830*(1/'Beta HC3'!$E$8-'Beta HC3'!$E$9*L830/'Beta HC3'!$E$11)^2</x:f>
        <x:v>1.3751241979073533e-11</x:v>
      </x:c>
      <x:c r="Q830" s="240" t="n">
        <x:f>N830*(1/'Beta HC3'!$E$8-'Beta HC3'!$E$9*L830/'Beta HC3'!$E$11)*L830/'Beta HC3'!$E$11</x:f>
        <x:v>2.2741865845708785e-9</x:v>
      </x:c>
      <x:c r="R830" s="240" t="n">
        <x:f>K830*L830/'Beta HC3'!$E$11</x:f>
        <x:v>0.00061148320331436</x:v>
      </x:c>
      <x:c r="S830" s="240" t="n">
        <x:f>(K830-K829)^2</x:f>
        <x:v>0.00010562636976175383</x:v>
      </x:c>
      <x:c r="T830" s="280" t="n">
        <x:f>E830/$E$9*100</x:f>
        <x:v>148.60658520466444</x:v>
      </x:c>
    </x:row>
    <x:row r="831" ht="24" customHeight="1">
      <x:c r="C831" s="274" t="d">
        <x:v>2025-01-16T00:00:00.000Z</x:v>
      </x:c>
      <x:c r="D831" s="191" t="n">
        <x:v>424.5799865722656</x:v>
      </x:c>
      <x:c r="E831" s="191" t="n">
        <x:v>418.8138427734375</x:v>
      </x:c>
      <x:c r="F831" s="191" t="n">
        <x:v>591.6400146484375</x:v>
      </x:c>
      <x:c r="G831" s="191" t="n">
        <x:v>580.2408447265625</x:v>
      </x:c>
      <x:c r="H831" s="208" t="n">
        <x:f>E831/E830-1</x:f>
        <x:v>-0.004058097140768324</x:v>
      </x:c>
      <x:c r="I831" s="208" t="n">
        <x:f>G831/G830-1</x:f>
        <x:v>-0.0019231528367921191</x:v>
      </x:c>
      <x:c r="J831" s="208" t="n">
        <x:f>'Beta HC3'!$E$13+'Beta HC3'!$E$12*I831</x:f>
        <x:v>-0.0021598229349801897</x:v>
      </x:c>
      <x:c r="K831" s="240" t="n">
        <x:f>H831-J831</x:f>
        <x:v>-0.0018982742057881345</x:v>
      </x:c>
      <x:c r="L831" s="240" t="n">
        <x:f>I831-'Beta HC3'!$E$9</x:f>
        <x:v>-0.0024871004544525584</x:v>
      </x:c>
      <x:c r="M831" s="240" t="n">
        <x:f>1/'Beta HC3'!$E$8+L831^2/'Beta HC3'!$E$11</x:f>
        <x:v>0.0008391131042943131</x:v>
      </x:c>
      <x:c r="N831" s="240" t="n">
        <x:f>K831^2/(1-M831)^2</x:f>
        <x:v>0.000003609499976332832</x:v>
      </x:c>
      <x:c r="O831" s="240" t="n">
        <x:f>N831*L831^2/'Beta HC3'!$E$11^2</x:f>
        <x:v>1.0441152040099648e-9</x:v>
      </x:c>
      <x:c r="P831" s="240" t="n">
        <x:f>N831*(1/'Beta HC3'!$E$8-'Beta HC3'!$E$9*L831/'Beta HC3'!$E$11)^2</x:f>
        <x:v>2.347214220822614e-12</x:v>
      </x:c>
      <x:c r="Q831" s="240" t="n">
        <x:f>N831*(1/'Beta HC3'!$E$8-'Beta HC3'!$E$9*L831/'Beta HC3'!$E$11)*L831/'Beta HC3'!$E$11</x:f>
        <x:v>-4.9505172002825064e-11</x:v>
      </x:c>
      <x:c r="R831" s="240" t="n">
        <x:f>K831*L831/'Beta HC3'!$E$11</x:f>
        <x:v>0.00003228565746090054</x:v>
      </x:c>
      <x:c r="S831" s="240" t="n">
        <x:f>(K831-K830)^2</x:f>
        <x:v>0.00004859948376442647</x:v>
      </x:c>
      <x:c r="T831" s="280" t="n">
        <x:f>E831/$E$9*100</x:f>
        <x:v>148.00352524614604</x:v>
      </x:c>
    </x:row>
    <x:row r="832" ht="24" customHeight="1">
      <x:c r="C832" s="274" t="d">
        <x:v>2025-01-17T00:00:00.000Z</x:v>
      </x:c>
      <x:c r="D832" s="191" t="n">
        <x:v>429.0299987792969</x:v>
      </x:c>
      <x:c r="E832" s="191" t="n">
        <x:v>423.2033996582031</x:v>
      </x:c>
      <x:c r="F832" s="191" t="n">
        <x:v>597.5800170898438</x:v>
      </x:c>
      <x:c r="G832" s="191" t="n">
        <x:v>586.06640625</x:v>
      </x:c>
      <x:c r="H832" s="208" t="n">
        <x:f>E832/E831-1</x:f>
        <x:v>0.010480925978227917</x:v>
      </x:c>
      <x:c r="I832" s="208" t="n">
        <x:f>G832/G831-1</x:f>
        <x:v>0.010039902527342326</x:v>
      </x:c>
      <x:c r="J832" s="208" t="n">
        <x:f>'Beta HC3'!$E$13+'Beta HC3'!$E$12*I832</x:f>
        <x:v>0.011332251280504042</x:v>
      </x:c>
      <x:c r="K832" s="240" t="n">
        <x:f>H832-J832</x:f>
        <x:v>-0.0008513253022761243</x:v>
      </x:c>
      <x:c r="L832" s="240" t="n">
        <x:f>I832-'Beta HC3'!$E$9</x:f>
        <x:v>0.009475954909681887</x:v>
      </x:c>
      <x:c r="M832" s="240" t="n">
        <x:f>1/'Beta HC3'!$E$8+L832^2/'Beta HC3'!$E$11</x:f>
        <x:v>0.001410862178822398</x:v>
      </x:c>
      <x:c r="N832" s="240" t="n">
        <x:f>K832^2/(1-M832)^2</x:f>
        <x:v>7.268041645829646e-7</x:v>
      </x:c>
      <x:c r="O832" s="240" t="n">
        <x:f>N832*L832^2/'Beta HC3'!$E$11^2</x:f>
        <x:v>3.0519548255757176e-9</x:v>
      </x:c>
      <x:c r="P832" s="240" t="n">
        <x:f>N832*(1/'Beta HC3'!$E$8-'Beta HC3'!$E$9*L832/'Beta HC3'!$E$11)^2</x:f>
        <x:v>4.2009875449288656e-13</x:v>
      </x:c>
      <x:c r="Q832" s="240" t="n">
        <x:f>N832*(1/'Beta HC3'!$E$8-'Beta HC3'!$E$9*L832/'Beta HC3'!$E$11)*L832/'Beta HC3'!$E$11</x:f>
        <x:v>3.580673708944888e-11</x:v>
      </x:c>
      <x:c r="R832" s="240" t="n">
        <x:f>K832*L832/'Beta HC3'!$E$11</x:f>
        <x:v>-0.00005516655803401161</x:v>
      </x:c>
      <x:c r="S832" s="240" t="n">
        <x:f>(K832-K831)^2</x:f>
        <x:v>0.0000010961020065650005</x:v>
      </x:c>
      <x:c r="T832" s="280" t="n">
        <x:f>E832/$E$9*100</x:f>
        <x:v>149.5547392387677</x:v>
      </x:c>
    </x:row>
    <x:row r="833" ht="24" customHeight="1">
      <x:c r="C833" s="274" t="d">
        <x:v>2025-01-21T00:00:00.000Z</x:v>
      </x:c>
      <x:c r="D833" s="191" t="n">
        <x:v>428.5</x:v>
      </x:c>
      <x:c r="E833" s="191" t="n">
        <x:v>422.68060302734375</x:v>
      </x:c>
      <x:c r="F833" s="191" t="n">
        <x:v>603.0499877929688</x:v>
      </x:c>
      <x:c r="G833" s="191" t="n">
        <x:v>591.430908203125</x:v>
      </x:c>
      <x:c r="H833" s="208" t="n">
        <x:f>E833/E832-1</x:f>
        <x:v>-0.0012353318316479234</x:v>
      </x:c>
      <x:c r="I833" s="208" t="n">
        <x:f>G833/G832-1</x:f>
        <x:v>0.009153402918024689</x:v>
      </x:c>
      <x:c r="J833" s="208" t="n">
        <x:f>'Beta HC3'!$E$13+'Beta HC3'!$E$12*I833</x:f>
        <x:v>0.010332446618831249</x:v>
      </x:c>
      <x:c r="K833" s="240" t="n">
        <x:f>H833-J833</x:f>
        <x:v>-0.011567778450479172</x:v>
      </x:c>
      <x:c r="L833" s="240" t="n">
        <x:f>I833-'Beta HC3'!$E$9</x:f>
        <x:v>0.00858945530036425</x:v>
      </x:c>
      <x:c r="M833" s="240" t="n">
        <x:f>1/'Beta HC3'!$E$8+L833^2/'Beta HC3'!$E$11</x:f>
        <x:v>0.0013013446243430767</x:v>
      </x:c>
      <x:c r="N833" s="240" t="n">
        <x:f>K833^2/(1-M833)^2</x:f>
        <x:v>0.0001341624542528061</x:v>
      </x:c>
      <x:c r="O833" s="240" t="n">
        <x:f>N833*L833^2/'Beta HC3'!$E$11^2</x:f>
        <x:v>4.6288911147478366e-7</x:v>
      </x:c>
      <x:c r="P833" s="240" t="n">
        <x:f>N833*(1/'Beta HC3'!$E$8-'Beta HC3'!$E$9*L833/'Beta HC3'!$E$11)^2</x:f>
        <x:v>7.824599778754152e-11</x:v>
      </x:c>
      <x:c r="Q833" s="240" t="n">
        <x:f>N833*(1/'Beta HC3'!$E$8-'Beta HC3'!$E$9*L833/'Beta HC3'!$E$11)*L833/'Beta HC3'!$E$11</x:f>
        <x:v>6.018240639284291e-9</x:v>
      </x:c>
      <x:c r="R833" s="240" t="n">
        <x:f>K833*L833/'Beta HC3'!$E$11</x:f>
        <x:v>-0.0006794741634990405</x:v>
      </x:c>
      <x:c r="S833" s="240" t="n">
        <x:f>(K833-K832)^2</x:f>
        <x:v>0.00011484236807763102</x:v>
      </x:c>
      <x:c r="T833" s="280" t="n">
        <x:f>E833/$E$9*100</x:f>
        <x:v>149.36998950881227</x:v>
      </x:c>
    </x:row>
    <x:row r="834" ht="24" customHeight="1">
      <x:c r="C834" s="274" t="d">
        <x:v>2025-01-22T00:00:00.000Z</x:v>
      </x:c>
      <x:c r="D834" s="191" t="n">
        <x:v>446.20001220703125</x:v>
      </x:c>
      <x:c r="E834" s="191" t="n">
        <x:v>440.1402587890625</x:v>
      </x:c>
      <x:c r="F834" s="191" t="n">
        <x:v>606.4400024414062</x:v>
      </x:c>
      <x:c r="G834" s="191" t="n">
        <x:v>594.7557373046875</x:v>
      </x:c>
      <x:c r="H834" s="208" t="n">
        <x:f>E834/E833-1</x:f>
        <x:v>0.041306971828535266</x:v>
      </x:c>
      <x:c r="I834" s="208" t="n">
        <x:f>G834/G833-1</x:f>
        <x:v>0.005621669506018723</x:v>
      </x:c>
      <x:c r="J834" s="208" t="n">
        <x:f>'Beta HC3'!$E$13+'Beta HC3'!$E$12*I834</x:f>
        <x:v>0.006349316235020853</x:v>
      </x:c>
      <x:c r="K834" s="240" t="n">
        <x:f>H834-J834</x:f>
        <x:v>0.034957655593514415</x:v>
      </x:c>
      <x:c r="L834" s="240" t="n">
        <x:f>I834-'Beta HC3'!$E$9</x:f>
        <x:v>0.005057721888358283</x:v>
      </x:c>
      <x:c r="M834" s="240" t="n">
        <x:f>1/'Beta HC3'!$E$8+L834^2/'Beta HC3'!$E$11</x:f>
        <x:v>0.0009717439392704734</x:v>
      </x:c>
      <x:c r="N834" s="240" t="n">
        <x:f>K834^2/(1-M834)^2</x:f>
        <x:v>0.0012244161663730142</x:v>
      </x:c>
      <x:c r="O834" s="240" t="n">
        <x:f>N834*L834^2/'Beta HC3'!$E$11^2</x:f>
        <x:v>0.0000014647168162804852</x:v>
      </x:c>
      <x:c r="P834" s="240" t="n">
        <x:f>N834*(1/'Beta HC3'!$E$8-'Beta HC3'!$E$9*L834/'Beta HC3'!$E$11)^2</x:f>
        <x:v>7.398007933102414e-10</x:v>
      </x:c>
      <x:c r="Q834" s="240" t="n">
        <x:f>N834*(1/'Beta HC3'!$E$8-'Beta HC3'!$E$9*L834/'Beta HC3'!$E$11)*L834/'Beta HC3'!$E$11</x:f>
        <x:v>3.2918059825256325e-8</x:v>
      </x:c>
      <x:c r="R834" s="240" t="n">
        <x:f>K834*L834/'Beta HC3'!$E$11</x:f>
        <x:v>0.0012090787980998375</x:v>
      </x:c>
      <x:c r="S834" s="240" t="n">
        <x:f>(K834-K833)^2</x:f>
        <x:v>0.0021646160129819977</x:v>
      </x:c>
      <x:c r="T834" s="280" t="n">
        <x:f>E834/$E$9*100</x:f>
        <x:v>155.54001145748134</x:v>
      </x:c>
    </x:row>
    <x:row r="835" ht="24" customHeight="1">
      <x:c r="C835" s="274" t="d">
        <x:v>2025-01-23T00:00:00.000Z</x:v>
      </x:c>
      <x:c r="D835" s="191" t="n">
        <x:v>446.7099914550781</x:v>
      </x:c>
      <x:c r="E835" s="191" t="n">
        <x:v>440.643310546875</x:v>
      </x:c>
      <x:c r="F835" s="191" t="n">
        <x:v>609.75</x:v>
      </x:c>
      <x:c r="G835" s="191" t="n">
        <x:v>598.001953125</x:v>
      </x:c>
      <x:c r="H835" s="208" t="n">
        <x:f>E835/E834-1</x:f>
        <x:v>0.0011429351161753587</x:v>
      </x:c>
      <x:c r="I835" s="208" t="n">
        <x:f>G835/G834-1</x:f>
        <x:v>0.005458065583400229</x:v>
      </x:c>
      <x:c r="J835" s="208" t="n">
        <x:f>'Beta HC3'!$E$13+'Beta HC3'!$E$12*I835</x:f>
        <x:v>0.006164801811345212</x:v>
      </x:c>
      <x:c r="K835" s="240" t="n">
        <x:f>H835-J835</x:f>
        <x:v>-0.005021866695169853</x:v>
      </x:c>
      <x:c r="L835" s="240" t="n">
        <x:f>I835-'Beta HC3'!$E$9</x:f>
        <x:v>0.004894117965739789</x:v>
      </x:c>
      <x:c r="M835" s="240" t="n">
        <x:f>1/'Beta HC3'!$E$8+L835^2/'Beta HC3'!$E$11</x:f>
        <x:v>0.0009606098563249011</x:v>
      </x:c>
      <x:c r="N835" s="240" t="n">
        <x:f>K835^2/(1-M835)^2</x:f>
        <x:v>0.000025267666526802752</x:v>
      </x:c>
      <x:c r="O835" s="240" t="n">
        <x:f>N835*L835^2/'Beta HC3'!$E$11^2</x:f>
        <x:v>2.8302755902539225e-8</x:v>
      </x:c>
      <x:c r="P835" s="240" t="n">
        <x:f>N835*(1/'Beta HC3'!$E$8-'Beta HC3'!$E$9*L835/'Beta HC3'!$E$11)^2</x:f>
        <x:v>1.529169489285243e-11</x:v>
      </x:c>
      <x:c r="Q835" s="240" t="n">
        <x:f>N835*(1/'Beta HC3'!$E$8-'Beta HC3'!$E$9*L835/'Beta HC3'!$E$11)*L835/'Beta HC3'!$E$11</x:f>
        <x:v>6.57873170062823e-10</x:v>
      </x:c>
      <x:c r="R835" s="240" t="n">
        <x:f>K835*L835/'Beta HC3'!$E$11</x:f>
        <x:v>-0.00016807262182445923</x:v>
      </x:c>
      <x:c r="S835" s="240" t="n">
        <x:f>(K835-K834)^2</x:f>
        <x:v>0.001598362202431402</x:v>
      </x:c>
      <x:c r="T835" s="280" t="n">
        <x:f>E835/$E$9*100</x:f>
        <x:v>155.71778359854642</x:v>
      </x:c>
    </x:row>
    <x:row r="836" ht="24" customHeight="1">
      <x:c r="C836" s="274" t="d">
        <x:v>2025-01-24T00:00:00.000Z</x:v>
      </x:c>
      <x:c r="D836" s="191" t="n">
        <x:v>444.05999755859375</x:v>
      </x:c>
      <x:c r="E836" s="191" t="n">
        <x:v>438.0293273925781</x:v>
      </x:c>
      <x:c r="F836" s="191" t="n">
        <x:v>607.969970703125</x:v>
      </x:c>
      <x:c r="G836" s="191" t="n">
        <x:v>596.2561645507812</x:v>
      </x:c>
      <x:c r="H836" s="208" t="n">
        <x:f>E836/E835-1</x:f>
        <x:v>-0.005932197520603921</x:v>
      </x:c>
      <x:c r="I836" s="208" t="n">
        <x:f>G836/G835-1</x:f>
        <x:v>-0.0029193693517148844</x:v>
      </x:c>
      <x:c r="J836" s="208" t="n">
        <x:f>'Beta HC3'!$E$13+'Beta HC3'!$E$12*I836</x:f>
        <x:v>-0.0032833676102247394</x:v>
      </x:c>
      <x:c r="K836" s="240" t="n">
        <x:f>H836-J836</x:f>
        <x:v>-0.002648829910379182</x:v>
      </x:c>
      <x:c r="L836" s="240" t="n">
        <x:f>I836-'Beta HC3'!$E$9</x:f>
        <x:v>-0.0034833169693753237</x:v>
      </x:c>
      <x:c r="M836" s="240" t="n">
        <x:f>1/'Beta HC3'!$E$8+L836^2/'Beta HC3'!$E$11</x:f>
        <x:v>0.0008797870022282635</x:v>
      </x:c>
      <x:c r="N836" s="240" t="n">
        <x:f>K836^2/(1-M836)^2</x:f>
        <x:v>0.000007028661904531491</x:v>
      </x:c>
      <x:c r="O836" s="240" t="n">
        <x:f>N836*L836^2/'Beta HC3'!$E$11^2</x:f>
        <x:v>3.988167288538012e-9</x:v>
      </x:c>
      <x:c r="P836" s="240" t="n">
        <x:f>N836*(1/'Beta HC3'!$E$8-'Beta HC3'!$E$9*L836/'Beta HC3'!$E$11)^2</x:f>
        <x:v>4.614309379515661e-12</x:v>
      </x:c>
      <x:c r="Q836" s="240" t="n">
        <x:f>N836*(1/'Beta HC3'!$E$8-'Beta HC3'!$E$9*L836/'Beta HC3'!$E$11)*L836/'Beta HC3'!$E$11</x:f>
        <x:v>-1.356563221032418e-10</x:v>
      </x:c>
      <x:c r="R836" s="240" t="n">
        <x:f>K836*L836/'Beta HC3'!$E$11</x:f>
        <x:v>0.00006309637786746191</x:v>
      </x:c>
      <x:c r="S836" s="240" t="n">
        <x:f>(K836-K835)^2</x:f>
        <x:v>0.000005631303581969646</x:v>
      </x:c>
      <x:c r="T836" s="280" t="n">
        <x:f>E836/$E$9*100</x:f>
        <x:v>154.79403494876917</x:v>
      </x:c>
    </x:row>
    <x:row r="837" ht="24" customHeight="1">
      <x:c r="C837" s="274" t="d">
        <x:v>2025-01-27T00:00:00.000Z</x:v>
      </x:c>
      <x:c r="D837" s="191" t="n">
        <x:v>434.55999755859375</x:v>
      </x:c>
      <x:c r="E837" s="191" t="n">
        <x:v>428.6583557128906</x:v>
      </x:c>
      <x:c r="F837" s="191" t="n">
        <x:v>599.3699951171875</x:v>
      </x:c>
      <x:c r="G837" s="191" t="n">
        <x:v>587.8219604492188</x:v>
      </x:c>
      <x:c r="H837" s="208" t="n">
        <x:f>E837/E836-1</x:f>
        <x:v>-0.02139348005639108</x:v>
      </x:c>
      <x:c r="I837" s="208" t="n">
        <x:f>G837/G836-1</x:f>
        <x:v>-0.0141452694378712</x:v>
      </x:c>
      <x:c r="J837" s="208" t="n">
        <x:f>'Beta HC3'!$E$13+'Beta HC3'!$E$12*I837</x:f>
        <x:v>-0.015944069453343757</x:v>
      </x:c>
      <x:c r="K837" s="240" t="n">
        <x:f>H837-J837</x:f>
        <x:v>-0.005449410603047322</x:v>
      </x:c>
      <x:c r="L837" s="240" t="n">
        <x:f>I837-'Beta HC3'!$E$9</x:f>
        <x:v>-0.014709217055531638</x:v>
      </x:c>
      <x:c r="M837" s="240" t="n">
        <x:f>1/'Beta HC3'!$E$8+L837^2/'Beta HC3'!$E$11</x:f>
        <x:v>0.002276386012076529</x:v>
      </x:c>
      <x:c r="N837" s="240" t="n">
        <x:f>K837^2/(1-M837)^2</x:f>
        <x:v>0.00002983173843872215</x:v>
      </x:c>
      <x:c r="O837" s="240" t="n">
        <x:f>N837*L837^2/'Beta HC3'!$E$11^2</x:f>
        <x:v>3.018369464444441e-7</x:v>
      </x:c>
      <x:c r="P837" s="240" t="n">
        <x:f>N837*(1/'Beta HC3'!$E$8-'Beta HC3'!$E$9*L837/'Beta HC3'!$E$11)^2</x:f>
        <x:v>2.1733291995343948e-11</x:v>
      </x:c>
      <x:c r="Q837" s="240" t="n">
        <x:f>N837*(1/'Beta HC3'!$E$8-'Beta HC3'!$E$9*L837/'Beta HC3'!$E$11)*L837/'Beta HC3'!$E$11</x:f>
        <x:v>-2.5612322214239184e-9</x:v>
      </x:c>
      <x:c r="R837" s="240" t="n">
        <x:f>K837*L837/'Beta HC3'!$E$11</x:f>
        <x:v>0.0005481462539667062</x:v>
      </x:c>
      <x:c r="S837" s="240" t="n">
        <x:f>(K837-K836)^2</x:f>
        <x:v>0.000007843252216145561</x:v>
      </x:c>
      <x:c r="T837" s="280" t="n">
        <x:f>E837/$E$9*100</x:f>
        <x:v>151.4824518492444</x:v>
      </x:c>
    </x:row>
    <x:row r="838" ht="24" customHeight="1">
      <x:c r="C838" s="274" t="d">
        <x:v>2025-01-28T00:00:00.000Z</x:v>
      </x:c>
      <x:c r="D838" s="191" t="n">
        <x:v>447.20001220703125</x:v>
      </x:c>
      <x:c r="E838" s="191" t="n">
        <x:v>441.126708984375</x:v>
      </x:c>
      <x:c r="F838" s="191" t="n">
        <x:v>604.52001953125</x:v>
      </x:c>
      <x:c r="G838" s="191" t="n">
        <x:v>592.8726806640625</x:v>
      </x:c>
      <x:c r="H838" s="208" t="n">
        <x:f>E838/E837-1</x:f>
        <x:v>0.029086924599308395</x:v>
      </x:c>
      <x:c r="I838" s="208" t="n">
        <x:f>G838/G837-1</x:f>
        <x:v>0.0085922618661336</x:v>
      </x:c>
      <x:c r="J838" s="208" t="n">
        <x:f>'Beta HC3'!$E$13+'Beta HC3'!$E$12*I838</x:f>
        <x:v>0.009699585156017376</x:v>
      </x:c>
      <x:c r="K838" s="240" t="n">
        <x:f>H838-J838</x:f>
        <x:v>0.01938733944329102</x:v>
      </x:c>
      <x:c r="L838" s="240" t="n">
        <x:f>I838-'Beta HC3'!$E$9</x:f>
        <x:v>0.00802831424847316</x:v>
      </x:c>
      <x:c r="M838" s="240" t="n">
        <x:f>1/'Beta HC3'!$E$8+L838^2/'Beta HC3'!$E$11</x:f>
        <x:v>0.0012375767213686408</x:v>
      </x:c>
      <x:c r="N838" s="240" t="n">
        <x:f>K838^2/(1-M838)^2</x:f>
        <x:v>0.0003768009938596179</x:v>
      </x:c>
      <x:c r="O838" s="240" t="n">
        <x:f>N838*L838^2/'Beta HC3'!$E$11^2</x:f>
        <x:v>0.000001135731024603571</x:v>
      </x:c>
      <x:c r="P838" s="240" t="n">
        <x:f>N838*(1/'Beta HC3'!$E$8-'Beta HC3'!$E$9*L838/'Beta HC3'!$E$11)^2</x:f>
        <x:v>2.21004446205201e-10</x:v>
      </x:c>
      <x:c r="Q838" s="240" t="n">
        <x:f>N838*(1/'Beta HC3'!$E$8-'Beta HC3'!$E$9*L838/'Beta HC3'!$E$11)*L838/'Beta HC3'!$E$11</x:f>
        <x:v>1.584303020670534e-8</x:v>
      </x:c>
      <x:c r="R838" s="240" t="n">
        <x:f>K838*L838/'Beta HC3'!$E$11</x:f>
        <x:v>0.0010643879253022627</x:v>
      </x:c>
      <x:c r="S838" s="240" t="n">
        <x:f>(K838-K837)^2</x:f>
        <x:v>0.0006168641528642876</x:v>
      </x:c>
      <x:c r="T838" s="280" t="n">
        <x:f>E838/$E$9*100</x:f>
        <x:v>155.88861050430174</x:v>
      </x:c>
    </x:row>
    <x:row r="839" ht="24" customHeight="1">
      <x:c r="C839" s="274" t="d">
        <x:v>2025-01-29T00:00:00.000Z</x:v>
      </x:c>
      <x:c r="D839" s="191" t="n">
        <x:v>442.3299865722656</x:v>
      </x:c>
      <x:c r="E839" s="191" t="n">
        <x:v>436.3227844238281</x:v>
      </x:c>
      <x:c r="F839" s="191" t="n">
        <x:v>601.8099975585938</x:v>
      </x:c>
      <x:c r="G839" s="191" t="n">
        <x:v>590.2147827148438</x:v>
      </x:c>
      <x:c r="H839" s="208" t="n">
        <x:f>E839/E838-1</x:f>
        <x:v>-0.010890123999988899</x:v>
      </x:c>
      <x:c r="I839" s="208" t="n">
        <x:f>G839/G838-1</x:f>
        <x:v>-0.0044830838659013494</x:v>
      </x:c>
      <x:c r="J839" s="208" t="n">
        <x:f>'Beta HC3'!$E$13+'Beta HC3'!$E$12*I839</x:f>
        <x:v>-0.005046943188123114</x:v>
      </x:c>
      <x:c r="K839" s="240" t="n">
        <x:f>H839-J839</x:f>
        <x:v>-0.005843180811865785</x:v>
      </x:c>
      <x:c r="L839" s="240" t="n">
        <x:f>I839-'Beta HC3'!$E$9</x:f>
        <x:v>-0.005047031483561789</x:v>
      </x:c>
      <x:c r="M839" s="240" t="n">
        <x:f>1/'Beta HC3'!$E$8+L839^2/'Beta HC3'!$E$11</x:f>
        <x:v>0.0009710052237396532</x:v>
      </x:c>
      <x:c r="N839" s="240" t="n">
        <x:f>K839^2/(1-M839)^2</x:f>
        <x:v>0.000034209164300477836</x:v>
      </x:c>
      <x:c r="O839" s="240" t="n">
        <x:f>N839*L839^2/'Beta HC3'!$E$11^2</x:f>
        <x:v>4.075015035423344e-8</x:v>
      </x:c>
      <x:c r="P839" s="240" t="n">
        <x:f>N839*(1/'Beta HC3'!$E$8-'Beta HC3'!$E$9*L839/'Beta HC3'!$E$11)^2</x:f>
        <x:v>2.2793830757722603e-11</x:v>
      </x:c>
      <x:c r="Q839" s="240" t="n">
        <x:f>N839*(1/'Beta HC3'!$E$8-'Beta HC3'!$E$9*L839/'Beta HC3'!$E$11)*L839/'Beta HC3'!$E$11</x:f>
        <x:v>-9.637696978667396e-10</x:v>
      </x:c>
      <x:c r="R839" s="240" t="n">
        <x:f>K839*L839/'Beta HC3'!$E$11</x:f>
        <x:v>0.00020167065120595777</x:v>
      </x:c>
      <x:c r="S839" s="240" t="n">
        <x:f>(K839-K838)^2</x:f>
        <x:v>0.0006365791523458778</x:v>
      </x:c>
      <x:c r="T839" s="280" t="n">
        <x:f>E839/$E$9*100</x:f>
        <x:v>154.1909642057239</x:v>
      </x:c>
    </x:row>
    <x:row r="840" ht="24" customHeight="1">
      <x:c r="C840" s="274" t="d">
        <x:v>2025-01-30T00:00:00.000Z</x:v>
      </x:c>
      <x:c r="D840" s="191" t="n">
        <x:v>414.989990234375</x:v>
      </x:c>
      <x:c r="E840" s="191" t="n">
        <x:v>409.3540954589844</x:v>
      </x:c>
      <x:c r="F840" s="191" t="n">
        <x:v>605.0399780273438</x:v>
      </x:c>
      <x:c r="G840" s="191" t="n">
        <x:v>593.3826293945312</x:v>
      </x:c>
      <x:c r="H840" s="208" t="n">
        <x:f>E840/E839-1</x:f>
        <x:v>-0.06180903204598032</x:v>
      </x:c>
      <x:c r="I840" s="208" t="n">
        <x:f>G840/G839-1</x:f>
        <x:v>0.005367277764742218</x:v>
      </x:c>
      <x:c r="J840" s="208" t="n">
        <x:f>'Beta HC3'!$E$13+'Beta HC3'!$E$12*I840</x:f>
        <x:v>0.006062410244148411</x:v>
      </x:c>
      <x:c r="K840" s="240" t="n">
        <x:f>H840-J840</x:f>
        <x:v>-0.06787144229012873</x:v>
      </x:c>
      <x:c r="L840" s="240" t="n">
        <x:f>I840-'Beta HC3'!$E$9</x:f>
        <x:v>0.004803330147081778</x:v>
      </x:c>
      <x:c r="M840" s="240" t="n">
        <x:f>1/'Beta HC3'!$E$8+L840^2/'Beta HC3'!$E$11</x:f>
        <x:v>0.0009545892198209244</x:v>
      </x:c>
      <x:c r="N840" s="240" t="n">
        <x:f>K840^2/(1-M840)^2</x:f>
        <x:v>0.004615339980439473</x:v>
      </x:c>
      <x:c r="O840" s="240" t="n">
        <x:f>N840*L840^2/'Beta HC3'!$E$11^2</x:f>
        <x:v>0.0000049797013440530325</x:v>
      </x:c>
      <x:c r="P840" s="240" t="n">
        <x:f>N840*(1/'Beta HC3'!$E$8-'Beta HC3'!$E$9*L840/'Beta HC3'!$E$11)^2</x:f>
        <x:v>2.795664309134675e-9</x:v>
      </x:c>
      <x:c r="Q840" s="240" t="n">
        <x:f>N840*(1/'Beta HC3'!$E$8-'Beta HC3'!$E$9*L840/'Beta HC3'!$E$11)*L840/'Beta HC3'!$E$11</x:f>
        <x:v>1.1798971699991079e-7</x:v>
      </x:c>
      <x:c r="R840" s="240" t="n">
        <x:f>K840*L840/'Beta HC3'!$E$11</x:f>
        <x:v>-0.0022293942547959174</x:v>
      </x:c>
      <x:c r="S840" s="240" t="n">
        <x:f>(K840-K839)^2</x:f>
        <x:v>0.003847505222015759</x:v>
      </x:c>
      <x:c r="T840" s="280" t="n">
        <x:f>E840/$E$9*100</x:f>
        <x:v>144.66056995793173</x:v>
      </x:c>
    </x:row>
    <x:row r="841" ht="24" customHeight="1">
      <x:c r="C841" s="274" t="d">
        <x:v>2025-01-31T00:00:00.000Z</x:v>
      </x:c>
      <x:c r="D841" s="191" t="n">
        <x:v>415.05999755859375</x:v>
      </x:c>
      <x:c r="E841" s="191" t="n">
        <x:v>409.42315673828125</x:v>
      </x:c>
      <x:c r="F841" s="191" t="n">
        <x:v>601.8200073242188</x:v>
      </x:c>
      <x:c r="G841" s="191" t="n">
        <x:v>590.2247314453125</x:v>
      </x:c>
      <x:c r="H841" s="208" t="n">
        <x:f>E841/E840-1</x:f>
        <x:v>0.0001687079231964539</x:v>
      </x:c>
      <x:c r="I841" s="208" t="n">
        <x:f>G841/G840-1</x:f>
        <x:v>-0.005321857757179305</x:v>
      </x:c>
      <x:c r="J841" s="208" t="n">
        <x:f>'Beta HC3'!$E$13+'Beta HC3'!$E$12*I841</x:f>
        <x:v>-0.005992922224971906</x:v>
      </x:c>
      <x:c r="K841" s="240" t="n">
        <x:f>H841-J841</x:f>
        <x:v>0.00616163014816836</x:v>
      </x:c>
      <x:c r="L841" s="240" t="n">
        <x:f>I841-'Beta HC3'!$E$9</x:f>
        <x:v>-0.005885805374839744</x:v>
      </x:c>
      <x:c r="M841" s="240" t="n">
        <x:f>1/'Beta HC3'!$E$8+L841^2/'Beta HC3'!$E$11</x:f>
        <x:v>0.0010337149828580931</x:v>
      </x:c>
      <x:c r="N841" s="240" t="n">
        <x:f>K841^2/(1-M841)^2</x:f>
        <x:v>0.000038044299354457215</x:v>
      </x:c>
      <x:c r="O841" s="240" t="n">
        <x:f>N841*L841^2/'Beta HC3'!$E$11^2</x:f>
        <x:v>6.16333973599914e-8</x:v>
      </x:c>
      <x:c r="P841" s="240" t="n">
        <x:f>N841*(1/'Beta HC3'!$E$8-'Beta HC3'!$E$9*L841/'Beta HC3'!$E$11)^2</x:f>
        <x:v>2.5550517364165663e-11</x:v>
      </x:c>
      <x:c r="Q841" s="240" t="n">
        <x:f>N841*(1/'Beta HC3'!$E$8-'Beta HC3'!$E$9*L841/'Beta HC3'!$E$11)*L841/'Beta HC3'!$E$11</x:f>
        <x:v>-1.2548964855552758e-9</x:v>
      </x:c>
      <x:c r="R841" s="240" t="n">
        <x:f>K841*L841/'Beta HC3'!$E$11</x:f>
        <x:v>-0.0002480041138505456</x:v>
      </x:c>
      <x:c r="S841" s="240" t="n">
        <x:f>(K841-K840)^2</x:f>
        <x:v>0.005480895814654143</x:v>
      </x:c>
      <x:c r="T841" s="280" t="n">
        <x:f>E841/$E$9*100</x:f>
        <x:v>144.68497534225776</x:v>
      </x:c>
    </x:row>
    <x:row r="842" ht="24" customHeight="1">
      <x:c r="C842" s="274" t="d">
        <x:v>2025-02-03T00:00:00.000Z</x:v>
      </x:c>
      <x:c r="D842" s="191" t="n">
        <x:v>410.9200134277344</x:v>
      </x:c>
      <x:c r="E842" s="191" t="n">
        <x:v>405.33941650390625</x:v>
      </x:c>
      <x:c r="F842" s="191" t="n">
        <x:v>597.77001953125</x:v>
      </x:c>
      <x:c r="G842" s="191" t="n">
        <x:v>586.2527465820312</x:v>
      </x:c>
      <x:c r="H842" s="208" t="n">
        <x:f>E842/E841-1</x:f>
        <x:v>-0.009974375330669139</x:v>
      </x:c>
      <x:c r="I842" s="208" t="n">
        <x:f>G842/G841-1</x:f>
        <x:v>-0.006729614419163421</x:v>
      </x:c>
      <x:c r="J842" s="208" t="n">
        <x:f>'Beta HC3'!$E$13+'Beta HC3'!$E$12*I842</x:f>
        <x:v>-0.007580606707129803</x:v>
      </x:c>
      <x:c r="K842" s="240" t="n">
        <x:f>H842-J842</x:f>
        <x:v>-0.0023937686235393357</x:v>
      </x:c>
      <x:c r="L842" s="240" t="n">
        <x:f>I842-'Beta HC3'!$E$9</x:f>
        <x:v>-0.007293562036823861</x:v>
      </x:c>
      <x:c r="M842" s="240" t="n">
        <x:f>1/'Beta HC3'!$E$8+L842^2/'Beta HC3'!$E$11</x:f>
        <x:v>0.0011605909944641922</x:v>
      </x:c>
      <x:c r="N842" s="240" t="n">
        <x:f>K842^2/(1-M842)^2</x:f>
        <x:v>0.0000057434520843077554</x:v>
      </x:c>
      <x:c r="O842" s="240" t="n">
        <x:f>N842*L842^2/'Beta HC3'!$E$11^2</x:f>
        <x:v>1.4287856759886645e-8</x:v>
      </x:c>
      <x:c r="P842" s="240" t="n">
        <x:f>N842*(1/'Beta HC3'!$E$8-'Beta HC3'!$E$9*L842/'Beta HC3'!$E$11)^2</x:f>
        <x:v>3.908573722965325e-12</x:v>
      </x:c>
      <x:c r="Q842" s="240" t="n">
        <x:f>N842*(1/'Beta HC3'!$E$8-'Beta HC3'!$E$9*L842/'Beta HC3'!$E$11)*L842/'Beta HC3'!$E$11</x:f>
        <x:v>-2.363157664845607e-10</x:v>
      </x:c>
      <x:c r="R842" s="240" t="n">
        <x:f>K842*L842/'Beta HC3'!$E$11</x:f>
        <x:v>0.00011939309565234683</x:v>
      </x:c>
      <x:c r="S842" s="240" t="n">
        <x:f>(K842-K841)^2</x:f>
        <x:v>0.00007319484814293756</x:v>
      </x:c>
      <x:c r="T842" s="280" t="n">
        <x:f>E842/$E$9*100</x:f>
        <x:v>143.24183309348547</x:v>
      </x:c>
    </x:row>
    <x:row r="843" ht="24" customHeight="1">
      <x:c r="C843" s="274" t="d">
        <x:v>2025-02-04T00:00:00.000Z</x:v>
      </x:c>
      <x:c r="D843" s="191" t="n">
        <x:v>412.3699951171875</x:v>
      </x:c>
      <x:c r="E843" s="191" t="n">
        <x:v>406.7696533203125</x:v>
      </x:c>
      <x:c r="F843" s="191" t="n">
        <x:v>601.780029296875</x:v>
      </x:c>
      <x:c r="G843" s="191" t="n">
        <x:v>590.1856079101562</x:v>
      </x:c>
      <x:c r="H843" s="208" t="n">
        <x:f>E843/E842-1</x:f>
        <x:v>0.003528491822340385</x:v>
      </x:c>
      <x:c r="I843" s="208" t="n">
        <x:f>G843/G842-1</x:f>
        <x:v>0.006708474034542888</x:v>
      </x:c>
      <x:c r="J843" s="208" t="n">
        <x:f>'Beta HC3'!$E$13+'Beta HC3'!$E$12*I843</x:f>
        <x:v>0.007575027134974823</x:v>
      </x:c>
      <x:c r="K843" s="240" t="n">
        <x:f>H843-J843</x:f>
        <x:v>-0.004046535312634438</x:v>
      </x:c>
      <x:c r="L843" s="240" t="n">
        <x:f>I843-'Beta HC3'!$E$9</x:f>
        <x:v>0.006144526416882449</x:v>
      </x:c>
      <x:c r="M843" s="240" t="n">
        <x:f>1/'Beta HC3'!$E$8+L843^2/'Beta HC3'!$E$11</x:f>
        <x:v>0.0010549996429154464</x:v>
      </x:c>
      <x:c r="N843" s="240" t="n">
        <x:f>K843^2/(1-M843)^2</x:f>
        <x:v>0.00001640905286254492</x:v>
      </x:c>
      <x:c r="O843" s="240" t="n">
        <x:f>N843*L843^2/'Beta HC3'!$E$11^2</x:f>
        <x:v>2.8971772639585545e-8</x:v>
      </x:c>
      <x:c r="P843" s="240" t="n">
        <x:f>N843*(1/'Beta HC3'!$E$8-'Beta HC3'!$E$9*L843/'Beta HC3'!$E$11)^2</x:f>
        <x:v>9.80783375174126e-12</x:v>
      </x:c>
      <x:c r="Q843" s="240" t="n">
        <x:f>N843*(1/'Beta HC3'!$E$8-'Beta HC3'!$E$9*L843/'Beta HC3'!$E$11)*L843/'Beta HC3'!$E$11</x:f>
        <x:v>5.330575292989501e-10</x:v>
      </x:c>
      <x:c r="R843" s="240" t="n">
        <x:f>K843*L843/'Beta HC3'!$E$11</x:f>
        <x:v>-0.0001700313925905807</x:v>
      </x:c>
      <x:c r="S843" s="240" t="n">
        <x:f>(K843-K842)^2</x:f>
        <x:v>0.000002731637728582386</x:v>
      </x:c>
      <x:c r="T843" s="280" t="n">
        <x:f>E843/$E$9*100</x:f>
        <x:v>143.74726073017285</x:v>
      </x:c>
    </x:row>
    <x:row r="844" ht="24" customHeight="1">
      <x:c r="C844" s="274" t="d">
        <x:v>2025-02-05T00:00:00.000Z</x:v>
      </x:c>
      <x:c r="D844" s="191" t="n">
        <x:v>413.2900085449219</x:v>
      </x:c>
      <x:c r="E844" s="191" t="n">
        <x:v>407.6772155761719</x:v>
      </x:c>
      <x:c r="F844" s="191" t="n">
        <x:v>604.219970703125</x:v>
      </x:c>
      <x:c r="G844" s="191" t="n">
        <x:v>592.578369140625</x:v>
      </x:c>
      <x:c r="H844" s="208" t="n">
        <x:f>E844/E843-1</x:f>
        <x:v>0.002231145436861537</x:v>
      </x:c>
      <x:c r="I844" s="208" t="n">
        <x:f>G844/G843-1</x:f>
        <x:v>0.004054252083410592</x:v>
      </x:c>
      <x:c r="J844" s="208" t="n">
        <x:f>'Beta HC3'!$E$13+'Beta HC3'!$E$12*I844</x:f>
        <x:v>0.004581564473554187</x:v>
      </x:c>
      <x:c r="K844" s="240" t="n">
        <x:f>H844-J844</x:f>
        <x:v>-0.00235041903669265</x:v>
      </x:c>
      <x:c r="L844" s="240" t="n">
        <x:f>I844-'Beta HC3'!$E$9</x:f>
        <x:v>0.003490304465750153</x:v>
      </x:c>
      <x:c r="M844" s="240" t="n">
        <x:f>1/'Beta HC3'!$E$8+L844^2/'Beta HC3'!$E$11</x:f>
        <x:v>0.0008801202270350978</x:v>
      </x:c>
      <x:c r="N844" s="240" t="n">
        <x:f>K844^2/(1-M844)^2</x:f>
        <x:v>0.000005534206896045883</x:v>
      </x:c>
      <x:c r="O844" s="240" t="n">
        <x:f>N844*L844^2/'Beta HC3'!$E$11^2</x:f>
        <x:v>3.152802308561837e-9</x:v>
      </x:c>
      <x:c r="P844" s="240" t="n">
        <x:f>N844*(1/'Beta HC3'!$E$8-'Beta HC3'!$E$9*L844/'Beta HC3'!$E$11)^2</x:f>
        <x:v>3.3960153190451494e-12</x:v>
      </x:c>
      <x:c r="Q844" s="240" t="n">
        <x:f>N844*(1/'Beta HC3'!$E$8-'Beta HC3'!$E$9*L844/'Beta HC3'!$E$11)*L844/'Beta HC3'!$E$11</x:f>
        <x:v>1.0347446514863901e-10</x:v>
      </x:c>
      <x:c r="R844" s="240" t="n">
        <x:f>K844*L844/'Beta HC3'!$E$11</x:f>
        <x:v>-0.00005610040160811602</x:v>
      </x:c>
      <x:c r="S844" s="240" t="n">
        <x:f>(K844-K843)^2</x:f>
        <x:v>0.0000028768104215146387</x:v>
      </x:c>
      <x:c r="T844" s="280" t="n">
        <x:f>E844/$E$9*100</x:f>
        <x:v>144.06798177501236</x:v>
      </x:c>
    </x:row>
    <x:row r="845" ht="24" customHeight="1">
      <x:c r="C845" s="274" t="d">
        <x:v>2025-02-06T00:00:00.000Z</x:v>
      </x:c>
      <x:c r="D845" s="191" t="n">
        <x:v>415.82000732421875</x:v>
      </x:c>
      <x:c r="E845" s="191" t="n">
        <x:v>410.17279052734375</x:v>
      </x:c>
      <x:c r="F845" s="191" t="n">
        <x:v>606.3200073242188</x:v>
      </x:c>
      <x:c r="G845" s="191" t="n">
        <x:v>594.6380004882812</x:v>
      </x:c>
      <x:c r="H845" s="208" t="n">
        <x:f>E845/E844-1</x:f>
        <x:v>0.0061214481845517366</x:v>
      </x:c>
      <x:c r="I845" s="208" t="n">
        <x:f>G845/G844-1</x:f>
        <x:v>0.003475711323454478</x:v>
      </x:c>
      <x:c r="J845" s="208" t="n">
        <x:f>'Beta HC3'!$E$13+'Beta HC3'!$E$12*I845</x:f>
        <x:v>0.003929079415814483</x:v>
      </x:c>
      <x:c r="K845" s="240" t="n">
        <x:f>H845-J845</x:f>
        <x:v>0.0021923687687372536</x:v>
      </x:c>
      <x:c r="L845" s="240" t="n">
        <x:f>I845-'Beta HC3'!$E$9</x:f>
        <x:v>0.0029117637057940386</x:v>
      </x:c>
      <x:c r="M845" s="240" t="n">
        <x:f>1/'Beta HC3'!$E$8+L845^2/'Beta HC3'!$E$11</x:f>
        <x:v>0.0008547916018393662</x:v>
      </x:c>
      <x:c r="N845" s="240" t="n">
        <x:f>K845^2/(1-M845)^2</x:f>
        <x:v>0.000004814708444865777</x:v>
      </x:c>
      <x:c r="O845" s="240" t="n">
        <x:f>N845*L845^2/'Beta HC3'!$E$11^2</x:f>
        <x:v>1.9089606362600864e-9</x:v>
      </x:c>
      <x:c r="P845" s="240" t="n">
        <x:f>N845*(1/'Beta HC3'!$E$8-'Beta HC3'!$E$9*L845/'Beta HC3'!$E$11)^2</x:f>
        <x:v>2.9713557790603598e-12</x:v>
      </x:c>
      <x:c r="Q845" s="240" t="n">
        <x:f>N845*(1/'Beta HC3'!$E$8-'Beta HC3'!$E$9*L845/'Beta HC3'!$E$11)*L845/'Beta HC3'!$E$11</x:f>
        <x:v>7.531401741077255e-11</x:v>
      </x:c>
      <x:c r="R845" s="240" t="n">
        <x:f>K845*L845/'Beta HC3'!$E$11</x:f>
        <x:v>0.000043654306821178665</x:v>
      </x:c>
      <x:c r="S845" s="240" t="n">
        <x:f>(K845-K844)^2</x:f>
        <x:v>0.00002063692104516264</x:v>
      </x:c>
      <x:c r="T845" s="280" t="n">
        <x:f>E845/$E$9*100</x:f>
        <x:v>144.94988646050103</x:v>
      </x:c>
    </x:row>
    <x:row r="846" ht="24" customHeight="1">
      <x:c r="C846" s="274" t="d">
        <x:v>2025-02-07T00:00:00.000Z</x:v>
      </x:c>
      <x:c r="D846" s="191" t="n">
        <x:v>409.75</x:v>
      </x:c>
      <x:c r="E846" s="191" t="n">
        <x:v>404.1852722167969</x:v>
      </x:c>
      <x:c r="F846" s="191" t="n">
        <x:v>600.77001953125</x:v>
      </x:c>
      <x:c r="G846" s="191" t="n">
        <x:v>589.1949462890625</x:v>
      </x:c>
      <x:c r="H846" s="208" t="n">
        <x:f>E846/E845-1</x:f>
        <x:v>-0.014597551199944214</x:v>
      </x:c>
      <x:c r="I846" s="208" t="n">
        <x:f>G846/G845-1</x:f>
        <x:v>-0.009153559299522107</x:v>
      </x:c>
      <x:c r="J846" s="208" t="n">
        <x:f>'Beta HC3'!$E$13+'Beta HC3'!$E$12*I846</x:f>
        <x:v>-0.01031436018603537</x:v>
      </x:c>
      <x:c r="K846" s="240" t="n">
        <x:f>H846-J846</x:f>
        <x:v>-0.004283191013908845</x:v>
      </x:c>
      <x:c r="L846" s="240" t="n">
        <x:f>I846-'Beta HC3'!$E$9</x:f>
        <x:v>-0.009717506917182546</x:v>
      </x:c>
      <x:c r="M846" s="240" t="n">
        <x:f>1/'Beta HC3'!$E$8+L846^2/'Beta HC3'!$E$11</x:f>
        <x:v>0.0014425667092938521</x:v>
      </x:c>
      <x:c r="N846" s="240" t="n">
        <x:f>K846^2/(1-M846)^2</x:f>
        <x:v>0.000018398769879653774</x:v>
      </x:c>
      <x:c r="O846" s="240" t="n">
        <x:f>N846*L846^2/'Beta HC3'!$E$11^2</x:f>
        <x:v>8.124810253396253e-8</x:v>
      </x:c>
      <x:c r="P846" s="240" t="n">
        <x:f>N846*(1/'Beta HC3'!$E$8-'Beta HC3'!$E$9*L846/'Beta HC3'!$E$11)^2</x:f>
        <x:v>1.2806231832593873e-11</x:v>
      </x:c>
      <x:c r="Q846" s="240" t="n">
        <x:f>N846*(1/'Beta HC3'!$E$8-'Beta HC3'!$E$9*L846/'Beta HC3'!$E$11)*L846/'Beta HC3'!$E$11</x:f>
        <x:v>-1.0200402134270403e-9</x:v>
      </x:c>
      <x:c r="R846" s="240" t="n">
        <x:f>K846*L846/'Beta HC3'!$E$11</x:f>
        <x:v>0.0002846293379034241</x:v>
      </x:c>
      <x:c r="S846" s="240" t="n">
        <x:f>(K846-K845)^2</x:f>
        <x:v>0.000041932874498623585</x:v>
      </x:c>
      <x:c r="T846" s="280" t="n">
        <x:f>E846/$E$9*100</x:f>
        <x:v>142.83397307146777</x:v>
      </x:c>
    </x:row>
    <x:row r="847" ht="24" customHeight="1">
      <x:c r="C847" s="274" t="d">
        <x:v>2025-02-10T00:00:00.000Z</x:v>
      </x:c>
      <x:c r="D847" s="191" t="n">
        <x:v>412.2200012207031</x:v>
      </x:c>
      <x:c r="E847" s="191" t="n">
        <x:v>406.6217041015625</x:v>
      </x:c>
      <x:c r="F847" s="191" t="n">
        <x:v>604.8499755859375</x:v>
      </x:c>
      <x:c r="G847" s="191" t="n">
        <x:v>593.1963500976562</x:v>
      </x:c>
      <x:c r="H847" s="208" t="n">
        <x:f>E847/E846-1</x:f>
        <x:v>0.006028007580292982</x:v>
      </x:c>
      <x:c r="I847" s="208" t="n">
        <x:f>G847/G846-1</x:f>
        <x:v>0.006791307077217645</x:v>
      </x:c>
      <x:c r="J847" s="208" t="n">
        <x:f>'Beta HC3'!$E$13+'Beta HC3'!$E$12*I847</x:f>
        <x:v>0.007668447212475488</x:v>
      </x:c>
      <x:c r="K847" s="240" t="n">
        <x:f>H847-J847</x:f>
        <x:v>-0.0016404396321825056</x:v>
      </x:c>
      <x:c r="L847" s="240" t="n">
        <x:f>I847-'Beta HC3'!$E$9</x:f>
        <x:v>0.006227359459557206</x:v>
      </x:c>
      <x:c r="M847" s="240" t="n">
        <x:f>1/'Beta HC3'!$E$8+L847^2/'Beta HC3'!$E$11</x:f>
        <x:v>0.0010620076879027125</x:v>
      </x:c>
      <x:c r="N847" s="240" t="n">
        <x:f>K847^2/(1-M847)^2</x:f>
        <x:v>0.000002696767120086453</x:v>
      </x:c>
      <x:c r="O847" s="240" t="n">
        <x:f>N847*L847^2/'Beta HC3'!$E$11^2</x:f>
        <x:v>4.890643849531173e-9</x:v>
      </x:c>
      <x:c r="P847" s="240" t="n">
        <x:f>N847*(1/'Beta HC3'!$E$8-'Beta HC3'!$E$9*L847/'Beta HC3'!$E$11)^2</x:f>
        <x:v>1.6105494185267102e-12</x:v>
      </x:c>
      <x:c r="Q847" s="240" t="n">
        <x:f>N847*(1/'Beta HC3'!$E$8-'Beta HC3'!$E$9*L847/'Beta HC3'!$E$11)*L847/'Beta HC3'!$E$11</x:f>
        <x:v>8.875034427022614e-11</x:v>
      </x:c>
      <x:c r="R847" s="240" t="n">
        <x:f>K847*L847/'Beta HC3'!$E$11</x:f>
        <x:v>-0.00006985886889121781</x:v>
      </x:c>
      <x:c r="S847" s="240" t="n">
        <x:f>(K847-K846)^2</x:f>
        <x:v>0.000006984134865616476</x:v>
      </x:c>
      <x:c r="T847" s="280" t="n">
        <x:f>E847/$E$9*100</x:f>
        <x:v>143.69497734386593</x:v>
      </x:c>
    </x:row>
    <x:row r="848" ht="24" customHeight="1">
      <x:c r="C848" s="274" t="d">
        <x:v>2025-02-11T00:00:00.000Z</x:v>
      </x:c>
      <x:c r="D848" s="191" t="n">
        <x:v>411.44000244140625</x:v>
      </x:c>
      <x:c r="E848" s="191" t="n">
        <x:v>405.8523254394531</x:v>
      </x:c>
      <x:c r="F848" s="191" t="n">
        <x:v>605.3099975585938</x:v>
      </x:c>
      <x:c r="G848" s="191" t="n">
        <x:v>593.6475219726562</x:v>
      </x:c>
      <x:c r="H848" s="208" t="n">
        <x:f>E848/E847-1</x:f>
        <x:v>-0.0018921239430869097</x:v>
      </x:c>
      <x:c r="I848" s="208" t="n">
        <x:f>G848/G847-1</x:f>
        <x:v>0.0007605776315475765</x:v>
      </x:c>
      <x:c r="J848" s="208" t="n">
        <x:f>'Beta HC3'!$E$13+'Beta HC3'!$E$12*I848</x:f>
        <x:v>0.0008669197784031521</x:v>
      </x:c>
      <x:c r="K848" s="240" t="n">
        <x:f>H848-J848</x:f>
        <x:v>-0.002759043721490062</x:v>
      </x:c>
      <x:c r="L848" s="240" t="n">
        <x:f>I848-'Beta HC3'!$E$9</x:f>
        <x:v>0.00019663001388713715</x:v>
      </x:c>
      <x:c r="M848" s="240" t="n">
        <x:f>1/'Beta HC3'!$E$8+L848^2/'Beta HC3'!$E$11</x:f>
        <x:v>0.0007970771462828732</x:v>
      </x:c>
      <x:c r="N848" s="240" t="n">
        <x:f>K848^2/(1-M848)^2</x:f>
        <x:v>0.00000762447199778668</x:v>
      </x:c>
      <x:c r="O848" s="240" t="n">
        <x:f>N848*L848^2/'Beta HC3'!$E$11^2</x:f>
        <x:v>1.3785550589316197e-11</x:v>
      </x:c>
      <x:c r="P848" s="240" t="n">
        <x:f>N848*(1/'Beta HC3'!$E$8-'Beta HC3'!$E$9*L848/'Beta HC3'!$E$11)^2</x:f>
        <x:v>4.831648279175399e-12</x:v>
      </x:c>
      <x:c r="Q848" s="240" t="n">
        <x:f>N848*(1/'Beta HC3'!$E$8-'Beta HC3'!$E$9*L848/'Beta HC3'!$E$11)*L848/'Beta HC3'!$E$11</x:f>
        <x:v>8.161306989836554e-12</x:v>
      </x:c>
      <x:c r="R848" s="240" t="n">
        <x:f>K848*L848/'Beta HC3'!$E$11</x:f>
        <x:v>-0.0000037099303299482547</x:v>
      </x:c>
      <x:c r="S848" s="240" t="n">
        <x:f>(K848-K847)^2</x:f>
        <x:v>0.000001251275108615587</x:v>
      </x:c>
      <x:c r="T848" s="280" t="n">
        <x:f>E848/$E$9*100</x:f>
        <x:v>143.42308863673227</x:v>
      </x:c>
    </x:row>
    <x:row r="849" ht="24" customHeight="1">
      <x:c r="C849" s="274" t="d">
        <x:v>2025-02-12T00:00:00.000Z</x:v>
      </x:c>
      <x:c r="D849" s="191" t="n">
        <x:v>409.0400085449219</x:v>
      </x:c>
      <x:c r="E849" s="191" t="n">
        <x:v>403.4849548339844</x:v>
      </x:c>
      <x:c r="F849" s="191" t="n">
        <x:v>603.3599853515625</x:v>
      </x:c>
      <x:c r="G849" s="191" t="n">
        <x:v>591.7349853515625</x:v>
      </x:c>
      <x:c r="H849" s="208" t="n">
        <x:f>E849/E848-1</x:f>
        <x:v>-0.005833083752582624</x:v>
      </x:c>
      <x:c r="I849" s="208" t="n">
        <x:f>G849/G848-1</x:f>
        <x:v>-0.0032216703520272505</x:v>
      </x:c>
      <x:c r="J849" s="208" t="n">
        <x:f>'Beta HC3'!$E$13+'Beta HC3'!$E$12*I849</x:f>
        <x:v>-0.0036243062256103636</x:v>
      </x:c>
      <x:c r="K849" s="240" t="n">
        <x:f>H849-J849</x:f>
        <x:v>-0.0022087775269722604</x:v>
      </x:c>
      <x:c r="L849" s="240" t="n">
        <x:f>I849-'Beta HC3'!$E$9</x:f>
        <x:v>-0.0037856179696876898</x:v>
      </x:c>
      <x:c r="M849" s="240" t="n">
        <x:f>1/'Beta HC3'!$E$8+L849^2/'Beta HC3'!$E$11</x:f>
        <x:v>0.0008948138444820124</x:v>
      </x:c>
      <x:c r="N849" s="240" t="n">
        <x:f>K849^2/(1-M849)^2</x:f>
        <x:v>0.000004887440949975977</x:v>
      </x:c>
      <x:c r="O849" s="240" t="n">
        <x:f>N849*L849^2/'Beta HC3'!$E$11^2</x:f>
        <x:v>3.2754412571955685e-9</x:v>
      </x:c>
      <x:c r="P849" s="240" t="n">
        <x:f>N849*(1/'Beta HC3'!$E$8-'Beta HC3'!$E$9*L849/'Beta HC3'!$E$11)^2</x:f>
        <x:v>3.2178401026287533e-12</x:v>
      </x:c>
      <x:c r="Q849" s="240" t="n">
        <x:f>N849*(1/'Beta HC3'!$E$8-'Beta HC3'!$E$9*L849/'Beta HC3'!$E$11)*L849/'Beta HC3'!$E$11</x:f>
        <x:v>-1.0266375324918062e-10</x:v>
      </x:c>
      <x:c r="R849" s="240" t="n">
        <x:f>K849*L849/'Beta HC3'!$E$11</x:f>
        <x:v>0.000057180259350995654</x:v>
      </x:c>
      <x:c r="S849" s="240" t="n">
        <x:f>(K849-K848)^2</x:f>
        <x:v>3.027928848291028e-7</x:v>
      </x:c>
      <x:c r="T849" s="280" t="n">
        <x:f>E849/$E$9*100</x:f>
        <x:v>142.58648974866014</x:v>
      </x:c>
    </x:row>
    <x:row r="850" ht="24" customHeight="1">
      <x:c r="C850" s="274" t="d">
        <x:v>2025-02-13T00:00:00.000Z</x:v>
      </x:c>
      <x:c r="D850" s="191" t="n">
        <x:v>410.5400085449219</x:v>
      </x:c>
      <x:c r="E850" s="191" t="n">
        <x:v>404.96453857421875</x:v>
      </x:c>
      <x:c r="F850" s="191" t="n">
        <x:v>609.72998046875</x:v>
      </x:c>
      <x:c r="G850" s="191" t="n">
        <x:v>597.9823608398438</x:v>
      </x:c>
      <x:c r="H850" s="208" t="n">
        <x:f>E850/E849-1</x:f>
        <x:v>0.003667010931902359</x:v>
      </x:c>
      <x:c r="I850" s="208" t="n">
        <x:f>G850/G849-1</x:f>
        <x:v>0.010557725405689</x:v>
      </x:c>
      <x:c r="J850" s="208" t="n">
        <x:f>'Beta HC3'!$E$13+'Beta HC3'!$E$12*I850</x:f>
        <x:v>0.011916257998894288</x:v>
      </x:c>
      <x:c r="K850" s="240" t="n">
        <x:f>H850-J850</x:f>
        <x:v>-0.008249247066991929</x:v>
      </x:c>
      <x:c r="L850" s="240" t="n">
        <x:f>I850-'Beta HC3'!$E$9</x:f>
        <x:v>0.009993777788028561</x:v>
      </x:c>
      <x:c r="M850" s="240" t="n">
        <x:f>1/'Beta HC3'!$E$8+L850^2/'Beta HC3'!$E$11</x:f>
        <x:v>0.0014798065134955683</x:v>
      </x:c>
      <x:c r="N850" s="240" t="n">
        <x:f>K850^2/(1-M850)^2</x:f>
        <x:v>0.00006825192700462085</x:v>
      </x:c>
      <x:c r="O850" s="240" t="n">
        <x:f>N850*L850^2/'Beta HC3'!$E$11^2</x:f>
        <x:v>3.1877849635088107e-7</x:v>
      </x:c>
      <x:c r="P850" s="240" t="n">
        <x:f>N850*(1/'Beta HC3'!$E$8-'Beta HC3'!$E$9*L850/'Beta HC3'!$E$11)^2</x:f>
        <x:v>3.924319701064782e-11</x:v>
      </x:c>
      <x:c r="Q850" s="240" t="n">
        <x:f>N850*(1/'Beta HC3'!$E$8-'Beta HC3'!$E$9*L850/'Beta HC3'!$E$11)*L850/'Beta HC3'!$E$11</x:f>
        <x:v>3.536931909869867e-9</x:v>
      </x:c>
      <x:c r="R850" s="240" t="n">
        <x:f>K850*L850/'Beta HC3'!$E$11</x:f>
        <x:v>-0.0005637692200095851</x:v>
      </x:c>
      <x:c r="S850" s="240" t="n">
        <x:f>(K850-K849)^2</x:f>
        <x:v>0.00003648727226390542</x:v>
      </x:c>
      <x:c r="T850" s="280" t="n">
        <x:f>E850/$E$9*100</x:f>
        <x:v>143.10935596531007</x:v>
      </x:c>
    </x:row>
    <x:row r="851" ht="24" customHeight="1">
      <x:c r="C851" s="274" t="d">
        <x:v>2025-02-14T00:00:00.000Z</x:v>
      </x:c>
      <x:c r="D851" s="191" t="n">
        <x:v>408.42999267578125</x:v>
      </x:c>
      <x:c r="E851" s="191" t="n">
        <x:v>402.8831787109375</x:v>
      </x:c>
      <x:c r="F851" s="191" t="n">
        <x:v>609.7000122070312</x:v>
      </x:c>
      <x:c r="G851" s="191" t="n">
        <x:v>597.952880859375</x:v>
      </x:c>
      <x:c r="H851" s="208" t="n">
        <x:f>E851/E850-1</x:f>
        <x:v>-0.005139610175768028</x:v>
      </x:c>
      <x:c r="I851" s="208" t="n">
        <x:f>G851/G850-1</x:f>
        <x:v>-0.00004929908037309971</x:v>
      </x:c>
      <x:c r="J851" s="208" t="n">
        <x:f>'Beta HC3'!$E$13+'Beta HC3'!$E$12*I851</x:f>
        <x:v>-0.000046468680483805036</x:v>
      </x:c>
      <x:c r="K851" s="240" t="n">
        <x:f>H851-J851</x:f>
        <x:v>-0.005093141495284223</x:v>
      </x:c>
      <x:c r="L851" s="240" t="n">
        <x:f>I851-'Beta HC3'!$E$9</x:f>
        <x:v>-0.0006132466980335391</x:v>
      </x:c>
      <x:c r="M851" s="240" t="n">
        <x:f>1/'Beta HC3'!$E$8+L851^2/'Beta HC3'!$E$11</x:f>
        <x:v>0.0007993844933774573</x:v>
      </x:c>
      <x:c r="N851" s="240" t="n">
        <x:f>K851^2/(1-M851)^2</x:f>
        <x:v>0.00002598161228427727</x:v>
      </x:c>
      <x:c r="O851" s="240" t="n">
        <x:f>N851*L851^2/'Beta HC3'!$E$11^2</x:f>
        <x:v>4.569316671424682e-10</x:v>
      </x:c>
      <x:c r="P851" s="240" t="n">
        <x:f>N851*(1/'Beta HC3'!$E$8-'Beta HC3'!$E$9*L851/'Beta HC3'!$E$11)^2</x:f>
        <x:v>1.6594068022986774e-11</x:v>
      </x:c>
      <x:c r="Q851" s="240" t="n">
        <x:f>N851*(1/'Beta HC3'!$E$8-'Beta HC3'!$E$9*L851/'Beta HC3'!$E$11)*L851/'Beta HC3'!$E$11</x:f>
        <x:v>-8.707672000264404e-11</x:v>
      </x:c>
      <x:c r="R851" s="240" t="n">
        <x:f>K851*L851/'Beta HC3'!$E$11</x:f>
        <x:v>0.000021358872417579152</x:v>
      </x:c>
      <x:c r="S851" s="240" t="n">
        <x:f>(K851-K850)^2</x:f>
        <x:v>0.000009961002379764424</x:v>
      </x:c>
      <x:c r="T851" s="280" t="n">
        <x:f>E851/$E$9*100</x:f>
        <x:v>142.37382966314314</x:v>
      </x:c>
    </x:row>
    <x:row r="852" ht="24" customHeight="1">
      <x:c r="C852" s="274" t="d">
        <x:v>2025-02-18T00:00:00.000Z</x:v>
      </x:c>
      <x:c r="D852" s="191" t="n">
        <x:v>409.6400146484375</x:v>
      </x:c>
      <x:c r="E852" s="191" t="n">
        <x:v>404.0767822265625</x:v>
      </x:c>
      <x:c r="F852" s="191" t="n">
        <x:v>611.489990234375</x:v>
      </x:c>
      <x:c r="G852" s="191" t="n">
        <x:v>599.7083740234375</x:v>
      </x:c>
      <x:c r="H852" s="208" t="n">
        <x:f>E852/E851-1</x:f>
        <x:v>0.002962654135732379</x:v>
      </x:c>
      <x:c r="I852" s="208" t="n">
        <x:f>G852/G851-1</x:f>
        <x:v>0.002935838625845344</x:v>
      </x:c>
      <x:c r="J852" s="208" t="n">
        <x:f>'Beta HC3'!$E$13+'Beta HC3'!$E$12*I852</x:f>
        <x:v>0.003320204652525019</x:v>
      </x:c>
      <x:c r="K852" s="240" t="n">
        <x:f>H852-J852</x:f>
        <x:v>-0.00035755051679264025</x:v>
      </x:c>
      <x:c r="L852" s="240" t="n">
        <x:f>I852-'Beta HC3'!$E$9</x:f>
        <x:v>0.0023718910081849047</x:v>
      </x:c>
      <x:c r="M852" s="240" t="n">
        <x:f>1/'Beta HC3'!$E$8+L852^2/'Beta HC3'!$E$11</x:f>
        <x:v>0.00083528493102268</x:v>
      </x:c>
      <x:c r="N852" s="240" t="n">
        <x:f>K852^2/(1-M852)^2</x:f>
        <x:v>1.2805620955808492e-7</x:v>
      </x:c>
      <x:c r="O852" s="240" t="n">
        <x:f>N852*L852^2/'Beta HC3'!$E$11^2</x:f>
        <x:v>3.369029570280415e-11</x:v>
      </x:c>
      <x:c r="P852" s="240" t="n">
        <x:f>N852*(1/'Beta HC3'!$E$8-'Beta HC3'!$E$9*L852/'Beta HC3'!$E$11)^2</x:f>
        <x:v>7.944824015972866e-14</x:v>
      </x:c>
      <x:c r="Q852" s="240" t="n">
        <x:f>N852*(1/'Beta HC3'!$E$8-'Beta HC3'!$E$9*L852/'Beta HC3'!$E$11)*L852/'Beta HC3'!$E$11</x:f>
        <x:v>1.6360423906637196e-12</x:v>
      </x:c>
      <x:c r="R852" s="240" t="n">
        <x:f>K852*L852/'Beta HC3'!$E$11</x:f>
        <x:v>-0.000005799485944108307</x:v>
      </x:c>
      <x:c r="S852" s="240" t="n">
        <x:f>(K852-K851)^2</x:f>
        <x:v>0.000022425821915570864</x:v>
      </x:c>
      <x:c r="T852" s="280" t="n">
        <x:f>E852/$E$9*100</x:f>
        <x:v>142.79563407841474</x:v>
      </x:c>
    </x:row>
    <x:row r="853" ht="24" customHeight="1">
      <x:c r="C853" s="274" t="d">
        <x:v>2025-02-19T00:00:00.000Z</x:v>
      </x:c>
      <x:c r="D853" s="191" t="n">
        <x:v>414.7699890136719</x:v>
      </x:c>
      <x:c r="E853" s="191" t="n">
        <x:v>409.1370849609375</x:v>
      </x:c>
      <x:c r="F853" s="191" t="n">
        <x:v>612.9299926757812</x:v>
      </x:c>
      <x:c r="G853" s="191" t="n">
        <x:v>601.1207275390625</x:v>
      </x:c>
      <x:c r="H853" s="208" t="n">
        <x:f>E853/E852-1</x:f>
        <x:v>0.012523121735654952</x:v>
      </x:c>
      <x:c r="I853" s="208" t="n">
        <x:f>G853/G852-1</x:f>
        <x:v>0.002355067190657145</x:v>
      </x:c>
      <x:c r="J853" s="208" t="n">
        <x:f>'Beta HC3'!$E$13+'Beta HC3'!$E$12*I853</x:f>
        <x:v>0.0026652038130835806</x:v>
      </x:c>
      <x:c r="K853" s="240" t="n">
        <x:f>H853-J853</x:f>
        <x:v>0.00985791792257137</x:v>
      </x:c>
      <x:c r="L853" s="240" t="n">
        <x:f>I853-'Beta HC3'!$E$9</x:f>
        <x:v>0.001791119572996706</x:v>
      </x:c>
      <x:c r="M853" s="240" t="n">
        <x:f>1/'Beta HC3'!$E$8+L853^2/'Beta HC3'!$E$11</x:f>
        <x:v>0.0008187512283303046</x:v>
      </x:c>
      <x:c r="N853" s="240" t="n">
        <x:f>K853^2/(1-M853)^2</x:f>
        <x:v>0.00009733787152110572</x:v>
      </x:c>
      <x:c r="O853" s="240" t="n">
        <x:f>N853*L853^2/'Beta HC3'!$E$11^2</x:f>
        <x:v>1.4603122479414551e-8</x:v>
      </x:c>
      <x:c r="P853" s="240" t="n">
        <x:f>N853*(1/'Beta HC3'!$E$8-'Beta HC3'!$E$9*L853/'Beta HC3'!$E$11)^2</x:f>
        <x:v>6.073399482592831e-11</x:v>
      </x:c>
      <x:c r="Q853" s="240" t="n">
        <x:f>N853*(1/'Beta HC3'!$E$8-'Beta HC3'!$E$9*L853/'Beta HC3'!$E$11)*L853/'Beta HC3'!$E$11</x:f>
        <x:v>9.417568503107164e-10</x:v>
      </x:c>
      <x:c r="R853" s="240" t="n">
        <x:f>K853*L853/'Beta HC3'!$E$11</x:f>
        <x:v>0.00012074443929115304</x:v>
      </x:c>
      <x:c r="S853" s="240" t="n">
        <x:f>(K853-K852)^2</x:f>
        <x:v>0.00010435579543564217</x:v>
      </x:c>
      <x:c r="T853" s="280" t="n">
        <x:f>E853/$E$9*100</x:f>
        <x:v>144.58388118729877</x:v>
      </x:c>
    </x:row>
    <x:row r="854" ht="24" customHeight="1">
      <x:c r="C854" s="274" t="d">
        <x:v>2025-02-20T00:00:00.000Z</x:v>
      </x:c>
      <x:c r="D854" s="191" t="n">
        <x:v>416.1300048828125</x:v>
      </x:c>
      <x:c r="E854" s="191" t="n">
        <x:v>411.30169677734375</x:v>
      </x:c>
      <x:c r="F854" s="191" t="n">
        <x:v>610.3800048828125</x:v>
      </x:c>
      <x:c r="G854" s="191" t="n">
        <x:v>598.6197509765625</x:v>
      </x:c>
      <x:c r="H854" s="208" t="n">
        <x:f>E854/E853-1</x:f>
        <x:v>0.005290676147367446</x:v>
      </x:c>
      <x:c r="I854" s="208" t="n">
        <x:f>G854/G853-1</x:f>
        <x:v>-0.004160522916484277</x:v>
      </x:c>
      <x:c r="J854" s="208" t="n">
        <x:f>'Beta HC3'!$E$13+'Beta HC3'!$E$12*I854</x:f>
        <x:v>-0.00468315516440472</x:v>
      </x:c>
      <x:c r="K854" s="240" t="n">
        <x:f>H854-J854</x:f>
        <x:v>0.009973831311772166</x:v>
      </x:c>
      <x:c r="L854" s="240" t="n">
        <x:f>I854-'Beta HC3'!$E$9</x:f>
        <x:v>-0.004724470534144717</x:v>
      </x:c>
      <x:c r="M854" s="240" t="n">
        <x:f>1/'Beta HC3'!$E$8+L854^2/'Beta HC3'!$E$11</x:f>
        <x:v>0.0009494510948181655</x:v>
      </x:c>
      <x:c r="N854" s="240" t="n">
        <x:f>K854^2/(1-M854)^2</x:f>
        <x:v>0.00009966647808407171</x:v>
      </x:c>
      <x:c r="O854" s="240" t="n">
        <x:f>N854*L854^2/'Beta HC3'!$E$11^2</x:f>
        <x:v>1.0403276085346297e-7</x:v>
      </x:c>
      <x:c r="P854" s="240" t="n">
        <x:f>N854*(1/'Beta HC3'!$E$8-'Beta HC3'!$E$9*L854/'Beta HC3'!$E$11)^2</x:f>
        <x:v>6.620629292937609e-11</x:v>
      </x:c>
      <x:c r="Q854" s="240" t="n">
        <x:f>N854*(1/'Beta HC3'!$E$8-'Beta HC3'!$E$9*L854/'Beta HC3'!$E$11)*L854/'Beta HC3'!$E$11</x:f>
        <x:v>-2.624428211880847e-9</x:v>
      </x:c>
      <x:c r="R854" s="240" t="n">
        <x:f>K854*L854/'Beta HC3'!$E$11</x:f>
        <x:v>-0.00032223486247950363</x:v>
      </x:c>
      <x:c r="S854" s="240" t="n">
        <x:f>(K854-K853)^2</x:f>
        <x:v>1.3435913796015055e-8</x:v>
      </x:c>
      <x:c r="T854" s="280" t="n">
        <x:f>E854/$E$9*100</x:f>
        <x:v>145.3488276787902</x:v>
      </x:c>
    </x:row>
    <x:row r="855" ht="24" customHeight="1">
      <x:c r="C855" s="274" t="d">
        <x:v>2025-02-21T00:00:00.000Z</x:v>
      </x:c>
      <x:c r="D855" s="191" t="n">
        <x:v>408.2099914550781</x:v>
      </x:c>
      <x:c r="E855" s="191" t="n">
        <x:v>403.4735412597656</x:v>
      </x:c>
      <x:c r="F855" s="191" t="n">
        <x:v>599.9400024414062</x:v>
      </x:c>
      <x:c r="G855" s="191" t="n">
        <x:v>588.3809204101562</x:v>
      </x:c>
      <x:c r="H855" s="208" t="n">
        <x:f>E855/E854-1</x:f>
        <x:v>-0.019032636089064914</x:v>
      </x:c>
      <x:c r="I855" s="208" t="n">
        <x:f>G855/G854-1</x:f>
        <x:v>-0.0171040640568626</x:v>
      </x:c>
      <x:c r="J855" s="208" t="n">
        <x:f>'Beta HC3'!$E$13+'Beta HC3'!$E$12*I855</x:f>
        <x:v>-0.019281032743465227</x:v>
      </x:c>
      <x:c r="K855" s="240" t="n">
        <x:f>H855-J855</x:f>
        <x:v>0.00024839665440031314</x:v>
      </x:c>
      <x:c r="L855" s="240" t="n">
        <x:f>I855-'Beta HC3'!$E$9</x:f>
        <x:v>-0.01766801167452304</x:v>
      </x:c>
      <x:c r="M855" s="240" t="n">
        <x:f>1/'Beta HC3'!$E$8+L855^2/'Beta HC3'!$E$11</x:f>
        <x:v>0.0029314924312671417</x:v>
      </x:c>
      <x:c r="N855" s="240" t="n">
        <x:f>K855^2/(1-M855)^2</x:f>
        <x:v>6.20642462955256e-8</x:v>
      </x:c>
      <x:c r="O855" s="240" t="n">
        <x:f>N855*L855^2/'Beta HC3'!$E$11^2</x:f>
        <x:v>9.060070219114764e-10</x:v>
      </x:c>
      <x:c r="P855" s="240" t="n">
        <x:f>N855*(1/'Beta HC3'!$E$8-'Beta HC3'!$E$9*L855/'Beta HC3'!$E$11)^2</x:f>
        <x:v>4.643263876274488e-14</x:v>
      </x:c>
      <x:c r="Q855" s="240" t="n">
        <x:f>N855*(1/'Beta HC3'!$E$8-'Beta HC3'!$E$9*L855/'Beta HC3'!$E$11)*L855/'Beta HC3'!$E$11</x:f>
        <x:v>-6.486007767874309e-12</x:v>
      </x:c>
      <x:c r="R855" s="240" t="n">
        <x:f>K855*L855/'Beta HC3'!$E$11</x:f>
        <x:v>-0.000030011712752889964</x:v>
      </x:c>
      <x:c r="S855" s="240" t="n">
        <x:f>(K855-K854)^2</x:f>
        <x:v>0.00009458407927480956</x:v>
      </x:c>
      <x:c r="T855" s="280" t="n">
        <x:f>E855/$E$9*100</x:f>
        <x:v>142.5824563356076</x:v>
      </x:c>
    </x:row>
    <x:row r="856" ht="24" customHeight="1">
      <x:c r="C856" s="274" t="d">
        <x:v>2025-02-24T00:00:00.000Z</x:v>
      </x:c>
      <x:c r="D856" s="191" t="n">
        <x:v>404</x:v>
      </x:c>
      <x:c r="E856" s="191" t="n">
        <x:v>399.3124084472656</x:v>
      </x:c>
      <x:c r="F856" s="191" t="n">
        <x:v>597.2100219726562</x:v>
      </x:c>
      <x:c r="G856" s="191" t="n">
        <x:v>585.7036743164062</x:v>
      </x:c>
      <x:c r="H856" s="208" t="n">
        <x:f>E856/E855-1</x:f>
        <x:v>-0.010313273082313335</x:v>
      </x:c>
      <x:c r="I856" s="208" t="n">
        <x:f>G856/G855-1</x:f>
        <x:v>-0.004550191892496613</x:v>
      </x:c>
      <x:c r="J856" s="208" t="n">
        <x:f>'Beta HC3'!$E$13+'Beta HC3'!$E$12*I856</x:f>
        <x:v>-0.005122628407970251</x:v>
      </x:c>
      <x:c r="K856" s="240" t="n">
        <x:f>H856-J856</x:f>
        <x:v>-0.0051906446743430834</x:v>
      </x:c>
      <x:c r="L856" s="240" t="n">
        <x:f>I856-'Beta HC3'!$E$9</x:f>
        <x:v>-0.005114139510157053</x:v>
      </x:c>
      <x:c r="M856" s="240" t="n">
        <x:f>1/'Beta HC3'!$E$8+L856^2/'Beta HC3'!$E$11</x:f>
        <x:v>0.0009756683329757593</x:v>
      </x:c>
      <x:c r="N856" s="240" t="n">
        <x:f>K856^2/(1-M856)^2</x:f>
        <x:v>0.00002699544363653035</x:v>
      </x:c>
      <x:c r="O856" s="240" t="n">
        <x:f>N856*L856^2/'Beta HC3'!$E$11^2</x:f>
        <x:v>3.301796736815542e-8</x:v>
      </x:c>
      <x:c r="P856" s="240" t="n">
        <x:f>N856*(1/'Beta HC3'!$E$8-'Beta HC3'!$E$9*L856/'Beta HC3'!$E$11)^2</x:f>
        <x:v>1.7998680566159007e-11</x:v>
      </x:c>
      <x:c r="Q856" s="240" t="n">
        <x:f>N856*(1/'Beta HC3'!$E$8-'Beta HC3'!$E$9*L856/'Beta HC3'!$E$11)*L856/'Beta HC3'!$E$11</x:f>
        <x:v>-7.708954842281093e-10</x:v>
      </x:c>
      <x:c r="R856" s="240" t="n">
        <x:f>K856*L856/'Beta HC3'!$E$11</x:f>
        <x:v>0.00018153118087134608</x:v>
      </x:c>
      <x:c r="S856" s="240" t="n">
        <x:f>(K856-K855)^2</x:f>
        <x:v>0.000029583170575778733</x:v>
      </x:c>
      <x:c r="T856" s="280" t="n">
        <x:f>E856/$E$9*100</x:f>
        <x:v>141.11196452667144</x:v>
      </x:c>
    </x:row>
    <x:row r="857" ht="24" customHeight="1">
      <x:c r="C857" s="274" t="d">
        <x:v>2025-02-25T00:00:00.000Z</x:v>
      </x:c>
      <x:c r="D857" s="191" t="n">
        <x:v>397.8999938964844</x:v>
      </x:c>
      <x:c r="E857" s="191" t="n">
        <x:v>393.283203125</x:v>
      </x:c>
      <x:c r="F857" s="191" t="n">
        <x:v>594.239990234375</x:v>
      </x:c>
      <x:c r="G857" s="191" t="n">
        <x:v>582.7906494140625</x:v>
      </x:c>
      <x:c r="H857" s="208" t="n">
        <x:f>E857/E856-1</x:f>
        <x:v>-0.015098968112987832</x:v>
      </x:c>
      <x:c r="I857" s="208" t="n">
        <x:f>G857/G856-1</x:f>
        <x:v>-0.004973547256201916</x:v>
      </x:c>
      <x:c r="J857" s="208" t="n">
        <x:f>'Beta HC3'!$E$13+'Beta HC3'!$E$12*I857</x:f>
        <x:v>-0.005600093554855704</x:v>
      </x:c>
      <x:c r="K857" s="240" t="n">
        <x:f>H857-J857</x:f>
        <x:v>-0.009498874558132128</x:v>
      </x:c>
      <x:c r="L857" s="240" t="n">
        <x:f>I857-'Beta HC3'!$E$9</x:f>
        <x:v>-0.005537494873862355</x:v>
      </x:c>
      <x:c r="M857" s="240" t="n">
        <x:f>1/'Beta HC3'!$E$8+L857^2/'Beta HC3'!$E$11</x:f>
        <x:v>0.0010065057986283063</x:v>
      </x:c>
      <x:c r="N857" s="240" t="n">
        <x:f>K857^2/(1-M857)^2</x:f>
        <x:v>0.00009041052371314273</x:v>
      </x:c>
      <x:c r="O857" s="240" t="n">
        <x:f>N857*L857^2/'Beta HC3'!$E$11^2</x:f>
        <x:v>1.2964637621150752e-7</x:v>
      </x:c>
      <x:c r="P857" s="240" t="n">
        <x:f>N857*(1/'Beta HC3'!$E$8-'Beta HC3'!$E$9*L857/'Beta HC3'!$E$11)^2</x:f>
        <x:v>6.052073778001991e-11</x:v>
      </x:c>
      <x:c r="Q857" s="240" t="n">
        <x:f>N857*(1/'Beta HC3'!$E$8-'Beta HC3'!$E$9*L857/'Beta HC3'!$E$11)*L857/'Beta HC3'!$E$11</x:f>
        <x:v>-2.8011237635681967e-9</x:v>
      </x:c>
      <x:c r="R857" s="240" t="n">
        <x:f>K857*L857/'Beta HC3'!$E$11</x:f>
        <x:v>0.00035970199873147976</x:v>
      </x:c>
      <x:c r="S857" s="240" t="n">
        <x:f>(K857-K856)^2</x:f>
        <x:v>0.000018560844731572965</x:v>
      </x:c>
      <x:c r="T857" s="280" t="n">
        <x:f>E857/$E$9*100</x:f>
        <x:v>138.98131947392216</x:v>
      </x:c>
    </x:row>
    <x:row r="858" ht="24" customHeight="1">
      <x:c r="C858" s="274" t="d">
        <x:v>2025-02-26T00:00:00.000Z</x:v>
      </x:c>
      <x:c r="D858" s="191" t="n">
        <x:v>399.7300109863281</x:v>
      </x:c>
      <x:c r="E858" s="191" t="n">
        <x:v>395.09197998046875</x:v>
      </x:c>
      <x:c r="F858" s="191" t="n">
        <x:v>594.5399780273438</x:v>
      </x:c>
      <x:c r="G858" s="191" t="n">
        <x:v>583.0849609375</x:v>
      </x:c>
      <x:c r="H858" s="208" t="n">
        <x:f>E858/E857-1</x:f>
        <x:v>0.004599171388699919</x:v>
      </x:c>
      <x:c r="I858" s="208" t="n">
        <x:f>G858/G857-1</x:f>
        <x:v>0.0005050038529845757</x:v>
      </x:c>
      <x:c r="J858" s="208" t="n">
        <x:f>'Beta HC3'!$E$13+'Beta HC3'!$E$12*I858</x:f>
        <x:v>0.0005786806720088445</x:v>
      </x:c>
      <x:c r="K858" s="240" t="n">
        <x:f>H858-J858</x:f>
        <x:v>0.004020490716691074</x:v>
      </x:c>
      <x:c r="L858" s="240" t="n">
        <x:f>I858-'Beta HC3'!$E$9</x:f>
        <x:v>-0.00005894376467586364</x:v>
      </x:c>
      <x:c r="M858" s="240" t="n">
        <x:f>1/'Beta HC3'!$E$8+L858^2/'Beta HC3'!$E$11</x:f>
        <x:v>0.0007968365082744866</x:v>
      </x:c>
      <x:c r="N858" s="240" t="n">
        <x:f>K858^2/(1-M858)^2</x:f>
        <x:v>0.00001619013710773995</x:v>
      </x:c>
      <x:c r="O858" s="240" t="n">
        <x:f>N858*L858^2/'Beta HC3'!$E$11^2</x:f>
        <x:v>2.6305162567655723e-12</x:v>
      </x:c>
      <x:c r="P858" s="240" t="n">
        <x:f>N858*(1/'Beta HC3'!$E$8-'Beta HC3'!$E$9*L858/'Beta HC3'!$E$11)^2</x:f>
        <x:v>1.0285154842700534e-11</x:v>
      </x:c>
      <x:c r="Q858" s="240" t="n">
        <x:f>N858*(1/'Beta HC3'!$E$8-'Beta HC3'!$E$9*L858/'Beta HC3'!$E$11)*L858/'Beta HC3'!$E$11</x:f>
        <x:v>-5.201467775260644e-12</x:v>
      </x:c>
      <x:c r="R858" s="240" t="n">
        <x:f>K858*L858/'Beta HC3'!$E$11</x:f>
        <x:v>-0.000001620594256508925</x:v>
      </x:c>
      <x:c r="S858" s="240" t="n">
        <x:f>(K858-K857)^2</x:f>
        <x:v>0.00018277323743409545</x:v>
      </x:c>
      <x:c r="T858" s="280" t="n">
        <x:f>E858/$E$9*100</x:f>
        <x:v>139.62051838201037</x:v>
      </x:c>
    </x:row>
    <x:row r="859" ht="24" customHeight="1">
      <x:c r="C859" s="274" t="d">
        <x:v>2025-02-27T00:00:00.000Z</x:v>
      </x:c>
      <x:c r="D859" s="191" t="n">
        <x:v>392.5299987792969</x:v>
      </x:c>
      <x:c r="E859" s="191" t="n">
        <x:v>387.97552490234375</x:v>
      </x:c>
      <x:c r="F859" s="191" t="n">
        <x:v>585.0499877929688</x:v>
      </x:c>
      <x:c r="G859" s="191" t="n">
        <x:v>573.7777709960938</x:v>
      </x:c>
      <x:c r="H859" s="208" t="n">
        <x:f>E859/E858-1</x:f>
        <x:v>-0.01801214764844583</x:v>
      </x:c>
      <x:c r="I859" s="208" t="n">
        <x:f>G859/G858-1</x:f>
        <x:v>-0.015961979068096488</x:v>
      </x:c>
      <x:c r="J859" s="208" t="n">
        <x:f>'Beta HC3'!$E$13+'Beta HC3'!$E$12*I859</x:f>
        <x:v>-0.01799297589178336</x:v>
      </x:c>
      <x:c r="K859" s="240" t="n">
        <x:f>H859-J859</x:f>
        <x:v>-0.000019171756662470646</x:v>
      </x:c>
      <x:c r="L859" s="240" t="n">
        <x:f>I859-'Beta HC3'!$E$9</x:f>
        <x:v>-0.016525926685756927</x:v>
      </x:c>
      <x:c r="M859" s="240" t="n">
        <x:f>1/'Beta HC3'!$E$8+L859^2/'Beta HC3'!$E$11</x:f>
        <x:v>0.002664434851275246</x:v>
      </x:c>
      <x:c r="N859" s="240" t="n">
        <x:f>K859^2/(1-M859)^2</x:f>
        <x:v>3.6952276889166387e-10</x:v>
      </x:c>
      <x:c r="O859" s="240" t="n">
        <x:f>N859*L859^2/'Beta HC3'!$E$11^2</x:f>
        <x:v>4.719408493739178e-12</x:v>
      </x:c>
      <x:c r="P859" s="240" t="n">
        <x:f>N859*(1/'Beta HC3'!$E$8-'Beta HC3'!$E$9*L859/'Beta HC3'!$E$11)^2</x:f>
        <x:v>2.7364579148804463e-16</x:v>
      </x:c>
      <x:c r="Q859" s="240" t="n">
        <x:f>N859*(1/'Beta HC3'!$E$8-'Beta HC3'!$E$9*L859/'Beta HC3'!$E$11)*L859/'Beta HC3'!$E$11</x:f>
        <x:v>-3.593669813191883e-14</x:v>
      </x:c>
      <x:c r="R859" s="240" t="n">
        <x:f>K859*L859/'Beta HC3'!$E$11</x:f>
        <x:v>0.000002166631691102442</x:v>
      </x:c>
      <x:c r="S859" s="240" t="n">
        <x:f>(K859-K858)^2</x:f>
        <x:v>0.00001631887289862088</x:v>
      </x:c>
      <x:c r="T859" s="280" t="n">
        <x:f>E859/$E$9*100</x:f>
        <x:v>137.10565299016108</x:v>
      </x:c>
    </x:row>
    <x:row r="860" ht="24" customHeight="1">
      <x:c r="C860" s="274" t="d">
        <x:v>2025-02-28T00:00:00.000Z</x:v>
      </x:c>
      <x:c r="D860" s="191" t="n">
        <x:v>396.989990234375</x:v>
      </x:c>
      <x:c r="E860" s="191" t="n">
        <x:v>392.38372802734375</x:v>
      </x:c>
      <x:c r="F860" s="191" t="n">
        <x:v>594.1799926757812</x:v>
      </x:c>
      <x:c r="G860" s="191" t="n">
        <x:v>582.73193359375</x:v>
      </x:c>
      <x:c r="H860" s="208" t="n">
        <x:f>E860/E859-1</x:f>
        <x:v>0.01136206498105663</x:v>
      </x:c>
      <x:c r="I860" s="208" t="n">
        <x:f>G860/G859-1</x:f>
        <x:v>0.015605628259372173</x:v>
      </x:c>
      <x:c r="J860" s="208" t="n">
        <x:f>'Beta HC3'!$E$13+'Beta HC3'!$E$12*I860</x:f>
        <x:v>0.017609342069927984</x:v>
      </x:c>
      <x:c r="K860" s="240" t="n">
        <x:f>H860-J860</x:f>
        <x:v>-0.006247277088871354</x:v>
      </x:c>
      <x:c r="L860" s="240" t="n">
        <x:f>I860-'Beta HC3'!$E$9</x:f>
        <x:v>0.015041680641711734</x:v>
      </x:c>
      <x:c r="M860" s="240" t="n">
        <x:f>1/'Beta HC3'!$E$8+L860^2/'Beta HC3'!$E$11</x:f>
        <x:v>0.00234402568846992</x:v>
      </x:c>
      <x:c r="N860" s="240" t="n">
        <x:f>K860^2/(1-M860)^2</x:f>
        <x:v>0.00003921208383968815</x:v>
      </x:c>
      <x:c r="O860" s="240" t="n">
        <x:f>N860*L860^2/'Beta HC3'!$E$11^2</x:f>
        <x:v>4.1488465548563995e-7</x:v>
      </x:c>
      <x:c r="P860" s="240" t="n">
        <x:f>N860*(1/'Beta HC3'!$E$8-'Beta HC3'!$E$9*L860/'Beta HC3'!$E$11)^2</x:f>
        <x:v>2.1403192477845915e-11</x:v>
      </x:c>
      <x:c r="Q860" s="240" t="n">
        <x:f>N860*(1/'Beta HC3'!$E$8-'Beta HC3'!$E$9*L860/'Beta HC3'!$E$11)*L860/'Beta HC3'!$E$11</x:f>
        <x:v>2.979908746499454e-9</x:v>
      </x:c>
      <x:c r="R860" s="240" t="n">
        <x:f>K860*L860/'Beta HC3'!$E$11</x:f>
        <x:v>-0.0006426055823527226</x:v>
      </x:c>
      <x:c r="S860" s="240" t="n">
        <x:f>(K860-K859)^2</x:f>
        <x:v>0.000038789296029088725</x:v>
      </x:c>
      <x:c r="T860" s="280" t="n">
        <x:f>E860/$E$9*100</x:f>
        <x:v>138.66345632870548</x:v>
      </x:c>
    </x:row>
    <x:row r="861" ht="24" customHeight="1">
      <x:c r="C861" s="274" t="d">
        <x:v>2025-03-03T00:00:00.000Z</x:v>
      </x:c>
      <x:c r="D861" s="191" t="n">
        <x:v>388.489990234375</x:v>
      </x:c>
      <x:c r="E861" s="191" t="n">
        <x:v>383.98236083984375</x:v>
      </x:c>
      <x:c r="F861" s="191" t="n">
        <x:v>583.77001953125</x:v>
      </x:c>
      <x:c r="G861" s="191" t="n">
        <x:v>572.5224609375</x:v>
      </x:c>
      <x:c r="H861" s="208" t="n">
        <x:f>E861/E860-1</x:f>
        <x:v>-0.021411099868327232</x:v>
      </x:c>
      <x:c r="I861" s="208" t="n">
        <x:f>G861/G860-1</x:f>
        <x:v>-0.017520015752847895</x:v>
      </x:c>
      <x:c r="J861" s="208" t="n">
        <x:f>'Beta HC3'!$E$13+'Beta HC3'!$E$12*I861</x:f>
        <x:v>-0.0197501479470206</x:v>
      </x:c>
      <x:c r="K861" s="240" t="n">
        <x:f>H861-J861</x:f>
        <x:v>-0.0016609519213066325</x:v>
      </x:c>
      <x:c r="L861" s="240" t="n">
        <x:f>I861-'Beta HC3'!$E$9</x:f>
        <x:v>-0.018083963370508334</x:v>
      </x:c>
      <x:c r="M861" s="240" t="n">
        <x:f>1/'Beta HC3'!$E$8+L861^2/'Beta HC3'!$E$11</x:f>
        <x:v>0.0030331875948717626</x:v>
      </x:c>
      <x:c r="N861" s="240" t="n">
        <x:f>K861^2/(1-M861)^2</x:f>
        <x:v>0.0000027755734187113083</x:v>
      </x:c>
      <x:c r="O861" s="240" t="n">
        <x:f>N861*L861^2/'Beta HC3'!$E$11^2</x:f>
        <x:v>4.24477504915872e-8</x:v>
      </x:c>
      <x:c r="P861" s="240" t="n">
        <x:f>N861*(1/'Beta HC3'!$E$8-'Beta HC3'!$E$9*L861/'Beta HC3'!$E$11)^2</x:f>
        <x:v>2.084222041216262e-12</x:v>
      </x:c>
      <x:c r="Q861" s="240" t="n">
        <x:f>N861*(1/'Beta HC3'!$E$8-'Beta HC3'!$E$9*L861/'Beta HC3'!$E$11)*L861/'Beta HC3'!$E$11</x:f>
        <x:v>-2.9743997238874006e-10</x:v>
      </x:c>
      <x:c r="R861" s="240" t="n">
        <x:f>K861*L861/'Beta HC3'!$E$11</x:f>
        <x:v>0.00020540359548967046</x:v>
      </x:c>
      <x:c r="S861" s="240" t="n">
        <x:f>(K861-K860)^2</x:f>
        <x:v>0.00002103437854263757</x:v>
      </x:c>
      <x:c r="T861" s="280" t="n">
        <x:f>E861/$E$9*100</x:f>
        <x:v>135.69451921716413</x:v>
      </x:c>
    </x:row>
    <x:row r="862" ht="24" customHeight="1">
      <x:c r="C862" s="274" t="d">
        <x:v>2025-03-04T00:00:00.000Z</x:v>
      </x:c>
      <x:c r="D862" s="191" t="n">
        <x:v>388.6099853515625</x:v>
      </x:c>
      <x:c r="E862" s="191" t="n">
        <x:v>384.1009826660156</x:v>
      </x:c>
      <x:c r="F862" s="191" t="n">
        <x:v>576.8599853515625</x:v>
      </x:c>
      <x:c r="G862" s="191" t="n">
        <x:v>565.7455444335938</x:v>
      </x:c>
      <x:c r="H862" s="208" t="n">
        <x:f>E862/E861-1</x:f>
        <x:v>0.00030892519623137993</x:v>
      </x:c>
      <x:c r="I862" s="208" t="n">
        <x:f>G862/G861-1</x:f>
        <x:v>-0.011836944340679834</x:v>
      </x:c>
      <x:c r="J862" s="208" t="n">
        <x:f>'Beta HC3'!$E$13+'Beta HC3'!$E$12*I862</x:f>
        <x:v>-0.013340713322589605</x:v>
      </x:c>
      <x:c r="K862" s="240" t="n">
        <x:f>H862-J862</x:f>
        <x:v>0.013649638518820985</x:v>
      </x:c>
      <x:c r="L862" s="240" t="n">
        <x:f>I862-'Beta HC3'!$E$9</x:f>
        <x:v>-0.012400891958340272</x:v>
      </x:c>
      <x:c r="M862" s="240" t="n">
        <x:f>1/'Beta HC3'!$E$8+L862^2/'Beta HC3'!$E$11</x:f>
        <x:v>0.0018484433353485523</x:v>
      </x:c>
      <x:c r="N862" s="240" t="n">
        <x:f>K862^2/(1-M862)^2</x:f>
        <x:v>0.00018700332284382878</x:v>
      </x:c>
      <x:c r="O862" s="240" t="n">
        <x:f>N862*L862^2/'Beta HC3'!$E$11^2</x:f>
        <x:v>0.0000013448377577667695</x:v>
      </x:c>
      <x:c r="P862" s="240" t="n">
        <x:f>N862*(1/'Beta HC3'!$E$8-'Beta HC3'!$E$9*L862/'Beta HC3'!$E$11)^2</x:f>
        <x:v>1.3341038172830905e-10</x:v>
      </x:c>
      <x:c r="Q862" s="240" t="n">
        <x:f>N862*(1/'Beta HC3'!$E$8-'Beta HC3'!$E$9*L862/'Beta HC3'!$E$11)*L862/'Beta HC3'!$E$11</x:f>
        <x:v>-1.3394600353362841e-8</x:v>
      </x:c>
      <x:c r="R862" s="240" t="n">
        <x:f>K862*L862/'Beta HC3'!$E$11</x:f>
        <x:v>-0.001157527813899307</x:v>
      </x:c>
      <x:c r="S862" s="240" t="n">
        <x:f>(K862-K861)^2</x:f>
        <x:v>0.00023441417962532718</x:v>
      </x:c>
      <x:c r="T862" s="280" t="n">
        <x:f>E862/$E$9*100</x:f>
        <x:v>135.7364386731408</x:v>
      </x:c>
    </x:row>
    <x:row r="863" ht="24" customHeight="1">
      <x:c r="C863" s="274" t="d">
        <x:v>2025-03-05T00:00:00.000Z</x:v>
      </x:c>
      <x:c r="D863" s="191" t="n">
        <x:v>401.0199890136719</x:v>
      </x:c>
      <x:c r="E863" s="191" t="n">
        <x:v>396.3669738769531</x:v>
      </x:c>
      <x:c r="F863" s="191" t="n">
        <x:v>583.0599975585938</x:v>
      </x:c>
      <x:c r="G863" s="191" t="n">
        <x:v>571.8262329101562</x:v>
      </x:c>
      <x:c r="H863" s="208" t="n">
        <x:f>E863/E862-1</x:f>
        <x:v>0.03193428750377092</x:v>
      </x:c>
      <x:c r="I863" s="208" t="n">
        <x:f>G863/G862-1</x:f>
        <x:v>0.010748097861999595</x:v>
      </x:c>
      <x:c r="J863" s="208" t="n">
        <x:f>'Beta HC3'!$E$13+'Beta HC3'!$E$12*I863</x:f>
        <x:v>0.012130962288972813</x:v>
      </x:c>
      <x:c r="K863" s="240" t="n">
        <x:f>H863-J863</x:f>
        <x:v>0.019803325214798106</x:v>
      </x:c>
      <x:c r="L863" s="240" t="n">
        <x:f>I863-'Beta HC3'!$E$9</x:f>
        <x:v>0.010184150244339156</x:v>
      </x:c>
      <x:c r="M863" s="240" t="n">
        <x:f>1/'Beta HC3'!$E$8+L863^2/'Beta HC3'!$E$11</x:f>
        <x:v>0.0015060751810095571</x:v>
      </x:c>
      <x:c r="N863" s="240" t="n">
        <x:f>K863^2/(1-M863)^2</x:f>
        <x:v>0.0003933556436737161</x:v>
      </x:c>
      <x:c r="O863" s="240" t="n">
        <x:f>N863*L863^2/'Beta HC3'!$E$11^2</x:f>
        <x:v>0.000001907874062767465</x:v>
      </x:c>
      <x:c r="P863" s="240" t="n">
        <x:f>N863*(1/'Beta HC3'!$E$8-'Beta HC3'!$E$9*L863/'Beta HC3'!$E$11)^2</x:f>
        <x:v>2.2573216825735772e-10</x:v>
      </x:c>
      <x:c r="Q863" s="240" t="n">
        <x:f>N863*(1/'Beta HC3'!$E$8-'Beta HC3'!$E$9*L863/'Beta HC3'!$E$11)*L863/'Beta HC3'!$E$11</x:f>
        <x:v>2.075255523906572e-8</x:v>
      </x:c>
      <x:c r="R863" s="240" t="n">
        <x:f>K863*L863/'Beta HC3'!$E$11</x:f>
        <x:v>0.0013791778662586311</x:v>
      </x:c>
      <x:c r="S863" s="240" t="n">
        <x:f>(K863-K862)^2</x:f>
        <x:v>0.00003786785995224582</x:v>
      </x:c>
      <x:c r="T863" s="280" t="n">
        <x:f>E863/$E$9*100</x:f>
        <x:v>140.07108513046688</x:v>
      </x:c>
    </x:row>
    <x:row r="864" ht="24" customHeight="1">
      <x:c r="C864" s="274" t="d">
        <x:v>2025-03-06T00:00:00.000Z</x:v>
      </x:c>
      <x:c r="D864" s="191" t="n">
        <x:v>396.8900146484375</x:v>
      </x:c>
      <x:c r="E864" s="191" t="n">
        <x:v>392.284912109375</x:v>
      </x:c>
      <x:c r="F864" s="191" t="n">
        <x:v>572.7100219726562</x:v>
      </x:c>
      <x:c r="G864" s="191" t="n">
        <x:v>561.675537109375</x:v>
      </x:c>
      <x:c r="H864" s="208" t="n">
        <x:f>E864/E863-1</x:f>
        <x:v>-0.0102986929704324</x:v>
      </x:c>
      <x:c r="I864" s="208" t="n">
        <x:f>G864/G863-1</x:f>
        <x:v>-0.01775136434213942</x:v>
      </x:c>
      <x:c r="J864" s="208" t="n">
        <x:f>'Beta HC3'!$E$13+'Beta HC3'!$E$12*I864</x:f>
        <x:v>-0.02001106560069349</x:v>
      </x:c>
      <x:c r="K864" s="240" t="n">
        <x:f>H864-J864</x:f>
        <x:v>0.00971237263026109</x:v>
      </x:c>
      <x:c r="L864" s="240" t="n">
        <x:f>I864-'Beta HC3'!$E$9</x:f>
        <x:v>-0.01831531195979986</x:v>
      </x:c>
      <x:c r="M864" s="240" t="n">
        <x:f>1/'Beta HC3'!$E$8+L864^2/'Beta HC3'!$E$11</x:f>
        <x:v>0.0030907736003786337</x:v>
      </x:c>
      <x:c r="N864" s="240" t="n">
        <x:f>K864^2/(1-M864)^2</x:f>
        <x:v>0.00009491600314124396</x:v>
      </x:c>
      <x:c r="O864" s="240" t="n">
        <x:f>N864*L864^2/'Beta HC3'!$E$11^2</x:f>
        <x:v>0.000001488959227135684</x:v>
      </x:c>
      <x:c r="P864" s="240" t="n">
        <x:f>N864*(1/'Beta HC3'!$E$8-'Beta HC3'!$E$9*L864/'Beta HC3'!$E$11)^2</x:f>
        <x:v>7.14207725247377e-11</x:v>
      </x:c>
      <x:c r="Q864" s="240" t="n">
        <x:f>N864*(1/'Beta HC3'!$E$8-'Beta HC3'!$E$9*L864/'Beta HC3'!$E$11)*L864/'Beta HC3'!$E$11</x:f>
        <x:v>-1.0312255730918766e-8</x:v>
      </x:c>
      <x:c r="R864" s="240" t="n">
        <x:f>K864*L864/'Beta HC3'!$E$11</x:f>
        <x:v>-0.0012164577178201143</x:v>
      </x:c>
      <x:c r="S864" s="240" t="n">
        <x:f>(K864-K863)^2</x:f>
        <x:v>0.00010182732406337429</x:v>
      </x:c>
      <x:c r="T864" s="280" t="n">
        <x:f>E864/$E$9*100</x:f>
        <x:v>138.6285360306729</x:v>
      </x:c>
    </x:row>
    <x:row r="865" ht="24" customHeight="1">
      <x:c r="C865" s="274" t="d">
        <x:v>2025-03-07T00:00:00.000Z</x:v>
      </x:c>
      <x:c r="D865" s="191" t="n">
        <x:v>393.30999755859375</x:v>
      </x:c>
      <x:c r="E865" s="191" t="n">
        <x:v>388.7464599609375</x:v>
      </x:c>
      <x:c r="F865" s="191" t="n">
        <x:v>575.9199829101562</x:v>
      </x:c>
      <x:c r="G865" s="191" t="n">
        <x:v>564.82373046875</x:v>
      </x:c>
      <x:c r="H865" s="208" t="n">
        <x:f>E865/E864-1</x:f>
        <x:v>-0.009020107679927558</x:v>
      </x:c>
      <x:c r="I865" s="208" t="n">
        <x:f>G865/G864-1</x:f>
        <x:v>0.005605003514265405</x:v>
      </x:c>
      <x:c r="J865" s="208" t="n">
        <x:f>'Beta HC3'!$E$13+'Beta HC3'!$E$12*I865</x:f>
        <x:v>0.006330520133960873</x:v>
      </x:c>
      <x:c r="K865" s="240" t="n">
        <x:f>H865-J865</x:f>
        <x:v>-0.015350627813888431</x:v>
      </x:c>
      <x:c r="L865" s="240" t="n">
        <x:f>I865-'Beta HC3'!$E$9</x:f>
        <x:v>0.005041055896604966</x:v>
      </x:c>
      <x:c r="M865" s="240" t="n">
        <x:f>1/'Beta HC3'!$E$8+L865^2/'Beta HC3'!$E$11</x:f>
        <x:v>0.0009705929869309927</x:v>
      </x:c>
      <x:c r="N865" s="240" t="n">
        <x:f>K865^2/(1-M865)^2</x:f>
        <x:v>0.00023609986561002341</x:v>
      </x:c>
      <x:c r="O865" s="240" t="n">
        <x:f>N865*L865^2/'Beta HC3'!$E$11^2</x:f>
        <x:v>2.805779183330649e-7</x:v>
      </x:c>
      <x:c r="P865" s="240" t="n">
        <x:f>N865*(1/'Beta HC3'!$E$8-'Beta HC3'!$E$9*L865/'Beta HC3'!$E$11)^2</x:f>
        <x:v>1.426767785677708e-10</x:v>
      </x:c>
      <x:c r="Q865" s="240" t="n">
        <x:f>N865*(1/'Beta HC3'!$E$8-'Beta HC3'!$E$9*L865/'Beta HC3'!$E$11)*L865/'Beta HC3'!$E$11</x:f>
        <x:v>6.327080964000128e-9</x:v>
      </x:c>
      <x:c r="R865" s="240" t="n">
        <x:f>K865*L865/'Beta HC3'!$E$11</x:f>
        <x:v>-0.0005291819429383988</x:v>
      </x:c>
      <x:c r="S865" s="240" t="n">
        <x:f>(K865-K864)^2</x:f>
        <x:v>0.0006281539912634391</x:v>
      </x:c>
      <x:c r="T865" s="280" t="n">
        <x:f>E865/$E$9*100</x:f>
        <x:v>137.37809170816553</x:v>
      </x:c>
    </x:row>
    <x:row r="866" ht="24" customHeight="1">
      <x:c r="C866" s="274" t="d">
        <x:v>2025-03-10T00:00:00.000Z</x:v>
      </x:c>
      <x:c r="D866" s="191" t="n">
        <x:v>380.1600036621094</x:v>
      </x:c>
      <x:c r="E866" s="191" t="n">
        <x:v>375.7490234375</x:v>
      </x:c>
      <x:c r="F866" s="191" t="n">
        <x:v>560.5800170898438</x:v>
      </x:c>
      <x:c r="G866" s="191" t="n">
        <x:v>549.7792358398438</x:v>
      </x:c>
      <x:c r="H866" s="208" t="n">
        <x:f>E866/E865-1</x:f>
        <x:v>-0.03343422477658964</x:v>
      </x:c>
      <x:c r="I866" s="208" t="n">
        <x:f>G866/G865-1</x:f>
        <x:v>-0.026635733977431797</x:v>
      </x:c>
      <x:c r="J866" s="208" t="n">
        <x:f>'Beta HC3'!$E$13+'Beta HC3'!$E$12*I866</x:f>
        <x:v>-0.030030961925551138</x:v>
      </x:c>
      <x:c r="K866" s="240" t="n">
        <x:f>H866-J866</x:f>
        <x:v>-0.0034032628510385007</x:v>
      </x:c>
      <x:c r="L866" s="240" t="n">
        <x:f>I866-'Beta HC3'!$E$9</x:f>
        <x:v>-0.027199681595092236</x:v>
      </x:c>
      <x:c r="M866" s="240" t="n">
        <x:f>1/'Beta HC3'!$E$8+L866^2/'Beta HC3'!$E$11</x:f>
        <x:v>0.0058560494839563024</x:v>
      </x:c>
      <x:c r="N866" s="240" t="n">
        <x:f>K866^2/(1-M866)^2</x:f>
        <x:v>0.000011719050831296646</x:v>
      </x:c>
      <x:c r="O866" s="240" t="n">
        <x:f>N866*L866^2/'Beta HC3'!$E$11^2</x:f>
        <x:v>4.054476626207587e-7</x:v>
      </x:c>
      <x:c r="P866" s="240" t="n">
        <x:f>N866*(1/'Beta HC3'!$E$8-'Beta HC3'!$E$9*L866/'Beta HC3'!$E$11)^2</x:f>
        <x:v>9.5285154489689e-12</x:v>
      </x:c>
      <x:c r="Q866" s="240" t="n">
        <x:f>N866*(1/'Beta HC3'!$E$8-'Beta HC3'!$E$9*L866/'Beta HC3'!$E$11)*L866/'Beta HC3'!$E$11</x:f>
        <x:v>-1.9655315609346573e-9</x:v>
      </x:c>
      <x:c r="R866" s="240" t="n">
        <x:f>K866*L866/'Beta HC3'!$E$11</x:f>
        <x:v>0.000633018896727793</x:v>
      </x:c>
      <x:c r="S866" s="240" t="n">
        <x:f>(K866-K865)^2</x:f>
        <x:v>0.00014273952955553412</x:v>
      </x:c>
      <x:c r="T866" s="280" t="n">
        <x:f>E866/$E$9*100</x:f>
        <x:v>132.7849617106158</x:v>
      </x:c>
    </x:row>
    <x:row r="867" ht="24" customHeight="1">
      <x:c r="C867" s="274" t="d">
        <x:v>2025-03-11T00:00:00.000Z</x:v>
      </x:c>
      <x:c r="D867" s="191" t="n">
        <x:v>380.45001220703125</x:v>
      </x:c>
      <x:c r="E867" s="191" t="n">
        <x:v>376.0357360839844</x:v>
      </x:c>
      <x:c r="F867" s="191" t="n">
        <x:v>555.9199829101562</x:v>
      </x:c>
      <x:c r="G867" s="191" t="n">
        <x:v>545.2090454101562</x:v>
      </x:c>
      <x:c r="H867" s="208" t="n">
        <x:f>E867/E866-1</x:f>
        <x:v>0.0007630429584657428</x:v>
      </x:c>
      <x:c r="I867" s="208" t="n">
        <x:f>G867/G866-1</x:f>
        <x:v>-0.008312773804027063</x:v>
      </x:c>
      <x:c r="J867" s="208" t="n">
        <x:f>'Beta HC3'!$E$13+'Beta HC3'!$E$12*I867</x:f>
        <x:v>-0.009366112438346157</x:v>
      </x:c>
      <x:c r="K867" s="240" t="n">
        <x:f>H867-J867</x:f>
        <x:v>0.0101291553968119</x:v>
      </x:c>
      <x:c r="L867" s="240" t="n">
        <x:f>I867-'Beta HC3'!$E$9</x:f>
        <x:v>-0.008876721421687502</x:v>
      </x:c>
      <x:c r="M867" s="240" t="n">
        <x:f>1/'Beta HC3'!$E$8+L867^2/'Beta HC3'!$E$11</x:f>
        <x:v>0.0013356561178192255</x:v>
      </x:c>
      <x:c r="N867" s="240" t="n">
        <x:f>K867^2/(1-M867)^2</x:f>
        <x:v>0.00010287441521123367</x:v>
      </x:c>
      <x:c r="O867" s="240" t="n">
        <x:f>N867*L867^2/'Beta HC3'!$E$11^2</x:f>
        <x:v>3.790768678237688e-7</x:v>
      </x:c>
      <x:c r="P867" s="240" t="n">
        <x:f>N867*(1/'Beta HC3'!$E$8-'Beta HC3'!$E$9*L867/'Beta HC3'!$E$11)^2</x:f>
        <x:v>7.104893195256903e-11</x:v>
      </x:c>
      <x:c r="Q867" s="240" t="n">
        <x:f>N867*(1/'Beta HC3'!$E$8-'Beta HC3'!$E$9*L867/'Beta HC3'!$E$11)*L867/'Beta HC3'!$E$11</x:f>
        <x:v>-5.189701974757698e-9</x:v>
      </x:c>
      <x:c r="R867" s="240" t="n">
        <x:f>K867*L867/'Beta HC3'!$E$11</x:f>
        <x:v>-0.0006148698329020685</x:v>
      </x:c>
      <x:c r="S867" s="240" t="n">
        <x:f>(K867-K866)^2</x:f>
        <x:v>0.0001831263436347545</x:v>
      </x:c>
      <x:c r="T867" s="280" t="n">
        <x:f>E867/$E$9*100</x:f>
        <x:v>132.88628234063918</x:v>
      </x:c>
    </x:row>
    <x:row r="868" ht="24" customHeight="1">
      <x:c r="C868" s="274" t="d">
        <x:v>2025-03-12T00:00:00.000Z</x:v>
      </x:c>
      <x:c r="D868" s="191" t="n">
        <x:v>383.2699890136719</x:v>
      </x:c>
      <x:c r="E868" s="191" t="n">
        <x:v>378.82293701171875</x:v>
      </x:c>
      <x:c r="F868" s="191" t="n">
        <x:v>558.8699951171875</x:v>
      </x:c>
      <x:c r="G868" s="191" t="n">
        <x:v>548.1021118164062</x:v>
      </x:c>
      <x:c r="H868" s="208" t="n">
        <x:f>E868/E867-1</x:f>
        <x:v>0.007412063961686588</x:v>
      </x:c>
      <x:c r="I868" s="208" t="n">
        <x:f>G868/G867-1</x:f>
        <x:v>0.005306343375270917</x:v>
      </x:c>
      <x:c r="J868" s="208" t="n">
        <x:f>'Beta HC3'!$E$13+'Beta HC3'!$E$12*I868</x:f>
        <x:v>0.00599368772469182</x:v>
      </x:c>
      <x:c r="K868" s="240" t="n">
        <x:f>H868-J868</x:f>
        <x:v>0.0014183762369947683</x:v>
      </x:c>
      <x:c r="L868" s="240" t="n">
        <x:f>I868-'Beta HC3'!$E$9</x:f>
        <x:v>0.004742395757610477</x:v>
      </x:c>
      <x:c r="M868" s="240" t="n">
        <x:f>1/'Beta HC3'!$E$8+L868^2/'Beta HC3'!$E$11</x:f>
        <x:v>0.0009506115494951474</x:v>
      </x:c>
      <x:c r="N868" s="240" t="n">
        <x:f>K868^2/(1-M868)^2</x:f>
        <x:v>0.0000020156214743360938</x:v>
      </x:c>
      <x:c r="O868" s="240" t="n">
        <x:f>N868*L868^2/'Beta HC3'!$E$11^2</x:f>
        <x:v>2.1199190932898927e-9</x:v>
      </x:c>
      <x:c r="P868" s="240" t="n">
        <x:f>N868*(1/'Beta HC3'!$E$8-'Beta HC3'!$E$9*L868/'Beta HC3'!$E$11)^2</x:f>
        <x:v>1.2216660955080782e-12</x:v>
      </x:c>
      <x:c r="Q868" s="240" t="n">
        <x:f>N868*(1/'Beta HC3'!$E$8-'Beta HC3'!$E$9*L868/'Beta HC3'!$E$11)*L868/'Beta HC3'!$E$11</x:f>
        <x:v>5.089040461120828e-11</x:v>
      </x:c>
      <x:c r="R868" s="240" t="n">
        <x:f>K868*L868/'Beta HC3'!$E$11</x:f>
        <x:v>0.00004599881052628145</x:v>
      </x:c>
      <x:c r="S868" s="240" t="n">
        <x:f>(K868-K867)^2</x:f>
        <x:v>0.00007587767357110446</x:v>
      </x:c>
      <x:c r="T868" s="280" t="n">
        <x:f>E868/$E$9*100</x:f>
        <x:v>133.87124396497876</x:v>
      </x:c>
    </x:row>
    <x:row r="869" ht="24" customHeight="1">
      <x:c r="C869" s="274" t="d">
        <x:v>2025-03-13T00:00:00.000Z</x:v>
      </x:c>
      <x:c r="D869" s="191" t="n">
        <x:v>378.7699890136719</x:v>
      </x:c>
      <x:c r="E869" s="191" t="n">
        <x:v>374.3751525878906</x:v>
      </x:c>
      <x:c r="F869" s="191" t="n">
        <x:v>551.4199829101562</x:v>
      </x:c>
      <x:c r="G869" s="191" t="n">
        <x:v>540.7957153320312</x:v>
      </x:c>
      <x:c r="H869" s="208" t="n">
        <x:f>E869/E868-1</x:f>
        <x:v>-0.01174106419984422</x:v>
      </x:c>
      <x:c r="I869" s="208" t="n">
        <x:f>G869/G868-1</x:f>
        <x:v>-0.013330356382247222</x:v>
      </x:c>
      <x:c r="J869" s="208" t="n">
        <x:f>'Beta HC3'!$E$13+'Beta HC3'!$E$12*I869</x:f>
        <x:v>-0.015025000946931204</x:v>
      </x:c>
      <x:c r="K869" s="240" t="n">
        <x:f>H869-J869</x:f>
        <x:v>0.0032839367470869837</x:v>
      </x:c>
      <x:c r="L869" s="240" t="n">
        <x:f>I869-'Beta HC3'!$E$9</x:f>
        <x:v>-0.01389430399990766</x:v>
      </x:c>
      <x:c r="M869" s="240" t="n">
        <x:f>1/'Beta HC3'!$E$8+L869^2/'Beta HC3'!$E$11</x:f>
        <x:v>0.0021169860790663025</x:v>
      </x:c>
      <x:c r="N869" s="240" t="n">
        <x:f>K869^2/(1-M869)^2</x:f>
        <x:v>0.000010830046136420833</x:v>
      </x:c>
      <x:c r="O869" s="240" t="n">
        <x:f>N869*L869^2/'Beta HC3'!$E$11^2</x:f>
        <x:v>9.77729284354591e-8</x:v>
      </x:c>
      <x:c r="P869" s="240" t="n">
        <x:f>N869*(1/'Beta HC3'!$E$8-'Beta HC3'!$E$9*L869/'Beta HC3'!$E$11)^2</x:f>
        <x:v>7.832009602689908e-12</x:v>
      </x:c>
      <x:c r="Q869" s="240" t="n">
        <x:f>N869*(1/'Beta HC3'!$E$8-'Beta HC3'!$E$9*L869/'Beta HC3'!$E$11)*L869/'Beta HC3'!$E$11</x:f>
        <x:v>-8.750762906110695e-10</x:v>
      </x:c>
      <x:c r="R869" s="240" t="n">
        <x:f>K869*L869/'Beta HC3'!$E$11</x:f>
        <x:v>-0.00031202467652533396</x:v>
      </x:c>
      <x:c r="S869" s="240" t="n">
        <x:f>(K869-K868)^2</x:f>
        <x:v>0.000003480316016815527</x:v>
      </x:c>
      <x:c r="T869" s="280" t="n">
        <x:f>E869/$E$9*100</x:f>
        <x:v>132.29945309507295</x:v>
      </x:c>
    </x:row>
    <x:row r="870" ht="24" customHeight="1">
      <x:c r="C870" s="274" t="d">
        <x:v>2025-03-14T00:00:00.000Z</x:v>
      </x:c>
      <x:c r="D870" s="191" t="n">
        <x:v>388.55999755859375</x:v>
      </x:c>
      <x:c r="E870" s="191" t="n">
        <x:v>384.0515441894531</x:v>
      </x:c>
      <x:c r="F870" s="191" t="n">
        <x:v>562.8099975585938</x:v>
      </x:c>
      <x:c r="G870" s="191" t="n">
        <x:v>551.96630859375</x:v>
      </x:c>
      <x:c r="H870" s="208" t="n">
        <x:f>E870/E869-1</x:f>
        <x:v>0.025846778384392977</x:v>
      </x:c>
      <x:c r="I870" s="208" t="n">
        <x:f>G870/G869-1</x:f>
        <x:v>0.020655846459250116</x:v>
      </x:c>
      <x:c r="J870" s="208" t="n">
        <x:f>'Beta HC3'!$E$13+'Beta HC3'!$E$12*I870</x:f>
        <x:v>0.02330503741556867</x:v>
      </x:c>
      <x:c r="K870" s="240" t="n">
        <x:f>H870-J870</x:f>
        <x:v>0.002541740968824306</x:v>
      </x:c>
      <x:c r="L870" s="240" t="n">
        <x:f>I870-'Beta HC3'!$E$9</x:f>
        <x:v>0.020091898841589677</x:v>
      </x:c>
      <x:c r="M870" s="240" t="n">
        <x:f>1/'Beta HC3'!$E$8+L870^2/'Beta HC3'!$E$11</x:f>
        <x:v>0.0035573863288274757</x:v>
      </x:c>
      <x:c r="N870" s="240" t="n">
        <x:f>K870^2/(1-M870)^2</x:f>
        <x:v>0.0000065066582047444804</x:v>
      </x:c>
      <x:c r="O870" s="240" t="n">
        <x:f>N870*L870^2/'Beta HC3'!$E$11^2</x:f>
        <x:v>1.2283289352153498e-7</x:v>
      </x:c>
      <x:c r="P870" s="240" t="n">
        <x:f>N870*(1/'Beta HC3'!$E$8-'Beta HC3'!$E$9*L870/'Beta HC3'!$E$11)^2</x:f>
        <x:v>3.366756718728969e-12</x:v>
      </x:c>
      <x:c r="Q870" s="240" t="n">
        <x:f>N870*(1/'Beta HC3'!$E$8-'Beta HC3'!$E$9*L870/'Beta HC3'!$E$11)*L870/'Beta HC3'!$E$11</x:f>
        <x:v>6.430773433612383e-10</x:v>
      </x:c>
      <x:c r="R870" s="240" t="n">
        <x:f>K870*L870/'Beta HC3'!$E$11</x:f>
        <x:v>0.00034922846370135236</x:v>
      </x:c>
      <x:c r="S870" s="240" t="n">
        <x:f>(K870-K869)^2</x:f>
        <x:v>5.508545732709417e-7</x:v>
      </x:c>
      <x:c r="T870" s="280" t="n">
        <x:f>E870/$E$9*100</x:f>
        <x:v>135.71896773959767</x:v>
      </x:c>
    </x:row>
    <x:row r="871" ht="24" customHeight="1">
      <x:c r="C871" s="274" t="d">
        <x:v>2025-03-17T00:00:00.000Z</x:v>
      </x:c>
      <x:c r="D871" s="191" t="n">
        <x:v>388.70001220703125</x:v>
      </x:c>
      <x:c r="E871" s="191" t="n">
        <x:v>384.1899719238281</x:v>
      </x:c>
      <x:c r="F871" s="191" t="n">
        <x:v>567.1500244140625</x:v>
      </x:c>
      <x:c r="G871" s="191" t="n">
        <x:v>556.2227783203125</x:v>
      </x:c>
      <x:c r="H871" s="208" t="n">
        <x:f>E871/E870-1</x:f>
        <x:v>0.00036044050979455733</x:v>
      </x:c>
      <x:c r="I871" s="208" t="n">
        <x:f>G871/G870-1</x:f>
        <x:v>0.007711466552019708</x:v>
      </x:c>
      <x:c r="J871" s="208" t="n">
        <x:f>'Beta HC3'!$E$13+'Beta HC3'!$E$12*I871</x:f>
        <x:v>0.008706213865410197</x:v>
      </x:c>
      <x:c r="K871" s="240" t="n">
        <x:f>H871-J871</x:f>
        <x:v>-0.00834577335561564</x:v>
      </x:c>
      <x:c r="L871" s="240" t="n">
        <x:f>I871-'Beta HC3'!$E$9</x:f>
        <x:v>0.007147518934359268</x:v>
      </x:c>
      <x:c r="M871" s="240" t="n">
        <x:f>1/'Beta HC3'!$E$8+L871^2/'Beta HC3'!$E$11</x:f>
        <x:v>0.0011461685752559478</x:v>
      </x:c>
      <x:c r="N871" s="240" t="n">
        <x:f>K871^2/(1-M871)^2</x:f>
        <x:v>0.00006981187354254634</x:v>
      </x:c>
      <x:c r="O871" s="240" t="n">
        <x:f>N871*L871^2/'Beta HC3'!$E$11^2</x:f>
        <x:v>1.6678409977854335e-7</x:v>
      </x:c>
      <x:c r="P871" s="240" t="n">
        <x:f>N871*(1/'Beta HC3'!$E$8-'Beta HC3'!$E$9*L871/'Beta HC3'!$E$11)^2</x:f>
        <x:v>4.1310669291970305e-11</x:v>
      </x:c>
      <x:c r="Q871" s="240" t="n">
        <x:f>N871*(1/'Beta HC3'!$E$8-'Beta HC3'!$E$9*L871/'Beta HC3'!$E$11)*L871/'Beta HC3'!$E$11</x:f>
        <x:v>2.624873861561805e-9</x:v>
      </x:c>
      <x:c r="R871" s="240" t="n">
        <x:f>K871*L871/'Beta HC3'!$E$11</x:f>
        <x:v>-0.00040792400455866653</x:v>
      </x:c>
      <x:c r="S871" s="240" t="n">
        <x:f>(K871-K870)^2</x:f>
        <x:v>0.00011853796816488502</x:v>
      </x:c>
      <x:c r="T871" s="280" t="n">
        <x:f>E871/$E$9*100</x:f>
        <x:v>135.76788635351852</x:v>
      </x:c>
    </x:row>
    <x:row r="872" ht="24" customHeight="1">
      <x:c r="C872" s="274" t="d">
        <x:v>2025-03-18T00:00:00.000Z</x:v>
      </x:c>
      <x:c r="D872" s="191" t="n">
        <x:v>383.5199890136719</x:v>
      </x:c>
      <x:c r="E872" s="191" t="n">
        <x:v>379.070068359375</x:v>
      </x:c>
      <x:c r="F872" s="191" t="n">
        <x:v>561.02001953125</x:v>
      </x:c>
      <x:c r="G872" s="191" t="n">
        <x:v>550.2108154296875</x:v>
      </x:c>
      <x:c r="H872" s="208" t="n">
        <x:f>E872/E871-1</x:f>
        <x:v>-0.013326489337593173</x:v>
      </x:c>
      <x:c r="I872" s="208" t="n">
        <x:f>G872/G871-1</x:f>
        <x:v>-0.010808552121471915</x:v>
      </x:c>
      <x:c r="J872" s="208" t="n">
        <x:f>'Beta HC3'!$E$13+'Beta HC3'!$E$12*I872</x:f>
        <x:v>-0.01218088051049899</x:v>
      </x:c>
      <x:c r="K872" s="240" t="n">
        <x:f>H872-J872</x:f>
        <x:v>-0.0011456088270941824</x:v>
      </x:c>
      <x:c r="L872" s="240" t="n">
        <x:f>I872-'Beta HC3'!$E$9</x:f>
        <x:v>-0.011372499739132354</x:v>
      </x:c>
      <x:c r="M872" s="240" t="n">
        <x:f>1/'Beta HC3'!$E$8+L872^2/'Beta HC3'!$E$11</x:f>
        <x:v>0.0016812544934315097</x:v>
      </x:c>
      <x:c r="N872" s="240" t="n">
        <x:f>K872^2/(1-M872)^2</x:f>
        <x:v>0.0000013168437614858688</x:v>
      </x:c>
      <x:c r="O872" s="240" t="n">
        <x:f>N872*L872^2/'Beta HC3'!$E$11^2</x:f>
        <x:v>7.964542691761854e-9</x:v>
      </x:c>
      <x:c r="P872" s="240" t="n">
        <x:f>N872*(1/'Beta HC3'!$E$8-'Beta HC3'!$E$9*L872/'Beta HC3'!$E$11)^2</x:f>
        <x:v>9.30650171374732e-13</x:v>
      </x:c>
      <x:c r="Q872" s="240" t="n">
        <x:f>N872*(1/'Beta HC3'!$E$8-'Beta HC3'!$E$9*L872/'Beta HC3'!$E$11)*L872/'Beta HC3'!$E$11</x:f>
        <x:v>-8.609415207207478e-11</x:v>
      </x:c>
      <x:c r="R872" s="240" t="n">
        <x:f>K872*L872/'Beta HC3'!$E$11</x:f>
        <x:v>0.00008909424424783964</x:v>
      </x:c>
      <x:c r="S872" s="240" t="n">
        <x:f>(K872-K871)^2</x:f>
        <x:v>0.00005184236923777863</x:v>
      </x:c>
      <x:c r="T872" s="280" t="n">
        <x:f>E872/$E$9*100</x:f>
        <x:v>133.95857706364077</x:v>
      </x:c>
    </x:row>
    <x:row r="873" ht="24" customHeight="1">
      <x:c r="C873" s="274" t="d">
        <x:v>2025-03-19T00:00:00.000Z</x:v>
      </x:c>
      <x:c r="D873" s="191" t="n">
        <x:v>387.82000732421875</x:v>
      </x:c>
      <x:c r="E873" s="191" t="n">
        <x:v>383.3201904296875</x:v>
      </x:c>
      <x:c r="F873" s="191" t="n">
        <x:v>567.1300048828125</x:v>
      </x:c>
      <x:c r="G873" s="191" t="n">
        <x:v>556.2031860351562</x:v>
      </x:c>
      <x:c r="H873" s="208" t="n">
        <x:f>E873/E872-1</x:f>
        <x:v>0.01121196956728121</x:v>
      </x:c>
      <x:c r="I873" s="208" t="n">
        <x:f>G873/G872-1</x:f>
        <x:v>0.010891044736714317</x:v>
      </x:c>
      <x:c r="J873" s="208" t="n">
        <x:f>'Beta HC3'!$E$13+'Beta HC3'!$E$12*I873</x:f>
        <x:v>0.012292179451630499</x:v>
      </x:c>
      <x:c r="K873" s="240" t="n">
        <x:f>H873-J873</x:f>
        <x:v>-0.0010802098843492886</x:v>
      </x:c>
      <x:c r="L873" s="240" t="n">
        <x:f>I873-'Beta HC3'!$E$9</x:f>
        <x:v>0.010327097119053878</x:v>
      </x:c>
      <x:c r="M873" s="240" t="n">
        <x:f>1/'Beta HC3'!$E$8+L873^2/'Beta HC3'!$E$11</x:f>
        <x:v>0.0015261256298185672</x:v>
      </x:c>
      <x:c r="N873" s="240" t="n">
        <x:f>K873^2/(1-M873)^2</x:f>
        <x:v>0.0000011704230936227694</x:v>
      </x:c>
      <x:c r="O873" s="240" t="n">
        <x:f>N873*L873^2/'Beta HC3'!$E$11^2</x:f>
        <x:v>5.837328411162314e-9</x:v>
      </x:c>
      <x:c r="P873" s="240" t="n">
        <x:f>N873*(1/'Beta HC3'!$E$8-'Beta HC3'!$E$9*L873/'Beta HC3'!$E$11)^2</x:f>
        <x:v>6.706850513721245e-13</x:v>
      </x:c>
      <x:c r="Q873" s="240" t="n">
        <x:f>N873*(1/'Beta HC3'!$E$8-'Beta HC3'!$E$9*L873/'Beta HC3'!$E$11)*L873/'Beta HC3'!$E$11</x:f>
        <x:v>6.25700320066752e-11</x:v>
      </x:c>
      <x:c r="R873" s="240" t="n">
        <x:f>K873*L873/'Beta HC3'!$E$11</x:f>
        <x:v>-0.00007628581135212011</x:v>
      </x:c>
      <x:c r="S873" s="240" t="n">
        <x:f>(K873-K872)^2</x:f>
        <x:v>4.277021712149897e-9</x:v>
      </x:c>
      <x:c r="T873" s="280" t="n">
        <x:f>E873/$E$9*100</x:f>
        <x:v>135.4605165529546</x:v>
      </x:c>
    </x:row>
    <x:row r="874" ht="24" customHeight="1">
      <x:c r="C874" s="274" t="d">
        <x:v>2025-03-20T00:00:00.000Z</x:v>
      </x:c>
      <x:c r="D874" s="191" t="n">
        <x:v>386.8399963378906</x:v>
      </x:c>
      <x:c r="E874" s="191" t="n">
        <x:v>382.35150146484375</x:v>
      </x:c>
      <x:c r="F874" s="191" t="n">
        <x:v>565.489990234375</x:v>
      </x:c>
      <x:c r="G874" s="191" t="n">
        <x:v>554.5947265625</x:v>
      </x:c>
      <x:c r="H874" s="208" t="n">
        <x:f>E874/E873-1</x:f>
        <x:v>-0.002527101334677595</x:v>
      </x:c>
      <x:c r="I874" s="208" t="n">
        <x:f>G874/G873-1</x:f>
        <x:v>-0.0028918559135232558</x:v>
      </x:c>
      <x:c r="J874" s="208" t="n">
        <x:f>'Beta HC3'!$E$13+'Beta HC3'!$E$12*I874</x:f>
        <x:v>-0.003252337631786497</x:v>
      </x:c>
      <x:c r="K874" s="240" t="n">
        <x:f>H874-J874</x:f>
        <x:v>0.0007252362971089019</x:v>
      </x:c>
      <x:c r="L874" s="240" t="n">
        <x:f>I874-'Beta HC3'!$E$9</x:f>
        <x:v>-0.003455803531183695</x:v>
      </x:c>
      <x:c r="M874" s="240" t="n">
        <x:f>1/'Beta HC3'!$E$8+L874^2/'Beta HC3'!$E$11</x:f>
        <x:v>0.000878481412707294</x:v>
      </x:c>
      <x:c r="N874" s="240" t="n">
        <x:f>K874^2/(1-M874)^2</x:f>
        <x:v>5.268930114594074e-7</x:v>
      </x:c>
      <x:c r="O874" s="240" t="n">
        <x:f>N874*L874^2/'Beta HC3'!$E$11^2</x:f>
        <x:v>2.942627228373767e-10</x:v>
      </x:c>
      <x:c r="P874" s="240" t="n">
        <x:f>N874*(1/'Beta HC3'!$E$8-'Beta HC3'!$E$9*L874/'Beta HC3'!$E$11)^2</x:f>
        <x:v>3.4581413485722154e-13</x:v>
      </x:c>
      <x:c r="Q874" s="240" t="n">
        <x:f>N874*(1/'Beta HC3'!$E$8-'Beta HC3'!$E$9*L874/'Beta HC3'!$E$11)*L874/'Beta HC3'!$E$11</x:f>
        <x:v>-1.0087626525537997e-11</x:v>
      </x:c>
      <x:c r="R874" s="240" t="n">
        <x:f>K874*L874/'Beta HC3'!$E$11</x:f>
        <x:v>-0.00001713901809508635</x:v>
      </x:c>
      <x:c r="S874" s="240" t="n">
        <x:f>(K874-K873)^2</x:f>
        <x:v>0.0000032596359141419616</x:v>
      </x:c>
      <x:c r="T874" s="280" t="n">
        <x:f>E874/$E$9*100</x:f>
        <x:v>135.11819410077752</x:v>
      </x:c>
    </x:row>
    <x:row r="875" ht="24" customHeight="1">
      <x:c r="C875" s="274" t="d">
        <x:v>2025-03-21T00:00:00.000Z</x:v>
      </x:c>
      <x:c r="D875" s="191" t="n">
        <x:v>391.260009765625</x:v>
      </x:c>
      <x:c r="E875" s="191" t="n">
        <x:v>386.7202453613281</x:v>
      </x:c>
      <x:c r="F875" s="191" t="n">
        <x:v>563.97998046875</x:v>
      </x:c>
      <x:c r="G875" s="191" t="n">
        <x:v>554.7776489257812</x:v>
      </x:c>
      <x:c r="H875" s="208" t="n">
        <x:f>E875/E874-1</x:f>
        <x:v>0.011425988598833925</x:v>
      </x:c>
      <x:c r="I875" s="208" t="n">
        <x:f>G875/G874-1</x:f>
        <x:v>0.00032983069351377736</x:v>
      </x:c>
      <x:c r="J875" s="208" t="n">
        <x:f>'Beta HC3'!$E$13+'Beta HC3'!$E$12*I875</x:f>
        <x:v>0.0003811183272564706</x:v>
      </x:c>
      <x:c r="K875" s="240" t="n">
        <x:f>H875-J875</x:f>
        <x:v>0.011044870271577455</x:v>
      </x:c>
      <x:c r="L875" s="240" t="n">
        <x:f>I875-'Beta HC3'!$E$9</x:f>
        <x:v>-0.000234116924146662</x:v>
      </x:c>
      <x:c r="M875" s="240" t="n">
        <x:f>1/'Beta HC3'!$E$8+L875^2/'Beta HC3'!$E$11</x:f>
        <x:v>0.0007971875691976743</x:v>
      </x:c>
      <x:c r="N875" s="240" t="n">
        <x:f>K875^2/(1-M875)^2</x:f>
        <x:v>0.0001221838886214648</x:v>
      </x:c>
      <x:c r="O875" s="240" t="n">
        <x:f>N875*L875^2/'Beta HC3'!$E$11^2</x:f>
        <x:v>3.131801912780603e-10</x:v>
      </x:c>
      <x:c r="P875" s="240" t="n">
        <x:f>N875*(1/'Beta HC3'!$E$8-'Beta HC3'!$E$9*L875/'Beta HC3'!$E$11)^2</x:f>
        <x:v>7.775174454202244e-11</x:v>
      </x:c>
      <x:c r="Q875" s="240" t="n">
        <x:f>N875*(1/'Beta HC3'!$E$8-'Beta HC3'!$E$9*L875/'Beta HC3'!$E$11)*L875/'Beta HC3'!$E$11</x:f>
        <x:v>-1.5604584655758535e-10</x:v>
      </x:c>
      <x:c r="R875" s="240" t="n">
        <x:f>K875*L875/'Beta HC3'!$E$11</x:f>
        <x:v>-0.000017682790039916555</x:v>
      </x:c>
      <x:c r="S875" s="240" t="n">
        <x:f>(K875-K874)^2</x:f>
        <x:v>0.00010649484536700562</x:v>
      </x:c>
      <x:c r="T875" s="280" t="n">
        <x:f>E875/$E$9*100</x:f>
        <x:v>136.66205304606805</x:v>
      </x:c>
    </x:row>
    <x:row r="876" ht="24" customHeight="1">
      <x:c r="C876" s="274" t="d">
        <x:v>2025-03-24T00:00:00.000Z</x:v>
      </x:c>
      <x:c r="D876" s="191" t="n">
        <x:v>393.0799865722656</x:v>
      </x:c>
      <x:c r="E876" s="191" t="n">
        <x:v>388.5191345214844</x:v>
      </x:c>
      <x:c r="F876" s="191" t="n">
        <x:v>574.0800170898438</x:v>
      </x:c>
      <x:c r="G876" s="191" t="n">
        <x:v>564.712890625</x:v>
      </x:c>
      <x:c r="H876" s="208" t="n">
        <x:f>E876/E875-1</x:f>
        <x:v>0.004651654992811283</x:v>
      </x:c>
      <x:c r="I876" s="208" t="n">
        <x:f>G876/G875-1</x:f>
        <x:v>0.01790851112775793</x:v>
      </x:c>
      <x:c r="J876" s="208" t="n">
        <x:f>'Beta HC3'!$E$13+'Beta HC3'!$E$12*I876</x:f>
        <x:v>0.02020656039117546</x:v>
      </x:c>
      <x:c r="K876" s="240" t="n">
        <x:f>H876-J876</x:f>
        <x:v>-0.015554905398364176</x:v>
      </x:c>
      <x:c r="L876" s="240" t="n">
        <x:f>I876-'Beta HC3'!$E$9</x:f>
        <x:v>0.017344563510097492</x:v>
      </x:c>
      <x:c r="M876" s="240" t="n">
        <x:f>1/'Beta HC3'!$E$8+L876^2/'Beta HC3'!$E$11</x:f>
        <x:v>0.0028540487289927</x:v>
      </x:c>
      <x:c r="N876" s="240" t="n">
        <x:f>K876^2/(1-M876)^2</x:f>
        <x:v>0.0002433421203243521</x:v>
      </x:c>
      <x:c r="O876" s="240" t="n">
        <x:f>N876*L876^2/'Beta HC3'!$E$11^2</x:f>
        <x:v>0.000003423408783436858</x:v>
      </x:c>
      <x:c r="P876" s="240" t="n">
        <x:f>N876*(1/'Beta HC3'!$E$8-'Beta HC3'!$E$9*L876/'Beta HC3'!$E$11)^2</x:f>
        <x:v>1.2964966432213556e-10</x:v>
      </x:c>
      <x:c r="Q876" s="240" t="n">
        <x:f>N876*(1/'Beta HC3'!$E$8-'Beta HC3'!$E$9*L876/'Beta HC3'!$E$11)*L876/'Beta HC3'!$E$11</x:f>
        <x:v>2.106760070843472e-8</x:v>
      </x:c>
      <x:c r="R876" s="240" t="n">
        <x:f>K876*L876/'Beta HC3'!$E$11</x:f>
        <x:v>-0.0018449649097370463</x:v>
      </x:c>
      <x:c r="S876" s="240" t="n">
        <x:f>(K876-K875)^2</x:f>
        <x:v>0.0007075480656912186</x:v>
      </x:c>
      <x:c r="T876" s="280" t="n">
        <x:f>E876/$E$9*100</x:f>
        <x:v>137.29775776744765</x:v>
      </x:c>
    </x:row>
    <x:row r="877" ht="24" customHeight="1">
      <x:c r="C877" s="274" t="d">
        <x:v>2025-03-25T00:00:00.000Z</x:v>
      </x:c>
      <x:c r="D877" s="191" t="n">
        <x:v>395.1600036621094</x:v>
      </x:c>
      <x:c r="E877" s="191" t="n">
        <x:v>390.57501220703125</x:v>
      </x:c>
      <x:c r="F877" s="191" t="n">
        <x:v>575.4600219726562</x:v>
      </x:c>
      <x:c r="G877" s="191" t="n">
        <x:v>566.0703735351562</x:v>
      </x:c>
      <x:c r="H877" s="208" t="n">
        <x:f>E877/E876-1</x:f>
        <x:v>0.00529157383221035</x:v>
      </x:c>
      <x:c r="I877" s="208" t="n">
        <x:f>G877/G876-1</x:f>
        <x:v>0.0024038461538462563</x:v>
      </x:c>
      <x:c r="J877" s="208" t="n">
        <x:f>'Beta HC3'!$E$13+'Beta HC3'!$E$12*I877</x:f>
        <x:v>0.0027202173001460036</x:v>
      </x:c>
      <x:c r="K877" s="240" t="n">
        <x:f>H877-J877</x:f>
        <x:v>0.0025713565320643465</x:v>
      </x:c>
      <x:c r="L877" s="240" t="n">
        <x:f>I877-'Beta HC3'!$E$9</x:f>
        <x:v>0.001839898536185817</x:v>
      </x:c>
      <x:c r="M877" s="240" t="n">
        <x:f>1/'Beta HC3'!$E$8+L877^2/'Beta HC3'!$E$11</x:f>
        <x:v>0.0008199624352444739</x:v>
      </x:c>
      <x:c r="N877" s="240" t="n">
        <x:f>K877^2/(1-M877)^2</x:f>
        <x:v>0.000006622730743130034</x:v>
      </x:c>
      <x:c r="O877" s="240" t="n">
        <x:f>N877*L877^2/'Beta HC3'!$E$11^2</x:f>
        <x:v>1.048430313025459e-9</x:v>
      </x:c>
      <x:c r="P877" s="240" t="n">
        <x:f>N877*(1/'Beta HC3'!$E$8-'Beta HC3'!$E$9*L877/'Beta HC3'!$E$11)^2</x:f>
        <x:v>4.130286908163922e-12</x:v>
      </x:c>
      <x:c r="Q877" s="240" t="n">
        <x:f>N877*(1/'Beta HC3'!$E$8-'Beta HC3'!$E$9*L877/'Beta HC3'!$E$11)*L877/'Beta HC3'!$E$11</x:f>
        <x:v>6.580515174369903e-11</x:v>
      </x:c>
      <x:c r="R877" s="240" t="n">
        <x:f>K877*L877/'Beta HC3'!$E$11</x:f>
        <x:v>0.000032352923685195874</x:v>
      </x:c>
      <x:c r="S877" s="240" t="n">
        <x:f>(K877-K876)^2</x:f>
        <x:v>0.0003285613715705024</x:v>
      </x:c>
      <x:c r="T877" s="280" t="n">
        <x:f>E877/$E$9*100</x:f>
        <x:v>138.024278989671</x:v>
      </x:c>
    </x:row>
    <x:row r="878" ht="24" customHeight="1">
      <x:c r="C878" s="274" t="d">
        <x:v>2025-03-26T00:00:00.000Z</x:v>
      </x:c>
      <x:c r="D878" s="191" t="n">
        <x:v>389.9700012207031</x:v>
      </x:c>
      <x:c r="E878" s="191" t="n">
        <x:v>385.4452209472656</x:v>
      </x:c>
      <x:c r="F878" s="191" t="n">
        <x:v>568.5900268554688</x:v>
      </x:c>
      <x:c r="G878" s="191" t="n">
        <x:v>559.3124389648438</x:v>
      </x:c>
      <x:c r="H878" s="208" t="n">
        <x:f>E878/E877-1</x:f>
        <x:v>-0.013133946359698223</x:v>
      </x:c>
      <x:c r="I878" s="208" t="n">
        <x:f>G878/G877-1</x:f>
        <x:v>-0.011938329377862766</x:v>
      </x:c>
      <x:c r="J878" s="208" t="n">
        <x:f>'Beta HC3'!$E$13+'Beta HC3'!$E$12*I878</x:f>
        <x:v>-0.013455056557187746</x:v>
      </x:c>
      <x:c r="K878" s="240" t="n">
        <x:f>H878-J878</x:f>
        <x:v>0.00032111019748952245</x:v>
      </x:c>
      <x:c r="L878" s="240" t="n">
        <x:f>I878-'Beta HC3'!$E$9</x:f>
        <x:v>-0.012502276995523205</x:v>
      </x:c>
      <x:c r="M878" s="240" t="n">
        <x:f>1/'Beta HC3'!$E$8+L878^2/'Beta HC3'!$E$11</x:f>
        <x:v>0.0018657091009717645</x:v>
      </x:c>
      <x:c r="N878" s="240" t="n">
        <x:f>K878^2/(1-M878)^2</x:f>
        <x:v>1.0349759146670857e-7</x:v>
      </x:c>
      <x:c r="O878" s="240" t="n">
        <x:f>N878*L878^2/'Beta HC3'!$E$11^2</x:f>
        <x:v>7.565248525135945e-10</x:v>
      </x:c>
      <x:c r="P878" s="240" t="n">
        <x:f>N878*(1/'Beta HC3'!$E$8-'Beta HC3'!$E$9*L878/'Beta HC3'!$E$11)^2</x:f>
        <x:v>7.390478111380175e-14</x:v>
      </x:c>
      <x:c r="Q878" s="240" t="n">
        <x:f>N878*(1/'Beta HC3'!$E$8-'Beta HC3'!$E$9*L878/'Beta HC3'!$E$11)*L878/'Beta HC3'!$E$11</x:f>
        <x:v>-7.477352715511577e-12</x:v>
      </x:c>
      <x:c r="R878" s="240" t="n">
        <x:f>K878*L878/'Beta HC3'!$E$11</x:f>
        <x:v>-0.00002745368054148125</x:v>
      </x:c>
      <x:c r="S878" s="240" t="n">
        <x:f>(K878-K877)^2</x:f>
        <x:v>0.000005063608566267431</x:v>
      </x:c>
      <x:c r="T878" s="280" t="n">
        <x:f>E878/$E$9*100</x:f>
        <x:v>136.21147551308465</x:v>
      </x:c>
    </x:row>
    <x:row r="879" ht="24" customHeight="1">
      <x:c r="C879" s="274" t="d">
        <x:v>2025-03-27T00:00:00.000Z</x:v>
      </x:c>
      <x:c r="D879" s="191" t="n">
        <x:v>390.5799865722656</x:v>
      </x:c>
      <x:c r="E879" s="191" t="n">
        <x:v>386.048095703125</x:v>
      </x:c>
      <x:c r="F879" s="191" t="n">
        <x:v>567.0800170898438</x:v>
      </x:c>
      <x:c r="G879" s="191" t="n">
        <x:v>557.8270874023438</x:v>
      </x:c>
      <x:c r="H879" s="208" t="n">
        <x:f>E879/E878-1</x:f>
        <x:v>0.0015640997036563409</x:v>
      </x:c>
      <x:c r="I879" s="208" t="n">
        <x:f>G879/G878-1</x:f>
        <x:v>-0.002655674108104966</x:v>
      </x:c>
      <x:c r="J879" s="208" t="n">
        <x:f>'Beta HC3'!$E$13+'Beta HC3'!$E$12*I879</x:f>
        <x:v>-0.00298596902025235</x:v>
      </x:c>
      <x:c r="K879" s="240" t="n">
        <x:f>H879-J879</x:f>
        <x:v>0.004550068723908691</x:v>
      </x:c>
      <x:c r="L879" s="240" t="n">
        <x:f>I879-'Beta HC3'!$E$9</x:f>
        <x:v>-0.0032196217257654054</x:v>
      </x:c>
      <x:c r="M879" s="240" t="n">
        <x:f>1/'Beta HC3'!$E$8+L879^2/'Beta HC3'!$E$11</x:f>
        <x:v>0.0008676998245803432</x:v>
      </x:c>
      <x:c r="N879" s="240" t="n">
        <x:f>K879^2/(1-M879)^2</x:f>
        <x:v>0.00002073910040532876</x:v>
      </x:c>
      <x:c r="O879" s="240" t="n">
        <x:f>N879*L879^2/'Beta HC3'!$E$11^2</x:f>
        <x:v>1.005343178860523e-8</x:v>
      </x:c>
      <x:c r="P879" s="240" t="n">
        <x:f>N879*(1/'Beta HC3'!$E$8-'Beta HC3'!$E$9*L879/'Beta HC3'!$E$11)^2</x:f>
        <x:v>1.3581042623034404e-11</x:v>
      </x:c>
      <x:c r="Q879" s="240" t="n">
        <x:f>N879*(1/'Beta HC3'!$E$8-'Beta HC3'!$E$9*L879/'Beta HC3'!$E$11)*L879/'Beta HC3'!$E$11</x:f>
        <x:v>-3.6950789657166553e-10</x:v>
      </x:c>
      <x:c r="R879" s="240" t="n">
        <x:f>K879*L879/'Beta HC3'!$E$11</x:f>
        <x:v>-0.00010017980153636379</x:v>
      </x:c>
      <x:c r="S879" s="240" t="n">
        <x:f>(K879-K878)^2</x:f>
        <x:v>0.000017884090218173383</x:v>
      </x:c>
      <x:c r="T879" s="280" t="n">
        <x:f>E879/$E$9*100</x:f>
        <x:v>136.42452384156925</x:v>
      </x:c>
    </x:row>
    <x:row r="880" ht="24" customHeight="1">
      <x:c r="C880" s="274" t="d">
        <x:v>2025-03-28T00:00:00.000Z</x:v>
      </x:c>
      <x:c r="D880" s="191" t="n">
        <x:v>378.79998779296875</x:v>
      </x:c>
      <x:c r="E880" s="191" t="n">
        <x:v>374.40478515625</x:v>
      </x:c>
      <x:c r="F880" s="191" t="n">
        <x:v>555.6599731445312</x:v>
      </x:c>
      <x:c r="G880" s="191" t="n">
        <x:v>546.5933227539062</x:v>
      </x:c>
      <x:c r="H880" s="208" t="n">
        <x:f>E880/E879-1</x:f>
        <x:v>-0.03016025898448893</x:v>
      </x:c>
      <x:c r="I880" s="208" t="n">
        <x:f>G880/G879-1</x:f>
        <x:v>-0.02013843519279468</x:v>
      </x:c>
      <x:c r="J880" s="208" t="n">
        <x:f>'Beta HC3'!$E$13+'Beta HC3'!$E$12*I880</x:f>
        <x:v>-0.022703232116215593</x:v>
      </x:c>
      <x:c r="K880" s="240" t="n">
        <x:f>H880-J880</x:f>
        <x:v>-0.007457026868273337</x:v>
      </x:c>
      <x:c r="L880" s="240" t="n">
        <x:f>I880-'Beta HC3'!$E$9</x:f>
        <x:v>-0.020702382810455118</x:v>
      </x:c>
      <x:c r="M880" s="240" t="n">
        <x:f>1/'Beta HC3'!$E$8+L880^2/'Beta HC3'!$E$11</x:f>
        <x:v>0.0037276927079078143</x:v>
      </x:c>
      <x:c r="N880" s="240" t="n">
        <x:f>K880^2/(1-M880)^2</x:f>
        <x:v>0.00005602415287198099</x:v>
      </x:c>
      <x:c r="O880" s="240" t="n">
        <x:f>N880*L880^2/'Beta HC3'!$E$11^2</x:f>
        <x:v>0.0000011228731341939003</x:v>
      </x:c>
      <x:c r="P880" s="240" t="n">
        <x:f>N880*(1/'Beta HC3'!$E$8-'Beta HC3'!$E$9*L880/'Beta HC3'!$E$11)^2</x:f>
        <x:v>4.305561092113089e-11</x:v>
      </x:c>
      <x:c r="Q880" s="240" t="n">
        <x:f>N880*(1/'Beta HC3'!$E$8-'Beta HC3'!$E$9*L880/'Beta HC3'!$E$11)*L880/'Beta HC3'!$E$11</x:f>
        <x:v>-6.953127985277086e-9</x:v>
      </x:c>
      <x:c r="R880" s="240" t="n">
        <x:f>K880*L880/'Beta HC3'!$E$11</x:f>
        <x:v>0.0010557070073205378</x:v>
      </x:c>
      <x:c r="S880" s="240" t="n">
        <x:f>(K880-K879)^2</x:f>
        <x:v>0.0001441703445597971</x:v>
      </x:c>
      <x:c r="T880" s="280" t="n">
        <x:f>E880/$E$9*100</x:f>
        <x:v>132.30992487067195</x:v>
      </x:c>
    </x:row>
    <x:row r="881" ht="24" customHeight="1">
      <x:c r="C881" s="274" t="d">
        <x:v>2025-03-31T00:00:00.000Z</x:v>
      </x:c>
      <x:c r="D881" s="191" t="n">
        <x:v>375.3900146484375</x:v>
      </x:c>
      <x:c r="E881" s="191" t="n">
        <x:v>371.0343933105469</x:v>
      </x:c>
      <x:c r="F881" s="191" t="n">
        <x:v>559.3900146484375</x:v>
      </x:c>
      <x:c r="G881" s="191" t="n">
        <x:v>550.2625122070312</x:v>
      </x:c>
      <x:c r="H881" s="208" t="n">
        <x:f>E881/E880-1</x:f>
        <x:v>-0.009001999919142523</x:v>
      </x:c>
      <x:c r="I881" s="208" t="n">
        <x:f>G881/G880-1</x:f>
        <x:v>0.006712832558287474</x:v>
      </x:c>
      <x:c r="J881" s="208" t="n">
        <x:f>'Beta HC3'!$E$13+'Beta HC3'!$E$12*I881</x:f>
        <x:v>0.007579942729197365</x:v>
      </x:c>
      <x:c r="K881" s="240" t="n">
        <x:f>H881-J881</x:f>
        <x:v>-0.016581942648339888</x:v>
      </x:c>
      <x:c r="L881" s="240" t="n">
        <x:f>I881-'Beta HC3'!$E$9</x:f>
        <x:v>0.006148884940627034</x:v>
      </x:c>
      <x:c r="M881" s="240" t="n">
        <x:f>1/'Beta HC3'!$E$8+L881^2/'Beta HC3'!$E$11</x:f>
        <x:v>0.0010553660544964604</x:v>
      </x:c>
      <x:c r="N881" s="240" t="n">
        <x:f>K881^2/(1-M881)^2</x:f>
        <x:v>0.00027554211067509836</x:v>
      </x:c>
      <x:c r="O881" s="240" t="n">
        <x:f>N881*L881^2/'Beta HC3'!$E$11^2</x:f>
        <x:v>4.871867144855151e-7</x:v>
      </x:c>
      <x:c r="P881" s="240" t="n">
        <x:f>N881*(1/'Beta HC3'!$E$8-'Beta HC3'!$E$9*L881/'Beta HC3'!$E$11)^2</x:f>
        <x:v>1.646867570679367e-10</x:v>
      </x:c>
      <x:c r="Q881" s="240" t="n">
        <x:f>N881*(1/'Beta HC3'!$E$8-'Beta HC3'!$E$9*L881/'Beta HC3'!$E$11)*L881/'Beta HC3'!$E$11</x:f>
        <x:v>8.957298705257196e-9</x:v>
      </x:c>
      <x:c r="R881" s="240" t="n">
        <x:f>K881*L881/'Beta HC3'!$E$11</x:f>
        <x:v>-0.0006972509852782746</x:v>
      </x:c>
      <x:c r="S881" s="240" t="n">
        <x:f>(K881-K880)^2</x:f>
        <x:v>0.00008326408799330754</x:v>
      </x:c>
      <x:c r="T881" s="280" t="n">
        <x:f>E881/$E$9*100</x:f>
        <x:v>131.11887093768442</x:v>
      </x:c>
    </x:row>
    <x:row r="882" ht="24" customHeight="1">
      <x:c r="C882" s="274" t="d">
        <x:v>2025-04-01T00:00:00.000Z</x:v>
      </x:c>
      <x:c r="D882" s="191" t="n">
        <x:v>382.19000244140625</x:v>
      </x:c>
      <x:c r="E882" s="191" t="n">
        <x:v>377.7555236816406</x:v>
      </x:c>
      <x:c r="F882" s="191" t="n">
        <x:v>560.969970703125</x:v>
      </x:c>
      <x:c r="G882" s="191" t="n">
        <x:v>551.8167114257812</x:v>
      </x:c>
      <x:c r="H882" s="208" t="n">
        <x:f>E882/E881-1</x:f>
        <x:v>0.01811457506977887</x:v>
      </x:c>
      <x:c r="I882" s="208" t="n">
        <x:f>G882/G881-1</x:f>
        <x:v>0.0028244686568168476</x:v>
      </x:c>
      <x:c r="J882" s="208" t="n">
        <x:f>'Beta HC3'!$E$13+'Beta HC3'!$E$12*I882</x:f>
        <x:v>0.0031946002946271596</x:v>
      </x:c>
      <x:c r="K882" s="240" t="n">
        <x:f>H882-J882</x:f>
        <x:v>0.014919974775151711</x:v>
      </x:c>
      <x:c r="L882" s="240" t="n">
        <x:f>I882-'Beta HC3'!$E$9</x:f>
        <x:v>0.0022605210391564083</x:v>
      </x:c>
      <x:c r="M882" s="240" t="n">
        <x:f>1/'Beta HC3'!$E$8+L882^2/'Beta HC3'!$E$11</x:f>
        <x:v>0.0008317568979904103</x:v>
      </x:c>
      <x:c r="N882" s="240" t="n">
        <x:f>K882^2/(1-M882)^2</x:f>
        <x:v>0.00022297641737820847</x:v>
      </x:c>
      <x:c r="O882" s="240" t="n">
        <x:f>N882*L882^2/'Beta HC3'!$E$11^2</x:f>
        <x:v>5.328325691115463e-8</x:v>
      </x:c>
      <x:c r="P882" s="240" t="n">
        <x:f>N882*(1/'Beta HC3'!$E$8-'Beta HC3'!$E$9*L882/'Beta HC3'!$E$11)^2</x:f>
        <x:v>1.3848925229432713e-10</x:v>
      </x:c>
      <x:c r="Q882" s="240" t="n">
        <x:f>N882*(1/'Beta HC3'!$E$8-'Beta HC3'!$E$9*L882/'Beta HC3'!$E$11)*L882/'Beta HC3'!$E$11</x:f>
        <x:v>2.7164606401404647e-9</x:v>
      </x:c>
      <x:c r="R882" s="240" t="n">
        <x:f>K882*L882/'Beta HC3'!$E$11</x:f>
        <x:v>0.0002306396677516387</x:v>
      </x:c>
      <x:c r="S882" s="240" t="n">
        <x:f>(K882-K881)^2</x:f>
        <x:v>0.0009923708013564836</x:v>
      </x:c>
      <x:c r="T882" s="280" t="n">
        <x:f>E882/$E$9*100</x:f>
        <x:v>133.49403356834975</x:v>
      </x:c>
    </x:row>
    <x:row r="883" ht="24" customHeight="1">
      <x:c r="C883" s="274" t="d">
        <x:v>2025-04-02T00:00:00.000Z</x:v>
      </x:c>
      <x:c r="D883" s="191" t="n">
        <x:v>382.1400146484375</x:v>
      </x:c>
      <x:c r="E883" s="191" t="n">
        <x:v>377.7060852050781</x:v>
      </x:c>
      <x:c r="F883" s="191" t="n">
        <x:v>564.52001953125</x:v>
      </x:c>
      <x:c r="G883" s="191" t="n">
        <x:v>555.308837890625</x:v>
      </x:c>
      <x:c r="H883" s="208" t="n">
        <x:f>E883/E882-1</x:f>
        <x:v>-0.00013087426513491707</x:v>
      </x:c>
      <x:c r="I883" s="208" t="n">
        <x:f>G883/G882-1</x:f>
        <x:v>0.006328417375800033</x:v>
      </x:c>
      <x:c r="J883" s="208" t="n">
        <x:f>'Beta HC3'!$E$13+'Beta HC3'!$E$12*I883</x:f>
        <x:v>0.007146394775617805</x:v>
      </x:c>
      <x:c r="K883" s="240" t="n">
        <x:f>H883-J883</x:f>
        <x:v>-0.007277269040752722</x:v>
      </x:c>
      <x:c r="L883" s="240" t="n">
        <x:f>I883-'Beta HC3'!$E$9</x:f>
        <x:v>0.005764469758139593</x:v>
      </x:c>
      <x:c r="M883" s="240" t="n">
        <x:f>1/'Beta HC3'!$E$8+L883^2/'Beta HC3'!$E$11</x:f>
        <x:v>0.0010240482026324298</x:v>
      </x:c>
      <x:c r="N883" s="240" t="n">
        <x:f>K883^2/(1-M883)^2</x:f>
        <x:v>0.00005306727593827361</x:v>
      </x:c>
      <x:c r="O883" s="240" t="n">
        <x:f>N883*L883^2/'Beta HC3'!$E$11^2</x:f>
        <x:v>8.246321220154314e-8</x:v>
      </x:c>
      <x:c r="P883" s="240" t="n">
        <x:f>N883*(1/'Beta HC3'!$E$8-'Beta HC3'!$E$9*L883/'Beta HC3'!$E$11)^2</x:f>
        <x:v>3.183915371321309e-11</x:v>
      </x:c>
      <x:c r="Q883" s="240" t="n">
        <x:f>N883*(1/'Beta HC3'!$E$8-'Beta HC3'!$E$9*L883/'Beta HC3'!$E$11)*L883/'Beta HC3'!$E$11</x:f>
        <x:v>1.6203576423031558e-9</x:v>
      </x:c>
      <x:c r="R883" s="240" t="n">
        <x:f>K883*L883/'Beta HC3'!$E$11</x:f>
        <x:v>-0.000286870015983115</x:v>
      </x:c>
      <x:c r="S883" s="240" t="n">
        <x:f>(K883-K882)^2</x:f>
        <x:v>0.0004927176330227075</x:v>
      </x:c>
      <x:c r="T883" s="280" t="n">
        <x:f>E883/$E$9*100</x:f>
        <x:v>133.47656263480658</x:v>
      </x:c>
    </x:row>
    <x:row r="884" ht="24" customHeight="1">
      <x:c r="C884" s="274" t="d">
        <x:v>2025-04-03T00:00:00.000Z</x:v>
      </x:c>
      <x:c r="D884" s="191" t="n">
        <x:v>373.1099853515625</x:v>
      </x:c>
      <x:c r="E884" s="191" t="n">
        <x:v>368.7807922363281</x:v>
      </x:c>
      <x:c r="F884" s="191" t="n">
        <x:v>536.7000122070312</x:v>
      </x:c>
      <x:c r="G884" s="191" t="n">
        <x:v>527.9428100585938</x:v>
      </x:c>
      <x:c r="H884" s="208" t="n">
        <x:f>E884/E883-1</x:f>
        <x:v>-0.02363025992526424</x:v>
      </x:c>
      <x:c r="I884" s="208" t="n">
        <x:f>G884/G883-1</x:f>
        <x:v>-0.04928073526793275</x:v>
      </x:c>
      <x:c r="J884" s="208" t="n">
        <x:f>'Beta HC3'!$E$13+'Beta HC3'!$E$12*I884</x:f>
        <x:v>-0.05557026009992524</x:v>
      </x:c>
      <x:c r="K884" s="240" t="n">
        <x:f>H884-J884</x:f>
        <x:v>0.031940000174661</x:v>
      </x:c>
      <x:c r="L884" s="240" t="n">
        <x:f>I884-'Beta HC3'!$E$9</x:f>
        <x:v>-0.04984468288559319</x:v>
      </x:c>
      <x:c r="M884" s="240" t="n">
        <x:f>1/'Beta HC3'!$E$8+L884^2/'Beta HC3'!$E$11</x:f>
        <x:v>0.0177868775810924</x:v>
      </x:c>
      <x:c r="N884" s="240" t="n">
        <x:f>K884^2/(1-M884)^2</x:f>
        <x:v>0.0010574464030923038</x:v>
      </x:c>
      <x:c r="O884" s="240" t="n">
        <x:f>N884*L884^2/'Beta HC3'!$E$11^2</x:f>
        <x:v>0.00012286007095216412</x:v>
      </x:c>
      <x:c r="P884" s="240" t="n">
        <x:f>N884*(1/'Beta HC3'!$E$8-'Beta HC3'!$E$9*L884/'Beta HC3'!$E$11)^2</x:f>
        <x:v>1.0343942092423114e-9</x:v>
      </x:c>
      <x:c r="Q884" s="240" t="n">
        <x:f>N884*(1/'Beta HC3'!$E$8-'Beta HC3'!$E$9*L884/'Beta HC3'!$E$11)*L884/'Beta HC3'!$E$11</x:f>
        <x:v>-3.564908777795276e-7</x:v>
      </x:c>
      <x:c r="R884" s="240" t="n">
        <x:f>K884*L884/'Beta HC3'!$E$11</x:f>
        <x:v>-0.010887072447626175</x:v>
      </x:c>
      <x:c r="S884" s="240" t="n">
        <x:f>(K884-K883)^2</x:f>
        <x:v>0.0015379942047142367</x:v>
      </x:c>
      <x:c r="T884" s="280" t="n">
        <x:f>E884/$E$9*100</x:f>
        <x:v>130.3224767658153</x:v>
      </x:c>
    </x:row>
    <x:row r="885" ht="24" customHeight="1">
      <x:c r="C885" s="274" t="d">
        <x:v>2025-04-04T00:00:00.000Z</x:v>
      </x:c>
      <x:c r="D885" s="191" t="n">
        <x:v>359.8399963378906</x:v>
      </x:c>
      <x:c r="E885" s="191" t="n">
        <x:v>355.6647644042969</x:v>
      </x:c>
      <x:c r="F885" s="191" t="n">
        <x:v>505.2799987792969</x:v>
      </x:c>
      <x:c r="G885" s="191" t="n">
        <x:v>497.0354309082031</x:v>
      </x:c>
      <x:c r="H885" s="208" t="n">
        <x:f>E885/E884-1</x:f>
        <x:v>-0.035565919126357426</x:v>
      </x:c>
      <x:c r="I885" s="208" t="n">
        <x:f>G885/G884-1</x:f>
        <x:v>-0.058543043984177645</x:v>
      </x:c>
      <x:c r="J885" s="208" t="n">
        <x:f>'Beta HC3'!$E$13+'Beta HC3'!$E$12*I885</x:f>
        <x:v>-0.06601640055506007</x:v>
      </x:c>
      <x:c r="K885" s="240" t="n">
        <x:f>H885-J885</x:f>
        <x:v>0.030450481428702644</x:v>
      </x:c>
      <x:c r="L885" s="240" t="n">
        <x:f>I885-'Beta HC3'!$E$9</x:f>
        <x:v>-0.059106991601838084</x:v>
      </x:c>
      <x:c r="M885" s="240" t="n">
        <x:f>1/'Beta HC3'!$E$8+L885^2/'Beta HC3'!$E$11</x:f>
        <x:v>0.024687853673523098</x:v>
      </x:c>
      <x:c r="N885" s="240" t="n">
        <x:f>K885^2/(1-M885)^2</x:f>
        <x:v>0.0009747675450904917</x:v>
      </x:c>
      <x:c r="O885" s="240" t="n">
        <x:f>N885*L885^2/'Beta HC3'!$E$11^2</x:f>
        <x:v>0.00015925515332740182</x:v>
      </x:c>
      <x:c r="P885" s="240" t="n">
        <x:f>N885*(1/'Beta HC3'!$E$8-'Beta HC3'!$E$9*L885/'Beta HC3'!$E$11)^2</x:f>
        <x:v>1.0236362770251247e-9</x:v>
      </x:c>
      <x:c r="Q885" s="240" t="n">
        <x:f>N885*(1/'Beta HC3'!$E$8-'Beta HC3'!$E$9*L885/'Beta HC3'!$E$11)*L885/'Beta HC3'!$E$11</x:f>
        <x:v>-4.0375655071977105e-7</x:v>
      </x:c>
      <x:c r="R885" s="240" t="n">
        <x:f>K885*L885/'Beta HC3'!$E$11</x:f>
        <x:v>-0.012308081975903181</x:v>
      </x:c>
      <x:c r="S885" s="240" t="n">
        <x:f>(K885-K884)^2</x:f>
        <x:v>0.000002218666094561344</x:v>
      </x:c>
      <x:c r="T885" s="280" t="n">
        <x:f>E885/$E$9*100</x:f>
        <x:v>125.68743809681571</x:v>
      </x:c>
    </x:row>
    <x:row r="886" ht="24" customHeight="1">
      <x:c r="C886" s="274" t="d">
        <x:v>2025-04-07T00:00:00.000Z</x:v>
      </x:c>
      <x:c r="D886" s="191" t="n">
        <x:v>357.8599853515625</x:v>
      </x:c>
      <x:c r="E886" s="191" t="n">
        <x:v>353.707763671875</x:v>
      </x:c>
      <x:c r="F886" s="191" t="n">
        <x:v>504.3800048828125</x:v>
      </x:c>
      <x:c r="G886" s="191" t="n">
        <x:v>496.150146484375</x:v>
      </x:c>
      <x:c r="H886" s="208" t="n">
        <x:f>E886/E885-1</x:f>
        <x:v>-0.005502374506228258</x:v>
      </x:c>
      <x:c r="I886" s="208" t="n">
        <x:f>G886/G885-1</x:f>
        <x:v>-0.0017811294100512631</x:v>
      </x:c>
      <x:c r="J886" s="208" t="n">
        <x:f>'Beta HC3'!$E$13+'Beta HC3'!$E$12*I886</x:f>
        <x:v>-0.001999647247783271</x:v>
      </x:c>
      <x:c r="K886" s="240" t="n">
        <x:f>H886-J886</x:f>
        <x:v>-0.003502727258444987</x:v>
      </x:c>
      <x:c r="L886" s="240" t="n">
        <x:f>I886-'Beta HC3'!$E$9</x:f>
        <x:v>-0.0023450770277117024</x:v>
      </x:c>
      <x:c r="M886" s="240" t="n">
        <x:f>1/'Beta HC3'!$E$8+L886^2/'Beta HC3'!$E$11</x:f>
        <x:v>0.0008344199997826033</x:v>
      </x:c>
      <x:c r="N886" s="240" t="n">
        <x:f>K886^2/(1-M886)^2</x:f>
        <x:v>0.00001228959906483542</x:v>
      </x:c>
      <x:c r="O886" s="240" t="n">
        <x:f>N886*L886^2/'Beta HC3'!$E$11^2</x:f>
        <x:v>3.160579088029762e-9</x:v>
      </x:c>
      <x:c r="P886" s="240" t="n">
        <x:f>N886*(1/'Beta HC3'!$E$8-'Beta HC3'!$E$9*L886/'Beta HC3'!$E$11)^2</x:f>
        <x:v>7.980925291964345e-12</x:v>
      </x:c>
      <x:c r="Q886" s="240" t="n">
        <x:f>N886*(1/'Beta HC3'!$E$8-'Beta HC3'!$E$9*L886/'Beta HC3'!$E$11)*L886/'Beta HC3'!$E$11</x:f>
        <x:v>-1.5882174152461096e-10</x:v>
      </x:c>
      <x:c r="R886" s="240" t="n">
        <x:f>K886*L886/'Beta HC3'!$E$11</x:f>
        <x:v>0.000056172117529966306</x:v>
      </x:c>
      <x:c r="S886" s="240" t="n">
        <x:f>(K886-K885)^2</x:f>
        <x:v>0.0011528203801529971</x:v>
      </x:c>
      <x:c r="T886" s="280" t="n">
        <x:f>E886/$E$9*100</x:f>
        <x:v>124.99585874167866</x:v>
      </x:c>
    </x:row>
    <x:row r="887" ht="24" customHeight="1">
      <x:c r="C887" s="274" t="d">
        <x:v>2025-04-08T00:00:00.000Z</x:v>
      </x:c>
      <x:c r="D887" s="191" t="n">
        <x:v>354.55999755859375</x:v>
      </x:c>
      <x:c r="E887" s="191" t="n">
        <x:v>350.4460754394531</x:v>
      </x:c>
      <x:c r="F887" s="191" t="n">
        <x:v>496.4800109863281</x:v>
      </x:c>
      <x:c r="G887" s="191" t="n">
        <x:v>488.3790283203125</x:v>
      </x:c>
      <x:c r="H887" s="208" t="n">
        <x:f>E887/E886-1</x:f>
        <x:v>-0.009221421092265425</x:v>
      </x:c>
      <x:c r="I887" s="208" t="n">
        <x:f>G887/G886-1</x:f>
        <x:v>-0.015662835573318157</x:v>
      </x:c>
      <x:c r="J887" s="208" t="n">
        <x:f>'Beta HC3'!$E$13+'Beta HC3'!$E$12*I887</x:f>
        <x:v>-0.017655598348189538</x:v>
      </x:c>
      <x:c r="K887" s="240" t="n">
        <x:f>H887-J887</x:f>
        <x:v>0.008434177255924113</x:v>
      </x:c>
      <x:c r="L887" s="240" t="n">
        <x:f>I887-'Beta HC3'!$E$9</x:f>
        <x:v>-0.016226783190978596</x:v>
      </x:c>
      <x:c r="M887" s="240" t="n">
        <x:f>1/'Beta HC3'!$E$8+L887^2/'Beta HC3'!$E$11</x:f>
        <x:v>0.002597433407262626</x:v>
      </x:c>
      <x:c r="N887" s="240" t="n">
        <x:f>K887^2/(1-M887)^2</x:f>
        <x:v>0.00007150632941313014</x:v>
      </x:c>
      <x:c r="O887" s="240" t="n">
        <x:f>N887*L887^2/'Beta HC3'!$E$11^2</x:f>
        <x:v>8.80489284720287e-7</x:v>
      </x:c>
      <x:c r="P887" s="240" t="n">
        <x:f>N887*(1/'Beta HC3'!$E$8-'Beta HC3'!$E$9*L887/'Beta HC3'!$E$11)^2</x:f>
        <x:v>5.2811297339036035e-11</x:v>
      </x:c>
      <x:c r="Q887" s="240" t="n">
        <x:f>N887*(1/'Beta HC3'!$E$8-'Beta HC3'!$E$9*L887/'Beta HC3'!$E$11)*L887/'Beta HC3'!$E$11</x:f>
        <x:v>-6.819074821352105e-9</x:v>
      </x:c>
      <x:c r="R887" s="240" t="n">
        <x:f>K887*L887/'Beta HC3'!$E$11</x:f>
        <x:v>-0.0009359066195495441</x:v>
      </x:c>
      <x:c r="S887" s="240" t="n">
        <x:f>(K887-K886)^2</x:f>
        <x:v>0.0001424896893851654</x:v>
      </x:c>
      <x:c r="T887" s="280" t="n">
        <x:f>E887/$E$9*100</x:f>
        <x:v>123.84321929343231</x:v>
      </x:c>
    </x:row>
    <x:row r="888" ht="24" customHeight="1">
      <x:c r="C888" s="274" t="d">
        <x:v>2025-04-09T00:00:00.000Z</x:v>
      </x:c>
      <x:c r="D888" s="191" t="n">
        <x:v>390.489990234375</x:v>
      </x:c>
      <x:c r="E888" s="191" t="n">
        <x:v>385.95916748046875</x:v>
      </x:c>
      <x:c r="F888" s="191" t="n">
        <x:v>548.6199951171875</x:v>
      </x:c>
      <x:c r="G888" s="191" t="n">
        <x:v>539.6683349609375</x:v>
      </x:c>
      <x:c r="H888" s="208" t="n">
        <x:f>E888/E887-1</x:f>
        <x:v>0.10133682335144667</x:v>
      </x:c>
      <x:c r="I888" s="208" t="n">
        <x:f>G888/G887-1</x:f>
        <x:v>0.1050194698511624</x:v>
      </x:c>
      <x:c r="J888" s="208" t="n">
        <x:f>'Beta HC3'!$E$13+'Beta HC3'!$E$12*I888</x:f>
        <x:v>0.11845132180904529</x:v>
      </x:c>
      <x:c r="K888" s="240" t="n">
        <x:f>H888-J888</x:f>
        <x:v>-0.017114498457598618</x:v>
      </x:c>
      <x:c r="L888" s="240" t="n">
        <x:f>I888-'Beta HC3'!$E$9</x:f>
        <x:v>0.10445552223350195</x:v>
      </x:c>
      <x:c r="M888" s="240" t="n">
        <x:f>1/'Beta HC3'!$E$8+L888^2/'Beta HC3'!$E$11</x:f>
        <x:v>0.07541078663449097</x:v>
      </x:c>
      <x:c r="N888" s="240" t="n">
        <x:f>K888^2/(1-M888)^2</x:f>
        <x:v>0.0003426341987476256</x:v>
      </x:c>
      <x:c r="O888" s="240" t="n">
        <x:f>N888*L888^2/'Beta HC3'!$E$11^2</x:f>
        <x:v>0.00017482689343223837</x:v>
      </x:c>
      <x:c r="P888" s="240" t="n">
        <x:f>N888*(1/'Beta HC3'!$E$8-'Beta HC3'!$E$9*L888/'Beta HC3'!$E$11)^2</x:f>
        <x:v>5.3183070924717665e-11</x:v>
      </x:c>
      <x:c r="Q888" s="240" t="n">
        <x:f>N888*(1/'Beta HC3'!$E$8-'Beta HC3'!$E$9*L888/'Beta HC3'!$E$11)*L888/'Beta HC3'!$E$11</x:f>
        <x:v>9.642526159132156e-8</x:v>
      </x:c>
      <x:c r="R888" s="240" t="n">
        <x:f>K888*L888/'Beta HC3'!$E$11</x:f>
        <x:v>-0.012225114705988282</x:v>
      </x:c>
      <x:c r="S888" s="240" t="n">
        <x:f>(K888-K887)^2</x:f>
        <x:v>0.0006527348307147462</x:v>
      </x:c>
      <x:c r="T888" s="280" t="n">
        <x:f>E888/$E$9*100</x:f>
        <x:v>136.39309773024533</x:v>
      </x:c>
    </x:row>
    <x:row r="889" ht="24" customHeight="1">
      <x:c r="C889" s="274" t="d">
        <x:v>2025-04-10T00:00:00.000Z</x:v>
      </x:c>
      <x:c r="D889" s="191" t="n">
        <x:v>381.3500061035156</x:v>
      </x:c>
      <x:c r="E889" s="191" t="n">
        <x:v>376.9252624511719</x:v>
      </x:c>
      <x:c r="F889" s="191" t="n">
        <x:v>524.5800170898438</x:v>
      </x:c>
      <x:c r="G889" s="191" t="n">
        <x:v>516.0205688476562</x:v>
      </x:c>
      <x:c r="H889" s="208" t="n">
        <x:f>E889/E888-1</x:f>
        <x:v>-0.023406375053273032</x:v>
      </x:c>
      <x:c r="I889" s="208" t="n">
        <x:f>G889/G888-1</x:f>
        <x:v>-0.04381907290334708</x:v>
      </x:c>
      <x:c r="J889" s="208" t="n">
        <x:f>'Beta HC3'!$E$13+'Beta HC3'!$E$12*I889</x:f>
        <x:v>-0.049410533197395884</x:v>
      </x:c>
      <x:c r="K889" s="240" t="n">
        <x:f>H889-J889</x:f>
        <x:v>0.026004158144122852</x:v>
      </x:c>
      <x:c r="L889" s="240" t="n">
        <x:f>I889-'Beta HC3'!$E$9</x:f>
        <x:v>-0.04438302052100752</x:v>
      </x:c>
      <x:c r="M889" s="240" t="n">
        <x:f>1/'Beta HC3'!$E$8+L889^2/'Beta HC3'!$E$11</x:f>
        <x:v>0.014267540895736683</x:v>
      </x:c>
      <x:c r="N889" s="240" t="n">
        <x:f>K889^2/(1-M889)^2</x:f>
        <x:v>0.000695933082172351</x:v>
      </x:c>
      <x:c r="O889" s="240" t="n">
        <x:f>N889*L889^2/'Beta HC3'!$E$11^2</x:f>
        <x:v>0.0000641085442051687</x:v>
      </x:c>
      <x:c r="P889" s="240" t="n">
        <x:f>N889*(1/'Beta HC3'!$E$8-'Beta HC3'!$E$9*L889/'Beta HC3'!$E$11)^2</x:f>
        <x:v>6.520749692069103e-10</x:v>
      </x:c>
      <x:c r="Q889" s="240" t="n">
        <x:f>N889*(1/'Beta HC3'!$E$8-'Beta HC3'!$E$9*L889/'Beta HC3'!$E$11)*L889/'Beta HC3'!$E$11</x:f>
        <x:v>-2.044592306267566e-7</x:v>
      </x:c>
      <x:c r="R889" s="240" t="n">
        <x:f>K889*L889/'Beta HC3'!$E$11</x:f>
        <x:v>-0.007892544061491293</x:v>
      </x:c>
      <x:c r="S889" s="240" t="n">
        <x:f>(K889-K888)^2</x:f>
        <x:v>0.0018592185471371784</x:v>
      </x:c>
      <x:c r="T889" s="280" t="n">
        <x:f>E889/$E$9*100</x:f>
        <x:v>133.20062973009348</x:v>
      </x:c>
    </x:row>
    <x:row r="890" ht="24" customHeight="1">
      <x:c r="C890" s="274" t="d">
        <x:v>2025-04-11T00:00:00.000Z</x:v>
      </x:c>
      <x:c r="D890" s="191" t="n">
        <x:v>388.45001220703125</x:v>
      </x:c>
      <x:c r="E890" s="191" t="n">
        <x:v>383.94287109375</x:v>
      </x:c>
      <x:c r="F890" s="191" t="n">
        <x:v>533.9400024414062</x:v>
      </x:c>
      <x:c r="G890" s="191" t="n">
        <x:v>525.2278442382812</x:v>
      </x:c>
      <x:c r="H890" s="208" t="n">
        <x:f>E890/E889-1</x:f>
        <x:v>0.018618037424560363</x:v>
      </x:c>
      <x:c r="I890" s="208" t="n">
        <x:f>G890/G889-1</x:f>
        <x:v>0.017842845705135613</x:v>
      </x:c>
      <x:c r="J890" s="208" t="n">
        <x:f>'Beta HC3'!$E$13+'Beta HC3'!$E$12*I890</x:f>
        <x:v>0.020132502157016684</x:v>
      </x:c>
      <x:c r="K890" s="240" t="n">
        <x:f>H890-J890</x:f>
        <x:v>-0.0015144647324563214</x:v>
      </x:c>
      <x:c r="L890" s="240" t="n">
        <x:f>I890-'Beta HC3'!$E$9</x:f>
        <x:v>0.017278898087475174</x:v>
      </x:c>
      <x:c r="M890" s="240" t="n">
        <x:f>1/'Beta HC3'!$E$8+L890^2/'Beta HC3'!$E$11</x:f>
        <x:v>0.002838501084884314</x:v>
      </x:c>
      <x:c r="N890" s="240" t="n">
        <x:f>K890^2/(1-M890)^2</x:f>
        <x:v>0.0000023066798673422384</x:v>
      </x:c>
      <x:c r="O890" s="240" t="n">
        <x:f>N890*L890^2/'Beta HC3'!$E$11^2</x:f>
        <x:v>3.2205803159196644e-8</x:v>
      </x:c>
      <x:c r="P890" s="240" t="n">
        <x:f>N890*(1/'Beta HC3'!$E$8-'Beta HC3'!$E$9*L890/'Beta HC3'!$E$11)^2</x:f>
        <x:v>1.2298233397816642e-12</x:v>
      </x:c>
      <x:c r="Q890" s="240" t="n">
        <x:f>N890*(1/'Beta HC3'!$E$8-'Beta HC3'!$E$9*L890/'Beta HC3'!$E$11)*L890/'Beta HC3'!$E$11</x:f>
        <x:v>1.9901620135454825e-10</x:v>
      </x:c>
      <x:c r="R890" s="240" t="n">
        <x:f>K890*L890/'Beta HC3'!$E$11</x:f>
        <x:v>-0.00017895035688644513</x:v>
      </x:c>
      <x:c r="S890" s="240" t="n">
        <x:f>(K890-K889)^2</x:f>
        <x:v>0.0007572746050233866</x:v>
      </x:c>
      <x:c r="T890" s="280" t="n">
        <x:f>E890/$E$9*100</x:f>
        <x:v>135.68056403938334</x:v>
      </x:c>
    </x:row>
    <x:row r="891" ht="24" customHeight="1">
      <x:c r="C891" s="274" t="d">
        <x:v>2025-04-14T00:00:00.000Z</x:v>
      </x:c>
      <x:c r="D891" s="191" t="n">
        <x:v>387.80999755859375</x:v>
      </x:c>
      <x:c r="E891" s="191" t="n">
        <x:v>383.3102722167969</x:v>
      </x:c>
      <x:c r="F891" s="191" t="n">
        <x:v>539.1199951171875</x:v>
      </x:c>
      <x:c r="G891" s="191" t="n">
        <x:v>530.3231811523438</x:v>
      </x:c>
      <x:c r="H891" s="208" t="n">
        <x:f>E891/E890-1</x:f>
        <x:v>-0.0016476380331037488</x:v>
      </x:c>
      <x:c r="I891" s="208" t="n">
        <x:f>G891/G890-1</x:f>
        <x:v>0.009701193434350497</x:v>
      </x:c>
      <x:c r="J891" s="208" t="n">
        <x:f>'Beta HC3'!$E$13+'Beta HC3'!$E$12*I891</x:f>
        <x:v>0.010950251190977938</x:v>
      </x:c>
      <x:c r="K891" s="240" t="n">
        <x:f>H891-J891</x:f>
        <x:v>-0.012597889224081687</x:v>
      </x:c>
      <x:c r="L891" s="240" t="n">
        <x:f>I891-'Beta HC3'!$E$9</x:f>
        <x:v>0.009137245816690058</x:v>
      </x:c>
      <x:c r="M891" s="240" t="n">
        <x:f>1/'Beta HC3'!$E$8+L891^2/'Beta HC3'!$E$11</x:f>
        <x:v>0.0013677494732576368</x:v>
      </x:c>
      <x:c r="N891" s="240" t="n">
        <x:f>K891^2/(1-M891)^2</x:f>
        <x:v>0.00015914184754574085</x:v>
      </x:c>
      <x:c r="O891" s="240" t="n">
        <x:f>N891*L891^2/'Beta HC3'!$E$11^2</x:f>
        <x:v>6.213406050883149e-7</x:v>
      </x:c>
      <x:c r="P891" s="240" t="n">
        <x:f>N891*(1/'Beta HC3'!$E$8-'Beta HC3'!$E$9*L891/'Beta HC3'!$E$11)^2</x:f>
        <x:v>9.230164701132282e-11</x:v>
      </x:c>
      <x:c r="Q891" s="240" t="n">
        <x:f>N891*(1/'Beta HC3'!$E$8-'Beta HC3'!$E$9*L891/'Beta HC3'!$E$11)*L891/'Beta HC3'!$E$11</x:f>
        <x:v>7.573028535841086e-9</x:v>
      </x:c>
      <x:c r="R891" s="240" t="n">
        <x:f>K891*L891/'Beta HC3'!$E$11</x:f>
        <x:v>-0.0007871734820759244</x:v>
      </x:c>
      <x:c r="S891" s="240" t="n">
        <x:f>(K891-K890)^2</x:f>
        <x:v>0.00012284229846156098</x:v>
      </x:c>
      <x:c r="T891" s="280" t="n">
        <x:f>E891/$E$9*100</x:f>
        <x:v>135.4570115817191</x:v>
      </x:c>
    </x:row>
    <x:row r="892" ht="24" customHeight="1">
      <x:c r="C892" s="274" t="d">
        <x:v>2025-04-15T00:00:00.000Z</x:v>
      </x:c>
      <x:c r="D892" s="191" t="n">
        <x:v>385.7300109863281</x:v>
      </x:c>
      <x:c r="E892" s="191" t="n">
        <x:v>381.2544250488281</x:v>
      </x:c>
      <x:c r="F892" s="191" t="n">
        <x:v>537.6099853515625</x:v>
      </x:c>
      <x:c r="G892" s="191" t="n">
        <x:v>528.837890625</x:v>
      </x:c>
      <x:c r="H892" s="208" t="n">
        <x:f>E892/E891-1</x:f>
        <x:v>-0.0053634022278588045</x:v>
      </x:c>
      <x:c r="I892" s="208" t="n">
        <x:f>G892/G891-1</x:f>
        <x:v>-0.0028007271417334056</x:v>
      </x:c>
      <x:c r="J892" s="208" t="n">
        <x:f>'Beta HC3'!$E$13+'Beta HC3'!$E$12*I892</x:f>
        <x:v>-0.003149561533646827</x:v>
      </x:c>
      <x:c r="K892" s="240" t="n">
        <x:f>H892-J892</x:f>
        <x:v>-0.0022138406942119773</x:v>
      </x:c>
      <x:c r="L892" s="240" t="n">
        <x:f>I892-'Beta HC3'!$E$9</x:f>
        <x:v>-0.003364674759393845</x:v>
      </x:c>
      <x:c r="M892" s="240" t="n">
        <x:f>1/'Beta HC3'!$E$8+L892^2/'Beta HC3'!$E$11</x:f>
        <x:v>0.0008742310331968659</x:v>
      </x:c>
      <x:c r="N892" s="240" t="n">
        <x:f>K892^2/(1-M892)^2</x:f>
        <x:v>0.000004909671240909121</x:v>
      </x:c>
      <x:c r="O892" s="240" t="n">
        <x:f>N892*L892^2/'Beta HC3'!$E$11^2</x:f>
        <x:v>2.5992814976660994e-9</x:v>
      </x:c>
      <x:c r="P892" s="240" t="n">
        <x:f>N892*(1/'Beta HC3'!$E$8-'Beta HC3'!$E$9*L892/'Beta HC3'!$E$11)^2</x:f>
        <x:v>3.219554915496009e-12</x:v>
      </x:c>
      <x:c r="Q892" s="240" t="n">
        <x:f>N892*(1/'Beta HC3'!$E$8-'Beta HC3'!$E$9*L892/'Beta HC3'!$E$11)*L892/'Beta HC3'!$E$11</x:f>
        <x:v>-9.147966726310671e-11</x:v>
      </x:c>
      <x:c r="R892" s="240" t="n">
        <x:f>K892*L892/'Beta HC3'!$E$11</x:f>
        <x:v>0.000050938578102908927</x:v>
      </x:c>
      <x:c r="S892" s="240" t="n">
        <x:f>(K892-K891)^2</x:f>
        <x:v>0.00010782846387068925</x:v>
      </x:c>
      <x:c r="T892" s="280" t="n">
        <x:f>E892/$E$9*100</x:f>
        <x:v>134.7305011440226</x:v>
      </x:c>
    </x:row>
    <x:row r="893" ht="24" customHeight="1">
      <x:c r="C893" s="274" t="d">
        <x:v>2025-04-16T00:00:00.000Z</x:v>
      </x:c>
      <x:c r="D893" s="191" t="n">
        <x:v>371.6099853515625</x:v>
      </x:c>
      <x:c r="E893" s="191" t="n">
        <x:v>367.2982177734375</x:v>
      </x:c>
      <x:c r="F893" s="191" t="n">
        <x:v>525.6599731445312</x:v>
      </x:c>
      <x:c r="G893" s="191" t="n">
        <x:v>517.0828857421875</x:v>
      </x:c>
      <x:c r="H893" s="208" t="n">
        <x:f>E893/E892-1</x:f>
        <x:v>-0.03660602043793515</x:v>
      </x:c>
      <x:c r="I893" s="208" t="n">
        <x:f>G893/G892-1</x:f>
        <x:v>-0.022227992908980143</x:v>
      </x:c>
      <x:c r="J893" s="208" t="n">
        <x:f>'Beta HC3'!$E$13+'Beta HC3'!$E$12*I893</x:f>
        <x:v>-0.02505985982763067</x:v>
      </x:c>
      <x:c r="K893" s="240" t="n">
        <x:f>H893-J893</x:f>
        <x:v>-0.01154616061030448</x:v>
      </x:c>
      <x:c r="L893" s="240" t="n">
        <x:f>I893-'Beta HC3'!$E$9</x:f>
        <x:v>-0.022791940526640582</x:v>
      </x:c>
      <x:c r="M893" s="240" t="n">
        <x:f>1/'Beta HC3'!$E$8+L893^2/'Beta HC3'!$E$11</x:f>
        <x:v>0.004349197256577416</x:v>
      </x:c>
      <x:c r="N893" s="240" t="n">
        <x:f>K893^2/(1-M893)^2</x:f>
        <x:v>0.00013448105029035276</x:v>
      </x:c>
      <x:c r="O893" s="240" t="n">
        <x:f>N893*L893^2/'Beta HC3'!$E$11^2</x:f>
        <x:v>0.000003266919408759704</x:v>
      </x:c>
      <x:c r="P893" s="240" t="n">
        <x:f>N893*(1/'Beta HC3'!$E$8-'Beta HC3'!$E$9*L893/'Beta HC3'!$E$11)^2</x:f>
        <x:v>1.0526000577156524e-10</x:v>
      </x:c>
      <x:c r="Q893" s="240" t="n">
        <x:f>N893*(1/'Beta HC3'!$E$8-'Beta HC3'!$E$9*L893/'Beta HC3'!$E$11)*L893/'Beta HC3'!$E$11</x:f>
        <x:v>-1.8543892682532567e-8</x:v>
      </x:c>
      <x:c r="R893" s="240" t="n">
        <x:f>K893*L893/'Beta HC3'!$E$11</x:f>
        <x:v>0.001799601136465665</x:v>
      </x:c>
      <x:c r="S893" s="240" t="n">
        <x:f>(K893-K892)^2</x:f>
        <x:v>0.00008709219501629677</x:v>
      </x:c>
      <x:c r="T893" s="280" t="n">
        <x:f>E893/$E$9*100</x:f>
        <x:v>129.79855366553127</x:v>
      </x:c>
    </x:row>
    <x:row r="894" ht="24" customHeight="1">
      <x:c r="C894" s="274" t="d">
        <x:v>2025-04-17T00:00:00.000Z</x:v>
      </x:c>
      <x:c r="D894" s="191" t="n">
        <x:v>367.7799987792969</x:v>
      </x:c>
      <x:c r="E894" s="191" t="n">
        <x:v>363.5126647949219</x:v>
      </x:c>
      <x:c r="F894" s="191" t="n">
        <x:v>526.4099731445312</x:v>
      </x:c>
      <x:c r="G894" s="191" t="n">
        <x:v>517.8206787109375</x:v>
      </x:c>
      <x:c r="H894" s="208" t="n">
        <x:f>E894/E893-1</x:f>
        <x:v>-0.010306483384165732</x:v>
      </x:c>
      <x:c r="I894" s="208" t="n">
        <x:f>G894/G893-1</x:f>
        <x:v>0.0014268369522441038</x:v>
      </x:c>
      <x:c r="J894" s="208" t="n">
        <x:f>'Beta HC3'!$E$13+'Beta HC3'!$E$12*I894</x:f>
        <x:v>0.0016183348582451775</x:v>
      </x:c>
      <x:c r="K894" s="240" t="n">
        <x:f>H894-J894</x:f>
        <x:v>-0.01192481824241091</x:v>
      </x:c>
      <x:c r="L894" s="240" t="n">
        <x:f>I894-'Beta HC3'!$E$9</x:f>
        <x:v>0.0008628893345836644</x:v>
      </x:c>
      <x:c r="M894" s="240" t="n">
        <x:f>1/'Beta HC3'!$E$8+L894^2/'Beta HC3'!$E$11</x:f>
        <x:v>0.0008019045047667044</x:v>
      </x:c>
      <x:c r="N894" s="240" t="n">
        <x:f>K894^2/(1-M894)^2</x:f>
        <x:v>0.0001424296284463713</x:v>
      </x:c>
      <x:c r="O894" s="240" t="n">
        <x:f>N894*L894^2/'Beta HC3'!$E$11^2</x:f>
        <x:v>4.9593557917010475e-9</x:v>
      </x:c>
      <x:c r="P894" s="240" t="n">
        <x:f>N894*(1/'Beta HC3'!$E$8-'Beta HC3'!$E$9*L894/'Beta HC3'!$E$11)^2</x:f>
        <x:v>8.967632006161391e-11</x:v>
      </x:c>
      <x:c r="Q894" s="240" t="n">
        <x:f>N894*(1/'Beta HC3'!$E$8-'Beta HC3'!$E$9*L894/'Beta HC3'!$E$11)*L894/'Beta HC3'!$E$11</x:f>
        <x:v>6.668858802493886e-10</x:v>
      </x:c>
      <x:c r="R894" s="240" t="n">
        <x:f>K894*L894/'Beta HC3'!$E$11</x:f>
        <x:v>-0.00007036622145119573</x:v>
      </x:c>
      <x:c r="S894" s="240" t="n">
        <x:f>(K894-K893)^2</x:f>
        <x:v>1.433816023524477e-7</x:v>
      </x:c>
      <x:c r="T894" s="280" t="n">
        <x:f>E894/$E$9*100</x:f>
        <x:v>128.46078702888872</x:v>
      </x:c>
    </x:row>
    <x:row r="895" ht="24" customHeight="1">
      <x:c r="C895" s="274" t="d">
        <x:v>2025-04-21T00:00:00.000Z</x:v>
      </x:c>
      <x:c r="D895" s="191" t="n">
        <x:v>359.1199951171875</x:v>
      </x:c>
      <x:c r="E895" s="191" t="n">
        <x:v>354.9531555175781</x:v>
      </x:c>
      <x:c r="F895" s="191" t="n">
        <x:v>513.8800048828125</x:v>
      </x:c>
      <x:c r="G895" s="191" t="n">
        <x:v>505.4951171875</x:v>
      </x:c>
      <x:c r="H895" s="208" t="n">
        <x:f>E895/E894-1</x:f>
        <x:v>-0.023546660422884225</x:v>
      </x:c>
      <x:c r="I895" s="208" t="n">
        <x:f>G895/G894-1</x:f>
        <x:v>-0.023802760357351405</x:v>
      </x:c>
      <x:c r="J895" s="208" t="n">
        <x:f>'Beta HC3'!$E$13+'Beta HC3'!$E$12*I895</x:f>
        <x:v>-0.026835901034399007</x:v>
      </x:c>
      <x:c r="K895" s="240" t="n">
        <x:f>H895-J895</x:f>
        <x:v>0.003289240611514782</x:v>
      </x:c>
      <x:c r="L895" s="240" t="n">
        <x:f>I895-'Beta HC3'!$E$9</x:f>
        <x:v>-0.024366707975011843</x:v>
      </x:c>
      <x:c r="M895" s="240" t="n">
        <x:f>1/'Beta HC3'!$E$8+L895^2/'Beta HC3'!$E$11</x:f>
        <x:v>0.0048570468870470715</x:v>
      </x:c>
      <x:c r="N895" s="240" t="n">
        <x:f>K895^2/(1-M895)^2</x:f>
        <x:v>0.000010924972275625727</x:v>
      </x:c>
      <x:c r="O895" s="240" t="n">
        <x:f>N895*L895^2/'Beta HC3'!$E$11^2</x:f>
        <x:v>3.033393720086072e-7</x:v>
      </x:c>
      <x:c r="P895" s="240" t="n">
        <x:f>N895*(1/'Beta HC3'!$E$8-'Beta HC3'!$E$9*L895/'Beta HC3'!$E$11)^2</x:f>
        <x:v>8.668914755549028e-12</x:v>
      </x:c>
      <x:c r="Q895" s="240" t="n">
        <x:f>N895*(1/'Beta HC3'!$E$8-'Beta HC3'!$E$9*L895/'Beta HC3'!$E$11)*L895/'Beta HC3'!$E$11</x:f>
        <x:v>-1.6216112844773842e-9</x:v>
      </x:c>
      <x:c r="R895" s="240" t="n">
        <x:f>K895*L895/'Beta HC3'!$E$11</x:f>
        <x:v>-0.0005480874573949725</x:v>
      </x:c>
      <x:c r="S895" s="240" t="n">
        <x:f>(K895-K894)^2</x:f>
        <x:v>0.00023146758681071472</x:v>
      </x:c>
      <x:c r="T895" s="280" t="n">
        <x:f>E895/$E$9*100</x:f>
        <x:v>125.43596449906305</x:v>
      </x:c>
    </x:row>
    <x:row r="896" ht="24" customHeight="1">
      <x:c r="C896" s="274" t="d">
        <x:v>2025-04-22T00:00:00.000Z</x:v>
      </x:c>
      <x:c r="D896" s="191" t="n">
        <x:v>366.82000732421875</x:v>
      </x:c>
      <x:c r="E896" s="191" t="n">
        <x:v>362.5638427734375</x:v>
      </x:c>
      <x:c r="F896" s="191" t="n">
        <x:v>527.25</x:v>
      </x:c>
      <x:c r="G896" s="191" t="n">
        <x:v>518.64697265625</x:v>
      </x:c>
      <x:c r="H896" s="208" t="n">
        <x:f>E896/E895-1</x:f>
        <x:v>0.0214413849758901</x:v>
      </x:c>
      <x:c r="I896" s="208" t="n">
        <x:f>G896/G895-1</x:f>
        <x:v>0.026017769552206582</x:v>
      </x:c>
      <x:c r="J896" s="208" t="n">
        <x:f>'Beta HC3'!$E$13+'Beta HC3'!$E$12*I896</x:f>
        <x:v>0.02935227719720297</x:v>
      </x:c>
      <x:c r="K896" s="240" t="n">
        <x:f>H896-J896</x:f>
        <x:v>-0.00791089222131287</x:v>
      </x:c>
      <x:c r="L896" s="240" t="n">
        <x:f>I896-'Beta HC3'!$E$9</x:f>
        <x:v>0.025453821934546143</x:v>
      </x:c>
      <x:c r="M896" s="240" t="n">
        <x:f>1/'Beta HC3'!$E$8+L896^2/'Beta HC3'!$E$11</x:f>
        <x:v>0.005227421129725646</x:v>
      </x:c>
      <x:c r="N896" s="240" t="n">
        <x:f>K896^2/(1-M896)^2</x:f>
        <x:v>0.00006324166927620237</x:v>
      </x:c>
      <x:c r="O896" s="240" t="n">
        <x:f>N896*L896^2/'Beta HC3'!$E$11^2</x:f>
        <x:v>0.00000191612594213055</x:v>
      </x:c>
      <x:c r="P896" s="240" t="n">
        <x:f>N896*(1/'Beta HC3'!$E$8-'Beta HC3'!$E$9*L896/'Beta HC3'!$E$11)^2</x:f>
        <x:v>3.086895816649652e-11</x:v>
      </x:c>
      <x:c r="Q896" s="240" t="n">
        <x:f>N896*(1/'Beta HC3'!$E$8-'Beta HC3'!$E$9*L896/'Beta HC3'!$E$11)*L896/'Beta HC3'!$E$11</x:f>
        <x:v>7.690826454248379e-9</x:v>
      </x:c>
      <x:c r="R896" s="240" t="n">
        <x:f>K896*L896/'Beta HC3'!$E$11</x:f>
        <x:v>-0.001377005994025768</x:v>
      </x:c>
      <x:c r="S896" s="240" t="n">
        <x:f>(K896-K895)^2</x:f>
        <x:v>0.00012544297547298396</x:v>
      </x:c>
      <x:c r="T896" s="280" t="n">
        <x:f>E896/$E$9*100</x:f>
        <x:v>128.12548530370952</x:v>
      </x:c>
    </x:row>
    <x:row r="897" ht="24" customHeight="1">
      <x:c r="C897" s="274" t="d">
        <x:v>2025-04-23T00:00:00.000Z</x:v>
      </x:c>
      <x:c r="D897" s="191" t="n">
        <x:v>374.3900146484375</x:v>
      </x:c>
      <x:c r="E897" s="191" t="n">
        <x:v>370.0460205078125</x:v>
      </x:c>
      <x:c r="F897" s="191" t="n">
        <x:v>535.4199829101562</x:v>
      </x:c>
      <x:c r="G897" s="191" t="n">
        <x:v>526.6836547851562</x:v>
      </x:c>
      <x:c r="H897" s="208" t="n">
        <x:f>E897/E896-1</x:f>
        <x:v>0.020636855780046925</x:v>
      </x:c>
      <x:c r="I897" s="208" t="n">
        <x:f>G897/G896-1</x:f>
        <x:v>0.01549547679367791</x:v>
      </x:c>
      <x:c r="J897" s="208" t="n">
        <x:f>'Beta HC3'!$E$13+'Beta HC3'!$E$12*I897</x:f>
        <x:v>0.017485111954388524</x:v>
      </x:c>
      <x:c r="K897" s="240" t="n">
        <x:f>H897-J897</x:f>
        <x:v>0.0031517438256584013</x:v>
      </x:c>
      <x:c r="L897" s="240" t="n">
        <x:f>I897-'Beta HC3'!$E$9</x:f>
        <x:v>0.01493152917601747</x:v>
      </x:c>
      <x:c r="M897" s="240" t="n">
        <x:f>1/'Beta HC3'!$E$8+L897^2/'Beta HC3'!$E$11</x:f>
        <x:v>0.0023214479262156154</x:v>
      </x:c>
      <x:c r="N897" s="240" t="n">
        <x:f>K897^2/(1-M897)^2</x:f>
        <x:v>0.000009979770394965895</x:v>
      </x:c>
      <x:c r="O897" s="240" t="n">
        <x:f>N897*L897^2/'Beta HC3'!$E$11^2</x:f>
        <x:v>1.040504222099463e-7</x:v>
      </x:c>
      <x:c r="P897" s="240" t="n">
        <x:f>N897*(1/'Beta HC3'!$E$8-'Beta HC3'!$E$9*L897/'Beta HC3'!$E$11)^2</x:f>
        <x:v>5.4535395478182125e-12</x:v>
      </x:c>
      <x:c r="Q897" s="240" t="n">
        <x:f>N897*(1/'Beta HC3'!$E$8-'Beta HC3'!$E$9*L897/'Beta HC3'!$E$11)*L897/'Beta HC3'!$E$11</x:f>
        <x:v>7.532881868774557e-10</x:v>
      </x:c>
      <x:c r="R897" s="240" t="n">
        <x:f>K897*L897/'Beta HC3'!$E$11</x:f>
        <x:v>0.00032181965085507864</x:v>
      </x:c>
      <x:c r="S897" s="240" t="n">
        <x:f>(K897-K896)^2</x:f>
        <x:v>0.00012238191630774815</x:v>
      </x:c>
      <x:c r="T897" s="280" t="n">
        <x:f>E897/$E$9*100</x:f>
        <x:v>130.7695924656707</x:v>
      </x:c>
    </x:row>
    <x:row r="898" ht="24" customHeight="1">
      <x:c r="C898" s="274" t="d">
        <x:v>2025-04-24T00:00:00.000Z</x:v>
      </x:c>
      <x:c r="D898" s="191" t="n">
        <x:v>387.29998779296875</x:v>
      </x:c>
      <x:c r="E898" s="191" t="n">
        <x:v>382.80621337890625</x:v>
      </x:c>
      <x:c r="F898" s="191" t="n">
        <x:v>546.6900024414062</x:v>
      </x:c>
      <x:c r="G898" s="191" t="n">
        <x:v>537.769775390625</x:v>
      </x:c>
      <x:c r="H898" s="208" t="n">
        <x:f>E898/E897-1</x:f>
        <x:v>0.03448271880773901</x:v>
      </x:c>
      <x:c r="I898" s="208" t="n">
        <x:f>G898/G897-1</x:f>
        <x:v>0.021048917134121048</x:v>
      </x:c>
      <x:c r="J898" s="208" t="n">
        <x:f>'Beta HC3'!$E$13+'Beta HC3'!$E$12*I898</x:f>
        <x:v>0.023748347135022836</x:v>
      </x:c>
      <x:c r="K898" s="240" t="n">
        <x:f>H898-J898</x:f>
        <x:v>0.010734371672716174</x:v>
      </x:c>
      <x:c r="L898" s="240" t="n">
        <x:f>I898-'Beta HC3'!$E$9</x:f>
        <x:v>0.02048496951646061</x:v>
      </x:c>
      <x:c r="M898" s="240" t="n">
        <x:f>1/'Beta HC3'!$E$8+L898^2/'Beta HC3'!$E$11</x:f>
        <x:v>0.0036664566348879974</x:v>
      </x:c>
      <x:c r="N898" s="240" t="n">
        <x:f>K898^2/(1-M898)^2</x:f>
        <x:v>0.00011607635263123344</x:v>
      </x:c>
      <x:c r="O898" s="240" t="n">
        <x:f>N898*L898^2/'Beta HC3'!$E$11^2</x:f>
        <x:v>0.0000022778709710767836</x:v>
      </x:c>
      <x:c r="P898" s="240" t="n">
        <x:f>N898*(1/'Beta HC3'!$E$8-'Beta HC3'!$E$9*L898/'Beta HC3'!$E$11)^2</x:f>
        <x:v>5.98088055117992e-11</x:v>
      </x:c>
      <x:c r="Q898" s="240" t="n">
        <x:f>N898*(1/'Beta HC3'!$E$8-'Beta HC3'!$E$9*L898/'Beta HC3'!$E$11)*L898/'Beta HC3'!$E$11</x:f>
        <x:v>1.1672049601081402e-8</x:v>
      </x:c>
      <x:c r="R898" s="240" t="n">
        <x:f>K898*L898/'Beta HC3'!$E$11</x:f>
        <x:v>0.0015037280877896468</x:v>
      </x:c>
      <x:c r="S898" s="240" t="n">
        <x:f>(K898-K897)^2</x:f>
        <x:v>0.00005749624506697599</x:v>
      </x:c>
      <x:c r="T898" s="280" t="n">
        <x:f>E898/$E$9*100</x:f>
        <x:v>135.27888355126706</x:v>
      </x:c>
    </x:row>
    <x:row r="899" ht="24" customHeight="1">
      <x:c r="C899" s="274" t="d">
        <x:v>2025-04-25T00:00:00.000Z</x:v>
      </x:c>
      <x:c r="D899" s="191" t="n">
        <x:v>391.8500061035156</x:v>
      </x:c>
      <x:c r="E899" s="191" t="n">
        <x:v>387.30340576171875</x:v>
      </x:c>
      <x:c r="F899" s="191" t="n">
        <x:v>550.6400146484375</x:v>
      </x:c>
      <x:c r="G899" s="191" t="n">
        <x:v>541.6553344726562</x:v>
      </x:c>
      <x:c r="H899" s="208" t="n">
        <x:f>E899/E898-1</x:f>
        <x:v>0.011747960784432632</x:v>
      </x:c>
      <x:c r="I899" s="208" t="n">
        <x:f>G899/G898-1</x:f>
        <x:v>0.007225320685248393</x:v>
      </x:c>
      <x:c r="J899" s="208" t="n">
        <x:f>'Beta HC3'!$E$13+'Beta HC3'!$E$12*I899</x:f>
        <x:v>0.008157932852376195</x:v>
      </x:c>
      <x:c r="K899" s="240" t="n">
        <x:f>H899-J899</x:f>
        <x:v>0.0035900279320564363</x:v>
      </x:c>
      <x:c r="L899" s="240" t="n">
        <x:f>I899-'Beta HC3'!$E$9</x:f>
        <x:v>0.006661373067587953</x:v>
      </x:c>
      <x:c r="M899" s="240" t="n">
        <x:f>1/'Beta HC3'!$E$8+L899^2/'Beta HC3'!$E$11</x:f>
        <x:v>0.0011002611651813397</x:v>
      </x:c>
      <x:c r="N899" s="240" t="n">
        <x:f>K899^2/(1-M899)^2</x:f>
        <x:v>0.000012916708421622438</x:v>
      </x:c>
      <x:c r="O899" s="240" t="n">
        <x:f>N899*L899^2/'Beta HC3'!$E$11^2</x:f>
        <x:v>2.680365951696918e-8</x:v>
      </x:c>
      <x:c r="P899" s="240" t="n">
        <x:f>N899*(1/'Beta HC3'!$E$8-'Beta HC3'!$E$9*L899/'Beta HC3'!$E$11)^2</x:f>
        <x:v>7.680671099008662e-12</x:v>
      </x:c>
      <x:c r="Q899" s="240" t="n">
        <x:f>N899*(1/'Beta HC3'!$E$8-'Beta HC3'!$E$9*L899/'Beta HC3'!$E$11)*L899/'Beta HC3'!$E$11</x:f>
        <x:v>4.537290964878202e-10</x:v>
      </x:c>
      <x:c r="R899" s="240" t="n">
        <x:f>K899*L899/'Beta HC3'!$E$11</x:f>
        <x:v>0.00016353809927199502</x:v>
      </x:c>
      <x:c r="S899" s="240" t="n">
        <x:f>(K899-K898)^2</x:f>
        <x:v>0.00005104164748470397</x:v>
      </x:c>
      <x:c r="T899" s="280" t="n">
        <x:f>E899/$E$9*100</x:f>
        <x:v>136.86813457018917</x:v>
      </x:c>
    </x:row>
    <x:row r="900" ht="24" customHeight="1">
      <x:c r="C900" s="274" t="d">
        <x:v>2025-04-28T00:00:00.000Z</x:v>
      </x:c>
      <x:c r="D900" s="191" t="n">
        <x:v>391.1600036621094</x:v>
      </x:c>
      <x:c r="E900" s="191" t="n">
        <x:v>386.62139892578125</x:v>
      </x:c>
      <x:c r="F900" s="191" t="n">
        <x:v>550.8499755859375</x:v>
      </x:c>
      <x:c r="G900" s="191" t="n">
        <x:v>541.8618774414062</x:v>
      </x:c>
      <x:c r="H900" s="208" t="n">
        <x:f>E900/E899-1</x:f>
        <x:v>-0.001760911021673528</x:v>
      </x:c>
      <x:c r="I900" s="208" t="n">
        <x:f>G900/G899-1</x:f>
        <x:v>0.00038131807369912174</x:v>
      </x:c>
      <x:c r="J900" s="208" t="n">
        <x:f>'Beta HC3'!$E$13+'Beta HC3'!$E$12*I900</x:f>
        <x:v>0.0004391863987881098</x:v>
      </x:c>
      <x:c r="K900" s="240" t="n">
        <x:f>H900-J900</x:f>
        <x:v>-0.0022000974204616375</x:v>
      </x:c>
      <x:c r="L900" s="240" t="n">
        <x:f>I900-'Beta HC3'!$E$9</x:f>
        <x:v>-0.00018262954396131763</x:v>
      </x:c>
      <x:c r="M900" s="240" t="n">
        <x:f>1/'Beta HC3'!$E$8+L900^2/'Beta HC3'!$E$11</x:f>
        <x:v>0.0007970408354250638</x:v>
      </x:c>
      <x:c r="N900" s="240" t="n">
        <x:f>K900^2/(1-M900)^2</x:f>
        <x:v>0.000004848153932937313</x:v>
      </x:c>
      <x:c r="O900" s="240" t="n">
        <x:f>N900*L900^2/'Beta HC3'!$E$11^2</x:f>
        <x:v>7.561939400517265e-12</x:v>
      </x:c>
      <x:c r="P900" s="240" t="n">
        <x:f>N900*(1/'Beta HC3'!$E$8-'Beta HC3'!$E$9*L900/'Beta HC3'!$E$11)^2</x:f>
        <x:v>3.0835881591633387e-12</x:v>
      </x:c>
      <x:c r="Q900" s="240" t="n">
        <x:f>N900*(1/'Beta HC3'!$E$8-'Beta HC3'!$E$9*L900/'Beta HC3'!$E$11)*L900/'Beta HC3'!$E$11</x:f>
        <x:v>-4.828861853040088e-12</x:v>
      </x:c>
      <x:c r="R900" s="240" t="n">
        <x:f>K900*L900/'Beta HC3'!$E$11</x:f>
        <x:v>0.000002747706289876525</x:v>
      </x:c>
      <x:c r="S900" s="240" t="n">
        <x:f>(K900-K899)^2</x:f>
        <x:v>0.00003352555159787255</x:v>
      </x:c>
      <x:c r="T900" s="280" t="n">
        <x:f>E900/$E$9*100</x:f>
        <x:v>136.6271219635086</x:v>
      </x:c>
    </x:row>
    <x:row r="901" ht="24" customHeight="1">
      <x:c r="C901" s="274" t="d">
        <x:v>2025-04-29T00:00:00.000Z</x:v>
      </x:c>
      <x:c r="D901" s="191" t="n">
        <x:v>394.0400085449219</x:v>
      </x:c>
      <x:c r="E901" s="191" t="n">
        <x:v>389.4679870605469</x:v>
      </x:c>
      <x:c r="F901" s="191" t="n">
        <x:v>554.3200073242188</x:v>
      </x:c>
      <x:c r="G901" s="191" t="n">
        <x:v>545.275146484375</x:v>
      </x:c>
      <x:c r="H901" s="208" t="n">
        <x:f>E901/E900-1</x:f>
        <x:v>0.007362727833158722</x:v>
      </x:c>
      <x:c r="I901" s="208" t="n">
        <x:f>G901/G900-1</x:f>
        <x:v>0.006299149626627587</x:v>
      </x:c>
      <x:c r="J901" s="208" t="n">
        <x:f>'Beta HC3'!$E$13+'Beta HC3'!$E$12*I901</x:f>
        <x:v>0.0071133862646701185</x:v>
      </x:c>
      <x:c r="K901" s="240" t="n">
        <x:f>H901-J901</x:f>
        <x:v>0.00024934156848860356</x:v>
      </x:c>
      <x:c r="L901" s="240" t="n">
        <x:f>I901-'Beta HC3'!$E$9</x:f>
        <x:v>0.005735202008967147</x:v>
      </x:c>
      <x:c r="M901" s="240" t="n">
        <x:f>1/'Beta HC3'!$E$8+L901^2/'Beta HC3'!$E$11</x:f>
        <x:v>0.0010217465905412663</x:v>
      </x:c>
      <x:c r="N901" s="240" t="n">
        <x:f>K901^2/(1-M901)^2</x:f>
        <x:v>6.229845921547654e-8</x:v>
      </x:c>
      <x:c r="O901" s="240" t="n">
        <x:f>N901*L901^2/'Beta HC3'!$E$11^2</x:f>
        <x:v>9.582734760396875e-11</x:v>
      </x:c>
      <x:c r="P901" s="240" t="n">
        <x:f>N901*(1/'Beta HC3'!$E$8-'Beta HC3'!$E$9*L901/'Beta HC3'!$E$11)^2</x:f>
        <x:v>3.738854698526949e-14</x:v>
      </x:c>
      <x:c r="Q901" s="240" t="n">
        <x:f>N901*(1/'Beta HC3'!$E$8-'Beta HC3'!$E$9*L901/'Beta HC3'!$E$11)*L901/'Beta HC3'!$E$11</x:f>
        <x:v>1.8928405343199774e-12</x:v>
      </x:c>
      <x:c r="R901" s="240" t="n">
        <x:f>K901*L901/'Beta HC3'!$E$11</x:f>
        <x:v>0.000009779142350588864</x:v>
      </x:c>
      <x:c r="S901" s="240" t="n">
        <x:f>(K901-K900)^2</x:f>
        <x:v>0.000005999751360589579</x:v>
      </x:c>
      <x:c r="T901" s="280" t="n">
        <x:f>E901/$E$9*100</x:f>
        <x:v>137.63307027715373</x:v>
      </x:c>
    </x:row>
    <x:row r="902" ht="24" customHeight="1">
      <x:c r="C902" s="274" t="d">
        <x:v>2025-04-30T00:00:00.000Z</x:v>
      </x:c>
      <x:c r="D902" s="191" t="n">
        <x:v>395.260009765625</x:v>
      </x:c>
      <x:c r="E902" s="191" t="n">
        <x:v>390.6738586425781</x:v>
      </x:c>
      <x:c r="F902" s="191" t="n">
        <x:v>554.5399780273438</x:v>
      </x:c>
      <x:c r="G902" s="191" t="n">
        <x:v>545.49169921875</x:v>
      </x:c>
      <x:c r="H902" s="208" t="n">
        <x:f>E902/E901-1</x:f>
        <x:v>0.0030962020553535474</x:v>
      </x:c>
      <x:c r="I902" s="208" t="n">
        <x:f>G902/G901-1</x:f>
        <x:v>0.0003971439662548981</x:v>
      </x:c>
      <x:c r="J902" s="208" t="n">
        <x:f>'Beta HC3'!$E$13+'Beta HC3'!$E$12*I902</x:f>
        <x:v>0.0004570350261152862</x:v>
      </x:c>
      <x:c r="K902" s="240" t="n">
        <x:f>H902-J902</x:f>
        <x:v>0.002639167029238261</x:v>
      </x:c>
      <x:c r="L902" s="240" t="n">
        <x:f>I902-'Beta HC3'!$E$9</x:f>
        <x:v>-0.00016680365140554125</x:v>
      </x:c>
      <x:c r="M902" s="240" t="n">
        <x:f>1/'Beta HC3'!$E$8+L902^2/'Beta HC3'!$E$11</x:f>
        <x:v>0.000797003018193406</x:v>
      </x:c>
      <x:c r="N902" s="240" t="n">
        <x:f>K902^2/(1-M902)^2</x:f>
        <x:v>0.000006976318470518229</x:v>
      </x:c>
      <x:c r="O902" s="240" t="n">
        <x:f>N902*L902^2/'Beta HC3'!$E$11^2</x:f>
        <x:v>9.077204660631746e-12</x:v>
      </x:c>
      <x:c r="P902" s="240" t="n">
        <x:f>N902*(1/'Beta HC3'!$E$8-'Beta HC3'!$E$9*L902/'Beta HC3'!$E$11)^2</x:f>
        <x:v>4.4364929143283025e-12</x:v>
      </x:c>
      <x:c r="Q902" s="240" t="n">
        <x:f>N902*(1/'Beta HC3'!$E$8-'Beta HC3'!$E$9*L902/'Beta HC3'!$E$11)*L902/'Beta HC3'!$E$11</x:f>
        <x:v>-6.345939974408881e-12</x:v>
      </x:c>
      <x:c r="R902" s="240" t="n">
        <x:f>K902*L902/'Beta HC3'!$E$11</x:f>
        <x:v>-0.000003010438723437989</x:v>
      </x:c>
      <x:c r="S902" s="240" t="n">
        <x:f>(K902-K901)^2</x:f>
        <x:v>0.000005711265732847313</x:v>
      </x:c>
      <x:c r="T902" s="280" t="n">
        <x:f>E902/$E$9*100</x:f>
        <x:v>138.05921007223046</x:v>
      </x:c>
    </x:row>
    <x:row r="903" ht="24" customHeight="1">
      <x:c r="C903" s="274" t="d">
        <x:v>2025-05-01T00:00:00.000Z</x:v>
      </x:c>
      <x:c r="D903" s="191" t="n">
        <x:v>425.3999938964844</x:v>
      </x:c>
      <x:c r="E903" s="191" t="n">
        <x:v>420.464111328125</x:v>
      </x:c>
      <x:c r="F903" s="191" t="n">
        <x:v>558.469970703125</x:v>
      </x:c>
      <x:c r="G903" s="191" t="n">
        <x:v>549.3574829101562</x:v>
      </x:c>
      <x:c r="H903" s="208" t="n">
        <x:f>E903/E902-1</x:f>
        <x:v>0.07625350922904106</x:v>
      </x:c>
      <x:c r="I903" s="208" t="n">
        <x:f>G903/G902-1</x:f>
        <x:v>0.007086787382727833</x:v>
      </x:c>
      <x:c r="J903" s="208" t="n">
        <x:f>'Beta HC3'!$E$13+'Beta HC3'!$E$12*I903</x:f>
        <x:v>0.00800169336822843</x:v>
      </x:c>
      <x:c r="K903" s="240" t="n">
        <x:f>H903-J903</x:f>
        <x:v>0.06825181586081264</x:v>
      </x:c>
      <x:c r="L903" s="240" t="n">
        <x:f>I903-'Beta HC3'!$E$9</x:f>
        <x:v>0.006522839765067393</x:v>
      </x:c>
      <x:c r="M903" s="240" t="n">
        <x:f>1/'Beta HC3'!$E$8+L903^2/'Beta HC3'!$E$11</x:f>
        <x:v>0.0010877710698201524</x:v>
      </x:c>
      <x:c r="N903" s="240" t="n">
        <x:f>K903^2/(1-M903)^2</x:f>
        <x:v>0.004668461278599479</x:v>
      </x:c>
      <x:c r="O903" s="240" t="n">
        <x:f>N903*L903^2/'Beta HC3'!$E$11^2</x:f>
        <x:v>0.000009288849022284162</x:v>
      </x:c>
      <x:c r="P903" s="240" t="n">
        <x:f>N903*(1/'Beta HC3'!$E$8-'Beta HC3'!$E$9*L903/'Beta HC3'!$E$11)^2</x:f>
        <x:v>2.779858238641001e-9</x:v>
      </x:c>
      <x:c r="Q903" s="240" t="n">
        <x:f>N903*(1/'Beta HC3'!$E$8-'Beta HC3'!$E$9*L903/'Beta HC3'!$E$11)*L903/'Beta HC3'!$E$11</x:f>
        <x:v>1.6069126759749281e-7</x:v>
      </x:c>
      <x:c r="R903" s="240" t="n">
        <x:f>K903*L903/'Beta HC3'!$E$11</x:f>
        <x:v>0.0030444460466232523</x:v>
      </x:c>
      <x:c r="S903" s="240" t="n">
        <x:f>(K903-K902)^2</x:f>
        <x:v>0.004305019686695498</x:v>
      </x:c>
      <x:c r="T903" s="280" t="n">
        <x:f>E903/$E$9*100</x:f>
        <x:v>148.58670932162738</x:v>
      </x:c>
    </x:row>
    <x:row r="904" ht="24" customHeight="1">
      <x:c r="C904" s="274" t="d">
        <x:v>2025-05-02T00:00:00.000Z</x:v>
      </x:c>
      <x:c r="D904" s="191" t="n">
        <x:v>435.2799987792969</x:v>
      </x:c>
      <x:c r="E904" s="191" t="n">
        <x:v>430.2295227050781</x:v>
      </x:c>
      <x:c r="F904" s="191" t="n">
        <x:v>566.760009765625</x:v>
      </x:c>
      <x:c r="G904" s="191" t="n">
        <x:v>557.51220703125</x:v>
      </x:c>
      <x:c r="H904" s="208" t="n">
        <x:f>E904/E903-1</x:f>
        <x:v>0.02322531486957824</x:v>
      </x:c>
      <x:c r="I904" s="208" t="n">
        <x:f>G904/G903-1</x:f>
        <x:v>0.014844112212497818</x:v>
      </x:c>
      <x:c r="J904" s="208" t="n">
        <x:f>'Beta HC3'!$E$13+'Beta HC3'!$E$12*I904</x:f>
        <x:v>0.016750495336549657</x:v>
      </x:c>
      <x:c r="K904" s="240" t="n">
        <x:f>H904-J904</x:f>
        <x:v>0.006474819533028583</x:v>
      </x:c>
      <x:c r="L904" s="240" t="n">
        <x:f>I904-'Beta HC3'!$E$9</x:f>
        <x:v>0.014280164594837379</x:v>
      </x:c>
      <x:c r="M904" s="240" t="n">
        <x:f>1/'Beta HC3'!$E$8+L904^2/'Beta HC3'!$E$11</x:f>
        <x:v>0.002191329668279756</x:v>
      </x:c>
      <x:c r="N904" s="240" t="n">
        <x:f>K904^2/(1-M904)^2</x:f>
        <x:v>0.00004210762918175491</x:v>
      </x:c>
      <x:c r="O904" s="240" t="n">
        <x:f>N904*L904^2/'Beta HC3'!$E$11^2</x:f>
        <x:v>4.015521346037128e-7</x:v>
      </x:c>
      <x:c r="P904" s="240" t="n">
        <x:f>N904*(1/'Beta HC3'!$E$8-'Beta HC3'!$E$9*L904/'Beta HC3'!$E$11)^2</x:f>
        <x:v>2.3166759521378217e-11</x:v>
      </x:c>
      <x:c r="Q904" s="240" t="n">
        <x:f>N904*(1/'Beta HC3'!$E$8-'Beta HC3'!$E$9*L904/'Beta HC3'!$E$11)*L904/'Beta HC3'!$E$11</x:f>
        <x:v>3.0500265142552963e-9</x:v>
      </x:c>
      <x:c r="R904" s="240" t="n">
        <x:f>K904*L904/'Beta HC3'!$E$11</x:f>
        <x:v>0.0006322928092390405</x:v>
      </x:c>
      <x:c r="S904" s="240" t="n">
        <x:f>(K904-K903)^2</x:f>
        <x:v>0.003816397275283044</x:v>
      </x:c>
      <x:c r="T904" s="280" t="n">
        <x:f>E904/$E$9*100</x:f>
        <x:v>152.03768243105668</x:v>
      </x:c>
    </x:row>
    <x:row r="905" ht="24" customHeight="1">
      <x:c r="C905" s="274" t="d">
        <x:v>2025-05-05T00:00:00.000Z</x:v>
      </x:c>
      <x:c r="D905" s="191" t="n">
        <x:v>436.1700134277344</x:v>
      </x:c>
      <x:c r="E905" s="191" t="n">
        <x:v>431.10919189453125</x:v>
      </x:c>
      <x:c r="F905" s="191" t="n">
        <x:v>563.510009765625</x:v>
      </x:c>
      <x:c r="G905" s="191" t="n">
        <x:v>554.3152465820312</x:v>
      </x:c>
      <x:c r="H905" s="208" t="n">
        <x:f>E905/E904-1</x:f>
        <x:v>0.0020446509200999774</x:v>
      </x:c>
      <x:c r="I905" s="208" t="n">
        <x:f>G905/G904-1</x:f>
        <x:v>-0.005734332645813356</x:v>
      </x:c>
      <x:c r="J905" s="208" t="n">
        <x:f>'Beta HC3'!$E$13+'Beta HC3'!$E$12*I905</x:f>
        <x:v>-0.006458116244399305</x:v>
      </x:c>
      <x:c r="K905" s="240" t="n">
        <x:f>H905-J905</x:f>
        <x:v>0.008502767164499284</x:v>
      </x:c>
      <x:c r="L905" s="240" t="n">
        <x:f>I905-'Beta HC3'!$E$9</x:f>
        <x:v>-0.006298280263473796</x:v>
      </x:c>
      <x:c r="M905" s="240" t="n">
        <x:f>1/'Beta HC3'!$E$8+L905^2/'Beta HC3'!$E$11</x:f>
        <x:v>0.001068082473115769</x:v>
      </x:c>
      <x:c r="N905" s="240" t="n">
        <x:f>K905^2/(1-M905)^2</x:f>
        <x:v>0.00007245173565874272</x:v>
      </x:c>
      <x:c r="O905" s="240" t="n">
        <x:f>N905*L905^2/'Beta HC3'!$E$11^2</x:f>
        <x:v>1.3440254146740656e-7</x:v>
      </x:c>
      <x:c r="P905" s="240" t="n">
        <x:f>N905*(1/'Beta HC3'!$E$8-'Beta HC3'!$E$9*L905/'Beta HC3'!$E$11)^2</x:f>
        <x:v>4.884760214766444e-11</x:v>
      </x:c>
      <x:c r="Q905" s="240" t="n">
        <x:f>N905*(1/'Beta HC3'!$E$8-'Beta HC3'!$E$9*L905/'Beta HC3'!$E$11)*L905/'Beta HC3'!$E$11</x:f>
        <x:v>-2.562272794460974e-9</x:v>
      </x:c>
      <x:c r="R905" s="240" t="n">
        <x:f>K905*L905/'Beta HC3'!$E$11</x:f>
        <x:v>-0.0003662179525857266</x:v>
      </x:c>
      <x:c r="S905" s="240" t="n">
        <x:f>(K905-K904)^2</x:f>
        <x:v>0.000004112571595987625</x:v>
      </x:c>
      <x:c r="T905" s="280" t="n">
        <x:f>E905/$E$9*100</x:f>
        <x:v>152.3485464183292</x:v>
      </x:c>
    </x:row>
    <x:row r="906" ht="24" customHeight="1">
      <x:c r="C906" s="274" t="d">
        <x:v>2025-05-06T00:00:00.000Z</x:v>
      </x:c>
      <x:c r="D906" s="191" t="n">
        <x:v>433.30999755859375</x:v>
      </x:c>
      <x:c r="E906" s="191" t="n">
        <x:v>428.2823486328125</x:v>
      </x:c>
      <x:c r="F906" s="191" t="n">
        <x:v>558.7999877929688</x:v>
      </x:c>
      <x:c r="G906" s="191" t="n">
        <x:v>549.68212890625</x:v>
      </x:c>
      <x:c r="H906" s="208" t="n">
        <x:f>E906/E905-1</x:f>
        <x:v>-0.006557139849642346</x:v>
      </x:c>
      <x:c r="I906" s="208" t="n">
        <x:f>G906/G905-1</x:f>
        <x:v>-0.008358272128269228</x:v>
      </x:c>
      <x:c r="J906" s="208" t="n">
        <x:f>'Beta HC3'!$E$13+'Beta HC3'!$E$12*I906</x:f>
        <x:v>-0.009417425982308837</x:v>
      </x:c>
      <x:c r="K906" s="240" t="n">
        <x:f>H906-J906</x:f>
        <x:v>0.0028602861326664907</x:v>
      </x:c>
      <x:c r="L906" s="240" t="n">
        <x:f>I906-'Beta HC3'!$E$9</x:f>
        <x:v>-0.008922219745929667</x:v>
      </x:c>
      <x:c r="M906" s="240" t="n">
        <x:f>1/'Beta HC3'!$E$8+L906^2/'Beta HC3'!$E$11</x:f>
        <x:v>0.001341194041040572</x:v>
      </x:c>
      <x:c r="N906" s="240" t="n">
        <x:f>K906^2/(1-M906)^2</x:f>
        <x:v>0.00000820322624105254</x:v>
      </x:c>
      <x:c r="O906" s="240" t="n">
        <x:f>N906*L906^2/'Beta HC3'!$E$11^2</x:f>
        <x:v>3.0538327114497024e-8</x:v>
      </x:c>
      <x:c r="P906" s="240" t="n">
        <x:f>N906*(1/'Beta HC3'!$E$8-'Beta HC3'!$E$9*L906/'Beta HC3'!$E$11)^2</x:f>
        <x:v>5.667848542472424e-12</x:v>
      </x:c>
      <x:c r="Q906" s="240" t="n">
        <x:f>N906*(1/'Beta HC3'!$E$8-'Beta HC3'!$E$9*L906/'Beta HC3'!$E$11)*L906/'Beta HC3'!$E$11</x:f>
        <x:v>-4.1603679263431503e-10</x:v>
      </x:c>
      <x:c r="R906" s="240" t="n">
        <x:f>K906*L906/'Beta HC3'!$E$11</x:f>
        <x:v>-0.0001745178111316598</x:v>
      </x:c>
      <x:c r="S906" s="240" t="n">
        <x:f>(K906-K905)^2</x:f>
        <x:v>0.000031837592194592856</x:v>
      </x:c>
      <x:c r="T906" s="280" t="n">
        <x:f>E906/$E$9*100</x:f>
        <x:v>151.3495756935745</x:v>
      </x:c>
    </x:row>
    <x:row r="907" ht="24" customHeight="1">
      <x:c r="C907" s="274" t="d">
        <x:v>2025-05-07T00:00:00.000Z</x:v>
      </x:c>
      <x:c r="D907" s="191" t="n">
        <x:v>433.3500061035156</x:v>
      </x:c>
      <x:c r="E907" s="191" t="n">
        <x:v>428.3218994140625</x:v>
      </x:c>
      <x:c r="F907" s="191" t="n">
        <x:v>561.1500244140625</x:v>
      </x:c>
      <x:c r="G907" s="191" t="n">
        <x:v>551.9938354492188</x:v>
      </x:c>
      <x:c r="H907" s="208" t="n">
        <x:f>E907/E906-1</x:f>
        <x:v>0.00009234744643626946</x:v>
      </x:c>
      <x:c r="I907" s="208" t="n">
        <x:f>G907/G906-1</x:f>
        <x:v>0.0042055333826633845</x:v>
      </x:c>
      <x:c r="J907" s="208" t="n">
        <x:f>'Beta HC3'!$E$13+'Beta HC3'!$E$12*I907</x:f>
        <x:v>0.004752181298002966</x:v>
      </x:c>
      <x:c r="K907" s="240" t="n">
        <x:f>H907-J907</x:f>
        <x:v>-0.004659833851566697</x:v>
      </x:c>
      <x:c r="L907" s="240" t="n">
        <x:f>I907-'Beta HC3'!$E$9</x:f>
        <x:v>0.0036415857650029452</x:v>
      </x:c>
      <x:c r="M907" s="240" t="n">
        <x:f>1/'Beta HC3'!$E$8+L907^2/'Beta HC3'!$E$11</x:f>
        <x:v>0.000887498373246485</x:v>
      </x:c>
      <x:c r="N907" s="240" t="n">
        <x:f>K907^2/(1-M907)^2</x:f>
        <x:v>0.000021752645265236142</x:v>
      </x:c>
      <x:c r="O907" s="240" t="n">
        <x:f>N907*L907^2/'Beta HC3'!$E$11^2</x:f>
        <x:v>1.3489873770298219e-8</x:v>
      </x:c>
      <x:c r="P907" s="240" t="n">
        <x:f>N907*(1/'Beta HC3'!$E$8-'Beta HC3'!$E$9*L907/'Beta HC3'!$E$11)^2</x:f>
        <x:v>1.3328435784236645e-11</x:v>
      </x:c>
      <x:c r="Q907" s="240" t="n">
        <x:f>N907*(1/'Beta HC3'!$E$8-'Beta HC3'!$E$9*L907/'Beta HC3'!$E$11)*L907/'Beta HC3'!$E$11</x:f>
        <x:v>4.24027023059708e-10</x:v>
      </x:c>
      <x:c r="R907" s="240" t="n">
        <x:f>K907*L907/'Beta HC3'!$E$11</x:f>
        <x:v>-0.00011604283654577637</x:v>
      </x:c>
      <x:c r="S907" s="240" t="n">
        <x:f>(K907-K906)^2</x:f>
        <x:v>0.000056552204577263356</x:v>
      </x:c>
      <x:c r="T907" s="280" t="n">
        <x:f>E907/$E$9*100</x:f>
        <x:v>151.36355244040902</x:v>
      </x:c>
    </x:row>
    <x:row r="908" ht="24" customHeight="1">
      <x:c r="C908" s="274" t="d">
        <x:v>2025-05-08T00:00:00.000Z</x:v>
      </x:c>
      <x:c r="D908" s="191" t="n">
        <x:v>438.1700134277344</x:v>
      </x:c>
      <x:c r="E908" s="191" t="n">
        <x:v>433.0859680175781</x:v>
      </x:c>
      <x:c r="F908" s="191" t="n">
        <x:v>565.0599975585938</x:v>
      </x:c>
      <x:c r="G908" s="191" t="n">
        <x:v>555.8399658203125</x:v>
      </x:c>
      <x:c r="H908" s="208" t="n">
        <x:f>E908/E907-1</x:f>
        <x:v>0.011122636059544888</x:v>
      </x:c>
      <x:c r="I908" s="208" t="n">
        <x:f>G908/G907-1</x:f>
        <x:v>0.006967705296860194</x:v>
      </x:c>
      <x:c r="J908" s="208" t="n">
        <x:f>'Beta HC3'!$E$13+'Beta HC3'!$E$12*I908</x:f>
        <x:v>0.007867391194464553</x:v>
      </x:c>
      <x:c r="K908" s="240" t="n">
        <x:f>H908-J908</x:f>
        <x:v>0.0032552448650803346</x:v>
      </x:c>
      <x:c r="L908" s="240" t="n">
        <x:f>I908-'Beta HC3'!$E$9</x:f>
        <x:v>0.006403757679199754</x:v>
      </x:c>
      <x:c r="M908" s="240" t="n">
        <x:f>1/'Beta HC3'!$E$8+L908^2/'Beta HC3'!$E$11</x:f>
        <x:v>0.0010772444722801087</x:v>
      </x:c>
      <x:c r="N908" s="240" t="n">
        <x:f>K908^2/(1-M908)^2</x:f>
        <x:v>0.000010619486374178967</x:v>
      </x:c>
      <x:c r="O908" s="240" t="n">
        <x:f>N908*L908^2/'Beta HC3'!$E$11^2</x:f>
        <x:v>2.0365168801483054e-8</x:v>
      </x:c>
      <x:c r="P908" s="240" t="n">
        <x:f>N908*(1/'Beta HC3'!$E$8-'Beta HC3'!$E$9*L908/'Beta HC3'!$E$11)^2</x:f>
        <x:v>6.3309542814720266e-12</x:v>
      </x:c>
      <x:c r="Q908" s="240" t="n">
        <x:f>N908*(1/'Beta HC3'!$E$8-'Beta HC3'!$E$9*L908/'Beta HC3'!$E$11)*L908/'Beta HC3'!$E$11</x:f>
        <x:v>3.5906956514949817e-10</x:v>
      </x:c>
      <x:c r="R908" s="240" t="n">
        <x:f>K908*L908/'Beta HC3'!$E$11</x:f>
        <x:v>0.0001425528530171228</x:v>
      </x:c>
      <x:c r="S908" s="240" t="n">
        <x:f>(K908-K907)^2</x:f>
        <x:v>0.00006264847109071883</x:v>
      </x:c>
      <x:c r="T908" s="280" t="n">
        <x:f>E908/$E$9*100</x:f>
        <x:v>153.04711414688353</x:v>
      </x:c>
    </x:row>
    <x:row r="909" ht="24" customHeight="1">
      <x:c r="C909" s="274" t="d">
        <x:v>2025-05-09T00:00:00.000Z</x:v>
      </x:c>
      <x:c r="D909" s="191" t="n">
        <x:v>438.7300109863281</x:v>
      </x:c>
      <x:c r="E909" s="191" t="n">
        <x:v>433.63946533203125</x:v>
      </x:c>
      <x:c r="F909" s="191" t="n">
        <x:v>564.3400268554688</x:v>
      </x:c>
      <x:c r="G909" s="191" t="n">
        <x:v>555.1318969726562</x:v>
      </x:c>
      <x:c r="H909" s="208" t="n">
        <x:f>E909/E908-1</x:f>
        <x:v>0.0012780310500168923</x:v>
      </x:c>
      <x:c r="I909" s="208" t="n">
        <x:f>G909/G908-1</x:f>
        <x:v>-0.0012738717818019385</x:v>
      </x:c>
      <x:c r="J909" s="208" t="n">
        <x:f>'Beta HC3'!$E$13+'Beta HC3'!$E$12*I909</x:f>
        <x:v>-0.0014275561424266273</x:v>
      </x:c>
      <x:c r="K909" s="240" t="n">
        <x:f>H909-J909</x:f>
        <x:v>0.0027055871924435196</x:v>
      </x:c>
      <x:c r="L909" s="240" t="n">
        <x:f>I909-'Beta HC3'!$E$9</x:f>
        <x:v>-0.0018378193994623778</x:v>
      </x:c>
      <x:c r="M909" s="240" t="n">
        <x:f>1/'Beta HC3'!$E$8+L909^2/'Beta HC3'!$E$11</x:f>
        <x:v>0.0008199101452219963</x:v>
      </x:c>
      <x:c r="N909" s="240" t="n">
        <x:f>K909^2/(1-M909)^2</x:f>
        <x:v>0.000007332220651007205</x:v>
      </x:c>
      <x:c r="O909" s="240" t="n">
        <x:f>N909*L909^2/'Beta HC3'!$E$11^2</x:f>
        <x:v>1.1581262666854688e-9</x:v>
      </x:c>
      <x:c r="P909" s="240" t="n">
        <x:f>N909*(1/'Beta HC3'!$E$8-'Beta HC3'!$E$9*L909/'Beta HC3'!$E$11)^2</x:f>
        <x:v>4.738489864690293e-12</x:v>
      </x:c>
      <x:c r="Q909" s="240" t="n">
        <x:f>N909*(1/'Beta HC3'!$E$8-'Beta HC3'!$E$9*L909/'Beta HC3'!$E$11)*L909/'Beta HC3'!$E$11</x:f>
        <x:v>-7.407948148253132e-11</x:v>
      </x:c>
      <x:c r="R909" s="240" t="n">
        <x:f>K909*L909/'Beta HC3'!$E$11</x:f>
        <x:v>-0.00003400335169197162</x:v>
      </x:c>
      <x:c r="S909" s="240" t="n">
        <x:f>(K909-K908)^2</x:f>
        <x:v>3.0212355708852007e-7</x:v>
      </x:c>
      <x:c r="T909" s="280" t="n">
        <x:f>E909/$E$9*100</x:f>
        <x:v>153.24271311087873</x:v>
      </x:c>
    </x:row>
    <x:row r="910" ht="24" customHeight="1">
      <x:c r="C910" s="274" t="d">
        <x:v>2025-05-12T00:00:00.000Z</x:v>
      </x:c>
      <x:c r="D910" s="191" t="n">
        <x:v>449.260009765625</x:v>
      </x:c>
      <x:c r="E910" s="191" t="n">
        <x:v>444.0472412109375</x:v>
      </x:c>
      <x:c r="F910" s="191" t="n">
        <x:v>582.989990234375</x:v>
      </x:c>
      <x:c r="G910" s="191" t="n">
        <x:v>573.4774780273438</x:v>
      </x:c>
      <x:c r="H910" s="208" t="n">
        <x:f>E910/E909-1</x:f>
        <x:v>0.024000988634503395</x:v>
      </x:c>
      <x:c r="I910" s="208" t="n">
        <x:f>G910/G909-1</x:f>
        <x:v>0.03304724724832586</x:v>
      </x:c>
      <x:c r="J910" s="208" t="n">
        <x:f>'Beta HC3'!$E$13+'Beta HC3'!$E$12*I910</x:f>
        <x:v>0.03728020462755424</x:v>
      </x:c>
      <x:c r="K910" s="240" t="n">
        <x:f>H910-J910</x:f>
        <x:v>-0.013279215993050847</x:v>
      </x:c>
      <x:c r="L910" s="240" t="n">
        <x:f>I910-'Beta HC3'!$E$9</x:f>
        <x:v>0.03248329963066542</x:v>
      </x:c>
      <x:c r="M910" s="240" t="n">
        <x:f>1/'Beta HC3'!$E$8+L910^2/'Beta HC3'!$E$11</x:f>
        <x:v>0.008012498942237073</x:v>
      </x:c>
      <x:c r="N910" s="240" t="n">
        <x:f>K910^2/(1-M910)^2</x:f>
        <x:v>0.000179197715889812</x:v>
      </x:c>
      <x:c r="O910" s="240" t="n">
        <x:f>N910*L910^2/'Beta HC3'!$E$11^2</x:f>
        <x:v>0.000008842345267132077</x:v>
      </x:c>
      <x:c r="P910" s="240" t="n">
        <x:f>N910*(1/'Beta HC3'!$E$8-'Beta HC3'!$E$9*L910/'Beta HC3'!$E$11)^2</x:f>
        <x:v>8.081209578653614e-11</x:v>
      </x:c>
      <x:c r="Q910" s="240" t="n">
        <x:f>N910*(1/'Beta HC3'!$E$8-'Beta HC3'!$E$9*L910/'Beta HC3'!$E$11)*L910/'Beta HC3'!$E$11</x:f>
        <x:v>2.6731413219377343e-8</x:v>
      </x:c>
      <x:c r="R910" s="240" t="n">
        <x:f>K910*L910/'Beta HC3'!$E$11</x:f>
        <x:v>-0.0029497820907196477</x:v>
      </x:c>
      <x:c r="S910" s="240" t="n">
        <x:f>(K910-K909)^2</x:f>
        <x:v>0.0002555139328789908</x:v>
      </x:c>
      <x:c r="T910" s="280" t="n">
        <x:f>E910/$E$9*100</x:f>
        <x:v>156.9206897265734</x:v>
      </x:c>
    </x:row>
    <x:row r="911" ht="24" customHeight="1">
      <x:c r="C911" s="274" t="d">
        <x:v>2025-05-13T00:00:00.000Z</x:v>
      </x:c>
      <x:c r="D911" s="191" t="n">
        <x:v>449.1400146484375</x:v>
      </x:c>
      <x:c r="E911" s="191" t="n">
        <x:v>443.9287109375</x:v>
      </x:c>
      <x:c r="F911" s="191" t="n">
        <x:v>586.8400268554688</x:v>
      </x:c>
      <x:c r="G911" s="191" t="n">
        <x:v>577.2646484375</x:v>
      </x:c>
      <x:c r="H911" s="208" t="n">
        <x:f>E911/E910-1</x:f>
        <x:v>-0.00026693167401348195</x:v>
      </x:c>
      <x:c r="I911" s="208" t="n">
        <x:f>G911/G910-1</x:f>
        <x:v>0.006603869472230128</x:v>
      </x:c>
      <x:c r="J911" s="208" t="n">
        <x:f>'Beta HC3'!$E$13+'Beta HC3'!$E$12*I911</x:f>
        <x:v>0.007457052882157</x:v>
      </x:c>
      <x:c r="K911" s="240" t="n">
        <x:f>H911-J911</x:f>
        <x:v>-0.007723984556170482</x:v>
      </x:c>
      <x:c r="L911" s="240" t="n">
        <x:f>I911-'Beta HC3'!$E$9</x:f>
        <x:v>0.006039921854569689</x:v>
      </x:c>
      <x:c r="M911" s="240" t="n">
        <x:f>1/'Beta HC3'!$E$8+L911^2/'Beta HC3'!$E$11</x:f>
        <x:v>0.001046283710448769</x:v>
      </x:c>
      <x:c r="N911" s="240" t="n">
        <x:f>K911^2/(1-M911)^2</x:f>
        <x:v>0.00005978497606995584</x:v>
      </x:c>
      <x:c r="O911" s="240" t="n">
        <x:f>N911*L911^2/'Beta HC3'!$E$11^2</x:f>
        <x:v>1.0199277824026302e-7</x:v>
      </x:c>
      <x:c r="P911" s="240" t="n">
        <x:f>N911*(1/'Beta HC3'!$E$8-'Beta HC3'!$E$9*L911/'Beta HC3'!$E$11)^2</x:f>
        <x:v>3.577130223107372e-11</x:v>
      </x:c>
      <x:c r="Q911" s="240" t="n">
        <x:f>N911*(1/'Beta HC3'!$E$8-'Beta HC3'!$E$9*L911/'Beta HC3'!$E$11)*L911/'Beta HC3'!$E$11</x:f>
        <x:v>1.9100823269742402e-9</x:v>
      </x:c>
      <x:c r="R911" s="240" t="n">
        <x:f>K911*L911/'Beta HC3'!$E$11</x:f>
        <x:v>-0.0003190289377592954</x:v>
      </x:c>
      <x:c r="S911" s="240" t="n">
        <x:f>(K911-K910)^2</x:f>
        <x:v>0.000030860596317303885</x:v>
      </x:c>
      <x:c r="T911" s="280" t="n">
        <x:f>E911/$E$9*100</x:f>
        <x:v>156.87880262417735</x:v>
      </x:c>
    </x:row>
    <x:row r="912" ht="24" customHeight="1">
      <x:c r="C912" s="274" t="d">
        <x:v>2025-05-14T00:00:00.000Z</x:v>
      </x:c>
      <x:c r="D912" s="191" t="n">
        <x:v>452.94000244140625</x:v>
      </x:c>
      <x:c r="E912" s="191" t="n">
        <x:v>447.6845703125</x:v>
      </x:c>
      <x:c r="F912" s="191" t="n">
        <x:v>587.5900268554688</x:v>
      </x:c>
      <x:c r="G912" s="191" t="n">
        <x:v>578.00244140625</x:v>
      </x:c>
      <x:c r="H912" s="208" t="n">
        <x:f>E912/E911-1</x:f>
        <x:v>0.008460501162603995</x:v>
      </x:c>
      <x:c r="I912" s="208" t="n">
        <x:f>G912/G911-1</x:f>
        <x:v>0.0012780844466173669</x:v>
      </x:c>
      <x:c r="J912" s="208" t="n">
        <x:f>'Beta HC3'!$E$13+'Beta HC3'!$E$12*I912</x:f>
        <x:v>0.0014505700369210075</x:v>
      </x:c>
      <x:c r="K912" s="240" t="n">
        <x:f>H912-J912</x:f>
        <x:v>0.007009931125682987</x:v>
      </x:c>
      <x:c r="L912" s="240" t="n">
        <x:f>I912-'Beta HC3'!$E$9</x:f>
        <x:v>0.0007141368289569275</x:v>
      </x:c>
      <x:c r="M912" s="240" t="n">
        <x:f>1/'Beta HC3'!$E$8+L912^2/'Beta HC3'!$E$11</x:f>
        <x:v>0.0008003002972395951</x:v>
      </x:c>
      <x:c r="N912" s="240" t="n">
        <x:f>K912^2/(1-M912)^2</x:f>
        <x:v>0.00004921788103336386</x:v>
      </x:c>
      <x:c r="O912" s="240" t="n">
        <x:f>N912*L912^2/'Beta HC3'!$E$11^2</x:f>
        <x:v>1.1738172745938613e-9</x:v>
      </x:c>
      <x:c r="P912" s="240" t="n">
        <x:f>N912*(1/'Beta HC3'!$E$8-'Beta HC3'!$E$9*L912/'Beta HC3'!$E$11)^2</x:f>
        <x:v>3.1033309169068065e-11</x:v>
      </x:c>
      <x:c r="Q912" s="240" t="n">
        <x:f>N912*(1/'Beta HC3'!$E$8-'Beta HC3'!$E$9*L912/'Beta HC3'!$E$11)*L912/'Beta HC3'!$E$11</x:f>
        <x:v>1.9085972438014302e-10</x:v>
      </x:c>
      <x:c r="R912" s="240" t="n">
        <x:f>K912*L912/'Beta HC3'!$E$11</x:f>
        <x:v>0.0000342335977334181</x:v>
      </x:c>
      <x:c r="S912" s="240" t="n">
        <x:f>(K912-K911)^2</x:f>
        <x:v>0.0002170882713199676</x:v>
      </x:c>
      <x:c r="T912" s="280" t="n">
        <x:f>E912/$E$9*100</x:f>
        <x:v>158.20607591616712</x:v>
      </x:c>
    </x:row>
    <x:row r="913" ht="24" customHeight="1">
      <x:c r="C913" s="274" t="d">
        <x:v>2025-05-15T00:00:00.000Z</x:v>
      </x:c>
      <x:c r="D913" s="191" t="n">
        <x:v>453.1300048828125</x:v>
      </x:c>
      <x:c r="E913" s="191" t="n">
        <x:v>448.6946105957031</x:v>
      </x:c>
      <x:c r="F913" s="191" t="n">
        <x:v>590.4600219726562</x:v>
      </x:c>
      <x:c r="G913" s="191" t="n">
        <x:v>580.8255004882812</x:v>
      </x:c>
      <x:c r="H913" s="208" t="n">
        <x:f>E913/E912-1</x:f>
        <x:v>0.0022561427178473537</x:v>
      </x:c>
      <x:c r="I913" s="208" t="n">
        <x:f>G913/G912-1</x:f>
        <x:v>0.004884164632874111</x:v>
      </x:c>
      <x:c r="J913" s="208" t="n">
        <x:f>'Beta HC3'!$E$13+'Beta HC3'!$E$12*I913</x:f>
        <x:v>0.0055175495851246936</x:v>
      </x:c>
      <x:c r="K913" s="240" t="n">
        <x:f>H913-J913</x:f>
        <x:v>-0.00326140686727734</x:v>
      </x:c>
      <x:c r="L913" s="240" t="n">
        <x:f>I913-'Beta HC3'!$E$9</x:f>
        <x:v>0.004320217015213671</x:v>
      </x:c>
      <x:c r="M913" s="240" t="n">
        <x:f>1/'Beta HC3'!$E$8+L913^2/'Beta HC3'!$E$11</x:f>
        <x:v>0.0009244473683577652</x:v>
      </x:c>
      <x:c r="N913" s="240" t="n">
        <x:f>K913^2/(1-M913)^2</x:f>
        <x:v>0.000010656468335091382</x:v>
      </x:c>
      <x:c r="O913" s="240" t="n">
        <x:f>N913*L913^2/'Beta HC3'!$E$11^2</x:f>
        <x:v>9.301203529357894e-9</x:v>
      </x:c>
      <x:c r="P913" s="240" t="n">
        <x:f>N913*(1/'Beta HC3'!$E$8-'Beta HC3'!$E$9*L913/'Beta HC3'!$E$11)^2</x:f>
        <x:v>6.485917870061157e-12</x:v>
      </x:c>
      <x:c r="Q913" s="240" t="n">
        <x:f>N913*(1/'Beta HC3'!$E$8-'Beta HC3'!$E$9*L913/'Beta HC3'!$E$11)*L913/'Beta HC3'!$E$11</x:f>
        <x:v>2.4561523198722483e-10</x:v>
      </x:c>
      <x:c r="R913" s="240" t="n">
        <x:f>K913*L913/'Beta HC3'!$E$11</x:f>
        <x:v>-0.00009635359117304969</x:v>
      </x:c>
      <x:c r="S913" s="240" t="n">
        <x:f>(K913-K912)^2</x:f>
        <x:v>0.00010550038416563027</x:v>
      </x:c>
      <x:c r="T913" s="280" t="n">
        <x:f>E913/$E$9*100</x:f>
        <x:v>158.56301140226458</x:v>
      </x:c>
    </x:row>
    <x:row r="914" ht="24" customHeight="1">
      <x:c r="C914" s="274" t="d">
        <x:v>2025-05-16T00:00:00.000Z</x:v>
      </x:c>
      <x:c r="D914" s="191" t="n">
        <x:v>454.2699890136719</x:v>
      </x:c>
      <x:c r="E914" s="191" t="n">
        <x:v>449.82342529296875</x:v>
      </x:c>
      <x:c r="F914" s="191" t="n">
        <x:v>594.2000122070312</x:v>
      </x:c>
      <x:c r="G914" s="191" t="n">
        <x:v>584.5045776367188</x:v>
      </x:c>
      <x:c r="H914" s="208" t="n">
        <x:f>E914/E913-1</x:f>
        <x:v>0.0025157750296287418</x:v>
      </x:c>
      <x:c r="I914" s="208" t="n">
        <x:f>G914/G913-1</x:f>
        <x:v>0.006334221113474925</x:v>
      </x:c>
      <x:c r="J914" s="208" t="n">
        <x:f>'Beta HC3'!$E$13+'Beta HC3'!$E$12*I914</x:f>
        <x:v>0.007152940299069248</x:v>
      </x:c>
      <x:c r="K914" s="240" t="n">
        <x:f>H914-J914</x:f>
        <x:v>-0.004637165269440506</x:v>
      </x:c>
      <x:c r="L914" s="240" t="n">
        <x:f>I914-'Beta HC3'!$E$9</x:f>
        <x:v>0.005770273495814485</x:v>
      </x:c>
      <x:c r="M914" s="240" t="n">
        <x:f>1/'Beta HC3'!$E$8+L914^2/'Beta HC3'!$E$11</x:f>
        <x:v>0.0010245059997648848</x:v>
      </x:c>
      <x:c r="N914" s="240" t="n">
        <x:f>K914^2/(1-M914)^2</x:f>
        <x:v>0.00002154743006240927</x:v>
      </x:c>
      <x:c r="O914" s="240" t="n">
        <x:f>N914*L914^2/'Beta HC3'!$E$11^2</x:f>
        <x:v>3.3550809160764057e-8</x:v>
      </x:c>
      <x:c r="P914" s="240" t="n">
        <x:f>N914*(1/'Beta HC3'!$E$8-'Beta HC3'!$E$9*L914/'Beta HC3'!$E$11)^2</x:f>
        <x:v>1.2927218857951202e-11</x:v>
      </x:c>
      <x:c r="Q914" s="240" t="n">
        <x:f>N914*(1/'Beta HC3'!$E$8-'Beta HC3'!$E$9*L914/'Beta HC3'!$E$11)*L914/'Beta HC3'!$E$11</x:f>
        <x:v>6.585731947798597e-10</x:v>
      </x:c>
      <x:c r="R914" s="240" t="n">
        <x:f>K914*L914/'Beta HC3'!$E$11</x:f>
        <x:v>-0.0001829811421036328</x:v>
      </x:c>
      <x:c r="S914" s="240" t="n">
        <x:f>(K914-K913)^2</x:f>
        <x:v>0.0000018927111811225476</x:v>
      </x:c>
      <x:c r="T914" s="280" t="n">
        <x:f>E914/$E$9*100</x:f>
        <x:v>158.96192026697312</x:v>
      </x:c>
    </x:row>
    <x:row r="915" ht="24" customHeight="1">
      <x:c r="C915" s="274" t="d">
        <x:v>2025-05-19T00:00:00.000Z</x:v>
      </x:c>
      <x:c r="D915" s="191" t="n">
        <x:v>458.8699951171875</x:v>
      </x:c>
      <x:c r="E915" s="191" t="n">
        <x:v>454.3784484863281</x:v>
      </x:c>
      <x:c r="F915" s="191" t="n">
        <x:v>594.8499755859375</x:v>
      </x:c>
      <x:c r="G915" s="191" t="n">
        <x:v>585.1439819335938</x:v>
      </x:c>
      <x:c r="H915" s="208" t="n">
        <x:f>E915/E914-1</x:f>
        <x:v>0.010126247183309012</x:v>
      </x:c>
      <x:c r="I915" s="208" t="n">
        <x:f>G915/G914-1</x:f>
        <x:v>0.0010939252169079872</x:v>
      </x:c>
      <x:c r="J915" s="208" t="n">
        <x:f>'Beta HC3'!$E$13+'Beta HC3'!$E$12*I915</x:f>
        <x:v>0.0012428730967100204</x:v>
      </x:c>
      <x:c r="K915" s="240" t="n">
        <x:f>H915-J915</x:f>
        <x:v>0.008883374086598991</x:v>
      </x:c>
      <x:c r="L915" s="240" t="n">
        <x:f>I915-'Beta HC3'!$E$9</x:f>
        <x:v>0.0005299775992475478</x:v>
      </x:c>
      <x:c r="M915" s="240" t="n">
        <x:f>1/'Beta HC3'!$E$8+L915^2/'Beta HC3'!$E$11</x:f>
        <x:v>0.0007987335058439833</x:v>
      </x:c>
      <x:c r="N915" s="240" t="n">
        <x:f>K915^2/(1-M915)^2</x:f>
        <x:v>0.00007904054940681018</x:v>
      </x:c>
      <x:c r="O915" s="240" t="n">
        <x:f>N915*L915^2/'Beta HC3'!$E$11^2</x:f>
        <x:v>1.038196834070696e-9</x:v>
      </x:c>
      <x:c r="P915" s="240" t="n">
        <x:f>N915*(1/'Beta HC3'!$E$8-'Beta HC3'!$E$9*L915/'Beta HC3'!$E$11)^2</x:f>
        <x:v>4.992656123138616e-11</x:v>
      </x:c>
      <x:c r="Q915" s="240" t="n">
        <x:f>N915*(1/'Beta HC3'!$E$8-'Beta HC3'!$E$9*L915/'Beta HC3'!$E$11)*L915/'Beta HC3'!$E$11</x:f>
        <x:v>2.2766993171357053e-10</x:v>
      </x:c>
      <x:c r="R915" s="240" t="n">
        <x:f>K915*L915/'Beta HC3'!$E$11</x:f>
        <x:v>0.00003219532592194829</x:v>
      </x:c>
      <x:c r="S915" s="240" t="n">
        <x:f>(K915-K914)^2</x:f>
        <x:v>0.00018280498447821296</x:v>
      </x:c>
      <x:c r="T915" s="280" t="n">
        <x:f>E915/$E$9*100</x:f>
        <x:v>160.57160796432996</x:v>
      </x:c>
    </x:row>
    <x:row r="916" ht="24" customHeight="1">
      <x:c r="C916" s="274" t="d">
        <x:v>2025-05-20T00:00:00.000Z</x:v>
      </x:c>
      <x:c r="D916" s="191" t="n">
        <x:v>458.1700134277344</x:v>
      </x:c>
      <x:c r="E916" s="191" t="n">
        <x:v>453.6852722167969</x:v>
      </x:c>
      <x:c r="F916" s="191" t="n">
        <x:v>592.8499755859375</x:v>
      </x:c>
      <x:c r="G916" s="191" t="n">
        <x:v>583.176513671875</x:v>
      </x:c>
      <x:c r="H916" s="208" t="n">
        <x:f>E916/E915-1</x:f>
        <x:v>-0.0015255482997497127</x:v>
      </x:c>
      <x:c r="I916" s="208" t="n">
        <x:f>G916/G915-1</x:f>
        <x:v>-0.0033623660542783096</x:v>
      </x:c>
      <x:c r="J916" s="208" t="n">
        <x:f>'Beta HC3'!$E$13+'Beta HC3'!$E$12*I916</x:f>
        <x:v>-0.0037829844895480233</x:v>
      </x:c>
      <x:c r="K916" s="240" t="n">
        <x:f>H916-J916</x:f>
        <x:v>0.0022574361897983106</x:v>
      </x:c>
      <x:c r="L916" s="240" t="n">
        <x:f>I916-'Beta HC3'!$E$9</x:f>
        <x:v>-0.003926313671938749</x:v>
      </x:c>
      <x:c r="M916" s="240" t="n">
        <x:f>1/'Beta HC3'!$E$8+L916^2/'Beta HC3'!$E$11</x:f>
        <x:v>0.0009022338010681091</x:v>
      </x:c>
      <x:c r="N916" s="240" t="n">
        <x:f>K916^2/(1-M916)^2</x:f>
        <x:v>0.000005105226210523569</x:v>
      </x:c>
      <x:c r="O916" s="240" t="n">
        <x:f>N916*L916^2/'Beta HC3'!$E$11^2</x:f>
        <x:v>3.68043962366736e-9</x:v>
      </x:c>
      <x:c r="P916" s="240" t="n">
        <x:f>N916*(1/'Beta HC3'!$E$8-'Beta HC3'!$E$9*L916/'Beta HC3'!$E$11)^2</x:f>
        <x:v>3.365724496791628e-12</x:v>
      </x:c>
      <x:c r="Q916" s="240" t="n">
        <x:f>N916*(1/'Beta HC3'!$E$8-'Beta HC3'!$E$9*L916/'Beta HC3'!$E$11)*L916/'Beta HC3'!$E$11</x:f>
        <x:v>-1.1129845371944658e-10</x:v>
      </x:c>
      <x:c r="R916" s="240" t="n">
        <x:f>K916*L916/'Beta HC3'!$E$11</x:f>
        <x:v>-0.000060611891453556873</x:v>
      </x:c>
      <x:c r="S916" s="240" t="n">
        <x:f>(K916-K915)^2</x:f>
        <x:v>0.00004390305301225943</x:v>
      </x:c>
      <x:c r="T916" s="280" t="n">
        <x:f>E916/$E$9*100</x:f>
        <x:v>160.32664822081188</x:v>
      </x:c>
    </x:row>
    <x:row r="917" ht="24" customHeight="1">
      <x:c r="C917" s="274" t="d">
        <x:v>2025-05-21T00:00:00.000Z</x:v>
      </x:c>
      <x:c r="D917" s="191" t="n">
        <x:v>452.57000732421875</x:v>
      </x:c>
      <x:c r="E917" s="191" t="n">
        <x:v>448.1401062011719</x:v>
      </x:c>
      <x:c r="F917" s="191" t="n">
        <x:v>582.8599853515625</x:v>
      </x:c>
      <x:c r="G917" s="191" t="n">
        <x:v>573.3495483398438</x:v>
      </x:c>
      <x:c r="H917" s="208" t="n">
        <x:f>E917/E916-1</x:f>
        <x:v>-0.012222495097824582</x:v>
      </x:c>
      <x:c r="I917" s="208" t="n">
        <x:f>G917/G916-1</x:f>
        <x:v>-0.016850756334745642</x:v>
      </x:c>
      <x:c r="J917" s="208" t="n">
        <x:f>'Beta HC3'!$E$13+'Beta HC3'!$E$12*I917</x:f>
        <x:v>-0.018995349322120922</x:v>
      </x:c>
      <x:c r="K917" s="240" t="n">
        <x:f>H917-J917</x:f>
        <x:v>0.00677285422429634</x:v>
      </x:c>
      <x:c r="L917" s="240" t="n">
        <x:f>I917-'Beta HC3'!$E$9</x:f>
        <x:v>-0.01741470395240608</x:v>
      </x:c>
      <x:c r="M917" s="240" t="n">
        <x:f>1/'Beta HC3'!$E$8+L917^2/'Beta HC3'!$E$11</x:f>
        <x:v>0.0028707210658690746</x:v>
      </x:c>
      <x:c r="N917" s="240" t="n">
        <x:f>K917^2/(1-M917)^2</x:f>
        <x:v>0.000046136061662687726</x:v>
      </x:c>
      <x:c r="O917" s="240" t="n">
        <x:f>N917*L917^2/'Beta HC3'!$E$11^2</x:f>
        <x:v>6.543158391776265e-7</x:v>
      </x:c>
      <x:c r="P917" s="240" t="n">
        <x:f>N917*(1/'Beta HC3'!$E$8-'Beta HC3'!$E$9*L917/'Beta HC3'!$E$11)^2</x:f>
        <x:v>3.4438231925644315e-11</x:v>
      </x:c>
      <x:c r="Q917" s="240" t="n">
        <x:f>N917*(1/'Beta HC3'!$E$8-'Beta HC3'!$E$9*L917/'Beta HC3'!$E$11)*L917/'Beta HC3'!$E$11</x:f>
        <x:v>-4.7469443458104384e-9</x:v>
      </x:c>
      <x:c r="R917" s="240" t="n">
        <x:f>K917*L917/'Beta HC3'!$E$11</x:f>
        <x:v>-0.0008065757961244214</x:v>
      </x:c>
      <x:c r="S917" s="240" t="n">
        <x:f>(K917-K916)^2</x:f>
        <x:v>0.00002038900002627005</x:v>
      </x:c>
      <x:c r="T917" s="280" t="n">
        <x:f>E917/$E$9*100</x:f>
        <x:v>158.36705654888237</x:v>
      </x:c>
    </x:row>
    <x:row r="918" ht="24" customHeight="1">
      <x:c r="C918" s="274" t="d">
        <x:v>2025-05-22T00:00:00.000Z</x:v>
      </x:c>
      <x:c r="D918" s="191" t="n">
        <x:v>454.8599853515625</x:v>
      </x:c>
      <x:c r="E918" s="191" t="n">
        <x:v>450.40765380859375</x:v>
      </x:c>
      <x:c r="F918" s="191" t="n">
        <x:v>583.0900268554688</x:v>
      </x:c>
      <x:c r="G918" s="191" t="n">
        <x:v>573.5757446289062</x:v>
      </x:c>
      <x:c r="H918" s="208" t="n">
        <x:f>E918/E917-1</x:f>
        <x:v>0.00505990777447618</x:v>
      </x:c>
      <x:c r="I918" s="208" t="n">
        <x:f>G918/G917-1</x:f>
        <x:v>0.00039451725342321</x:v>
      </x:c>
      <x:c r="J918" s="208" t="n">
        <x:f>'Beta HC3'!$E$13+'Beta HC3'!$E$12*I918</x:f>
        <x:v>0.00045407258856156973</x:v>
      </x:c>
      <x:c r="K918" s="240" t="n">
        <x:f>H918-J918</x:f>
        <x:v>0.00460583518591461</x:v>
      </x:c>
      <x:c r="L918" s="240" t="n">
        <x:f>I918-'Beta HC3'!$E$9</x:f>
        <x:v>-0.0001694303642372294</x:v>
      </x:c>
      <x:c r="M918" s="240" t="n">
        <x:f>1/'Beta HC3'!$E$8+L918^2/'Beta HC3'!$E$11</x:f>
        <x:v>0.0007970090578410787</x:v>
      </x:c>
      <x:c r="N918" s="240" t="n">
        <x:f>K918^2/(1-M918)^2</x:f>
        <x:v>0.000021247573279574445</x:v>
      </x:c>
      <x:c r="O918" s="240" t="n">
        <x:f>N918*L918^2/'Beta HC3'!$E$11^2</x:f>
        <x:v>2.8523745148927752e-11</x:v>
      </x:c>
      <x:c r="P918" s="240" t="n">
        <x:f>N918*(1/'Beta HC3'!$E$8-'Beta HC3'!$E$9*L918/'Beta HC3'!$E$11)^2</x:f>
        <x:v>1.3512442641549707e-11</x:v>
      </x:c>
      <x:c r="Q918" s="240" t="n">
        <x:f>N918*(1/'Beta HC3'!$E$8-'Beta HC3'!$E$9*L918/'Beta HC3'!$E$11)*L918/'Beta HC3'!$E$11</x:f>
        <x:v>-1.963225586240837e-11</x:v>
      </x:c>
      <x:c r="R918" s="240" t="n">
        <x:f>K918*L918/'Beta HC3'!$E$11</x:f>
        <x:v>-0.000005336505963772993</x:v>
      </x:c>
      <x:c r="S918" s="240" t="n">
        <x:f>(K918-K917)^2</x:f>
        <x:v>0.000004695971512708878</x:v>
      </x:c>
      <x:c r="T918" s="280" t="n">
        <x:f>E918/$E$9*100</x:f>
        <x:v>159.16837924953498</x:v>
      </x:c>
    </x:row>
    <x:row r="919" ht="24" customHeight="1">
      <x:c r="C919" s="274" t="d">
        <x:v>2025-05-23T00:00:00.000Z</x:v>
      </x:c>
      <x:c r="D919" s="191" t="n">
        <x:v>450.17999267578125</x:v>
      </x:c>
      <x:c r="E919" s="191" t="n">
        <x:v>445.77349853515625</x:v>
      </x:c>
      <x:c r="F919" s="191" t="n">
        <x:v>579.1099853515625</x:v>
      </x:c>
      <x:c r="G919" s="191" t="n">
        <x:v>569.6607666015625</x:v>
      </x:c>
      <x:c r="H919" s="208" t="n">
        <x:f>E919/E918-1</x:f>
        <x:v>-0.010288802231160243</x:v>
      </x:c>
      <x:c r="I919" s="208" t="n">
        <x:f>G919/G918-1</x:f>
        <x:v>-0.006825564128198347</x:v>
      </x:c>
      <x:c r="J919" s="208" t="n">
        <x:f>'Beta HC3'!$E$13+'Beta HC3'!$E$12*I919</x:f>
        <x:v>-0.0076888199148638795</x:v>
      </x:c>
      <x:c r="K919" s="240" t="n">
        <x:f>H919-J919</x:f>
        <x:v>-0.002599982316296364</x:v>
      </x:c>
      <x:c r="L919" s="240" t="n">
        <x:f>I919-'Beta HC3'!$E$9</x:f>
        <x:v>-0.007389511745858787</x:v>
      </x:c>
      <x:c r="M919" s="240" t="n">
        <x:f>1/'Beta HC3'!$E$8+L919^2/'Beta HC3'!$E$11</x:f>
        <x:v>0.0011702252465263631</x:v>
      </x:c>
      <x:c r="N919" s="240" t="n">
        <x:f>K919^2/(1-M919)^2</x:f>
        <x:v>0.000006775757090170732</x:v>
      </x:c>
      <x:c r="O919" s="240" t="n">
        <x:f>N919*L919^2/'Beta HC3'!$E$11^2</x:f>
        <x:v>1.7302307998299225e-8</x:v>
      </x:c>
      <x:c r="P919" s="240" t="n">
        <x:f>N919*(1/'Beta HC3'!$E$8-'Beta HC3'!$E$9*L919/'Beta HC3'!$E$11)^2</x:f>
        <x:v>4.615222654922548e-12</x:v>
      </x:c>
      <x:c r="Q919" s="240" t="n">
        <x:f>N919*(1/'Beta HC3'!$E$8-'Beta HC3'!$E$9*L919/'Beta HC3'!$E$11)*L919/'Beta HC3'!$E$11</x:f>
        <x:v>-2.8258450745962386e-10</x:v>
      </x:c>
      <x:c r="R919" s="240" t="n">
        <x:f>K919*L919/'Beta HC3'!$E$11</x:f>
        <x:v>0.0001313843084133855</x:v>
      </x:c>
      <x:c r="S919" s="240" t="n">
        <x:f>(K919-K918)^2</x:f>
        <x:v>0.00005192380587517</x:v>
      </x:c>
      <x:c r="T919" s="280" t="n">
        <x:f>E919/$E$9*100</x:f>
        <x:v>157.5307272739822</x:v>
      </x:c>
    </x:row>
    <x:row r="920" ht="24" customHeight="1">
      <x:c r="C920" s="274" t="d">
        <x:v>2025-05-27T00:00:00.000Z</x:v>
      </x:c>
      <x:c r="D920" s="191" t="n">
        <x:v>460.69000244140625</x:v>
      </x:c>
      <x:c r="E920" s="191" t="n">
        <x:v>456.18060302734375</x:v>
      </x:c>
      <x:c r="F920" s="191" t="n">
        <x:v>591.1500244140625</x:v>
      </x:c>
      <x:c r="G920" s="191" t="n">
        <x:v>581.5043334960938</x:v>
      </x:c>
      <x:c r="H920" s="208" t="n">
        <x:f>E920/E919-1</x:f>
        <x:v>0.02334617137713657</x:v>
      </x:c>
      <x:c r="I920" s="208" t="n">
        <x:f>G920/G919-1</x:f>
        <x:v>0.020790560959966786</x:v>
      </x:c>
      <x:c r="J920" s="208" t="n">
        <x:f>'Beta HC3'!$E$13+'Beta HC3'!$E$12*I920</x:f>
        <x:v>0.023456970010231767</x:v>
      </x:c>
      <x:c r="K920" s="240" t="n">
        <x:f>H920-J920</x:f>
        <x:v>-0.00011079863309519655</x:v>
      </x:c>
      <x:c r="L920" s="240" t="n">
        <x:f>I920-'Beta HC3'!$E$9</x:f>
        <x:v>0.020226613342306347</x:v>
      </x:c>
      <x:c r="M920" s="240" t="n">
        <x:f>1/'Beta HC3'!$E$8+L920^2/'Beta HC3'!$E$11</x:f>
        <x:v>0.0035945292626767752</x:v>
      </x:c>
      <x:c r="N920" s="240" t="n">
        <x:f>K920^2/(1-M920)^2</x:f>
        <x:v>1.236507054696345e-8</x:v>
      </x:c>
      <x:c r="O920" s="240" t="n">
        <x:f>N920*L920^2/'Beta HC3'!$E$11^2</x:f>
        <x:v>2.365689085629829e-10</x:v>
      </x:c>
      <x:c r="P920" s="240" t="n">
        <x:f>N920*(1/'Beta HC3'!$E$8-'Beta HC3'!$E$9*L920/'Beta HC3'!$E$11)^2</x:f>
        <x:v>6.388851311163109e-15</x:v>
      </x:c>
      <x:c r="Q920" s="240" t="n">
        <x:f>N920*(1/'Beta HC3'!$E$8-'Beta HC3'!$E$9*L920/'Beta HC3'!$E$11)*L920/'Beta HC3'!$E$11</x:f>
        <x:v>1.2293915493662053e-12</x:v>
      </x:c>
      <x:c r="R920" s="240" t="n">
        <x:f>K920*L920/'Beta HC3'!$E$11</x:f>
        <x:v>-0.00001532551002270052</x:v>
      </x:c>
      <x:c r="S920" s="240" t="n">
        <x:f>(K920-K919)^2</x:f>
        <x:v>0.00000619603540871493</x:v>
      </x:c>
      <x:c r="T920" s="280" t="n">
        <x:f>E920/$E$9*100</x:f>
        <x:v>161.20846663008555</x:v>
      </x:c>
    </x:row>
    <x:row r="921" ht="24" customHeight="1">
      <x:c r="C921" s="274" t="d">
        <x:v>2025-05-28T00:00:00.000Z</x:v>
      </x:c>
      <x:c r="D921" s="191" t="n">
        <x:v>457.3599853515625</x:v>
      </x:c>
      <x:c r="E921" s="191" t="n">
        <x:v>452.8832092285156</x:v>
      </x:c>
      <x:c r="F921" s="191" t="n">
        <x:v>587.72998046875</x:v>
      </x:c>
      <x:c r="G921" s="191" t="n">
        <x:v>578.1400756835938</x:v>
      </x:c>
      <x:c r="H921" s="208" t="n">
        <x:f>E921/E920-1</x:f>
        <x:v>-0.007228263930876722</x:v>
      </x:c>
      <x:c r="I921" s="208" t="n">
        <x:f>G921/G920-1</x:f>
        <x:v>-0.005785438936066978</x:v>
      </x:c>
      <x:c r="J921" s="208" t="n">
        <x:f>'Beta HC3'!$E$13+'Beta HC3'!$E$12*I921</x:f>
        <x:v>-0.006515754518234196</x:v>
      </x:c>
      <x:c r="K921" s="240" t="n">
        <x:f>H921-J921</x:f>
        <x:v>-0.0007125094126425252</x:v>
      </x:c>
      <x:c r="L921" s="240" t="n">
        <x:f>I921-'Beta HC3'!$E$9</x:f>
        <x:v>-0.0063493865537274175</x:v>
      </x:c>
      <x:c r="M921" s="240" t="n">
        <x:f>1/'Beta HC3'!$E$8+L921^2/'Beta HC3'!$E$11</x:f>
        <x:v>0.0010725026753000487</x:v>
      </x:c>
      <x:c r="N921" s="240" t="n">
        <x:f>K921^2/(1-M921)^2</x:f>
        <x:v>5.087603716157686e-7</x:v>
      </x:c>
      <x:c r="O921" s="240" t="n">
        <x:f>N921*L921^2/'Beta HC3'!$E$11^2</x:f>
        <x:v>9.59161050276688e-10</x:v>
      </x:c>
      <x:c r="P921" s="240" t="n">
        <x:f>N921*(1/'Beta HC3'!$E$8-'Beta HC3'!$E$9*L921/'Beta HC3'!$E$11)^2</x:f>
        <x:v>3.4317543890591543e-13</x:v>
      </x:c>
      <x:c r="Q921" s="240" t="n">
        <x:f>N921*(1/'Beta HC3'!$E$8-'Beta HC3'!$E$9*L921/'Beta HC3'!$E$11)*L921/'Beta HC3'!$E$11</x:f>
        <x:v>-1.814278133060533e-11</x:v>
      </x:c>
      <x:c r="R921" s="240" t="n">
        <x:f>K921*L921/'Beta HC3'!$E$11</x:f>
        <x:v>0.000030937109560821196</x:v>
      </x:c>
      <x:c r="S921" s="240" t="n">
        <x:f>(K921-K920)^2</x:f>
        <x:v>3.62055862223454e-7</x:v>
      </x:c>
      <x:c r="T921" s="280" t="n">
        <x:f>E921/$E$9*100</x:f>
        <x:v>160.04320928539138</x:v>
      </x:c>
    </x:row>
    <x:row r="922" ht="24" customHeight="1">
      <x:c r="C922" s="274" t="d">
        <x:v>2025-05-29T00:00:00.000Z</x:v>
      </x:c>
      <x:c r="D922" s="191" t="n">
        <x:v>458.67999267578125</x:v>
      </x:c>
      <x:c r="E922" s="191" t="n">
        <x:v>454.1902770996094</x:v>
      </x:c>
      <x:c r="F922" s="191" t="n">
        <x:v>590.0499877929688</x:v>
      </x:c>
      <x:c r="G922" s="191" t="n">
        <x:v>580.4222412109375</x:v>
      </x:c>
      <x:c r="H922" s="208" t="n">
        <x:f>E922/E921-1</x:f>
        <x:v>0.0028861036233167603</x:v>
      </x:c>
      <x:c r="I922" s="208" t="n">
        <x:f>G922/G921-1</x:f>
        <x:v>0.0039474266243269</x:v>
      </x:c>
      <x:c r="J922" s="208" t="n">
        <x:f>'Beta HC3'!$E$13+'Beta HC3'!$E$12*I922</x:f>
        <x:v>0.004461085467297859</x:v>
      </x:c>
      <x:c r="K922" s="240" t="n">
        <x:f>H922-J922</x:f>
        <x:v>-0.001574981843981099</x:v>
      </x:c>
      <x:c r="L922" s="240" t="n">
        <x:f>I922-'Beta HC3'!$E$9</x:f>
        <x:v>0.0033834790066664604</x:v>
      </x:c>
      <x:c r="M922" s="240" t="n">
        <x:f>1/'Beta HC3'!$E$8+L922^2/'Beta HC3'!$E$11</x:f>
        <x:v>0.000875098790514923</x:v>
      </x:c>
      <x:c r="N922" s="240" t="n">
        <x:f>K922^2/(1-M922)^2</x:f>
        <x:v>0.000002484914998146253</x:v>
      </x:c>
      <x:c r="O922" s="240" t="n">
        <x:f>N922*L922^2/'Beta HC3'!$E$11^2</x:f>
        <x:v>1.330311154255786e-9</x:v>
      </x:c>
      <x:c r="P922" s="240" t="n">
        <x:f>N922*(1/'Beta HC3'!$E$8-'Beta HC3'!$E$9*L922/'Beta HC3'!$E$11)^2</x:f>
        <x:v>1.5264495978057102e-12</x:v>
      </x:c>
      <x:c r="Q922" s="240" t="n">
        <x:f>N922*(1/'Beta HC3'!$E$8-'Beta HC3'!$E$9*L922/'Beta HC3'!$E$11)*L922/'Beta HC3'!$E$11</x:f>
        <x:v>4.506276651926948e-11</x:v>
      </x:c>
      <x:c r="R922" s="240" t="n">
        <x:f>K922*L922/'Beta HC3'!$E$11</x:f>
        <x:v>-0.00003644151294390876</x:v>
      </x:c>
      <x:c r="S922" s="240" t="n">
        <x:f>(K922-K921)^2</x:f>
        <x:v>7.438586948190709e-7</x:v>
      </x:c>
      <x:c r="T922" s="280" t="n">
        <x:f>E922/$E$9*100</x:f>
        <x:v>160.50511057159719</x:v>
      </x:c>
    </x:row>
    <x:row r="923" ht="24" customHeight="1">
      <x:c r="C923" s="274" t="d">
        <x:v>2025-05-30T00:00:00.000Z</x:v>
      </x:c>
      <x:c r="D923" s="191" t="n">
        <x:v>460.3599853515625</x:v>
      </x:c>
      <x:c r="E923" s="191" t="n">
        <x:v>455.85382080078125</x:v>
      </x:c>
      <x:c r="F923" s="191" t="n">
        <x:v>589.3900146484375</x:v>
      </x:c>
      <x:c r="G923" s="191" t="n">
        <x:v>579.7730102539062</x:v>
      </x:c>
      <x:c r="H923" s="208" t="n">
        <x:f>E923/E922-1</x:f>
        <x:v>0.0036626581083925025</x:v>
      </x:c>
      <x:c r="I923" s="208" t="n">
        <x:f>G923/G922-1</x:f>
        <x:v>-0.0011185494127116113</x:v>
      </x:c>
      <x:c r="J923" s="208" t="n">
        <x:f>'Beta HC3'!$E$13+'Beta HC3'!$E$12*I923</x:f>
        <x:v>-0.0012523817519967165</x:v>
      </x:c>
      <x:c r="K923" s="240" t="n">
        <x:f>H923-J923</x:f>
        <x:v>0.0049150398603892195</x:v>
      </x:c>
      <x:c r="L923" s="240" t="n">
        <x:f>I923-'Beta HC3'!$E$9</x:f>
        <x:v>-0.0016824970303720506</x:v>
      </x:c>
      <x:c r="M923" s="240" t="n">
        <x:f>1/'Beta HC3'!$E$8+L923^2/'Beta HC3'!$E$11</x:f>
        <x:v>0.0008161709936517907</x:v>
      </x:c>
      <x:c r="N923" s="240" t="n">
        <x:f>K923^2/(1-M923)^2</x:f>
        <x:v>0.000024197098650776962</x:v>
      </x:c>
      <x:c r="O923" s="240" t="n">
        <x:f>N923*L923^2/'Beta HC3'!$E$11^2</x:f>
        <x:v>3.2032189911164224e-9</x:v>
      </x:c>
      <x:c r="P923" s="240" t="n">
        <x:f>N923*(1/'Beta HC3'!$E$8-'Beta HC3'!$E$9*L923/'Beta HC3'!$E$11)^2</x:f>
        <x:v>1.561421943648138e-11</x:v>
      </x:c>
      <x:c r="Q923" s="240" t="n">
        <x:f>N923*(1/'Beta HC3'!$E$8-'Beta HC3'!$E$9*L923/'Beta HC3'!$E$11)*L923/'Beta HC3'!$E$11</x:f>
        <x:v>-2.2364204486275903e-10</x:v>
      </x:c>
      <x:c r="R923" s="240" t="n">
        <x:f>K923*L923/'Beta HC3'!$E$11</x:f>
        <x:v>-0.00005655079465435715</x:v>
      </x:c>
      <x:c r="S923" s="240" t="n">
        <x:f>(K923-K922)^2</x:f>
        <x:v>0.00004212038172319781</x:v>
      </x:c>
      <x:c r="T923" s="280" t="n">
        <x:f>E923/$E$9*100</x:f>
        <x:v>161.09298591627066</x:v>
      </x:c>
    </x:row>
    <x:row r="924" ht="24" customHeight="1">
      <x:c r="C924" s="274" t="d">
        <x:v>2025-06-02T00:00:00.000Z</x:v>
      </x:c>
      <x:c r="D924" s="191" t="n">
        <x:v>461.9700012207031</x:v>
      </x:c>
      <x:c r="E924" s="191" t="n">
        <x:v>457.4480895996094</x:v>
      </x:c>
      <x:c r="F924" s="191" t="n">
        <x:v>592.7100219726562</x:v>
      </x:c>
      <x:c r="G924" s="191" t="n">
        <x:v>583.0389404296875</x:v>
      </x:c>
      <x:c r="H924" s="208" t="n">
        <x:f>E924/E923-1</x:f>
        <x:v>0.0034973246380332057</x:v>
      </x:c>
      <x:c r="I924" s="208" t="n">
        <x:f>G924/G923-1</x:f>
        <x:v>0.005633118682691007</x:v>
      </x:c>
      <x:c r="J924" s="208" t="n">
        <x:f>'Beta HC3'!$E$13+'Beta HC3'!$E$12*I924</x:f>
        <x:v>0.00636222875081776</x:v>
      </x:c>
      <x:c r="K924" s="240" t="n">
        <x:f>H924-J924</x:f>
        <x:v>-0.002864904112784554</x:v>
      </x:c>
      <x:c r="L924" s="240" t="n">
        <x:f>I924-'Beta HC3'!$E$9</x:f>
        <x:v>0.005069171065030568</x:v>
      </x:c>
      <x:c r="M924" s="240" t="n">
        <x:f>1/'Beta HC3'!$E$8+L924^2/'Beta HC3'!$E$11</x:f>
        <x:v>0.0009725368199543412</x:v>
      </x:c>
      <x:c r="N924" s="240" t="n">
        <x:f>K924^2/(1-M924)^2</x:f>
        <x:v>0.000008223663428237565</x:v>
      </x:c>
      <x:c r="O924" s="240" t="n">
        <x:f>N924*L924^2/'Beta HC3'!$E$11^2</x:f>
        <x:v>9.882206957714339e-9</x:v>
      </x:c>
      <x:c r="P924" s="240" t="n">
        <x:f>N924*(1/'Beta HC3'!$E$8-'Beta HC3'!$E$9*L924/'Beta HC3'!$E$11)^2</x:f>
        <x:v>4.968230361900981e-12</x:v>
      </x:c>
      <x:c r="Q924" s="240" t="n">
        <x:f>N924*(1/'Beta HC3'!$E$8-'Beta HC3'!$E$9*L924/'Beta HC3'!$E$11)*L924/'Beta HC3'!$E$11</x:f>
        <x:v>2.2157861054241113e-10</x:v>
      </x:c>
      <x:c r="R924" s="240" t="n">
        <x:f>K924*L924/'Beta HC3'!$E$11</x:f>
        <x:v>-0.00009931261090276245</x:v>
      </x:c>
      <x:c r="S924" s="240" t="n">
        <x:f>(K924-K923)^2</x:f>
        <x:v>0.00006052752822572292</x:v>
      </x:c>
      <x:c r="T924" s="280" t="n">
        <x:f>E924/$E$9*100</x:f>
        <x:v>161.65638038492995</x:v>
      </x:c>
    </x:row>
    <x:row r="925" ht="24" customHeight="1">
      <x:c r="C925" s="274" t="d">
        <x:v>2025-06-03T00:00:00.000Z</x:v>
      </x:c>
      <x:c r="D925" s="191" t="n">
        <x:v>462.9700012207031</x:v>
      </x:c>
      <x:c r="E925" s="191" t="n">
        <x:v>458.4382629394531</x:v>
      </x:c>
      <x:c r="F925" s="191" t="n">
        <x:v>596.0900268554688</x:v>
      </x:c>
      <x:c r="G925" s="191" t="n">
        <x:v>586.3637084960938</x:v>
      </x:c>
      <x:c r="H925" s="208" t="n">
        <x:f>E925/E924-1</x:f>
        <x:v>0.0021645589135816934</x:v>
      </x:c>
      <x:c r="I925" s="208" t="n">
        <x:f>G925/G924-1</x:f>
        <x:v>0.005702480290520562</x:v>
      </x:c>
      <x:c r="J925" s="208" t="n">
        <x:f>'Beta HC3'!$E$13+'Beta HC3'!$E$12*I925</x:f>
        <x:v>0.006440455586024701</x:v>
      </x:c>
      <x:c r="K925" s="240" t="n">
        <x:f>H925-J925</x:f>
        <x:v>-0.004275896672443008</x:v>
      </x:c>
      <x:c r="L925" s="240" t="n">
        <x:f>I925-'Beta HC3'!$E$9</x:f>
        <x:v>0.005138532672860122</x:v>
      </x:c>
      <x:c r="M925" s="240" t="n">
        <x:f>1/'Beta HC3'!$E$8+L925^2/'Beta HC3'!$E$11</x:f>
        <x:v>0.0009773785945787505</x:v>
      </x:c>
      <x:c r="N925" s="240" t="n">
        <x:f>K925^2/(1-M925)^2</x:f>
        <x:v>0.000018319084215326138</x:v>
      </x:c>
      <x:c r="O925" s="240" t="n">
        <x:f>N925*L925^2/'Beta HC3'!$E$11^2</x:f>
        <x:v>2.2620214900675897e-8</x:v>
      </x:c>
      <x:c r="P925" s="240" t="n">
        <x:f>N925*(1/'Beta HC3'!$E$8-'Beta HC3'!$E$9*L925/'Beta HC3'!$E$11)^2</x:f>
        <x:v>1.1059644832233497e-11</x:v>
      </x:c>
      <x:c r="Q925" s="240" t="n">
        <x:f>N925*(1/'Beta HC3'!$E$8-'Beta HC3'!$E$9*L925/'Beta HC3'!$E$11)*L925/'Beta HC3'!$E$11</x:f>
        <x:v>5.001715134134203e-10</x:v>
      </x:c>
      <x:c r="R925" s="240" t="n">
        <x:f>K925*L925/'Beta HC3'!$E$11</x:f>
        <x:v>-0.0001502531845964228</x:v>
      </x:c>
      <x:c r="S925" s="240" t="n">
        <x:f>(K925-K924)^2</x:f>
        <x:v>0.0000019909000034115157</x:v>
      </x:c>
      <x:c r="T925" s="280" t="n">
        <x:f>E925/$E$9*100</x:f>
        <x:v>162.0062951440295</x:v>
      </x:c>
    </x:row>
    <x:row r="926" ht="24" customHeight="1">
      <x:c r="C926" s="274" t="d">
        <x:v>2025-06-04T00:00:00.000Z</x:v>
      </x:c>
      <x:c r="D926" s="191" t="n">
        <x:v>463.8699951171875</x:v>
      </x:c>
      <x:c r="E926" s="191" t="n">
        <x:v>459.3294677734375</x:v>
      </x:c>
      <x:c r="F926" s="191" t="n">
        <x:v>595.9299926757812</x:v>
      </x:c>
      <x:c r="G926" s="191" t="n">
        <x:v>586.206298828125</x:v>
      </x:c>
      <x:c r="H926" s="208" t="n">
        <x:f>E926/E925-1</x:f>
        <x:v>0.0019440018559315764</x:v>
      </x:c>
      <x:c r="I926" s="208" t="n">
        <x:f>G926/G925-1</x:f>
        <x:v>-0.0002684505635119905</x:v>
      </x:c>
      <x:c r="J926" s="208" t="n">
        <x:f>'Beta HC3'!$E$13+'Beta HC3'!$E$12*I926</x:f>
        <x:v>-0.0002936302947155626</x:v>
      </x:c>
      <x:c r="K926" s="240" t="n">
        <x:f>H926-J926</x:f>
        <x:v>0.002237632150647139</x:v>
      </x:c>
      <x:c r="L926" s="240" t="n">
        <x:f>I926-'Beta HC3'!$E$9</x:f>
        <x:v>-0.0008323981811724298</x:v>
      </x:c>
      <x:c r="M926" s="240" t="n">
        <x:f>1/'Beta HC3'!$E$8+L926^2/'Beta HC3'!$E$11</x:f>
        <x:v>0.0008015510168455781</x:v>
      </x:c>
      <x:c r="N926" s="240" t="n">
        <x:f>K926^2/(1-M926)^2</x:f>
        <x:v>0.000005015034030784233</x:v>
      </x:c>
      <x:c r="O926" s="240" t="n">
        <x:f>N926*L926^2/'Beta HC3'!$E$11^2</x:f>
        <x:v>1.6249905973624085e-10</x:v>
      </x:c>
      <x:c r="P926" s="240" t="n">
        <x:f>N926*(1/'Beta HC3'!$E$8-'Beta HC3'!$E$9*L926/'Beta HC3'!$E$11)^2</x:f>
        <x:v>3.2098056393217295e-12</x:v>
      </x:c>
      <x:c r="Q926" s="240" t="n">
        <x:f>N926*(1/'Beta HC3'!$E$8-'Beta HC3'!$E$9*L926/'Beta HC3'!$E$11)*L926/'Beta HC3'!$E$11</x:f>
        <x:v>-2.283835366934019e-11</x:v>
      </x:c>
      <x:c r="R926" s="240" t="n">
        <x:f>K926*L926/'Beta HC3'!$E$11</x:f>
        <x:v>-0.000012737294122621022</x:v>
      </x:c>
      <x:c r="S926" s="240" t="n">
        <x:f>(K926-K925)^2</x:f>
        <x:v>0.00004242605772922612</x:v>
      </x:c>
      <x:c r="T926" s="280" t="n">
        <x:f>E926/$E$9*100</x:f>
        <x:v>162.32123568246212</x:v>
      </x:c>
    </x:row>
    <x:row r="927" ht="24" customHeight="1">
      <x:c r="C927" s="274" t="d">
        <x:v>2025-06-05T00:00:00.000Z</x:v>
      </x:c>
      <x:c r="D927" s="191" t="n">
        <x:v>467.67999267578125</x:v>
      </x:c>
      <x:c r="E927" s="191" t="n">
        <x:v>463.1022033691406</x:v>
      </x:c>
      <x:c r="F927" s="191" t="n">
        <x:v>593.0499877929688</x:v>
      </x:c>
      <x:c r="G927" s="191" t="n">
        <x:v>583.373291015625</x:v>
      </x:c>
      <x:c r="H927" s="208" t="n">
        <x:f>E927/E926-1</x:f>
        <x:v>0.008213571870298475</x:v>
      </x:c>
      <x:c r="I927" s="208" t="n">
        <x:f>G927/G926-1</x:f>
        <x:v>-0.004832782960816684</x:v>
      </x:c>
      <x:c r="J927" s="208" t="n">
        <x:f>'Beta HC3'!$E$13+'Beta HC3'!$E$12*I927</x:f>
        <x:v>-0.005441337930776445</x:v>
      </x:c>
      <x:c r="K927" s="240" t="n">
        <x:f>H927-J927</x:f>
        <x:v>0.01365490980107492</x:v>
      </x:c>
      <x:c r="L927" s="240" t="n">
        <x:f>I927-'Beta HC3'!$E$9</x:f>
        <x:v>-0.005396730578477124</x:v>
      </x:c>
      <x:c r="M927" s="240" t="n">
        <x:f>1/'Beta HC3'!$E$8+L927^2/'Beta HC3'!$E$11</x:f>
        <x:v>0.0009959804159069296</x:v>
      </x:c>
      <x:c r="N927" s="240" t="n">
        <x:f>K927^2/(1-M927)^2</x:f>
        <x:v>0.0001868285314628271</x:v>
      </x:c>
      <x:c r="O927" s="240" t="n">
        <x:f>N927*L927^2/'Beta HC3'!$E$11^2</x:f>
        <x:v>2.5445992655210376e-7</x:v>
      </x:c>
      <x:c r="P927" s="240" t="n">
        <x:f>N927*(1/'Beta HC3'!$E$8-'Beta HC3'!$E$9*L927/'Beta HC3'!$E$11)^2</x:f>
        <x:v>1.2489697560315973e-10</x:v>
      </x:c>
      <x:c r="Q927" s="240" t="n">
        <x:f>N927*(1/'Beta HC3'!$E$8-'Beta HC3'!$E$9*L927/'Beta HC3'!$E$11)*L927/'Beta HC3'!$E$11</x:f>
        <x:v>-5.6374883803481065e-9</x:v>
      </x:c>
      <x:c r="R927" s="240" t="n">
        <x:f>K927*L927/'Beta HC3'!$E$11</x:f>
        <x:v>-0.00050393779850646</x:v>
      </x:c>
      <x:c r="S927" s="240" t="n">
        <x:f>(K927-K926)^2</x:f>
        <x:v>0.00013035422894695773</x:v>
      </x:c>
      <x:c r="T927" s="280" t="n">
        <x:f>E927/$E$9*100</x:f>
        <x:v>163.6544728178157</x:v>
      </x:c>
    </x:row>
    <x:row r="928" ht="24" customHeight="1">
      <x:c r="C928" s="274" t="d">
        <x:v>2025-06-06T00:00:00.000Z</x:v>
      </x:c>
      <x:c r="D928" s="191" t="n">
        <x:v>470.3800048828125</x:v>
      </x:c>
      <x:c r="E928" s="191" t="n">
        <x:v>465.7757263183594</x:v>
      </x:c>
      <x:c r="F928" s="191" t="n">
        <x:v>599.1400146484375</x:v>
      </x:c>
      <x:c r="G928" s="191" t="n">
        <x:v>589.364013671875</x:v>
      </x:c>
      <x:c r="H928" s="208" t="n">
        <x:f>E928/E927-1</x:f>
        <x:v>0.005773073264969231</x:v>
      </x:c>
      <x:c r="I928" s="208" t="n">
        <x:f>G928/G927-1</x:f>
        <x:v>0.010269106845499198</x:v>
      </x:c>
      <x:c r="J928" s="208" t="n">
        <x:f>'Beta HC3'!$E$13+'Beta HC3'!$E$12*I928</x:f>
        <x:v>0.011590750600030156</x:v>
      </x:c>
      <x:c r="K928" s="240" t="n">
        <x:f>H928-J928</x:f>
        <x:v>-0.0058176773350609255</x:v>
      </x:c>
      <x:c r="L928" s="240" t="n">
        <x:f>I928-'Beta HC3'!$E$9</x:f>
        <x:v>0.00970515922783876</x:v>
      </x:c>
      <x:c r="M928" s="240" t="n">
        <x:f>1/'Beta HC3'!$E$8+L928^2/'Beta HC3'!$E$11</x:f>
        <x:v>0.0014409266788833616</x:v>
      </x:c>
      <x:c r="N928" s="240" t="n">
        <x:f>K928^2/(1-M928)^2</x:f>
        <x:v>0.00003394311818893985</x:v>
      </x:c>
      <x:c r="O928" s="240" t="n">
        <x:f>N928*L928^2/'Beta HC3'!$E$11^2</x:f>
        <x:v>1.4951053282812004e-7</x:v>
      </x:c>
      <x:c r="P928" s="240" t="n">
        <x:f>N928*(1/'Beta HC3'!$E$8-'Beta HC3'!$E$9*L928/'Beta HC3'!$E$11)^2</x:f>
        <x:v>1.9573805288082004e-11</x:v>
      </x:c>
      <x:c r="Q928" s="240" t="n">
        <x:f>N928*(1/'Beta HC3'!$E$8-'Beta HC3'!$E$9*L928/'Beta HC3'!$E$11)*L928/'Beta HC3'!$E$11</x:f>
        <x:v>1.7106987046511182e-9</x:v>
      </x:c>
      <x:c r="R928" s="240" t="n">
        <x:f>K928*L928/'Beta HC3'!$E$11</x:f>
        <x:v>-0.00038610876164787565</x:v>
      </x:c>
      <x:c r="S928" s="240" t="n">
        <x:f>(K928-K927)^2</x:f>
        <x:v>0.0003791816497744032</x:v>
      </x:c>
      <x:c r="T928" s="280" t="n">
        <x:f>E928/$E$9*100</x:f>
        <x:v>164.59926207953285</x:v>
      </x:c>
    </x:row>
    <x:row r="929" ht="24" customHeight="1">
      <x:c r="C929" s="274" t="d">
        <x:v>2025-06-09T00:00:00.000Z</x:v>
      </x:c>
      <x:c r="D929" s="191" t="n">
        <x:v>472.75</x:v>
      </x:c>
      <x:c r="E929" s="191" t="n">
        <x:v>468.12255859375</x:v>
      </x:c>
      <x:c r="F929" s="191" t="n">
        <x:v>599.6799926757812</x:v>
      </x:c>
      <x:c r="G929" s="191" t="n">
        <x:v>589.8951416015625</x:v>
      </x:c>
      <x:c r="H929" s="208" t="n">
        <x:f>E929/E928-1</x:f>
        <x:v>0.005038545683650586</x:v>
      </x:c>
      <x:c r="I929" s="208" t="n">
        <x:f>G929/G928-1</x:f>
        <x:v>0.000901188259490926</x:v>
      </x:c>
      <x:c r="J929" s="208" t="n">
        <x:f>'Beta HC3'!$E$13+'Beta HC3'!$E$12*I929</x:f>
        <x:v>0.0010255020945383058</x:v>
      </x:c>
      <x:c r="K929" s="240" t="n">
        <x:f>H929-J929</x:f>
        <x:v>0.004013043589112281</x:v>
      </x:c>
      <x:c r="L929" s="240" t="n">
        <x:f>I929-'Beta HC3'!$E$9</x:f>
        <x:v>0.0003372406418304866</x:v>
      </x:c>
      <x:c r="M929" s="240" t="n">
        <x:f>1/'Beta HC3'!$E$8+L929^2/'Beta HC3'!$E$11</x:f>
        <x:v>0.0007975904939108156</x:v>
      </x:c>
      <x:c r="N929" s="240" t="n">
        <x:f>K929^2/(1-M929)^2</x:f>
        <x:v>0.000016130239237815047</x:v>
      </x:c>
      <x:c r="O929" s="240" t="n">
        <x:f>N929*L929^2/'Beta HC3'!$E$11^2</x:f>
        <x:v>8.57897388680876e-11</x:v>
      </x:c>
      <x:c r="P929" s="240" t="n">
        <x:f>N929*(1/'Beta HC3'!$E$8-'Beta HC3'!$E$9*L929/'Beta HC3'!$E$11)^2</x:f>
        <x:v>1.0207854404779679e-11</x:v>
      </x:c>
      <x:c r="Q929" s="240" t="n">
        <x:f>N929*(1/'Beta HC3'!$E$8-'Beta HC3'!$E$9*L929/'Beta HC3'!$E$11)*L929/'Beta HC3'!$E$11</x:f>
        <x:v>2.959272146642661e-11</x:v>
      </x:c>
      <x:c r="R929" s="240" t="n">
        <x:f>K929*L929/'Beta HC3'!$E$11</x:f>
        <x:v>0.000009254887534859002</x:v>
      </x:c>
      <x:c r="S929" s="240" t="n">
        <x:f>(K929-K928)^2</x:f>
        <x:v>0.00009664307388897689</x:v>
      </x:c>
      <x:c r="T929" s="280" t="n">
        <x:f>E929/$E$9*100</x:f>
        <x:v>165.42860298101579</x:v>
      </x:c>
    </x:row>
    <x:row r="930" ht="24" customHeight="1">
      <x:c r="C930" s="274" t="d">
        <x:v>2025-06-10T00:00:00.000Z</x:v>
      </x:c>
      <x:c r="D930" s="191" t="n">
        <x:v>470.9200134277344</x:v>
      </x:c>
      <x:c r="E930" s="191" t="n">
        <x:v>466.31048583984375</x:v>
      </x:c>
      <x:c r="F930" s="191" t="n">
        <x:v>603.0800170898438</x:v>
      </x:c>
      <x:c r="G930" s="191" t="n">
        <x:v>593.2396240234375</x:v>
      </x:c>
      <x:c r="H930" s="208" t="n">
        <x:f>E930/E929-1</x:f>
        <x:v>-0.0038709366182859695</x:v>
      </x:c>
      <x:c r="I930" s="208" t="n">
        <x:f>G930/G929-1</x:f>
        <x:v>0.005669621914150325</x:v>
      </x:c>
      <x:c r="J930" s="208" t="n">
        <x:f>'Beta HC3'!$E$13+'Beta HC3'!$E$12*I930</x:f>
        <x:v>0.0064033975235905285</x:v>
      </x:c>
      <x:c r="K930" s="240" t="n">
        <x:f>H930-J930</x:f>
        <x:v>-0.010274334141876498</x:v>
      </x:c>
      <x:c r="L930" s="240" t="n">
        <x:f>I930-'Beta HC3'!$E$9</x:f>
        <x:v>0.005105674296489885</x:v>
      </x:c>
      <x:c r="M930" s="240" t="n">
        <x:f>1/'Beta HC3'!$E$8+L930^2/'Beta HC3'!$E$11</x:f>
        <x:v>0.0009750767192117721</x:v>
      </x:c>
      <x:c r="N930" s="240" t="n">
        <x:f>K930^2/(1-M930)^2</x:f>
        <x:v>0.0001057681055319787</x:v>
      </x:c>
      <x:c r="O930" s="240" t="n">
        <x:f>N930*L930^2/'Beta HC3'!$E$11^2</x:f>
        <x:v>1.289364360495593e-7</x:v>
      </x:c>
      <x:c r="P930" s="240" t="n">
        <x:f>N930*(1/'Beta HC3'!$E$8-'Beta HC3'!$E$9*L930/'Beta HC3'!$E$11)^2</x:f>
        <x:v>6.387542342888271e-11</x:v>
      </x:c>
      <x:c r="Q930" s="240" t="n">
        <x:f>N930*(1/'Beta HC3'!$E$8-'Beta HC3'!$E$9*L930/'Beta HC3'!$E$11)*L930/'Beta HC3'!$E$11</x:f>
        <x:v>2.8698204557213432e-9</x:v>
      </x:c>
      <x:c r="R930" s="240" t="n">
        <x:f>K930*L930/'Beta HC3'!$E$11</x:f>
        <x:v>-0.00035872707286312903</x:v>
      </x:c>
      <x:c r="S930" s="240" t="n">
        <x:f>(K930-K929)^2</x:f>
        <x:v>0.00020412916242795406</x:v>
      </x:c>
      <x:c r="T930" s="280" t="n">
        <x:f>E930/$E$9*100</x:f>
        <x:v>164.7882393440247</x:v>
      </x:c>
    </x:row>
    <x:row r="931" ht="24" customHeight="1">
      <x:c r="C931" s="274" t="d">
        <x:v>2025-06-11T00:00:00.000Z</x:v>
      </x:c>
      <x:c r="D931" s="191" t="n">
        <x:v>472.6199951171875</x:v>
      </x:c>
      <x:c r="E931" s="191" t="n">
        <x:v>467.99383544921875</x:v>
      </x:c>
      <x:c r="F931" s="191" t="n">
        <x:v>601.3599853515625</x:v>
      </x:c>
      <x:c r="G931" s="191" t="n">
        <x:v>591.5477294921875</x:v>
      </x:c>
      <x:c r="H931" s="208" t="n">
        <x:f>E931/E930-1</x:f>
        <x:v>0.0036099329963452664</x:v>
      </x:c>
      <x:c r="I931" s="208" t="n">
        <x:f>G931/G930-1</x:f>
        <x:v>-0.0028519580667510924</x:v>
      </x:c>
      <x:c r="J931" s="208" t="n">
        <x:f>'Beta HC3'!$E$13+'Beta HC3'!$E$12*I931</x:f>
        <x:v>-0.003207340372031109</x:v>
      </x:c>
      <x:c r="K931" s="240" t="n">
        <x:f>H931-J931</x:f>
        <x:v>0.006817273368376375</x:v>
      </x:c>
      <x:c r="L931" s="240" t="n">
        <x:f>I931-'Beta HC3'!$E$9</x:f>
        <x:v>-0.0034159056844115317</x:v>
      </x:c>
      <x:c r="M931" s="240" t="n">
        <x:f>1/'Beta HC3'!$E$8+L931^2/'Beta HC3'!$E$11</x:f>
        <x:v>0.0008766065408376007</x:v>
      </x:c>
      <x:c r="N931" s="240" t="n">
        <x:f>K931^2/(1-M931)^2</x:f>
        <x:v>0.0000465568044016262</x:v>
      </x:c>
      <x:c r="O931" s="240" t="n">
        <x:f>N931*L931^2/'Beta HC3'!$E$11^2</x:f>
        <x:v>2.5404440120108073e-8</x:v>
      </x:c>
      <x:c r="P931" s="240" t="n">
        <x:f>N931*(1/'Beta HC3'!$E$8-'Beta HC3'!$E$9*L931/'Beta HC3'!$E$11)^2</x:f>
        <x:v>3.054488413158299e-11</x:v>
      </x:c>
      <x:c r="Q931" s="240" t="n">
        <x:f>N931*(1/'Beta HC3'!$E$8-'Beta HC3'!$E$9*L931/'Beta HC3'!$E$11)*L931/'Beta HC3'!$E$11</x:f>
        <x:v>-8.808948177259526e-10</x:v>
      </x:c>
      <x:c r="R931" s="240" t="n">
        <x:f>K931*L931/'Beta HC3'!$E$11</x:f>
        <x:v>-0.00015924798348839497</x:v>
      </x:c>
      <x:c r="S931" s="240" t="n">
        <x:f>(K931-K930)^2</x:f>
        <x:v>0.0002921230472845324</x:v>
      </x:c>
      <x:c r="T931" s="280" t="n">
        <x:f>E931/$E$9*100</x:f>
        <x:v>165.38311384664232</x:v>
      </x:c>
    </x:row>
    <x:row r="932" ht="24" customHeight="1">
      <x:c r="C932" s="274" t="d">
        <x:v>2025-06-12T00:00:00.000Z</x:v>
      </x:c>
      <x:c r="D932" s="191" t="n">
        <x:v>478.8699951171875</x:v>
      </x:c>
      <x:c r="E932" s="191" t="n">
        <x:v>474.1826171875</x:v>
      </x:c>
      <x:c r="F932" s="191" t="n">
        <x:v>603.75</x:v>
      </x:c>
      <x:c r="G932" s="191" t="n">
        <x:v>593.8986206054688</x:v>
      </x:c>
      <x:c r="H932" s="208" t="n">
        <x:f>E932/E931-1</x:f>
        <x:v>0.013224066792120848</x:v>
      </x:c>
      <x:c r="I932" s="208" t="n">
        <x:f>G932/G931-1</x:f>
        <x:v>0.003974135975975068</x:v>
      </x:c>
      <x:c r="J932" s="208" t="n">
        <x:f>'Beta HC3'!$E$13+'Beta HC3'!$E$12*I932</x:f>
        <x:v>0.004491208587497147</x:v>
      </x:c>
      <x:c r="K932" s="240" t="n">
        <x:f>H932-J932</x:f>
        <x:v>0.0087328582046237</x:v>
      </x:c>
      <x:c r="L932" s="240" t="n">
        <x:f>I932-'Beta HC3'!$E$9</x:f>
        <x:v>0.003410188358314629</x:v>
      </x:c>
      <x:c r="M932" s="240" t="n">
        <x:f>1/'Beta HC3'!$E$8+L932^2/'Beta HC3'!$E$11</x:f>
        <x:v>0.0008763396568043352</x:v>
      </x:c>
      <x:c r="N932" s="240" t="n">
        <x:f>K932^2/(1-M932)^2</x:f>
        <x:v>0.00007639665258424832</x:v>
      </x:c>
      <x:c r="O932" s="240" t="n">
        <x:f>N932*L932^2/'Beta HC3'!$E$11^2</x:f>
        <x:v>4.1547585248421184e-8</x:v>
      </x:c>
      <x:c r="P932" s="240" t="n">
        <x:f>N932*(1/'Beta HC3'!$E$8-'Beta HC3'!$E$9*L932/'Beta HC3'!$E$11)^2</x:f>
        <x:v>4.691709357140338e-11</x:v>
      </x:c>
      <x:c r="Q932" s="240" t="n">
        <x:f>N932*(1/'Beta HC3'!$E$8-'Beta HC3'!$E$9*L932/'Beta HC3'!$E$11)*L932/'Beta HC3'!$E$11</x:f>
        <x:v>1.3961704569163595e-9</x:v>
      </x:c>
      <x:c r="R932" s="240" t="n">
        <x:f>K932*L932/'Beta HC3'!$E$11</x:f>
        <x:v>0.00020365362153071213</x:v>
      </x:c>
      <x:c r="S932" s="240" t="n">
        <x:f>(K932-K931)^2</x:f>
        <x:v>0.000003669465264860689</x:v>
      </x:c>
      <x:c r="T932" s="280" t="n">
        <x:f>E932/$E$9*100</x:f>
        <x:v>167.57015119043922</x:v>
      </x:c>
    </x:row>
    <x:row r="933" ht="24" customHeight="1">
      <x:c r="C933" s="274" t="d">
        <x:v>2025-06-13T00:00:00.000Z</x:v>
      </x:c>
      <x:c r="D933" s="191" t="n">
        <x:v>474.9599914550781</x:v>
      </x:c>
      <x:c r="E933" s="191" t="n">
        <x:v>470.3109130859375</x:v>
      </x:c>
      <x:c r="F933" s="191" t="n">
        <x:v>597</x:v>
      </x:c>
      <x:c r="G933" s="191" t="n">
        <x:v>587.2588500976562</x:v>
      </x:c>
      <x:c r="H933" s="208" t="n">
        <x:f>E933/E932-1</x:f>
        <x:v>-0.008165006394638796</x:v>
      </x:c>
      <x:c r="I933" s="208" t="n">
        <x:f>G933/G932-1</x:f>
        <x:v>-0.011179972940572491</x:v>
      </x:c>
      <x:c r="J933" s="208" t="n">
        <x:f>'Beta HC3'!$E$13+'Beta HC3'!$E$12*I933</x:f>
        <x:v>-0.012599773268573549</x:v>
      </x:c>
      <x:c r="K933" s="240" t="n">
        <x:f>H933-J933</x:f>
        <x:v>0.004434766873934752</x:v>
      </x:c>
      <x:c r="L933" s="240" t="n">
        <x:f>I933-'Beta HC3'!$E$9</x:f>
        <x:v>-0.01174392055823293</x:v>
      </x:c>
      <x:c r="M933" s="240" t="n">
        <x:f>1/'Beta HC3'!$E$8+L933^2/'Beta HC3'!$E$11</x:f>
        <x:v>0.0017399688339095917</x:v>
      </x:c>
      <x:c r="N933" s="240" t="n">
        <x:f>K933^2/(1-M933)^2</x:f>
        <x:v>0.000019735776749164903</x:v>
      </x:c>
      <x:c r="O933" s="240" t="n">
        <x:f>N933*L933^2/'Beta HC3'!$E$11^2</x:f>
        <x:v>1.2729025490644174e-7</x:v>
      </x:c>
      <x:c r="P933" s="240" t="n">
        <x:f>N933*(1/'Beta HC3'!$E$8-'Beta HC3'!$E$9*L933/'Beta HC3'!$E$11)^2</x:f>
        <x:v>1.3995394262574442e-11</x:v>
      </x:c>
      <x:c r="Q933" s="240" t="n">
        <x:f>N933*(1/'Beta HC3'!$E$8-'Beta HC3'!$E$9*L933/'Beta HC3'!$E$11)*L933/'Beta HC3'!$E$11</x:f>
        <x:v>-1.3347199343679754e-9</x:v>
      </x:c>
      <x:c r="R933" s="240" t="n">
        <x:f>K933*L933/'Beta HC3'!$E$11</x:f>
        <x:v>-0.00035615681675887765</x:v>
      </x:c>
      <x:c r="S933" s="240" t="n">
        <x:f>(K933-K932)^2</x:f>
        <x:v>0.000018473589086943485</x:v>
      </x:c>
      <x:c r="T933" s="280" t="n">
        <x:f>E933/$E$9*100</x:f>
        <x:v>166.20193983441868</x:v>
      </x:c>
    </x:row>
    <x:row r="934" ht="24" customHeight="1">
      <x:c r="C934" s="274" t="d">
        <x:v>2025-06-16T00:00:00.000Z</x:v>
      </x:c>
      <x:c r="D934" s="191" t="n">
        <x:v>479.1400146484375</x:v>
      </x:c>
      <x:c r="E934" s="191" t="n">
        <x:v>474.4499816894531</x:v>
      </x:c>
      <x:c r="F934" s="191" t="n">
        <x:v>602.6799926757812</x:v>
      </x:c>
      <x:c r="G934" s="191" t="n">
        <x:v>592.84619140625</x:v>
      </x:c>
      <x:c r="H934" s="208" t="n">
        <x:f>E934/E933-1</x:f>
        <x:v>0.00880070712447889</x:v>
      </x:c>
      <x:c r="I934" s="208" t="n">
        <x:f>G934/G933-1</x:f>
        <x:v>0.009514273488879121</x:v>
      </x:c>
      <x:c r="J934" s="208" t="n">
        <x:f>'Beta HC3'!$E$13+'Beta HC3'!$E$12*I934</x:f>
        <x:v>0.010739440683136028</x:v>
      </x:c>
      <x:c r="K934" s="240" t="n">
        <x:f>H934-J934</x:f>
        <x:v>-0.0019387335586571377</x:v>
      </x:c>
      <x:c r="L934" s="240" t="n">
        <x:f>I934-'Beta HC3'!$E$9</x:f>
        <x:v>0.008950325871218683</x:v>
      </x:c>
      <x:c r="M934" s="240" t="n">
        <x:f>1/'Beta HC3'!$E$8+L934^2/'Beta HC3'!$E$11</x:f>
        <x:v>0.001344629183508202</x:v>
      </x:c>
      <x:c r="N934" s="240" t="n">
        <x:f>K934^2/(1-M934)^2</x:f>
        <x:v>0.000003768816318156642</x:v>
      </x:c>
      <x:c r="O934" s="240" t="n">
        <x:f>N934*L934^2/'Beta HC3'!$E$11^2</x:f>
        <x:v>1.4118787117488404e-8</x:v>
      </x:c>
      <x:c r="P934" s="240" t="n">
        <x:f>N934*(1/'Beta HC3'!$E$8-'Beta HC3'!$E$9*L934/'Beta HC3'!$E$11)^2</x:f>
        <x:v>2.1900387156099595e-12</x:v>
      </x:c>
      <x:c r="Q934" s="240" t="n">
        <x:f>N934*(1/'Beta HC3'!$E$8-'Beta HC3'!$E$9*L934/'Beta HC3'!$E$11)*L934/'Beta HC3'!$E$11</x:f>
        <x:v>1.758428002641983e-10</x:v>
      </x:c>
      <x:c r="R934" s="240" t="n">
        <x:f>K934*L934/'Beta HC3'!$E$11</x:f>
        <x:v>-0.00011866273036744916</x:v>
      </x:c>
      <x:c r="S934" s="240" t="n">
        <x:f>(K934-K933)^2</x:f>
        <x:v>0.00004062150776424901</x:v>
      </x:c>
      <x:c r="T934" s="280" t="n">
        <x:f>E934/$E$9*100</x:f>
        <x:v>167.66463443042167</x:v>
      </x:c>
    </x:row>
    <x:row r="935" ht="24" customHeight="1">
      <x:c r="C935" s="274" t="d">
        <x:v>2025-06-17T00:00:00.000Z</x:v>
      </x:c>
      <x:c r="D935" s="191" t="n">
        <x:v>478.0400085449219</x:v>
      </x:c>
      <x:c r="E935" s="191" t="n">
        <x:v>473.3607482910156</x:v>
      </x:c>
      <x:c r="F935" s="191" t="n">
        <x:v>597.530029296875</x:v>
      </x:c>
      <x:c r="G935" s="191" t="n">
        <x:v>587.7802124023438</x:v>
      </x:c>
      <x:c r="H935" s="208" t="n">
        <x:f>E935/E934-1</x:f>
        <x:v>-0.002295781305668654</x:v>
      </x:c>
      <x:c r="I935" s="208" t="n">
        <x:f>G935/G934-1</x:f>
        <x:v>-0.008545182675272933</x:v>
      </x:c>
      <x:c r="J935" s="208" t="n">
        <x:f>'Beta HC3'!$E$13+'Beta HC3'!$E$12*I935</x:f>
        <x:v>-0.009628225890448623</x:v>
      </x:c>
      <x:c r="K935" s="240" t="n">
        <x:f>H935-J935</x:f>
        <x:v>0.00733244458477997</x:v>
      </x:c>
      <x:c r="L935" s="240" t="n">
        <x:f>I935-'Beta HC3'!$E$9</x:f>
        <x:v>-0.009109130292933372</x:v>
      </x:c>
      <x:c r="M935" s="240" t="n">
        <x:f>1/'Beta HC3'!$E$8+L935^2/'Beta HC3'!$E$11</x:f>
        <x:v>0.001364241307038327</x:v>
      </x:c>
      <x:c r="N935" s="240" t="n">
        <x:f>K935^2/(1-M935)^2</x:f>
        <x:v>0.000053911740497440966</x:v>
      </x:c>
      <x:c r="O935" s="240" t="n">
        <x:f>N935*L935^2/'Beta HC3'!$E$11^2</x:f>
        <x:v>2.091952907903888e-7</x:v>
      </x:c>
      <x:c r="P935" s="240" t="n">
        <x:f>N935*(1/'Beta HC3'!$E$8-'Beta HC3'!$E$9*L935/'Beta HC3'!$E$11)^2</x:f>
        <x:v>3.731382783010055e-11</x:v>
      </x:c>
      <x:c r="Q935" s="240" t="n">
        <x:f>N935*(1/'Beta HC3'!$E$8-'Beta HC3'!$E$9*L935/'Beta HC3'!$E$11)*L935/'Beta HC3'!$E$11</x:f>
        <x:v>-2.79389997376792e-9</x:v>
      </x:c>
      <x:c r="R935" s="240" t="n">
        <x:f>K935*L935/'Beta HC3'!$E$11</x:f>
        <x:v>-0.0004567547420894989</x:v>
      </x:c>
      <x:c r="S935" s="240" t="n">
        <x:f>(K935-K934)^2</x:f>
        <x:v>0.00008595474416734593</x:v>
      </x:c>
      <x:c r="T935" s="280" t="n">
        <x:f>E935/$E$9*100</x:f>
        <x:v>167.27971309707453</x:v>
      </x:c>
    </x:row>
    <x:row r="936" ht="24" customHeight="1">
      <x:c r="C936" s="274" t="d">
        <x:v>2025-06-18T00:00:00.000Z</x:v>
      </x:c>
      <x:c r="D936" s="191" t="n">
        <x:v>480.239990234375</x:v>
      </x:c>
      <x:c r="E936" s="191" t="n">
        <x:v>475.53924560546875</x:v>
      </x:c>
      <x:c r="F936" s="191" t="n">
        <x:v>597.4400024414062</x:v>
      </x:c>
      <x:c r="G936" s="191" t="n">
        <x:v>587.691650390625</x:v>
      </x:c>
      <x:c r="H936" s="208" t="n">
        <x:f>E936/E935-1</x:f>
        <x:v>0.004602192560997587</x:v>
      </x:c>
      <x:c r="I936" s="208" t="n">
        <x:f>G936/G935-1</x:f>
        <x:v>-0.00015067198563356587</x:v>
      </x:c>
      <x:c r="J936" s="208" t="n">
        <x:f>'Beta HC3'!$E$13+'Beta HC3'!$E$12*I936</x:f>
        <x:v>-0.00016079823255742948</x:v>
      </x:c>
      <x:c r="K936" s="240" t="n">
        <x:f>H936-J936</x:f>
        <x:v>0.004762990793555016</x:v>
      </x:c>
      <x:c r="L936" s="240" t="n">
        <x:f>I936-'Beta HC3'!$E$9</x:f>
        <x:v>-0.0007146196032940052</x:v>
      </x:c>
      <x:c r="M936" s="240" t="n">
        <x:f>1/'Beta HC3'!$E$8+L936^2/'Beta HC3'!$E$11</x:f>
        <x:v>0.0008003050141729065</x:v>
      </x:c>
      <x:c r="N936" s="240" t="n">
        <x:f>K936^2/(1-M936)^2</x:f>
        <x:v>0.000022722436505778904</x:v>
      </x:c>
      <x:c r="O936" s="240" t="n">
        <x:f>N936*L936^2/'Beta HC3'!$E$11^2</x:f>
        <x:v>5.426495814334187e-10</x:v>
      </x:c>
      <x:c r="P936" s="240" t="n">
        <x:f>N936*(1/'Beta HC3'!$E$8-'Beta HC3'!$E$9*L936/'Beta HC3'!$E$11)^2</x:f>
        <x:v>1.4526683190592693e-11</x:v>
      </x:c>
      <x:c r="Q936" s="240" t="n">
        <x:f>N936*(1/'Beta HC3'!$E$8-'Beta HC3'!$E$9*L936/'Beta HC3'!$E$11)*L936/'Beta HC3'!$E$11</x:f>
        <x:v>-8.878568889742875e-11</x:v>
      </x:c>
      <x:c r="R936" s="240" t="n">
        <x:f>K936*L936/'Beta HC3'!$E$11</x:f>
        <x:v>-0.0000232761972545368</x:v>
      </x:c>
      <x:c r="S936" s="240" t="n">
        <x:f>(K936-K935)^2</x:f>
        <x:v>0.000006602092785240288</x:v>
      </x:c>
      <x:c r="T936" s="280" t="n">
        <x:f>E936/$E$9*100</x:f>
        <x:v>168.0495665482957</x:v>
      </x:c>
    </x:row>
    <x:row r="937" ht="24" customHeight="1">
      <x:c r="C937" s="274" t="d">
        <x:v>2025-06-20T00:00:00.000Z</x:v>
      </x:c>
      <x:c r="D937" s="191" t="n">
        <x:v>477.3999938964844</x:v>
      </x:c>
      <x:c r="E937" s="191" t="n">
        <x:v>472.7270202636719</x:v>
      </x:c>
      <x:c r="F937" s="191" t="n">
        <x:v>594.280029296875</x:v>
      </x:c>
      <x:c r="G937" s="191" t="n">
        <x:v>586.3115234375</x:v>
      </x:c>
      <x:c r="H937" s="208" t="n">
        <x:f>E937/E936-1</x:f>
        <x:v>-0.0059137607837524975</x:v>
      </x:c>
      <x:c r="I937" s="208" t="n">
        <x:f>G937/G936-1</x:f>
        <x:v>-0.0023483861855237986</x:v>
      </x:c>
      <x:c r="J937" s="208" t="n">
        <x:f>'Beta HC3'!$E$13+'Beta HC3'!$E$12*I937</x:f>
        <x:v>-0.0026394060954148743</x:v>
      </x:c>
      <x:c r="K937" s="240" t="n">
        <x:f>H937-J937</x:f>
        <x:v>-0.003274354688337623</x:v>
      </x:c>
      <x:c r="L937" s="240" t="n">
        <x:f>I937-'Beta HC3'!$E$9</x:f>
        <x:v>-0.002912333803184238</x:v>
      </x:c>
      <x:c r="M937" s="240" t="n">
        <x:f>1/'Beta HC3'!$E$8+L937^2/'Beta HC3'!$E$11</x:f>
        <x:v>0.0008548143075475402</x:v>
      </x:c>
      <x:c r="N937" s="240" t="n">
        <x:f>K937^2/(1-M937)^2</x:f>
        <x:v>0.000010739751764356768</x:v>
      </x:c>
      <x:c r="O937" s="240" t="n">
        <x:f>N937*L937^2/'Beta HC3'!$E$11^2</x:f>
        <x:v>4.259820196246199e-9</x:v>
      </x:c>
      <x:c r="P937" s="240" t="n">
        <x:f>N937*(1/'Beta HC3'!$E$8-'Beta HC3'!$E$9*L937/'Beta HC3'!$E$11)^2</x:f>
        <x:v>7.012365061168603e-12</x:v>
      </x:c>
      <x:c r="Q937" s="240" t="n">
        <x:f>N937*(1/'Beta HC3'!$E$8-'Beta HC3'!$E$9*L937/'Beta HC3'!$E$11)*L937/'Beta HC3'!$E$11</x:f>
        <x:v>-1.7283348723848986e-10</x:v>
      </x:c>
      <x:c r="R937" s="240" t="n">
        <x:f>K937*L937/'Beta HC3'!$E$11</x:f>
        <x:v>0.00006521150664128307</x:v>
      </x:c>
      <x:c r="S937" s="240" t="n">
        <x:f>(K937-K936)^2</x:f>
        <x:v>0.0000645989223953</x:v>
      </x:c>
      <x:c r="T937" s="280" t="n">
        <x:f>E937/$E$9*100</x:f>
        <x:v>167.05576161191578</x:v>
      </x:c>
    </x:row>
    <x:row r="938" ht="24" customHeight="1">
      <x:c r="C938" s="274" t="d">
        <x:v>2025-06-23T00:00:00.000Z</x:v>
      </x:c>
      <x:c r="D938" s="191" t="n">
        <x:v>486</x:v>
      </x:c>
      <x:c r="E938" s="191" t="n">
        <x:v>481.24285888671875</x:v>
      </x:c>
      <x:c r="F938" s="191" t="n">
        <x:v>600.1500244140625</x:v>
      </x:c>
      <x:c r="G938" s="191" t="n">
        <x:v>592.1026611328125</x:v>
      </x:c>
      <x:c r="H938" s="208" t="n">
        <x:f>E938/E937-1</x:f>
        <x:v>0.018014283630956918</x:v>
      </x:c>
      <x:c r="I938" s="208" t="n">
        <x:f>G938/G937-1</x:f>
        <x:v>0.009877236697241498</x:v>
      </x:c>
      <x:c r="J938" s="208" t="n">
        <x:f>'Beta HC3'!$E$13+'Beta HC3'!$E$12*I938</x:f>
        <x:v>0.011148794848577505</x:v>
      </x:c>
      <x:c r="K938" s="240" t="n">
        <x:f>H938-J938</x:f>
        <x:v>0.0068654887823794124</x:v>
      </x:c>
      <x:c r="L938" s="240" t="n">
        <x:f>I938-'Beta HC3'!$E$9</x:f>
        <x:v>0.00931328907958106</x:v>
      </x:c>
      <x:c r="M938" s="240" t="n">
        <x:f>1/'Beta HC3'!$E$8+L938^2/'Beta HC3'!$E$11</x:f>
        <x:v>0.0013899613744089508</x:v>
      </x:c>
      <x:c r="N938" s="240" t="n">
        <x:f>K938^2/(1-M938)^2</x:f>
        <x:v>0.00004726624140267428</x:v>
      </x:c>
      <x:c r="O938" s="240" t="n">
        <x:f>N938*L938^2/'Beta HC3'!$E$11^2</x:f>
        <x:v>1.9172200335332408e-7</x:v>
      </x:c>
      <x:c r="P938" s="240" t="n">
        <x:f>N938*(1/'Beta HC3'!$E$8-'Beta HC3'!$E$9*L938/'Beta HC3'!$E$11)^2</x:f>
        <x:v>2.736537878327197e-11</x:v>
      </x:c>
      <x:c r="Q938" s="240" t="n">
        <x:f>N938*(1/'Beta HC3'!$E$8-'Beta HC3'!$E$9*L938/'Beta HC3'!$E$11)*L938/'Beta HC3'!$E$11</x:f>
        <x:v>2.290533833596756e-9</x:v>
      </x:c>
      <x:c r="R938" s="240" t="n">
        <x:f>K938*L938/'Beta HC3'!$E$11</x:f>
        <x:v>0.0004372521027968296</x:v>
      </x:c>
      <x:c r="S938" s="240" t="n">
        <x:f>(K938-K937)^2</x:f>
        <x:v>0.00010281642561064289</x:v>
      </x:c>
      <x:c r="T938" s="280" t="n">
        <x:f>E938/$E$9*100</x:f>
        <x:v>170.06515148377835</x:v>
      </x:c>
    </x:row>
    <x:row r="939" ht="24" customHeight="1">
      <x:c r="C939" s="274" t="d">
        <x:v>2025-06-24T00:00:00.000Z</x:v>
      </x:c>
      <x:c r="D939" s="191" t="n">
        <x:v>490.1099853515625</x:v>
      </x:c>
      <x:c r="E939" s="191" t="n">
        <x:v>485.3125915527344</x:v>
      </x:c>
      <x:c r="F939" s="191" t="n">
        <x:v>606.780029296875</x:v>
      </x:c>
      <x:c r="G939" s="191" t="n">
        <x:v>598.6438598632812</x:v>
      </x:c>
      <x:c r="H939" s="208" t="n">
        <x:f>E939/E938-1</x:f>
        <x:v>0.008456712844384429</x:v>
      </x:c>
      <x:c r="I939" s="208" t="n">
        <x:f>G939/G938-1</x:f>
        <x:v>0.011047406404075533</x:v>
      </x:c>
      <x:c r="J939" s="208" t="n">
        <x:f>'Beta HC3'!$E$13+'Beta HC3'!$E$12*I939</x:f>
        <x:v>0.012468525974845558</x:v>
      </x:c>
      <x:c r="K939" s="240" t="n">
        <x:f>H939-J939</x:f>
        <x:v>-0.004011813130461129</x:v>
      </x:c>
      <x:c r="L939" s="240" t="n">
        <x:f>I939-'Beta HC3'!$E$9</x:f>
        <x:v>0.010483458786415094</x:v>
      </x:c>
      <x:c r="M939" s="240" t="n">
        <x:f>1/'Beta HC3'!$E$8+L939^2/'Beta HC3'!$E$11</x:f>
        <x:v>0.0015483777468727404</x:v>
      </x:c>
      <x:c r="N939" s="240" t="n">
        <x:f>K939^2/(1-M939)^2</x:f>
        <x:v>0.000016144601771713924</x:v>
      </x:c>
      <x:c r="O939" s="240" t="n">
        <x:f>N939*L939^2/'Beta HC3'!$E$11^2</x:f>
        <x:v>8.297576101259488e-8</x:v>
      </x:c>
      <x:c r="P939" s="240" t="n">
        <x:f>N939*(1/'Beta HC3'!$E$8-'Beta HC3'!$E$9*L939/'Beta HC3'!$E$11)^2</x:f>
        <x:v>9.23657350009334e-12</x:v>
      </x:c>
      <x:c r="Q939" s="240" t="n">
        <x:f>N939*(1/'Beta HC3'!$E$8-'Beta HC3'!$E$9*L939/'Beta HC3'!$E$11)*L939/'Beta HC3'!$E$11</x:f>
        <x:v>8.75449436186358e-10</x:v>
      </x:c>
      <x:c r="R939" s="240" t="n">
        <x:f>K939*L939/'Beta HC3'!$E$11</x:f>
        <x:v>-0.0002876091172077683</x:v>
      </x:c>
      <x:c r="S939" s="240" t="n">
        <x:f>(K939-K938)^2</x:f>
        <x:v>0.00011831569690308451</x:v>
      </x:c>
      <x:c r="T939" s="280" t="n">
        <x:f>E939/$E$9*100</x:f>
        <x:v>171.5033436347134</x:v>
      </x:c>
    </x:row>
    <x:row r="940" ht="24" customHeight="1">
      <x:c r="C940" s="274" t="d">
        <x:v>2025-06-25T00:00:00.000Z</x:v>
      </x:c>
      <x:c r="D940" s="191" t="n">
        <x:v>492.2699890136719</x:v>
      </x:c>
      <x:c r="E940" s="191" t="n">
        <x:v>487.45147705078125</x:v>
      </x:c>
      <x:c r="F940" s="191" t="n">
        <x:v>607.1199951171875</x:v>
      </x:c>
      <x:c r="G940" s="191" t="n">
        <x:v>598.9793701171875</x:v>
      </x:c>
      <x:c r="H940" s="208" t="n">
        <x:f>E940/E939-1</x:f>
        <x:v>0.004407232648144577</x:v>
      </x:c>
      <x:c r="I940" s="208" t="n">
        <x:f>G940/G939-1</x:f>
        <x:v>0.0005604505055525344</x:v>
      </x:c>
      <x:c r="J940" s="208" t="n">
        <x:f>'Beta HC3'!$E$13+'Beta HC3'!$E$12*I940</x:f>
        <x:v>0.0006412140573921357</x:v>
      </x:c>
      <x:c r="K940" s="240" t="n">
        <x:f>H940-J940</x:f>
        <x:v>0.003766018590752441</x:v>
      </x:c>
      <x:c r="L940" s="240" t="n">
        <x:f>I940-'Beta HC3'!$E$9</x:f>
        <x:v>-0.000003497112107904974</x:v>
      </x:c>
      <x:c r="M940" s="240" t="n">
        <x:f>1/'Beta HC3'!$E$8+L940^2/'Beta HC3'!$E$11</x:f>
        <x:v>0.0007968128326367521</x:v>
      </x:c>
      <x:c r="N940" s="240" t="n">
        <x:f>K940^2/(1-M940)^2</x:f>
        <x:v>0.000014205525296354094</x:v>
      </x:c>
      <x:c r="O940" s="240" t="n">
        <x:f>N940*L940^2/'Beta HC3'!$E$11^2</x:f>
        <x:v>8.124396872690554e-15</x:v>
      </x:c>
      <x:c r="P940" s="240" t="n">
        <x:f>N940*(1/'Beta HC3'!$E$8-'Beta HC3'!$E$9*L940/'Beta HC3'!$E$11)^2</x:f>
        <x:v>9.019543296398022e-12</x:v>
      </x:c>
      <x:c r="Q940" s="240" t="n">
        <x:f>N940*(1/'Beta HC3'!$E$8-'Beta HC3'!$E$9*L940/'Beta HC3'!$E$11)*L940/'Beta HC3'!$E$11</x:f>
        <x:v>-2.7069974021109284e-13</x:v>
      </x:c>
      <x:c r="R940" s="240" t="n">
        <x:f>K940*L940/'Beta HC3'!$E$11</x:f>
        <x:v>-9.006361520384241e-8</x:v>
      </x:c>
      <x:c r="S940" s="240" t="n">
        <x:f>(K940-K939)^2</x:f>
        <x:v>0.00006049466628351605</x:v>
      </x:c>
      <x:c r="T940" s="280" t="n">
        <x:f>E940/$E$9*100</x:f>
        <x:v>172.25919877004628</x:v>
      </x:c>
    </x:row>
    <x:row r="941" ht="24" customHeight="1">
      <x:c r="C941" s="274" t="d">
        <x:v>2025-06-26T00:00:00.000Z</x:v>
      </x:c>
      <x:c r="D941" s="191" t="n">
        <x:v>497.45001220703125</x:v>
      </x:c>
      <x:c r="E941" s="191" t="n">
        <x:v>492.5807800292969</x:v>
      </x:c>
      <x:c r="F941" s="191" t="n">
        <x:v>611.8699951171875</x:v>
      </x:c>
      <x:c r="G941" s="191" t="n">
        <x:v>603.6655883789062</x:v>
      </x:c>
      <x:c r="H941" s="208" t="n">
        <x:f>E941/E940-1</x:f>
        <x:v>0.010522694503972696</x:v>
      </x:c>
      <x:c r="I941" s="208" t="n">
        <x:f>G941/G940-1</x:f>
        <x:v>0.00782367222564262</x:v>
      </x:c>
      <x:c r="J941" s="208" t="n">
        <x:f>'Beta HC3'!$E$13+'Beta HC3'!$E$12*I941</x:f>
        <x:v>0.00883276074075589</x:v>
      </x:c>
      <x:c r="K941" s="240" t="n">
        <x:f>H941-J941</x:f>
        <x:v>0.0016899337632168068</x:v>
      </x:c>
      <x:c r="L941" s="240" t="n">
        <x:f>I941-'Beta HC3'!$E$9</x:f>
        <x:v>0.00725972460798218</x:v>
      </x:c>
      <x:c r="M941" s="240" t="n">
        <x:f>1/'Beta HC3'!$E$8+L941^2/'Beta HC3'!$E$11</x:f>
        <x:v>0.0011572234309130463</x:v>
      </x:c>
      <x:c r="N941" s="240" t="n">
        <x:f>K941^2/(1-M941)^2</x:f>
        <x:v>0.0000028624973887992344</x:v>
      </x:c>
      <x:c r="O941" s="240" t="n">
        <x:f>N941*L941^2/'Beta HC3'!$E$11^2</x:f>
        <x:v>7.055050305030999e-9</x:v>
      </x:c>
      <x:c r="P941" s="240" t="n">
        <x:f>N941*(1/'Beta HC3'!$E$8-'Beta HC3'!$E$9*L941/'Beta HC3'!$E$11)^2</x:f>
        <x:v>1.691956891231667e-12</x:v>
      </x:c>
      <x:c r="Q941" s="240" t="n">
        <x:f>N941*(1/'Beta HC3'!$E$8-'Beta HC3'!$E$9*L941/'Beta HC3'!$E$11)*L941/'Beta HC3'!$E$11</x:f>
        <x:v>1.0925585101761495e-10</x:v>
      </x:c>
      <x:c r="R941" s="240" t="n">
        <x:f>K941*L941/'Beta HC3'!$E$11</x:f>
        <x:v>0.00008389714663727532</x:v>
      </x:c>
      <x:c r="S941" s="240" t="n">
        <x:f>(K941-K940)^2</x:f>
        <x:v>0.000004310128211123665</x:v>
      </x:c>
      <x:c r="T941" s="280" t="n">
        <x:f>E941/$E$9*100</x:f>
        <x:v>174.0718296942026</x:v>
      </x:c>
    </x:row>
    <x:row r="942" ht="24" customHeight="1">
      <x:c r="C942" s="274" t="d">
        <x:v>2025-06-27T00:00:00.000Z</x:v>
      </x:c>
      <x:c r="D942" s="191" t="n">
        <x:v>495.94000244140625</x:v>
      </x:c>
      <x:c r="E942" s="191" t="n">
        <x:v>491.0855407714844</x:v>
      </x:c>
      <x:c r="F942" s="191" t="n">
        <x:v>614.9099731445312</x:v>
      </x:c>
      <x:c r="G942" s="191" t="n">
        <x:v>606.664794921875</x:v>
      </x:c>
      <x:c r="H942" s="208" t="n">
        <x:f>E942/E941-1</x:f>
        <x:v>-0.0030355209103439806</x:v>
      </x:c>
      <x:c r="I942" s="208" t="n">
        <x:f>G942/G941-1</x:f>
        <x:v>0.00496832451725937</x:v>
      </x:c>
      <x:c r="J942" s="208" t="n">
        <x:f>'Beta HC3'!$E$13+'Beta HC3'!$E$12*I942</x:f>
        <x:v>0.005612466090275771</x:v>
      </x:c>
      <x:c r="K942" s="240" t="n">
        <x:f>H942-J942</x:f>
        <x:v>-0.008647987000619752</x:v>
      </x:c>
      <x:c r="L942" s="240" t="n">
        <x:f>I942-'Beta HC3'!$E$9</x:f>
        <x:v>0.004404376899598931</x:v>
      </x:c>
      <x:c r="M942" s="240" t="n">
        <x:f>1/'Beta HC3'!$E$8+L942^2/'Beta HC3'!$E$11</x:f>
        <x:v>0.0009294685705934703</x:v>
      </x:c>
      <x:c r="N942" s="240" t="n">
        <x:f>K942^2/(1-M942)^2</x:f>
        <x:v>0.00007492689882775929</x:v>
      </x:c>
      <x:c r="O942" s="240" t="n">
        <x:f>N942*L942^2/'Beta HC3'!$E$11^2</x:f>
        <x:v>6.79706515442973e-8</x:v>
      </x:c>
      <x:c r="P942" s="240" t="n">
        <x:f>N942*(1/'Beta HC3'!$E$8-'Beta HC3'!$E$9*L942/'Beta HC3'!$E$11)^2</x:f>
        <x:v>4.556532494943792e-11</x:v>
      </x:c>
      <x:c r="Q942" s="240" t="n">
        <x:f>N942*(1/'Beta HC3'!$E$8-'Beta HC3'!$E$9*L942/'Beta HC3'!$E$11)*L942/'Beta HC3'!$E$11</x:f>
        <x:v>1.7598593195596407e-9</x:v>
      </x:c>
      <x:c r="R942" s="240" t="n">
        <x:f>K942*L942/'Beta HC3'!$E$11</x:f>
        <x:v>-0.00026046949360007687</x:v>
      </x:c>
      <x:c r="S942" s="240" t="n">
        <x:f>(K942-K941)^2</x:f>
        <x:v>0.00010687260571936306</x:v>
      </x:c>
      <x:c r="T942" s="280" t="n">
        <x:f>E942/$E$9*100</x:f>
        <x:v>173.543431015264</x:v>
      </x:c>
    </x:row>
    <x:row r="943" ht="24" customHeight="1">
      <x:c r="C943" s="274" t="d">
        <x:v>2025-06-30T00:00:00.000Z</x:v>
      </x:c>
      <x:c r="D943" s="191" t="n">
        <x:v>497.4100036621094</x:v>
      </x:c>
      <x:c r="E943" s="191" t="n">
        <x:v>492.5411682128906</x:v>
      </x:c>
      <x:c r="F943" s="191" t="n">
        <x:v>617.8499755859375</x:v>
      </x:c>
      <x:c r="G943" s="191" t="n">
        <x:v>609.5654296875</x:v>
      </x:c>
      <x:c r="H943" s="208" t="n">
        <x:f>E943/E942-1</x:f>
        <x:v>0.0029641016086923155</x:v>
      </x:c>
      <x:c r="I943" s="208" t="n">
        <x:f>G943/G942-1</x:f>
        <x:v>0.00478128084883922</x:v>
      </x:c>
      <x:c r="J943" s="208" t="n">
        <x:f>'Beta HC3'!$E$13+'Beta HC3'!$E$12*I943</x:f>
        <x:v>0.0054015160462404545</x:v>
      </x:c>
      <x:c r="K943" s="240" t="n">
        <x:f>H943-J943</x:f>
        <x:v>-0.002437414437548139</x:v>
      </x:c>
      <x:c r="L943" s="240" t="n">
        <x:f>I943-'Beta HC3'!$E$9</x:f>
        <x:v>0.00421733323117878</x:v>
      </x:c>
      <x:c r="M943" s="240" t="n">
        <x:f>1/'Beta HC3'!$E$8+L943^2/'Beta HC3'!$E$11</x:f>
        <x:v>0.0009184406459351837</x:v>
      </x:c>
      <x:c r="N943" s="240" t="n">
        <x:f>K943^2/(1-M943)^2</x:f>
        <x:v>0.000005951917084872292</x:v>
      </x:c>
      <x:c r="O943" s="240" t="n">
        <x:f>N943*L943^2/'Beta HC3'!$E$11^2</x:f>
        <x:v>4.9504813796135474e-9</x:v>
      </x:c>
      <x:c r="P943" s="240" t="n">
        <x:f>N943*(1/'Beta HC3'!$E$8-'Beta HC3'!$E$9*L943/'Beta HC3'!$E$11)^2</x:f>
        <x:v>3.626240951637594e-12</x:v>
      </x:c>
      <x:c r="Q943" s="240" t="n">
        <x:f>N943*(1/'Beta HC3'!$E$8-'Beta HC3'!$E$9*L943/'Beta HC3'!$E$11)*L943/'Beta HC3'!$E$11</x:f>
        <x:v>1.3398372404540047e-10</x:v>
      </x:c>
      <x:c r="R943" s="240" t="n">
        <x:f>K943*L943/'Beta HC3'!$E$11</x:f>
        <x:v>-0.00007029503616100559</x:v>
      </x:c>
      <x:c r="S943" s="240" t="n">
        <x:f>(K943-K942)^2</x:f>
        <x:v>0.000038571211561177906</x:v>
      </x:c>
      <x:c r="T943" s="280" t="n">
        <x:f>E943/$E$9*100</x:f>
        <x:v>174.0578313783143</x:v>
      </x:c>
    </x:row>
    <x:row r="944" ht="24" customHeight="1">
      <x:c r="C944" s="274" t="d">
        <x:v>2025-07-01T00:00:00.000Z</x:v>
      </x:c>
      <x:c r="D944" s="191" t="n">
        <x:v>492.04998779296875</x:v>
      </x:c>
      <x:c r="E944" s="191" t="n">
        <x:v>487.2336120605469</x:v>
      </x:c>
      <x:c r="F944" s="191" t="n">
        <x:v>617.6500244140625</x:v>
      </x:c>
      <x:c r="G944" s="191" t="n">
        <x:v>609.3681030273438</x:v>
      </x:c>
      <x:c r="H944" s="208" t="n">
        <x:f>E944/E943-1</x:f>
        <x:v>-0.010775863003698594</x:v>
      </x:c>
      <x:c r="I944" s="208" t="n">
        <x:f>G944/G943-1</x:f>
        <x:v>-0.0003237169474282764</x:v>
      </x:c>
      <x:c r="J944" s="208" t="n">
        <x:f>'Beta HC3'!$E$13+'Beta HC3'!$E$12*I944</x:f>
        <x:v>-0.0003559603709982049</x:v>
      </x:c>
      <x:c r="K944" s="240" t="n">
        <x:f>H944-J944</x:f>
        <x:v>-0.010419902632700389</x:v>
      </x:c>
      <x:c r="L944" s="240" t="n">
        <x:f>I944-'Beta HC3'!$E$9</x:f>
        <x:v>-0.0008876645650887158</x:v>
      </x:c>
      <x:c r="M944" s="240" t="n">
        <x:f>1/'Beta HC3'!$E$8+L944^2/'Beta HC3'!$E$11</x:f>
        <x:v>0.0008022010907022742</x:v>
      </x:c>
      <x:c r="N944" s="240" t="n">
        <x:f>K944^2/(1-M944)^2</x:f>
        <x:v>0.0001087487776683426</x:v>
      </x:c>
      <x:c r="O944" s="240" t="n">
        <x:f>N944*L944^2/'Beta HC3'!$E$11^2</x:f>
        <x:v>4.0071617579762414e-9</x:v>
      </x:c>
      <x:c r="P944" s="240" t="n">
        <x:f>N944*(1/'Beta HC3'!$E$8-'Beta HC3'!$E$9*L944/'Beta HC3'!$E$11)^2</x:f>
        <x:v>6.964029590241054e-11</x:v>
      </x:c>
      <x:c r="Q944" s="240" t="n">
        <x:f>N944*(1/'Beta HC3'!$E$8-'Beta HC3'!$E$9*L944/'Beta HC3'!$E$11)*L944/'Beta HC3'!$E$11</x:f>
        <x:v>-5.28261233249506e-10</x:v>
      </x:c>
      <x:c r="R944" s="240" t="n">
        <x:f>K944*L944/'Beta HC3'!$E$11</x:f>
        <x:v>0.00006325136550008738</x:v>
      </x:c>
      <x:c r="S944" s="240" t="n">
        <x:f>(K944-K943)^2</x:f>
        <x:v>0.00006372011778574502</x:v>
      </x:c>
      <x:c r="T944" s="280" t="n">
        <x:f>E944/$E$9*100</x:f>
        <x:v>172.18220803266072</x:v>
      </x:c>
    </x:row>
    <x:row r="945" ht="24" customHeight="1">
      <x:c r="C945" s="274" t="d">
        <x:v>2025-07-02T00:00:00.000Z</x:v>
      </x:c>
      <x:c r="D945" s="191" t="n">
        <x:v>491.0899963378906</x:v>
      </x:c>
      <x:c r="E945" s="191" t="n">
        <x:v>486.2830505371094</x:v>
      </x:c>
      <x:c r="F945" s="191" t="n">
        <x:v>620.4500122070312</x:v>
      </x:c>
      <x:c r="G945" s="191" t="n">
        <x:v>612.1305541992188</x:v>
      </x:c>
      <x:c r="H945" s="208" t="n">
        <x:f>E945/E944-1</x:f>
        <x:v>-0.0019509358548099875</x:v>
      </x:c>
      <x:c r="I945" s="208" t="n">
        <x:f>G945/G944-1</x:f>
        <x:v>0.004533304513562708</x:v>
      </x:c>
      <x:c r="J945" s="208" t="n">
        <x:f>'Beta HC3'!$E$13+'Beta HC3'!$E$12*I945</x:f>
        <x:v>0.005121845425533888</x:v>
      </x:c>
      <x:c r="K945" s="240" t="n">
        <x:f>H945-J945</x:f>
        <x:v>-0.007072781280343876</x:v>
      </x:c>
      <x:c r="L945" s="240" t="n">
        <x:f>I945-'Beta HC3'!$E$9</x:f>
        <x:v>0.0039693568959022684</x:v>
      </x:c>
      <x:c r="M945" s="240" t="n">
        <x:f>1/'Beta HC3'!$E$8+L945^2/'Beta HC3'!$E$11</x:f>
        <x:v>0.0009045578816073115</x:v>
      </x:c>
      <x:c r="N945" s="240" t="n">
        <x:f>K945^2/(1-M945)^2</x:f>
        <x:v>0.00005011485761323468</x:v>
      </x:c>
      <x:c r="O945" s="240" t="n">
        <x:f>N945*L945^2/'Beta HC3'!$E$11^2</x:f>
        <x:v>3.6925086568869924e-8</x:v>
      </x:c>
      <x:c r="P945" s="240" t="n">
        <x:f>N945*(1/'Beta HC3'!$E$8-'Beta HC3'!$E$9*L945/'Beta HC3'!$E$11)^2</x:f>
        <x:v>3.06076388947073e-11</x:v>
      </x:c>
      <x:c r="Q945" s="240" t="n">
        <x:f>N945*(1/'Beta HC3'!$E$8-'Beta HC3'!$E$9*L945/'Beta HC3'!$E$11)*L945/'Beta HC3'!$E$11</x:f>
        <x:v>1.0631038123606637e-9</x:v>
      </x:c>
      <x:c r="R945" s="240" t="n">
        <x:f>K945*L945/'Beta HC3'!$E$11</x:f>
        <x:v>-0.0001919851948086822</x:v>
      </x:c>
      <x:c r="S945" s="240" t="n">
        <x:f>(K945-K944)^2</x:f>
        <x:v>0.00001120322134740089</x:v>
      </x:c>
      <x:c r="T945" s="280" t="n">
        <x:f>E945/$E$9*100</x:f>
        <x:v>171.84629158944946</x:v>
      </x:c>
    </x:row>
    <x:row r="946" ht="24" customHeight="1">
      <x:c r="C946" s="274" t="d">
        <x:v>2025-07-03T00:00:00.000Z</x:v>
      </x:c>
      <x:c r="D946" s="191" t="n">
        <x:v>498.8399963378906</x:v>
      </x:c>
      <x:c r="E946" s="191" t="n">
        <x:v>493.9571838378906</x:v>
      </x:c>
      <x:c r="F946" s="191" t="n">
        <x:v>625.3400268554688</x:v>
      </x:c>
      <x:c r="G946" s="191" t="n">
        <x:v>616.9549560546875</x:v>
      </x:c>
      <x:c r="H946" s="208" t="n">
        <x:f>E946/E945-1</x:f>
        <x:v>0.01578120662915361</x:v>
      </x:c>
      <x:c r="I946" s="208" t="n">
        <x:f>G946/G945-1</x:f>
        <x:v>0.00788132829242616</x:v>
      </x:c>
      <x:c r="J946" s="208" t="n">
        <x:f>'Beta HC3'!$E$13+'Beta HC3'!$E$12*I946</x:f>
        <x:v>0.008897785929417023</x:v>
      </x:c>
      <x:c r="K946" s="240" t="n">
        <x:f>H946-J946</x:f>
        <x:v>0.006883420699736588</x:v>
      </x:c>
      <x:c r="L946" s="240" t="n">
        <x:f>I946-'Beta HC3'!$E$9</x:f>
        <x:v>0.00731738067476572</x:v>
      </x:c>
      <x:c r="M946" s="240" t="n">
        <x:f>1/'Beta HC3'!$E$8+L946^2/'Beta HC3'!$E$11</x:f>
        <x:v>0.0011629708605615068</x:v>
      </x:c>
      <x:c r="N946" s="240" t="n">
        <x:f>K946^2/(1-M946)^2</x:f>
        <x:v>0.00004749187964100843</x:v>
      </x:c>
      <x:c r="O946" s="240" t="n">
        <x:f>N946*L946^2/'Beta HC3'!$E$11^2</x:f>
        <x:v>1.1891739294104619e-7</x:v>
      </x:c>
      <x:c r="P946" s="240" t="n">
        <x:f>N946*(1/'Beta HC3'!$E$8-'Beta HC3'!$E$9*L946/'Beta HC3'!$E$11)^2</x:f>
        <x:v>2.8055131499396234e-11</x:v>
      </x:c>
      <x:c r="Q946" s="240" t="n">
        <x:f>N946*(1/'Beta HC3'!$E$8-'Beta HC3'!$E$9*L946/'Beta HC3'!$E$11)*L946/'Beta HC3'!$E$11</x:f>
        <x:v>1.8265385559922967e-9</x:v>
      </x:c>
      <x:c r="R946" s="240" t="n">
        <x:f>K946*L946/'Beta HC3'!$E$11</x:f>
        <x:v>0.0003444429689387733</x:v>
      </x:c>
      <x:c r="S946" s="240" t="n">
        <x:f>(K946-K945)^2</x:f>
        <x:v>0.00019477557370880182</x:v>
      </x:c>
      <x:c r="T946" s="280" t="n">
        <x:f>E946/$E$9*100</x:f>
        <x:v>174.55823342547635</x:v>
      </x:c>
    </x:row>
    <x:row r="947" ht="24" customHeight="1">
      <x:c r="C947" s="274" t="d">
        <x:v>2025-07-07T00:00:00.000Z</x:v>
      </x:c>
      <x:c r="D947" s="191" t="n">
        <x:v>497.7200012207031</x:v>
      </x:c>
      <x:c r="E947" s="191" t="n">
        <x:v>492.84814453125</x:v>
      </x:c>
      <x:c r="F947" s="191" t="n">
        <x:v>620.6799926757812</x:v>
      </x:c>
      <x:c r="G947" s="191" t="n">
        <x:v>612.3574829101562</x:v>
      </x:c>
      <x:c r="H947" s="208" t="n">
        <x:f>E947/E946-1</x:f>
        <x:v>-0.0022452134373747157</x:v>
      </x:c>
      <x:c r="I947" s="208" t="n">
        <x:f>G947/G946-1</x:f>
        <x:v>-0.007451878130506073</x:v>
      </x:c>
      <x:c r="J947" s="208" t="n">
        <x:f>'Beta HC3'!$E$13+'Beta HC3'!$E$12*I947</x:f>
        <x:v>-0.008395184195904236</x:v>
      </x:c>
      <x:c r="K947" s="240" t="n">
        <x:f>H947-J947</x:f>
        <x:v>0.00614997075852952</x:v>
      </x:c>
      <x:c r="L947" s="240" t="n">
        <x:f>I947-'Beta HC3'!$E$9</x:f>
        <x:v>-0.008015825748166512</x:v>
      </x:c>
      <x:c r="M947" s="240" t="n">
        <x:f>1/'Beta HC3'!$E$8+L947^2/'Beta HC3'!$E$11</x:f>
        <x:v>0.0012362065209587242</x:v>
      </x:c>
      <x:c r="N947" s="240" t="n">
        <x:f>K947^2/(1-M947)^2</x:f>
        <x:v>0.000037915825970177825</x:v>
      </x:c>
      <x:c r="O947" s="240" t="n">
        <x:f>N947*L947^2/'Beta HC3'!$E$11^2</x:f>
        <x:v>1.1392834262118634e-7</x:v>
      </x:c>
      <x:c r="P947" s="240" t="n">
        <x:f>N947*(1/'Beta HC3'!$E$8-'Beta HC3'!$E$9*L947/'Beta HC3'!$E$11)^2</x:f>
        <x:v>2.5977281128416544e-11</x:v>
      </x:c>
      <x:c r="Q947" s="240" t="n">
        <x:f>N947*(1/'Beta HC3'!$E$8-'Beta HC3'!$E$9*L947/'Beta HC3'!$E$11)*L947/'Beta HC3'!$E$11</x:f>
        <x:v>-1.7203338585184906e-9</x:v>
      </x:c>
      <x:c r="R947" s="240" t="n">
        <x:f>K947*L947/'Beta HC3'!$E$11</x:f>
        <x:v>-0.0003371154680626307</x:v>
      </x:c>
      <x:c r="S947" s="240" t="n">
        <x:f>(K947-K946)^2</x:f>
        <x:v>5.379488162566511e-7</x:v>
      </x:c>
      <x:c r="T947" s="280" t="n">
        <x:f>E947/$E$9*100</x:f>
        <x:v>174.16631293418504</x:v>
      </x:c>
    </x:row>
    <x:row r="948" ht="24" customHeight="1">
      <x:c r="C948" s="274" t="d">
        <x:v>2025-07-08T00:00:00.000Z</x:v>
      </x:c>
      <x:c r="D948" s="191" t="n">
        <x:v>496.6199951171875</x:v>
      </x:c>
      <x:c r="E948" s="191" t="n">
        <x:v>491.7589111328125</x:v>
      </x:c>
      <x:c r="F948" s="191" t="n">
        <x:v>620.3400268554688</x:v>
      </x:c>
      <x:c r="G948" s="191" t="n">
        <x:v>612.0220336914062</x:v>
      </x:c>
      <x:c r="H948" s="208" t="n">
        <x:f>E948/E947-1</x:f>
        <x:v>-0.0022100791298980127</x:v>
      </x:c>
      <x:c r="I948" s="208" t="n">
        <x:f>G948/G947-1</x:f>
        <x:v>-0.0005477996564291487</x:v>
      </x:c>
      <x:c r="J948" s="208" t="n">
        <x:f>'Beta HC3'!$E$13+'Beta HC3'!$E$12*I948</x:f>
        <x:v>-0.0006086834796206543</x:v>
      </x:c>
      <x:c r="K948" s="240" t="n">
        <x:f>H948-J948</x:f>
        <x:v>-0.0016013956502773583</x:v>
      </x:c>
      <x:c r="L948" s="240" t="n">
        <x:f>I948-'Beta HC3'!$E$9</x:f>
        <x:v>-0.001111747274089588</x:v>
      </x:c>
      <x:c r="M948" s="240" t="n">
        <x:f>1/'Beta HC3'!$E$8+L948^2/'Beta HC3'!$E$11</x:f>
        <x:v>0.0008052649440015306</x:v>
      </x:c>
      <x:c r="N948" s="240" t="n">
        <x:f>K948^2/(1-M948)^2</x:f>
        <x:v>0.000002568603175296562</x:v>
      </x:c>
      <x:c r="O948" s="240" t="n">
        <x:f>N948*L948^2/'Beta HC3'!$E$11^2</x:f>
        <x:v>1.4846493225438283e-10</x:v>
      </x:c>
      <x:c r="P948" s="240" t="n">
        <x:f>N948*(1/'Beta HC3'!$E$8-'Beta HC3'!$E$9*L948/'Beta HC3'!$E$11)^2</x:f>
        <x:v>1.64843082804834e-12</x:v>
      </x:c>
      <x:c r="Q948" s="240" t="n">
        <x:f>N948*(1/'Beta HC3'!$E$8-'Beta HC3'!$E$9*L948/'Beta HC3'!$E$11)*L948/'Beta HC3'!$E$11</x:f>
        <x:v>-1.5643981948731373e-11</x:v>
      </x:c>
      <x:c r="R948" s="240" t="n">
        <x:f>K948*L948/'Beta HC3'!$E$11</x:f>
        <x:v>0.000012174806828693182</x:v>
      </x:c>
      <x:c r="S948" s="240" t="n">
        <x:f>(K948-K947)^2</x:f>
        <x:v>0.000060083681203579636</x:v>
      </x:c>
      <x:c r="T948" s="280" t="n">
        <x:f>E948/$E$9*100</x:f>
        <x:v>173.7813916008379</x:v>
      </x:c>
    </x:row>
    <x:row r="949" ht="24" customHeight="1">
      <x:c r="C949" s="274" t="d">
        <x:v>2025-07-09T00:00:00.000Z</x:v>
      </x:c>
      <x:c r="D949" s="191" t="n">
        <x:v>503.510009765625</x:v>
      </x:c>
      <x:c r="E949" s="191" t="n">
        <x:v>498.58148193359375</x:v>
      </x:c>
      <x:c r="F949" s="191" t="n">
        <x:v>624.0599975585938</x:v>
      </x:c>
      <x:c r="G949" s="191" t="n">
        <x:v>615.6920776367188</x:v>
      </x:c>
      <x:c r="H949" s="208" t="n">
        <x:f>E949/E948-1</x:f>
        <x:v>0.013873812240768224</x:v>
      </x:c>
      <x:c r="I949" s="208" t="n">
        <x:f>G949/G948-1</x:f>
        <x:v>0.005996587938471132</x:v>
      </x:c>
      <x:c r="J949" s="208" t="n">
        <x:f>'Beta HC3'!$E$13+'Beta HC3'!$E$12*I949</x:f>
        <x:v>0.00677215364247499</x:v>
      </x:c>
      <x:c r="K949" s="240" t="n">
        <x:f>H949-J949</x:f>
        <x:v>0.007101658598293234</x:v>
      </x:c>
      <x:c r="L949" s="240" t="n">
        <x:f>I949-'Beta HC3'!$E$9</x:f>
        <x:v>0.005432640320810692</x:v>
      </x:c>
      <x:c r="M949" s="240" t="n">
        <x:f>1/'Beta HC3'!$E$8+L949^2/'Beta HC3'!$E$11</x:f>
        <x:v>0.0009986397498608465</x:v>
      </x:c>
      <x:c r="N949" s="240" t="n">
        <x:f>K949^2/(1-M949)^2</x:f>
        <x:v>0.00005053443584239984</x:v>
      </x:c>
      <x:c r="O949" s="240" t="n">
        <x:f>N949*L949^2/'Beta HC3'!$E$11^2</x:f>
        <x:v>6.974676191749316e-8</x:v>
      </x:c>
      <x:c r="P949" s="240" t="n">
        <x:f>N949*(1/'Beta HC3'!$E$8-'Beta HC3'!$E$9*L949/'Beta HC3'!$E$11)^2</x:f>
        <x:v>3.041977366521763e-11</x:v>
      </x:c>
      <x:c r="Q949" s="240" t="n">
        <x:f>N949*(1/'Beta HC3'!$E$8-'Beta HC3'!$E$9*L949/'Beta HC3'!$E$11)*L949/'Beta HC3'!$E$11</x:f>
        <x:v>1.456599022178706e-9</x:v>
      </x:c>
      <x:c r="R949" s="240" t="n">
        <x:f>K949*L949/'Beta HC3'!$E$11</x:f>
        <x:v>0.00026383238561042557</x:v>
      </x:c>
      <x:c r="S949" s="240" t="n">
        <x:f>(K949-K948)^2</x:f>
        <x:v>0.00007574315325356264</x:v>
      </x:c>
      <x:c r="T949" s="280" t="n">
        <x:f>E949/$E$9*100</x:f>
        <x:v>176.19240199884734</x:v>
      </x:c>
    </x:row>
    <x:row r="950" ht="24" customHeight="1">
      <x:c r="C950" s="274" t="d">
        <x:v>2025-07-10T00:00:00.000Z</x:v>
      </x:c>
      <x:c r="D950" s="191" t="n">
        <x:v>501.4800109863281</x:v>
      </x:c>
      <x:c r="E950" s="191" t="n">
        <x:v>496.5713195800781</x:v>
      </x:c>
      <x:c r="F950" s="191" t="n">
        <x:v>625.8200073242188</x:v>
      </x:c>
      <x:c r="G950" s="191" t="n">
        <x:v>617.4285278320312</x:v>
      </x:c>
      <x:c r="H950" s="208" t="n">
        <x:f>E950/E949-1</x:f>
        <x:v>-0.004031762964239682</x:v>
      </x:c>
      <x:c r="I950" s="208" t="n">
        <x:f>G950/G949-1</x:f>
        <x:v>0.002820322460502789</x:v>
      </x:c>
      <x:c r="J950" s="208" t="n">
        <x:f>'Beta HC3'!$E$13+'Beta HC3'!$E$12*I950</x:f>
        <x:v>0.003189924165772238</x:v>
      </x:c>
      <x:c r="K950" s="240" t="n">
        <x:f>H950-J950</x:f>
        <x:v>-0.007221687130011921</x:v>
      </x:c>
      <x:c r="L950" s="240" t="n">
        <x:f>I950-'Beta HC3'!$E$9</x:f>
        <x:v>0.0022563748428423495</x:v>
      </x:c>
      <x:c r="M950" s="240" t="n">
        <x:f>1/'Beta HC3'!$E$8+L950^2/'Beta HC3'!$E$11</x:f>
        <x:v>0.0008316288280219789</x:v>
      </x:c>
      <x:c r="N950" s="240" t="n">
        <x:f>K950^2/(1-M950)^2</x:f>
        <x:v>0.00005223961681714078</x:v>
      </x:c>
      <x:c r="O950" s="240" t="n">
        <x:f>N950*L950^2/'Beta HC3'!$E$11^2</x:f>
        <x:v>1.2437617695553205e-8</x:v>
      </x:c>
      <x:c r="P950" s="240" t="n">
        <x:f>N950*(1/'Beta HC3'!$E$8-'Beta HC3'!$E$9*L950/'Beta HC3'!$E$11)^2</x:f>
        <x:v>3.2447014497810014e-11</x:v>
      </x:c>
      <x:c r="Q950" s="240" t="n">
        <x:f>N950*(1/'Beta HC3'!$E$8-'Beta HC3'!$E$9*L950/'Beta HC3'!$E$11)*L950/'Beta HC3'!$E$11</x:f>
        <x:v>6.352665280697804e-10</x:v>
      </x:c>
      <x:c r="R950" s="240" t="n">
        <x:f>K950*L950/'Beta HC3'!$E$11</x:f>
        <x:v>-0.00011143132115628651</x:v>
      </x:c>
      <x:c r="S950" s="240" t="n">
        <x:f>(K950-K949)^2</x:f>
        <x:v>0.00020515823285255748</x:v>
      </x:c>
      <x:c r="T950" s="280" t="n">
        <x:f>E950/$E$9*100</x:f>
        <x:v>175.48203599788798</x:v>
      </x:c>
    </x:row>
    <x:row r="951" ht="24" customHeight="1">
      <x:c r="C951" s="274" t="d">
        <x:v>2025-07-11T00:00:00.000Z</x:v>
      </x:c>
      <x:c r="D951" s="191" t="n">
        <x:v>503.32000732421875</x:v>
      </x:c>
      <x:c r="E951" s="191" t="n">
        <x:v>498.3933410644531</x:v>
      </x:c>
      <x:c r="F951" s="191" t="n">
        <x:v>623.6199951171875</x:v>
      </x:c>
      <x:c r="G951" s="191" t="n">
        <x:v>615.2579345703125</x:v>
      </x:c>
      <x:c r="H951" s="208" t="n">
        <x:f>E951/E950-1</x:f>
        <x:v>0.0036692040247425783</x:v>
      </x:c>
      <x:c r="I951" s="208" t="n">
        <x:f>G951/G950-1</x:f>
        <x:v>-0.0035155376920148473</x:v>
      </x:c>
      <x:c r="J951" s="208" t="n">
        <x:f>'Beta HC3'!$E$13+'Beta HC3'!$E$12*I951</x:f>
        <x:v>-0.0039557332599202116</x:v>
      </x:c>
      <x:c r="K951" s="240" t="n">
        <x:f>H951-J951</x:f>
        <x:v>0.00762493728466279</x:v>
      </x:c>
      <x:c r="L951" s="240" t="n">
        <x:f>I951-'Beta HC3'!$E$9</x:f>
        <x:v>-0.004079485309675287</x:v>
      </x:c>
      <x:c r="M951" s="240" t="n">
        <x:f>1/'Beta HC3'!$E$8+L951^2/'Beta HC3'!$E$11</x:f>
        <x:v>0.0009106195218661233</x:v>
      </x:c>
      <x:c r="N951" s="240" t="n">
        <x:f>K951^2/(1-M951)^2</x:f>
        <x:v>0.00005824569963839172</x:v>
      </x:c>
      <x:c r="O951" s="240" t="n">
        <x:f>N951*L951^2/'Beta HC3'!$E$11^2</x:f>
        <x:v>4.5330377550996865e-8</x:v>
      </x:c>
      <x:c r="P951" s="240" t="n">
        <x:f>N951*(1/'Beta HC3'!$E$8-'Beta HC3'!$E$9*L951/'Beta HC3'!$E$11)^2</x:f>
        <x:v>3.845555845185934e-11</x:v>
      </x:c>
      <x:c r="Q951" s="240" t="n">
        <x:f>N951*(1/'Beta HC3'!$E$8-'Beta HC3'!$E$9*L951/'Beta HC3'!$E$11)*L951/'Beta HC3'!$E$11</x:f>
        <x:v>-1.3203048828044271e-9</x:v>
      </x:c>
      <x:c r="R951" s="240" t="n">
        <x:f>K951*L951/'Beta HC3'!$E$11</x:f>
        <x:v>-0.00021271543828962731</x:v>
      </x:c>
      <x:c r="S951" s="240" t="n">
        <x:f>(K951-K950)^2</x:f>
        <x:v>0.0002204222565104152</x:v>
      </x:c>
      <x:c r="T951" s="280" t="n">
        <x:f>E951/$E$9*100</x:f>
        <x:v>176.12591539064144</x:v>
      </x:c>
    </x:row>
    <x:row r="952" ht="24" customHeight="1">
      <x:c r="C952" s="274" t="d">
        <x:v>2025-07-14T00:00:00.000Z</x:v>
      </x:c>
      <x:c r="D952" s="191" t="n">
        <x:v>503.0199890136719</x:v>
      </x:c>
      <x:c r="E952" s="191" t="n">
        <x:v>498.09625244140625</x:v>
      </x:c>
      <x:c r="F952" s="191" t="n">
        <x:v>624.8099975585938</x:v>
      </x:c>
      <x:c r="G952" s="191" t="n">
        <x:v>616.43212890625</x:v>
      </x:c>
      <x:c r="H952" s="208" t="n">
        <x:f>E952/E951-1</x:f>
        <x:v>-0.0005960926813596279</x:v>
      </x:c>
      <x:c r="I952" s="208" t="n">
        <x:f>G952/G951-1</x:f>
        <x:v>0.001908458664182211</x:v>
      </x:c>
      <x:c r="J952" s="208" t="n">
        <x:f>'Beta HC3'!$E$13+'Beta HC3'!$E$12*I952</x:f>
        <x:v>0.0021615134763713554</x:v>
      </x:c>
      <x:c r="K952" s="240" t="n">
        <x:f>H952-J952</x:f>
        <x:v>-0.0027576061577309833</x:v>
      </x:c>
      <x:c r="L952" s="240" t="n">
        <x:f>I952-'Beta HC3'!$E$9</x:f>
        <x:v>0.0013445110465217717</x:v>
      </x:c>
      <x:c r="M952" s="240" t="n">
        <x:f>1/'Beta HC3'!$E$8+L952^2/'Beta HC3'!$E$11</x:f>
        <x:v>0.0008091746741891361</x:v>
      </x:c>
      <x:c r="N952" s="240" t="n">
        <x:f>K952^2/(1-M952)^2</x:f>
        <x:v>0.000007616713236912594</x:v>
      </x:c>
      <x:c r="O952" s="240" t="n">
        <x:f>N952*L952^2/'Beta HC3'!$E$11^2</x:f>
        <x:v>6.438891061084299e-10</x:v>
      </x:c>
      <x:c r="P952" s="240" t="n">
        <x:f>N952*(1/'Beta HC3'!$E$8-'Beta HC3'!$E$9*L952/'Beta HC3'!$E$11)^2</x:f>
        <x:v>4.77319821548465e-12</x:v>
      </x:c>
      <x:c r="Q952" s="240" t="n">
        <x:f>N952*(1/'Beta HC3'!$E$8-'Beta HC3'!$E$9*L952/'Beta HC3'!$E$11)*L952/'Beta HC3'!$E$11</x:f>
        <x:v>5.543834712765853e-11</x:v>
      </x:c>
      <x:c r="R952" s="240" t="n">
        <x:f>K952*L952/'Beta HC3'!$E$11</x:f>
        <x:v>-0.00002535443728794459</x:v>
      </x:c>
      <x:c r="S952" s="240" t="n">
        <x:f>(K952-K951)^2</x:f>
        <x:v>0.00010779720833319396</x:v>
      </x:c>
      <x:c r="T952" s="280" t="n">
        <x:f>E952/$E$9*100</x:f>
        <x:v>176.02092802147934</x:v>
      </x:c>
    </x:row>
    <x:row r="953" ht="24" customHeight="1">
      <x:c r="C953" s="274" t="d">
        <x:v>2025-07-15T00:00:00.000Z</x:v>
      </x:c>
      <x:c r="D953" s="191" t="n">
        <x:v>505.82000732421875</x:v>
      </x:c>
      <x:c r="E953" s="191" t="n">
        <x:v>500.8688659667969</x:v>
      </x:c>
      <x:c r="F953" s="191" t="n">
        <x:v>622.1400146484375</x:v>
      </x:c>
      <x:c r="G953" s="191" t="n">
        <x:v>613.7978515625</x:v>
      </x:c>
      <x:c r="H953" s="208" t="n">
        <x:f>E953/E952-1</x:f>
        <x:v>0.0055664211722146195</x:v>
      </x:c>
      <x:c r="I953" s="208" t="n">
        <x:f>G953/G952-1</x:f>
        <x:v>-0.004273426416666615</x:v>
      </x:c>
      <x:c r="J953" s="208" t="n">
        <x:f>'Beta HC3'!$E$13+'Beta HC3'!$E$12*I953</x:f>
        <x:v>-0.004810489056732506</x:v>
      </x:c>
      <x:c r="K953" s="240" t="n">
        <x:f>H953-J953</x:f>
        <x:v>0.010376910228947125</x:v>
      </x:c>
      <x:c r="L953" s="240" t="n">
        <x:f>I953-'Beta HC3'!$E$9</x:f>
        <x:v>-0.004837374034327054</x:v>
      </x:c>
      <x:c r="M953" s="240" t="n">
        <x:f>1/'Beta HC3'!$E$8+L953^2/'Beta HC3'!$E$11</x:f>
        <x:v>0.0009568336456702528</x:v>
      </x:c>
      <x:c r="N953" s="240" t="n">
        <x:f>K953^2/(1-M953)^2</x:f>
        <x:v>0.00010788662623391399</x:v>
      </x:c>
      <x:c r="O953" s="240" t="n">
        <x:f>N953*L953^2/'Beta HC3'!$E$11^2</x:f>
        <x:v>1.1805969946599247e-7</x:v>
      </x:c>
      <x:c r="P953" s="240" t="n">
        <x:f>N953*(1/'Beta HC3'!$E$8-'Beta HC3'!$E$9*L953/'Beta HC3'!$E$11)^2</x:f>
        <x:v>7.174335369996987e-11</x:v>
      </x:c>
      <x:c r="Q953" s="240" t="n">
        <x:f>N953*(1/'Beta HC3'!$E$8-'Beta HC3'!$E$9*L953/'Beta HC3'!$E$11)*L953/'Beta HC3'!$E$11</x:f>
        <x:v>-2.910326231971399e-9</x:v>
      </x:c>
      <x:c r="R953" s="240" t="n">
        <x:f>K953*L953/'Beta HC3'!$E$11</x:f>
        <x:v>-0.00034326939940514567</x:v>
      </x:c>
      <x:c r="S953" s="240" t="n">
        <x:f>(K953-K952)^2</x:f>
        <x:v>0.00017251552071191576</x:v>
      </x:c>
      <x:c r="T953" s="280" t="n">
        <x:f>E953/$E$9*100</x:f>
        <x:v>177.00073464197098</x:v>
      </x:c>
    </x:row>
    <x:row r="954" ht="24" customHeight="1">
      <x:c r="C954" s="274" t="d">
        <x:v>2025-07-16T00:00:00.000Z</x:v>
      </x:c>
      <x:c r="D954" s="191" t="n">
        <x:v>505.6199951171875</x:v>
      </x:c>
      <x:c r="E954" s="191" t="n">
        <x:v>500.67083740234375</x:v>
      </x:c>
      <x:c r="F954" s="191" t="n">
        <x:v>624.219970703125</x:v>
      </x:c>
      <x:c r="G954" s="191" t="n">
        <x:v>615.8499755859375</x:v>
      </x:c>
      <x:c r="H954" s="208" t="n">
        <x:f>E954/E953-1</x:f>
        <x:v>-0.00039537008168966103</x:v>
      </x:c>
      <x:c r="I954" s="208" t="n">
        <x:f>G954/G953-1</x:f>
        <x:v>0.0033433222651619854</x:v>
      </x:c>
      <x:c r="J954" s="208" t="n">
        <x:f>'Beta HC3'!$E$13+'Beta HC3'!$E$12*I954</x:f>
        <x:v>0.0037797694824043726</x:v>
      </x:c>
      <x:c r="K954" s="240" t="n">
        <x:f>H954-J954</x:f>
        <x:v>-0.004175139564094033</x:v>
      </x:c>
      <x:c r="L954" s="240" t="n">
        <x:f>I954-'Beta HC3'!$E$9</x:f>
        <x:v>0.002779374647501546</x:v>
      </x:c>
      <x:c r="M954" s="240" t="n">
        <x:f>1/'Beta HC3'!$E$8+L954^2/'Beta HC3'!$E$11</x:f>
        <x:v>0.0008496392133902241</x:v>
      </x:c>
      <x:c r="N954" s="240" t="n">
        <x:f>K954^2/(1-M954)^2</x:f>
        <x:v>0.00001746144963914555</x:v>
      </x:c>
      <x:c r="O954" s="240" t="n">
        <x:f>N954*L954^2/'Beta HC3'!$E$11^2</x:f>
        <x:v>6.307963939957968e-9</x:v>
      </x:c>
      <x:c r="P954" s="240" t="n">
        <x:f>N954*(1/'Beta HC3'!$E$8-'Beta HC3'!$E$9*L954/'Beta HC3'!$E$11)^2</x:f>
        <x:v>1.0790194736567377e-11</x:v>
      </x:c>
      <x:c r="Q954" s="240" t="n">
        <x:f>N954*(1/'Beta HC3'!$E$8-'Beta HC3'!$E$9*L954/'Beta HC3'!$E$11)*L954/'Beta HC3'!$E$11</x:f>
        <x:v>2.60891087052416e-10</x:v>
      </x:c>
      <x:c r="R954" s="240" t="n">
        <x:f>K954*L954/'Beta HC3'!$E$11</x:f>
        <x:v>-0.00007935521096030019</x:v>
      </x:c>
      <x:c r="S954" s="240" t="n">
        <x:f>(K954-K953)^2</x:f>
        <x:v>0.0002117621531791492</x:v>
      </x:c>
      <x:c r="T954" s="280" t="n">
        <x:f>E954/$E$9*100</x:f>
        <x:v>176.93075384705642</x:v>
      </x:c>
    </x:row>
    <x:row r="955" ht="24" customHeight="1">
      <x:c r="C955" s="274" t="d">
        <x:v>2025-07-17T00:00:00.000Z</x:v>
      </x:c>
      <x:c r="D955" s="191" t="n">
        <x:v>511.70001220703125</x:v>
      </x:c>
      <x:c r="E955" s="191" t="n">
        <x:v>506.6912841796875</x:v>
      </x:c>
      <x:c r="F955" s="191" t="n">
        <x:v>628.0399780273438</x:v>
      </x:c>
      <x:c r="G955" s="191" t="n">
        <x:v>619.61865234375</x:v>
      </x:c>
      <x:c r="H955" s="208" t="n">
        <x:f>E955/E954-1</x:f>
        <x:v>0.012024760236845289</x:v>
      </x:c>
      <x:c r="I955" s="208" t="n">
        <x:f>G955/G954-1</x:f>
        <x:v>0.006119472123428782</x:v>
      </x:c>
      <x:c r="J955" s="208" t="n">
        <x:f>'Beta HC3'!$E$13+'Beta HC3'!$E$12*I955</x:f>
        <x:v>0.0069107438682068315</x:v>
      </x:c>
      <x:c r="K955" s="240" t="n">
        <x:f>H955-J955</x:f>
        <x:v>0.005114016368638457</x:v>
      </x:c>
      <x:c r="L955" s="240" t="n">
        <x:f>I955-'Beta HC3'!$E$9</x:f>
        <x:v>0.005555524505768342</x:v>
      </x:c>
      <x:c r="M955" s="240" t="n">
        <x:f>1/'Beta HC3'!$E$8+L955^2/'Beta HC3'!$E$11</x:f>
        <x:v>0.0010078735085372122</x:v>
      </x:c>
      <x:c r="N955" s="240" t="n">
        <x:f>K955^2/(1-M955)^2</x:f>
        <x:v>0.000026205961386945707</x:v>
      </x:c>
      <x:c r="O955" s="240" t="n">
        <x:f>N955*L955^2/'Beta HC3'!$E$11^2</x:f>
        <x:v>3.78237822681493e-8</x:v>
      </x:c>
      <x:c r="P955" s="240" t="n">
        <x:f>N955*(1/'Beta HC3'!$E$8-'Beta HC3'!$E$9*L955/'Beta HC3'!$E$11)^2</x:f>
        <x:v>1.5755708836591398e-11</x:v>
      </x:c>
      <x:c r="Q955" s="240" t="n">
        <x:f>N955*(1/'Beta HC3'!$E$8-'Beta HC3'!$E$9*L955/'Beta HC3'!$E$11)*L955/'Beta HC3'!$E$11</x:f>
        <x:v>7.719718262447077e-10</x:v>
      </x:c>
      <x:c r="R955" s="240" t="n">
        <x:f>K955*L955/'Beta HC3'!$E$11</x:f>
        <x:v>0.00019428735809003787</x:v>
      </x:c>
      <x:c r="S955" s="240" t="n">
        <x:f>(K955-K954)^2</x:f>
        <x:v>0.00008628841794261923</x:v>
      </x:c>
      <x:c r="T955" s="280" t="n">
        <x:f>E955/$E$9*100</x:f>
        <x:v>179.05830374059158</x:v>
      </x:c>
    </x:row>
    <x:row r="956" ht="24" customHeight="1">
      <x:c r="C956" s="274" t="d">
        <x:v>2025-07-18T00:00:00.000Z</x:v>
      </x:c>
      <x:c r="D956" s="191" t="n">
        <x:v>510.04998779296875</x:v>
      </x:c>
      <x:c r="E956" s="191" t="n">
        <x:v>505.05743408203125</x:v>
      </x:c>
      <x:c r="F956" s="191" t="n">
        <x:v>627.5800170898438</x:v>
      </x:c>
      <x:c r="G956" s="191" t="n">
        <x:v>619.1649780273438</x:v>
      </x:c>
      <x:c r="H956" s="208" t="n">
        <x:f>E956/E955-1</x:f>
        <x:v>-0.0032245474683887387</x:v>
      </x:c>
      <x:c r="I956" s="208" t="n">
        <x:f>G956/G955-1</x:f>
        <x:v>-0.0007321831172935056</x:v>
      </x:c>
      <x:c r="J956" s="208" t="n">
        <x:f>'Beta HC3'!$E$13+'Beta HC3'!$E$12*I956</x:f>
        <x:v>-0.0008166333103593778</x:v>
      </x:c>
      <x:c r="K956" s="240" t="n">
        <x:f>H956-J956</x:f>
        <x:v>-0.002407914158029361</x:v>
      </x:c>
      <x:c r="L956" s="240" t="n">
        <x:f>I956-'Beta HC3'!$E$9</x:f>
        <x:v>-0.0012961307349539449</x:v>
      </x:c>
      <x:c r="M956" s="240" t="n">
        <x:f>1/'Beta HC3'!$E$8+L956^2/'Beta HC3'!$E$11</x:f>
        <x:v>0.0008083010281487582</x:v>
      </x:c>
      <x:c r="N956" s="240" t="n">
        <x:f>K956^2/(1-M956)^2</x:f>
        <x:v>0.000005807435109687447</x:v>
      </x:c>
      <x:c r="O956" s="240" t="n">
        <x:f>N956*L956^2/'Beta HC3'!$E$11^2</x:f>
        <x:v>4.562435174904484e-10</x:v>
      </x:c>
      <x:c r="P956" s="240" t="n">
        <x:f>N956*(1/'Beta HC3'!$E$8-'Beta HC3'!$E$9*L956/'Beta HC3'!$E$11)^2</x:f>
        <x:v>3.733608021606933e-12</x:v>
      </x:c>
      <x:c r="Q956" s="240" t="n">
        <x:f>N956*(1/'Beta HC3'!$E$8-'Beta HC3'!$E$9*L956/'Beta HC3'!$E$11)*L956/'Beta HC3'!$E$11</x:f>
        <x:v>-4.1272684147126914e-11</x:v>
      </x:c>
      <x:c r="R956" s="240" t="n">
        <x:f>K956*L956/'Beta HC3'!$E$11</x:f>
        <x:v>0.0000213425924238096</x:v>
      </x:c>
      <x:c r="S956" s="240" t="n">
        <x:f>(K956-K955)^2</x:f>
        <x:v>0.000056579438848017206</x:v>
      </x:c>
      <x:c r="T956" s="280" t="n">
        <x:f>E956/$E$9*100</x:f>
        <x:v>178.48092174057086</x:v>
      </x:c>
    </x:row>
    <x:row r="957" ht="24" customHeight="1">
      <x:c r="C957" s="274" t="d">
        <x:v>2025-07-21T00:00:00.000Z</x:v>
      </x:c>
      <x:c r="D957" s="191" t="n">
        <x:v>510.05999755859375</x:v>
      </x:c>
      <x:c r="E957" s="191" t="n">
        <x:v>505.06732177734375</x:v>
      </x:c>
      <x:c r="F957" s="191" t="n">
        <x:v>628.77001953125</x:v>
      </x:c>
      <x:c r="G957" s="191" t="n">
        <x:v>620.3389892578125</x:v>
      </x:c>
      <x:c r="H957" s="208" t="n">
        <x:f>E957/E956-1</x:f>
        <x:v>0.000019577368127299266</x:v>
      </x:c>
      <x:c r="I957" s="208" t="n">
        <x:f>G957/G956-1</x:f>
        <x:v>0.0018961202137257605</x:v>
      </x:c>
      <x:c r="J957" s="208" t="n">
        <x:f>'Beta HC3'!$E$13+'Beta HC3'!$E$12*I957</x:f>
        <x:v>0.0021475980271658296</x:v>
      </x:c>
      <x:c r="K957" s="240" t="n">
        <x:f>H957-J957</x:f>
        <x:v>-0.0021280206590385303</x:v>
      </x:c>
      <x:c r="L957" s="240" t="n">
        <x:f>I957-'Beta HC3'!$E$9</x:f>
        <x:v>0.0013321725960653212</x:v>
      </x:c>
      <x:c r="M957" s="240" t="n">
        <x:f>1/'Beta HC3'!$E$8+L957^2/'Beta HC3'!$E$11</x:f>
        <x:v>0.0008089488268241519</x:v>
      </x:c>
      <x:c r="N957" s="240" t="n">
        <x:f>K957^2/(1-M957)^2</x:f>
        <x:v>0.000004535807429267756</x:v>
      </x:c>
      <x:c r="O957" s="240" t="n">
        <x:f>N957*L957^2/'Beta HC3'!$E$11^2</x:f>
        <x:v>3.76435282371481e-10</x:v>
      </x:c>
      <x:c r="P957" s="240" t="n">
        <x:f>N957*(1/'Beta HC3'!$E$8-'Beta HC3'!$E$9*L957/'Beta HC3'!$E$11)^2</x:f>
        <x:v>2.8428155382139716e-12</x:v>
      </x:c>
      <x:c r="Q957" s="240" t="n">
        <x:f>N957*(1/'Beta HC3'!$E$8-'Beta HC3'!$E$9*L957/'Beta HC3'!$E$11)*L957/'Beta HC3'!$E$11</x:f>
        <x:v>3.271293428993508e-11</x:v>
      </x:c>
      <x:c r="R957" s="240" t="n">
        <x:f>K957*L957/'Beta HC3'!$E$11</x:f>
        <x:v>-0.000019386244993550316</x:v>
      </x:c>
      <x:c r="S957" s="240" t="n">
        <x:f>(K957-K956)^2</x:f>
        <x:v>7.834037077733013e-8</x:v>
      </x:c>
      <x:c r="T957" s="280" t="n">
        <x:f>E957/$E$9*100</x:f>
        <x:v>178.4844159272795</x:v>
      </x:c>
    </x:row>
    <x:row r="958" ht="24" customHeight="1">
      <x:c r="C958" s="274" t="d">
        <x:v>2025-07-22T00:00:00.000Z</x:v>
      </x:c>
      <x:c r="D958" s="191" t="n">
        <x:v>505.2699890136719</x:v>
      </x:c>
      <x:c r="E958" s="191" t="n">
        <x:v>500.3242492675781</x:v>
      </x:c>
      <x:c r="F958" s="191" t="n">
        <x:v>628.8599853515625</x:v>
      </x:c>
      <x:c r="G958" s="191" t="n">
        <x:v>620.427734375</x:v>
      </x:c>
      <x:c r="H958" s="208" t="n">
        <x:f>E958/E957-1</x:f>
        <x:v>-0.009390970877059757</x:v>
      </x:c>
      <x:c r="I958" s="208" t="n">
        <x:f>G958/G957-1</x:f>
        <x:v>0.00014305906725886608</x:v>
      </x:c>
      <x:c r="J958" s="208" t="n">
        <x:f>'Beta HC3'!$E$13+'Beta HC3'!$E$12*I958</x:f>
        <x:v>0.00017047509556728337</x:v>
      </x:c>
      <x:c r="K958" s="240" t="n">
        <x:f>H958-J958</x:f>
        <x:v>-0.00956144597262704</x:v>
      </x:c>
      <x:c r="L958" s="240" t="n">
        <x:f>I958-'Beta HC3'!$E$9</x:f>
        <x:v>-0.0004208885504015733</x:v>
      </x:c>
      <x:c r="M958" s="240" t="n">
        <x:f>1/'Beta HC3'!$E$8+L958^2/'Beta HC3'!$E$11</x:f>
        <x:v>0.0007980241602042006</x:v>
      </x:c>
      <x:c r="N958" s="240" t="n">
        <x:f>K958^2/(1-M958)^2</x:f>
        <x:v>0.00009156733666738097</x:v>
      </x:c>
      <x:c r="O958" s="240" t="n">
        <x:f>N958*L958^2/'Beta HC3'!$E$11^2</x:f>
        <x:v>7.585592848320895e-10</x:v>
      </x:c>
      <x:c r="P958" s="240" t="n">
        <x:f>N958*(1/'Beta HC3'!$E$8-'Beta HC3'!$E$9*L958/'Beta HC3'!$E$11)^2</x:f>
        <x:v>5.837416908333227e-11</x:v>
      </x:c>
      <x:c r="Q958" s="240" t="n">
        <x:f>N958*(1/'Beta HC3'!$E$8-'Beta HC3'!$E$9*L958/'Beta HC3'!$E$11)*L958/'Beta HC3'!$E$11</x:f>
        <x:v>-2.1042877168419726e-10</x:v>
      </x:c>
      <x:c r="R958" s="240" t="n">
        <x:f>K958*L958/'Beta HC3'!$E$11</x:f>
        <x:v>0.00002751997584741746</x:v>
      </x:c>
      <x:c r="S958" s="240" t="n">
        <x:f>(K958-K957)^2</x:f>
        <x:v>0.000055255811892698435</x:v>
      </x:c>
      <x:c r="T958" s="280" t="n">
        <x:f>E958/$E$9*100</x:f>
        <x:v>176.8082739752974</x:v>
      </x:c>
    </x:row>
    <x:row r="959" ht="24" customHeight="1">
      <x:c r="C959" s="274" t="d">
        <x:v>2025-07-23T00:00:00.000Z</x:v>
      </x:c>
      <x:c r="D959" s="191" t="n">
        <x:v>505.8699951171875</x:v>
      </x:c>
      <x:c r="E959" s="191" t="n">
        <x:v>500.9183349609375</x:v>
      </x:c>
      <x:c r="F959" s="191" t="n">
        <x:v>634.2100219726562</x:v>
      </x:c>
      <x:c r="G959" s="191" t="n">
        <x:v>625.7060546875</x:v>
      </x:c>
      <x:c r="H959" s="208" t="n">
        <x:f>E959/E958-1</x:f>
        <x:v>0.0011874013586770094</x:v>
      </x:c>
      <x:c r="I959" s="208" t="n">
        <x:f>G959/G958-1</x:f>
        <x:v>0.008507550549488707</x:v>
      </x:c>
      <x:c r="J959" s="208" t="n">
        <x:f>'Beta HC3'!$E$13+'Beta HC3'!$E$12*I959</x:f>
        <x:v>0.009604046739093318</x:v>
      </x:c>
      <x:c r="K959" s="240" t="n">
        <x:f>H959-J959</x:f>
        <x:v>-0.008416645380416308</x:v>
      </x:c>
      <x:c r="L959" s="240" t="n">
        <x:f>I959-'Beta HC3'!$E$9</x:f>
        <x:v>0.007943602931828268</x:v>
      </x:c>
      <x:c r="M959" s="240" t="n">
        <x:f>1/'Beta HC3'!$E$8+L959^2/'Beta HC3'!$E$11</x:f>
        <x:v>0.0012283242906272228</x:v>
      </x:c>
      <x:c r="N959" s="240" t="n">
        <x:f>K959^2/(1-M959)^2</x:f>
        <x:v>0.00007101426941895069</x:v>
      </x:c>
      <x:c r="O959" s="240" t="n">
        <x:f>N959*L959^2/'Beta HC3'!$E$11^2</x:f>
        <x:v>2.0955373269252382e-7</x:v>
      </x:c>
      <x:c r="P959" s="240" t="n">
        <x:f>N959*(1/'Beta HC3'!$E$8-'Beta HC3'!$E$9*L959/'Beta HC3'!$E$11)^2</x:f>
        <x:v>4.168742137676718e-11</x:v>
      </x:c>
      <x:c r="Q959" s="240" t="n">
        <x:f>N959*(1/'Beta HC3'!$E$8-'Beta HC3'!$E$9*L959/'Beta HC3'!$E$11)*L959/'Beta HC3'!$E$11</x:f>
        <x:v>2.9556310249805666e-9</x:v>
      </x:c>
      <x:c r="R959" s="240" t="n">
        <x:f>K959*L959/'Beta HC3'!$E$11</x:f>
        <x:v>-0.0004572081024905475</x:v>
      </x:c>
      <x:c r="S959" s="240" t="n">
        <x:f>(K959-K958)^2</x:f>
        <x:v>0.0000013105683959260414</x:v>
      </x:c>
      <x:c r="T959" s="280" t="n">
        <x:f>E959/$E$9*100</x:f>
        <x:v>177.018216360041</x:v>
      </x:c>
    </x:row>
    <x:row r="960" ht="24" customHeight="1">
      <x:c r="C960" s="274" t="d">
        <x:v>2025-07-24T00:00:00.000Z</x:v>
      </x:c>
      <x:c r="D960" s="191" t="n">
        <x:v>510.8800048828125</x:v>
      </x:c>
      <x:c r="E960" s="191" t="n">
        <x:v>505.8793029785156</x:v>
      </x:c>
      <x:c r="F960" s="191" t="n">
        <x:v>634.4199829101562</x:v>
      </x:c>
      <x:c r="G960" s="191" t="n">
        <x:v>625.9132080078125</x:v>
      </x:c>
      <x:c r="H960" s="208" t="n">
        <x:f>E960/E959-1</x:f>
        <x:v>0.009903746122539081</x:v>
      </x:c>
      <x:c r="I960" s="208" t="n">
        <x:f>G960/G959-1</x:f>
        <x:v>0.00033107130538478913</x:v>
      </x:c>
      <x:c r="J960" s="208" t="n">
        <x:f>'Beta HC3'!$E$13+'Beta HC3'!$E$12*I960</x:f>
        <x:v>0.00038251750388207444</x:v>
      </x:c>
      <x:c r="K960" s="240" t="n">
        <x:f>H960-J960</x:f>
        <x:v>0.009521228618657007</x:v>
      </x:c>
      <x:c r="L960" s="240" t="n">
        <x:f>I960-'Beta HC3'!$E$9</x:f>
        <x:v>-0.00023287631227565024</x:v>
      </x:c>
      <x:c r="M960" s="240" t="n">
        <x:f>1/'Beta HC3'!$E$8+L960^2/'Beta HC3'!$E$11</x:f>
        <x:v>0.000797183607294254</x:v>
      </x:c>
      <x:c r="N960" s="240" t="n">
        <x:f>K960^2/(1-M960)^2</x:f>
        <x:v>0.00009079850286222723</x:v>
      </x:c>
      <x:c r="O960" s="240" t="n">
        <x:f>N960*L960^2/'Beta HC3'!$E$11^2</x:f>
        <x:v>2.302735418326022e-10</x:v>
      </x:c>
      <x:c r="P960" s="240" t="n">
        <x:f>N960*(1/'Beta HC3'!$E$8-'Beta HC3'!$E$9*L960/'Beta HC3'!$E$11)^2</x:f>
        <x:v>5.777895428741757e-11</x:v>
      </x:c>
      <x:c r="Q960" s="240" t="n">
        <x:f>N960*(1/'Beta HC3'!$E$8-'Beta HC3'!$E$9*L960/'Beta HC3'!$E$11)*L960/'Beta HC3'!$E$11</x:f>
        <x:v>-1.1534714754664573e-10</x:v>
      </x:c>
      <x:c r="R960" s="240" t="n">
        <x:f>K960*L960/'Beta HC3'!$E$11</x:f>
        <x:v>-0.000015162669540234173</x:v>
      </x:c>
      <x:c r="S960" s="240" t="n">
        <x:f>(K960-K959)^2</x:f>
        <x:v>0.00032176732360663057</x:v>
      </x:c>
      <x:c r="T960" s="280" t="n">
        <x:f>E960/$E$9*100</x:f>
        <x:v>178.77135983393555</x:v>
      </x:c>
    </x:row>
    <x:row r="961" ht="24" customHeight="1">
      <x:c r="C961" s="274" t="d">
        <x:v>2025-07-25T00:00:00.000Z</x:v>
      </x:c>
      <x:c r="D961" s="191" t="n">
        <x:v>513.7100219726562</x:v>
      </x:c>
      <x:c r="E961" s="191" t="n">
        <x:v>508.681640625</x:v>
      </x:c>
      <x:c r="F961" s="191" t="n">
        <x:v>637.0999755859375</x:v>
      </x:c>
      <x:c r="G961" s="191" t="n">
        <x:v>628.5573120117188</x:v>
      </x:c>
      <x:c r="H961" s="208" t="n">
        <x:f>E961/E960-1</x:f>
        <x:v>0.005539538047879766</x:v>
      </x:c>
      <x:c r="I961" s="208" t="n">
        <x:f>G961/G960-1</x:f>
        <x:v>0.004224394005555521</x:v>
      </x:c>
      <x:c r="J961" s="208" t="n">
        <x:f>'Beta HC3'!$E$13+'Beta HC3'!$E$12*I961</x:f>
        <x:v>0.00477345252981335</x:v>
      </x:c>
      <x:c r="K961" s="240" t="n">
        <x:f>H961-J961</x:f>
        <x:v>0.0007660855180664158</x:v>
      </x:c>
      <x:c r="L961" s="240" t="n">
        <x:f>I961-'Beta HC3'!$E$9</x:f>
        <x:v>0.0036604463878950814</x:v>
      </x:c>
      <x:c r="M961" s="240" t="n">
        <x:f>1/'Beta HC3'!$E$8+L961^2/'Beta HC3'!$E$11</x:f>
        <x:v>0.0008884401698806828</x:v>
      </x:c>
      <x:c r="N961" s="240" t="n">
        <x:f>K961^2/(1-M961)^2</x:f>
        <x:v>5.87931240383882e-7</x:v>
      </x:c>
      <x:c r="O961" s="240" t="n">
        <x:f>N961*L961^2/'Beta HC3'!$E$11^2</x:f>
        <x:v>3.6839129653268987e-10</x:v>
      </x:c>
      <x:c r="P961" s="240" t="n">
        <x:f>N961*(1/'Beta HC3'!$E$8-'Beta HC3'!$E$9*L961/'Beta HC3'!$E$11)^2</x:f>
        <x:v>3.6017447273583367e-13</x:v>
      </x:c>
      <x:c r="Q961" s="240" t="n">
        <x:f>N961*(1/'Beta HC3'!$E$8-'Beta HC3'!$E$9*L961/'Beta HC3'!$E$11)*L961/'Beta HC3'!$E$11</x:f>
        <x:v>1.1518903636593706e-11</x:v>
      </x:c>
      <x:c r="R961" s="240" t="n">
        <x:f>K961*L961/'Beta HC3'!$E$11</x:f>
        <x:v>0.00001917646995829385</x:v>
      </x:c>
      <x:c r="S961" s="240" t="n">
        <x:f>(K961-K960)^2</x:f>
        <x:v>0.00007665253071181904</x:v>
      </x:c>
      <x:c r="T961" s="280" t="n">
        <x:f>E961/$E$9*100</x:f>
        <x:v>179.76167058360684</x:v>
      </x:c>
    </x:row>
    <x:row r="962" ht="24" customHeight="1">
      <x:c r="C962" s="274" t="d">
        <x:v>2025-07-28T00:00:00.000Z</x:v>
      </x:c>
      <x:c r="D962" s="191" t="n">
        <x:v>512.5</x:v>
      </x:c>
      <x:c r="E962" s="191" t="n">
        <x:v>507.48345947265625</x:v>
      </x:c>
      <x:c r="F962" s="191" t="n">
        <x:v>636.9400024414062</x:v>
      </x:c>
      <x:c r="G962" s="191" t="n">
        <x:v>628.3994140625</x:v>
      </x:c>
      <x:c r="H962" s="208" t="n">
        <x:f>E962/E961-1</x:f>
        <x:v>-0.002355463725546625</x:v>
      </x:c>
      <x:c r="I962" s="208" t="n">
        <x:f>G962/G961-1</x:f>
        <x:v>-0.0002512069244940962</x:v>
      </x:c>
      <x:c r="J962" s="208" t="n">
        <x:f>'Beta HC3'!$E$13+'Beta HC3'!$E$12*I962</x:f>
        <x:v>-0.000274182716292416</x:v>
      </x:c>
      <x:c r="K962" s="240" t="n">
        <x:f>H962-J962</x:f>
        <x:v>-0.002081281009254209</x:v>
      </x:c>
      <x:c r="L962" s="240" t="n">
        <x:f>I962-'Beta HC3'!$E$9</x:f>
        <x:v>-0.0008151545421545356</x:v>
      </x:c>
      <x:c r="M962" s="240" t="n">
        <x:f>1/'Beta HC3'!$E$8+L962^2/'Beta HC3'!$E$11</x:f>
        <x:v>0.0008013567379591922</x:v>
      </x:c>
      <x:c r="N962" s="240" t="n">
        <x:f>K962^2/(1-M962)^2</x:f>
        <x:v>0.000004338681516634163</x:v>
      </x:c>
      <x:c r="O962" s="240" t="n">
        <x:f>N962*L962^2/'Beta HC3'!$E$11^2</x:f>
        <x:v>1.3481940314938603e-10</x:v>
      </x:c>
      <x:c r="P962" s="240" t="n">
        <x:f>N962*(1/'Beta HC3'!$E$8-'Beta HC3'!$E$9*L962/'Beta HC3'!$E$11)^2</x:f>
        <x:v>2.776453600671995e-12</x:v>
      </x:c>
      <x:c r="Q962" s="240" t="n">
        <x:f>N962*(1/'Beta HC3'!$E$8-'Beta HC3'!$E$9*L962/'Beta HC3'!$E$11)*L962/'Beta HC3'!$E$11</x:f>
        <x:v>-1.9347346518697648e-11</x:v>
      </x:c>
      <x:c r="R962" s="240" t="n">
        <x:f>K962*L962/'Beta HC3'!$E$11</x:f>
        <x:v>0.000011601871092736412</x:v>
      </x:c>
      <x:c r="S962" s="240" t="n">
        <x:f>(K962-K961)^2</x:f>
        <x:v>0.000008107496140905913</x:v>
      </x:c>
      <x:c r="T962" s="280" t="n">
        <x:f>E962/$E$9*100</x:f>
        <x:v>179.33824848930345</x:v>
      </x:c>
    </x:row>
    <x:row r="963" ht="24" customHeight="1">
      <x:c r="C963" s="274" t="d">
        <x:v>2025-07-29T00:00:00.000Z</x:v>
      </x:c>
      <x:c r="D963" s="191" t="n">
        <x:v>512.5700073242188</x:v>
      </x:c>
      <x:c r="E963" s="191" t="n">
        <x:v>507.55279541015625</x:v>
      </x:c>
      <x:c r="F963" s="191" t="n">
        <x:v>635.260009765625</x:v>
      </x:c>
      <x:c r="G963" s="191" t="n">
        <x:v>626.741943359375</x:v>
      </x:c>
      <x:c r="H963" s="208" t="n">
        <x:f>E963/E962-1</x:f>
        <x:v>0.0001366269899161221</x:v>
      </x:c>
      <x:c r="I963" s="208" t="n">
        <x:f>G963/G962-1</x:f>
        <x:v>-0.002637607015591792</x:v>
      </x:c>
      <x:c r="J963" s="208" t="n">
        <x:f>'Beta HC3'!$E$13+'Beta HC3'!$E$12*I963</x:f>
        <x:v>-0.0029655927413147322</x:v>
      </x:c>
      <x:c r="K963" s="240" t="n">
        <x:f>H963-J963</x:f>
        <x:v>0.0031022197312308543</x:v>
      </x:c>
      <x:c r="L963" s="240" t="n">
        <x:f>I963-'Beta HC3'!$E$9</x:f>
        <x:v>-0.003201554633252231</x:v>
      </x:c>
      <x:c r="M963" s="240" t="n">
        <x:f>1/'Beta HC3'!$E$8+L963^2/'Beta HC3'!$E$11</x:f>
        <x:v>0.0008669064829801017</x:v>
      </x:c>
      <x:c r="N963" s="240" t="n">
        <x:f>K963^2/(1-M963)^2</x:f>
        <x:v>0.000009640474795961628</x:v>
      </x:c>
      <x:c r="O963" s="240" t="n">
        <x:f>N963*L963^2/'Beta HC3'!$E$11^2</x:f>
        <x:v>4.62098949192231e-9</x:v>
      </x:c>
      <x:c r="P963" s="240" t="n">
        <x:f>N963*(1/'Beta HC3'!$E$8-'Beta HC3'!$E$9*L963/'Beta HC3'!$E$11)^2</x:f>
        <x:v>6.3119976889987265e-12</x:v>
      </x:c>
      <x:c r="Q963" s="240" t="n">
        <x:f>N963*(1/'Beta HC3'!$E$8-'Beta HC3'!$E$9*L963/'Beta HC3'!$E$11)*L963/'Beta HC3'!$E$11</x:f>
        <x:v>-1.7078546482034418e-10</x:v>
      </x:c>
      <x:c r="R963" s="240" t="n">
        <x:f>K963*L963/'Beta HC3'!$E$11</x:f>
        <x:v>-0.00006791892985923236</x:v>
      </x:c>
      <x:c r="S963" s="240" t="n">
        <x:f>(K963-K962)^2</x:f>
        <x:v>0.000026868679926609194</x:v>
      </x:c>
      <x:c r="T963" s="280" t="n">
        <x:f>E963/$E$9*100</x:f>
        <x:v>179.3627509343714</x:v>
      </x:c>
    </x:row>
    <x:row r="964" ht="24" customHeight="1">
      <x:c r="C964" s="274" t="d">
        <x:v>2025-07-30T00:00:00.000Z</x:v>
      </x:c>
      <x:c r="D964" s="191" t="n">
        <x:v>513.239990234375</x:v>
      </x:c>
      <x:c r="E964" s="191" t="n">
        <x:v>508.21624755859375</x:v>
      </x:c>
      <x:c r="F964" s="191" t="n">
        <x:v>634.4600219726562</x:v>
      </x:c>
      <x:c r="G964" s="191" t="n">
        <x:v>625.9526977539062</x:v>
      </x:c>
      <x:c r="H964" s="208" t="n">
        <x:f>E964/E963-1</x:f>
        <x:v>0.0013071588895523512</x:v>
      </x:c>
      <x:c r="I964" s="208" t="n">
        <x:f>G964/G963-1</x:f>
        <x:v>-0.0012592832087132688</x:v>
      </x:c>
      <x:c r="J964" s="208" t="n">
        <x:f>'Beta HC3'!$E$13+'Beta HC3'!$E$12*I964</x:f>
        <x:v>-0.0014111029785132973</x:v>
      </x:c>
      <x:c r="K964" s="240" t="n">
        <x:f>H964-J964</x:f>
        <x:v>0.0027182618680656485</x:v>
      </x:c>
      <x:c r="L964" s="240" t="n">
        <x:f>I964-'Beta HC3'!$E$9</x:f>
        <x:v>-0.001823230826373708</x:v>
      </x:c>
      <x:c r="M964" s="240" t="n">
        <x:f>1/'Beta HC3'!$E$8+L964^2/'Beta HC3'!$E$11</x:f>
        <x:v>0.0008195449072993903</x:v>
      </x:c>
      <x:c r="N964" s="240" t="n">
        <x:f>K964^2/(1-M964)^2</x:f>
        <x:v>0.000007401073636835341</x:v>
      </x:c>
      <x:c r="O964" s="240" t="n">
        <x:f>N964*L964^2/'Beta HC3'!$E$11^2</x:f>
        <x:v>1.150516253109955e-9</x:v>
      </x:c>
      <x:c r="P964" s="240" t="n">
        <x:f>N964*(1/'Beta HC3'!$E$8-'Beta HC3'!$E$9*L964/'Beta HC3'!$E$11)^2</x:f>
        <x:v>4.782317049798007e-12</x:v>
      </x:c>
      <x:c r="Q964" s="240" t="n">
        <x:f>N964*(1/'Beta HC3'!$E$8-'Beta HC3'!$E$9*L964/'Beta HC3'!$E$11)*L964/'Beta HC3'!$E$11</x:f>
        <x:v>-7.417636748532147e-11</x:v>
      </x:c>
      <x:c r="R964" s="240" t="n">
        <x:f>K964*L964/'Beta HC3'!$E$11</x:f>
        <x:v>-0.000033891462440954485</x:v>
      </x:c>
      <x:c r="S964" s="240" t="n">
        <x:f>(K964-K963)^2</x:f>
        <x:v>1.4742364068639095e-7</x:v>
      </x:c>
      <x:c r="T964" s="280" t="n">
        <x:f>E964/$E$9*100</x:f>
        <x:v>179.59720654870983</x:v>
      </x:c>
    </x:row>
    <x:row r="965" ht="24" customHeight="1">
      <x:c r="C965" s="274" t="d">
        <x:v>2025-07-31T00:00:00.000Z</x:v>
      </x:c>
      <x:c r="D965" s="191" t="n">
        <x:v>533.5</x:v>
      </x:c>
      <x:c r="E965" s="191" t="n">
        <x:v>528.2778930664062</x:v>
      </x:c>
      <x:c r="F965" s="191" t="n">
        <x:v>632.0800170898438</x:v>
      </x:c>
      <x:c r="G965" s="191" t="n">
        <x:v>623.6046142578125</x:v>
      </x:c>
      <x:c r="H965" s="208" t="n">
        <x:f>E965/E964-1</x:f>
        <x:v>0.03947462444222527</x:v>
      </x:c>
      <x:c r="I965" s="208" t="n">
        <x:f>G965/G964-1</x:f>
        <x:v>-0.003751215554337106</x:v>
      </x:c>
      <x:c r="J965" s="208" t="n">
        <x:f>'Beta HC3'!$E$13+'Beta HC3'!$E$12*I965</x:f>
        <x:v>-0.004221533518517331</x:v>
      </x:c>
      <x:c r="K965" s="240" t="n">
        <x:f>H965-J965</x:f>
        <x:v>0.0436961579607426</x:v>
      </x:c>
      <x:c r="L965" s="240" t="n">
        <x:f>I965-'Beta HC3'!$E$9</x:f>
        <x:v>-0.004315163171997546</x:v>
      </x:c>
      <x:c r="M965" s="240" t="n">
        <x:f>1/'Beta HC3'!$E$8+L965^2/'Beta HC3'!$E$11</x:f>
        <x:v>0.0009241489259129147</x:v>
      </x:c>
      <x:c r="N965" s="240" t="n">
        <x:f>K965^2/(1-M965)^2</x:f>
        <x:v>0.001912888173928312</x:v>
      </x:c>
      <x:c r="O965" s="240" t="n">
        <x:f>N965*L965^2/'Beta HC3'!$E$11^2</x:f>
        <x:v>0.0000016657075348152404</x:v>
      </x:c>
      <x:c r="P965" s="240" t="n">
        <x:f>N965*(1/'Beta HC3'!$E$8-'Beta HC3'!$E$9*L965/'Beta HC3'!$E$11)^2</x:f>
        <x:v>1.2657731594018341e-9</x:v>
      </x:c>
      <x:c r="Q965" s="240" t="n">
        <x:f>N965*(1/'Beta HC3'!$E$8-'Beta HC3'!$E$9*L965/'Beta HC3'!$E$11)*L965/'Beta HC3'!$E$11</x:f>
        <x:v>-4.59174028989285e-8</x:v>
      </x:c>
      <x:c r="R965" s="240" t="n">
        <x:f>K965*L965/'Beta HC3'!$E$11</x:f>
        <x:v>-0.0012894301973183553</x:v>
      </x:c>
      <x:c r="S965" s="240" t="n">
        <x:f>(K965-K964)^2</x:f>
        <x:v>0.0016791879681822294</x:v>
      </x:c>
      <x:c r="T965" s="280" t="n">
        <x:f>E965/$E$9*100</x:f>
        <x:v>186.68673882809293</x:v>
      </x:c>
    </x:row>
    <x:row r="966" ht="24" customHeight="1">
      <x:c r="C966" s="274" t="d">
        <x:v>2025-08-01T00:00:00.000Z</x:v>
      </x:c>
      <x:c r="D966" s="191" t="n">
        <x:v>524.1099853515625</x:v>
      </x:c>
      <x:c r="E966" s="191" t="n">
        <x:v>518.9797973632812</x:v>
      </x:c>
      <x:c r="F966" s="191" t="n">
        <x:v>621.719970703125</x:v>
      </x:c>
      <x:c r="G966" s="191" t="n">
        <x:v>613.3834838867188</x:v>
      </x:c>
      <x:c r="H966" s="208" t="n">
        <x:f>E966/E965-1</x:f>
        <x:v>-0.01760076623527418</x:v>
      </x:c>
      <x:c r="I966" s="208" t="n">
        <x:f>G966/G965-1</x:f>
        <x:v>-0.016390402087159806</x:v>
      </x:c>
      <x:c r="J966" s="208" t="n">
        <x:f>'Beta HC3'!$E$13+'Beta HC3'!$E$12*I966</x:f>
        <x:v>-0.01847615639984601</x:v>
      </x:c>
      <x:c r="K966" s="240" t="n">
        <x:f>H966-J966</x:f>
        <x:v>0.000875390164571832</x:v>
      </x:c>
      <x:c r="L966" s="240" t="n">
        <x:f>I966-'Beta HC3'!$E$9</x:f>
        <x:v>-0.016954349704820244</x:v>
      </x:c>
      <x:c r="M966" s="240" t="n">
        <x:f>1/'Beta HC3'!$E$8+L966^2/'Beta HC3'!$E$11</x:f>
        <x:v>0.002762523599739261</x:v>
      </x:c>
      <x:c r="N966" s="240" t="n">
        <x:f>K966^2/(1-M966)^2</x:f>
        <x:v>7.705594369355964e-7</x:v>
      </x:c>
      <x:c r="O966" s="240" t="n">
        <x:f>N966*L966^2/'Beta HC3'!$E$11^2</x:f>
        <x:v>1.0358172516053392e-8</x:v>
      </x:c>
      <x:c r="P966" s="240" t="n">
        <x:f>N966*(1/'Beta HC3'!$E$8-'Beta HC3'!$E$9*L966/'Beta HC3'!$E$11)^2</x:f>
        <x:v>5.728221222160516e-13</x:v>
      </x:c>
      <x:c r="Q966" s="240" t="n">
        <x:f>N966*(1/'Beta HC3'!$E$8-'Beta HC3'!$E$9*L966/'Beta HC3'!$E$11)*L966/'Beta HC3'!$E$11</x:f>
        <x:v>-7.702850357449301e-11</x:v>
      </x:c>
      <x:c r="R966" s="240" t="n">
        <x:f>K966*L966/'Beta HC3'!$E$11</x:f>
        <x:v>-0.0001014939514098004</x:v>
      </x:c>
      <x:c r="S966" s="240" t="n">
        <x:f>(K966-K965)^2</x:f>
        <x:v>0.0018336181546535757</x:v>
      </x:c>
      <x:c r="T966" s="280" t="n">
        <x:f>E966/$E$9*100</x:f>
        <x:v>183.40090917875395</x:v>
      </x:c>
    </x:row>
    <x:row r="967" ht="24" customHeight="1">
      <x:c r="C967" s="274" t="d">
        <x:v>2025-08-04T00:00:00.000Z</x:v>
      </x:c>
      <x:c r="D967" s="191" t="n">
        <x:v>535.6400146484375</x:v>
      </x:c>
      <x:c r="E967" s="191" t="n">
        <x:v>530.39697265625</x:v>
      </x:c>
      <x:c r="F967" s="191" t="n">
        <x:v>631.1699829101562</x:v>
      </x:c>
      <x:c r="G967" s="191" t="n">
        <x:v>622.7067260742188</x:v>
      </x:c>
      <x:c r="H967" s="208" t="n">
        <x:f>E967/E966-1</x:f>
        <x:v>0.021999267314401605</x:v>
      </x:c>
      <x:c r="I967" s="208" t="n">
        <x:f>G967/G966-1</x:f>
        <x:v>0.015199695512541522</x:v>
      </x:c>
      <x:c r="J967" s="208" t="n">
        <x:f>'Beta HC3'!$E$13+'Beta HC3'!$E$12*I967</x:f>
        <x:v>0.017151526354792675</x:v>
      </x:c>
      <x:c r="K967" s="240" t="n">
        <x:f>H967-J967</x:f>
        <x:v>0.00484774095960893</x:v>
      </x:c>
      <x:c r="L967" s="240" t="n">
        <x:f>I967-'Beta HC3'!$E$9</x:f>
        <x:v>0.014635747894881083</x:v>
      </x:c>
      <x:c r="M967" s="240" t="n">
        <x:f>1/'Beta HC3'!$E$8+L967^2/'Beta HC3'!$E$11</x:f>
        <x:v>0.0022616426668560967</x:v>
      </x:c>
      <x:c r="N967" s="240" t="n">
        <x:f>K967^2/(1-M967)^2</x:f>
        <x:v>0.000023607254005527857</x:v>
      </x:c>
      <x:c r="O967" s="240" t="n">
        <x:f>N967*L967^2/'Beta HC3'!$E$11^2</x:f>
        <x:v>2.364776145260217e-7</x:v>
      </x:c>
      <x:c r="P967" s="240" t="n">
        <x:f>N967*(1/'Beta HC3'!$E$8-'Beta HC3'!$E$9*L967/'Beta HC3'!$E$11)^2</x:f>
        <x:v>1.2940249727177004e-11</x:v>
      </x:c>
      <x:c r="Q967" s="240" t="n">
        <x:f>N967*(1/'Beta HC3'!$E$8-'Beta HC3'!$E$9*L967/'Beta HC3'!$E$11)*L967/'Beta HC3'!$E$11</x:f>
        <x:v>1.7493082595282692e-9</x:v>
      </x:c>
      <x:c r="R967" s="240" t="n">
        <x:f>K967*L967/'Beta HC3'!$E$11</x:f>
        <x:v>0.00048518982717076707</x:v>
      </x:c>
      <x:c r="S967" s="240" t="n">
        <x:f>(K967-K966)^2</x:f>
        <x:v>0.000015779570838831864</x:v>
      </x:c>
      <x:c r="T967" s="280" t="n">
        <x:f>E967/$E$9*100</x:f>
        <x:v>187.43559480548163</x:v>
      </x:c>
    </x:row>
    <x:row r="968" ht="24" customHeight="1">
      <x:c r="C968" s="274" t="d">
        <x:v>2025-08-05T00:00:00.000Z</x:v>
      </x:c>
      <x:c r="D968" s="191" t="n">
        <x:v>527.75</x:v>
      </x:c>
      <x:c r="E968" s="191" t="n">
        <x:v>522.584228515625</x:v>
      </x:c>
      <x:c r="F968" s="191" t="n">
        <x:v>627.969970703125</x:v>
      </x:c>
      <x:c r="G968" s="191" t="n">
        <x:v>619.5496215820312</x:v>
      </x:c>
      <x:c r="H968" s="208" t="n">
        <x:f>E968/E967-1</x:f>
        <x:v>-0.014729993841213762</x:v>
      </x:c>
      <x:c r="I968" s="208" t="n">
        <x:f>G968/G967-1</x:f>
        <x:v>-0.00506997011593413</x:v>
      </x:c>
      <x:c r="J968" s="208" t="n">
        <x:f>'Beta HC3'!$E$13+'Beta HC3'!$E$12*I968</x:f>
        <x:v>-0.005708840387498185</x:v>
      </x:c>
      <x:c r="K968" s="240" t="n">
        <x:f>H968-J968</x:f>
        <x:v>-0.009021153453715576</x:v>
      </x:c>
      <x:c r="L968" s="240" t="n">
        <x:f>I968-'Beta HC3'!$E$9</x:f>
        <x:v>-0.00563391773359457</x:v>
      </x:c>
      <x:c r="M968" s="240" t="n">
        <x:f>1/'Beta HC3'!$E$8+L968^2/'Beta HC3'!$E$11</x:f>
        <x:v>0.0010138720317939879</x:v>
      </x:c>
      <x:c r="N968" s="240" t="n">
        <x:f>K968^2/(1-M968)^2</x:f>
        <x:v>0.00008154648120404826</x:v>
      </x:c>
      <x:c r="O968" s="240" t="n">
        <x:f>N968*L968^2/'Beta HC3'!$E$11^2</x:f>
        <x:v>1.2104335445383554e-7</x:v>
      </x:c>
      <x:c r="P968" s="240" t="n">
        <x:f>N968*(1/'Beta HC3'!$E$8-'Beta HC3'!$E$9*L968/'Beta HC3'!$E$11)^2</x:f>
        <x:v>5.4636785230451766e-11</x:v>
      </x:c>
      <x:c r="Q968" s="240" t="n">
        <x:f>N968*(1/'Beta HC3'!$E$8-'Beta HC3'!$E$9*L968/'Beta HC3'!$E$11)*L968/'Beta HC3'!$E$11</x:f>
        <x:v>-2.571657006847465e-9</x:v>
      </x:c>
      <x:c r="R968" s="240" t="n">
        <x:f>K968*L968/'Beta HC3'!$E$11</x:f>
        <x:v>0.0003475601155703668</x:v>
      </x:c>
      <x:c r="S968" s="240" t="n">
        <x:f>(K968-K967)^2</x:f>
        <x:v>0.0001923462322479437</x:v>
      </x:c>
      <x:c r="T968" s="280" t="n">
        <x:f>E968/$E$9*100</x:f>
        <x:v>184.67466964837266</x:v>
      </x:c>
    </x:row>
    <x:row r="969" ht="24" customHeight="1">
      <x:c r="C969" s="274" t="d">
        <x:v>2025-08-06T00:00:00.000Z</x:v>
      </x:c>
      <x:c r="D969" s="191" t="n">
        <x:v>524.9400024414062</x:v>
      </x:c>
      <x:c r="E969" s="191" t="n">
        <x:v>519.8016967773438</x:v>
      </x:c>
      <x:c r="F969" s="191" t="n">
        <x:v>632.780029296875</x:v>
      </x:c>
      <x:c r="G969" s="191" t="n">
        <x:v>624.2952270507812</x:v>
      </x:c>
      <x:c r="H969" s="208" t="n">
        <x:f>E969/E968-1</x:f>
        <x:v>-0.005324561260076521</x:v>
      </x:c>
      <x:c r="I969" s="208" t="n">
        <x:f>G969/G968-1</x:f>
        <x:v>0.007659766552083447</x:v>
      </x:c>
      <x:c r="J969" s="208" t="n">
        <x:f>'Beta HC3'!$E$13+'Beta HC3'!$E$12*I969</x:f>
        <x:v>0.008647905998828571</x:v>
      </x:c>
      <x:c r="K969" s="240" t="n">
        <x:f>H969-J969</x:f>
        <x:v>-0.013972467258905092</x:v>
      </x:c>
      <x:c r="L969" s="240" t="n">
        <x:f>I969-'Beta HC3'!$E$9</x:f>
        <x:v>0.007095818934423007</x:v>
      </x:c>
      <x:c r="M969" s="240" t="n">
        <x:f>1/'Beta HC3'!$E$8+L969^2/'Beta HC3'!$E$11</x:f>
        <x:v>0.0011411328772145263</x:v>
      </x:c>
      <x:c r="N969" s="240" t="n">
        <x:f>K969^2/(1-M969)^2</x:f>
        <x:v>0.0001956761715199652</x:v>
      </x:c>
      <x:c r="O969" s="240" t="n">
        <x:f>N969*L969^2/'Beta HC3'!$E$11^2</x:f>
        <x:v>4.6074190689162766e-7</x:v>
      </x:c>
      <x:c r="P969" s="240" t="n">
        <x:f>N969*(1/'Beta HC3'!$E$8-'Beta HC3'!$E$9*L969/'Beta HC3'!$E$11)^2</x:f>
        <x:v>1.158499850143058e-10</x:v>
      </x:c>
      <x:c r="Q969" s="240" t="n">
        <x:f>N969*(1/'Beta HC3'!$E$8-'Beta HC3'!$E$9*L969/'Beta HC3'!$E$11)*L969/'Beta HC3'!$E$11</x:f>
        <x:v>7.305952573679749e-9</x:v>
      </x:c>
      <x:c r="R969" s="240" t="n">
        <x:f>K969*L969/'Beta HC3'!$E$11</x:f>
        <x:v>-0.0006780051411211792</x:v>
      </x:c>
      <x:c r="S969" s="240" t="n">
        <x:f>(K969-K968)^2</x:f>
        <x:v>0.000024515508397460288</x:v>
      </x:c>
      <x:c r="T969" s="280" t="n">
        <x:f>E969/$E$9*100</x:f>
        <x:v>183.69135805664553</x:v>
      </x:c>
    </x:row>
    <x:row r="970" ht="24" customHeight="1">
      <x:c r="C970" s="274" t="d">
        <x:v>2025-08-07T00:00:00.000Z</x:v>
      </x:c>
      <x:c r="D970" s="191" t="n">
        <x:v>520.8400268554688</x:v>
      </x:c>
      <x:c r="E970" s="191" t="n">
        <x:v>515.7418212890625</x:v>
      </x:c>
      <x:c r="F970" s="191" t="n">
        <x:v>632.25</x:v>
      </x:c>
      <x:c r="G970" s="191" t="n">
        <x:v>623.772216796875</x:v>
      </x:c>
      <x:c r="H970" s="208" t="n">
        <x:f>E970/E969-1</x:f>
        <x:v>-0.00781043138845372</x:v>
      </x:c>
      <x:c r="I970" s="208" t="n">
        <x:f>G970/G969-1</x:f>
        <x:v>-0.0008377610964238613</x:v>
      </x:c>
      <x:c r="J970" s="208" t="n">
        <x:f>'Beta HC3'!$E$13+'Beta HC3'!$E$12*I970</x:f>
        <x:v>-0.0009357053940862651</x:v>
      </x:c>
      <x:c r="K970" s="240" t="n">
        <x:f>H970-J970</x:f>
        <x:v>-0.006874725994367455</x:v>
      </x:c>
      <x:c r="L970" s="240" t="n">
        <x:f>I970-'Beta HC3'!$E$9</x:f>
        <x:v>-0.0014017087140843006</x:v>
      </x:c>
      <x:c r="M970" s="240" t="n">
        <x:f>1/'Beta HC3'!$E$8+L970^2/'Beta HC3'!$E$11</x:f>
        <x:v>0.0008102488391174753</x:v>
      </x:c>
      <x:c r="N970" s="240" t="n">
        <x:f>K970^2/(1-M970)^2</x:f>
        <x:v>0.000047338538411317103</x:v>
      </x:c>
      <x:c r="O970" s="240" t="n">
        <x:f>N970*L970^2/'Beta HC3'!$E$11^2</x:f>
        <x:v>4.3495578776155395e-9</x:v>
      </x:c>
      <x:c r="P970" s="240" t="n">
        <x:f>N970*(1/'Beta HC3'!$E$8-'Beta HC3'!$E$9*L970/'Beta HC3'!$E$11)^2</x:f>
        <x:v>3.046492842795085e-11</x:v>
      </x:c>
      <x:c r="Q970" s="240" t="n">
        <x:f>N970*(1/'Beta HC3'!$E$8-'Beta HC3'!$E$9*L970/'Beta HC3'!$E$11)*L970/'Beta HC3'!$E$11</x:f>
        <x:v>-3.6401781472173477e-10</x:v>
      </x:c>
      <x:c r="R970" s="240" t="n">
        <x:f>K970*L970/'Beta HC3'!$E$11</x:f>
        <x:v>0.00006589774111964764</x:v>
      </x:c>
      <x:c r="S970" s="240" t="n">
        <x:f>(K970-K969)^2</x:f>
        <x:v>0.00005037793105832034</x:v>
      </x:c>
      <x:c r="T970" s="280" t="n">
        <x:f>E970/$E$9*100</x:f>
        <x:v>182.25664930789222</x:v>
      </x:c>
    </x:row>
    <x:row r="971" ht="24" customHeight="1">
      <x:c r="C971" s="274" t="d">
        <x:v>2025-08-08T00:00:00.000Z</x:v>
      </x:c>
      <x:c r="D971" s="191" t="n">
        <x:v>522.0399780273438</x:v>
      </x:c>
      <x:c r="E971" s="191" t="n">
        <x:v>516.9300537109375</x:v>
      </x:c>
      <x:c r="F971" s="191" t="n">
        <x:v>637.1799926757812</x:v>
      </x:c>
      <x:c r="G971" s="191" t="n">
        <x:v>628.6362915039062</x:v>
      </x:c>
      <x:c r="H971" s="208" t="n">
        <x:f>E971/E970-1</x:f>
        <x:v>0.002303928773712993</x:v>
      </x:c>
      <x:c r="I971" s="208" t="n">
        <x:f>G971/G970-1</x:f>
        <x:v>0.0077978380185137475</x:v>
      </x:c>
      <x:c r="J971" s="208" t="n">
        <x:f>'Beta HC3'!$E$13+'Beta HC3'!$E$12*I971</x:f>
        <x:v>0.008803624618814506</x:v>
      </x:c>
      <x:c r="K971" s="240" t="n">
        <x:f>H971-J971</x:f>
        <x:v>-0.006499695845101513</x:v>
      </x:c>
      <x:c r="L971" s="240" t="n">
        <x:f>I971-'Beta HC3'!$E$9</x:f>
        <x:v>0.007233890400853308</x:v>
      </x:c>
      <x:c r="M971" s="240" t="n">
        <x:f>1/'Beta HC3'!$E$8+L971^2/'Beta HC3'!$E$11</x:f>
        <x:v>0.0011546629047383145</x:v>
      </x:c>
      <x:c r="N971" s="240" t="n">
        <x:f>K971^2/(1-M971)^2</x:f>
        <x:v>0.00004234377519707631</x:v>
      </x:c>
      <x:c r="O971" s="240" t="n">
        <x:f>N971*L971^2/'Beta HC3'!$E$11^2</x:f>
        <x:v>1.0362108783454662e-7</x:v>
      </x:c>
      <x:c r="P971" s="240" t="n">
        <x:f>N971*(1/'Beta HC3'!$E$8-'Beta HC3'!$E$9*L971/'Beta HC3'!$E$11)^2</x:f>
        <x:v>2.5034926592689116e-11</x:v>
      </x:c>
      <x:c r="Q971" s="240" t="n">
        <x:f>N971*(1/'Beta HC3'!$E$8-'Beta HC3'!$E$9*L971/'Beta HC3'!$E$11)*L971/'Beta HC3'!$E$11</x:f>
        <x:v>1.6106353800263007e-9</x:v>
      </x:c>
      <x:c r="R971" s="240" t="n">
        <x:f>K971*L971/'Beta HC3'!$E$11</x:f>
        <x:v>-0.0003215306068393008</x:v>
      </x:c>
      <x:c r="S971" s="240" t="n">
        <x:f>(K971-K970)^2</x:f>
        <x:v>1.4064761285843457e-7</x:v>
      </x:c>
      <x:c r="T971" s="280" t="n">
        <x:f>E971/$E$9*100</x:f>
        <x:v>182.67655564643317</x:v>
      </x:c>
    </x:row>
    <x:row r="972" ht="24" customHeight="1">
      <x:c r="C972" s="274" t="d">
        <x:v>2025-08-11T00:00:00.000Z</x:v>
      </x:c>
      <x:c r="D972" s="191" t="n">
        <x:v>521.77001953125</x:v>
      </x:c>
      <x:c r="E972" s="191" t="n">
        <x:v>516.662841796875</x:v>
      </x:c>
      <x:c r="F972" s="191" t="n">
        <x:v>635.9199829101562</x:v>
      </x:c>
      <x:c r="G972" s="191" t="n">
        <x:v>627.3930053710938</x:v>
      </x:c>
      <x:c r="H972" s="208" t="n">
        <x:f>E972/E971-1</x:f>
        <x:v>-0.0005169208331847752</x:v>
      </x:c>
      <x:c r="I972" s="208" t="n">
        <x:f>G972/G971-1</x:f>
        <x:v>-0.0019777511251189983</x:v>
      </x:c>
      <x:c r="J972" s="208" t="n">
        <x:f>'Beta HC3'!$E$13+'Beta HC3'!$E$12*I972</x:f>
        <x:v>-0.0022213995252175914</x:v>
      </x:c>
      <x:c r="K972" s="240" t="n">
        <x:f>H972-J972</x:f>
        <x:v>0.0017044786920328162</x:v>
      </x:c>
      <x:c r="L972" s="240" t="n">
        <x:f>I972-'Beta HC3'!$E$9</x:f>
        <x:v>-0.0025416987427794376</x:v>
      </x:c>
      <x:c r="M972" s="240" t="n">
        <x:f>1/'Beta HC3'!$E$8+L972^2/'Beta HC3'!$E$11</x:f>
        <x:v>0.0008409906939478131</x:v>
      </x:c>
      <x:c r="N972" s="240" t="n">
        <x:f>K972^2/(1-M972)^2</x:f>
        <x:v>0.0000029101403552661927</x:v>
      </x:c>
      <x:c r="O972" s="240" t="n">
        <x:f>N972*L972^2/'Beta HC3'!$E$11^2</x:f>
        <x:v>8.791779886484372e-10</x:v>
      </x:c>
      <x:c r="P972" s="240" t="n">
        <x:f>N972*(1/'Beta HC3'!$E$8-'Beta HC3'!$E$9*L972/'Beta HC3'!$E$11)^2</x:f>
        <x:v>1.8934175002840578e-12</x:v>
      </x:c>
      <x:c r="Q972" s="240" t="n">
        <x:f>N972*(1/'Beta HC3'!$E$8-'Beta HC3'!$E$9*L972/'Beta HC3'!$E$11)*L972/'Beta HC3'!$E$11</x:f>
        <x:v>-4.0800134675898924e-11</x:v>
      </x:c>
      <x:c r="R972" s="240" t="n">
        <x:f>K972*L972/'Beta HC3'!$E$11</x:f>
        <x:v>-0.000029625999551863366</x:v>
      </x:c>
      <x:c r="S972" s="240" t="n">
        <x:f>(K972-K971)^2</x:f>
        <x:v>0.00006730847983576327</x:v>
      </x:c>
      <x:c r="T972" s="280" t="n">
        <x:f>E972/$E$9*100</x:f>
        <x:v>182.58212632908507</x:v>
      </x:c>
    </x:row>
    <x:row r="973" ht="24" customHeight="1">
      <x:c r="C973" s="274" t="d">
        <x:v>2025-08-12T00:00:00.000Z</x:v>
      </x:c>
      <x:c r="D973" s="191" t="n">
        <x:v>529.239990234375</x:v>
      </x:c>
      <x:c r="E973" s="191" t="n">
        <x:v>524.0595703125</x:v>
      </x:c>
      <x:c r="F973" s="191" t="n">
        <x:v>642.6900024414062</x:v>
      </x:c>
      <x:c r="G973" s="191" t="n">
        <x:v>634.0723876953125</x:v>
      </x:c>
      <x:c r="H973" s="208" t="n">
        <x:f>E973/E972-1</x:f>
        <x:v>0.01431635472351811</x:v>
      </x:c>
      <x:c r="I973" s="208" t="n">
        <x:f>G973/G972-1</x:f>
        <x:v>0.010646249268061236</x:v>
      </x:c>
      <x:c r="J973" s="208" t="n">
        <x:f>'Beta HC3'!$E$13+'Beta HC3'!$E$12*I973</x:f>
        <x:v>0.012016096249626478</x:v>
      </x:c>
      <x:c r="K973" s="240" t="n">
        <x:f>H973-J973</x:f>
        <x:v>0.002300258473891632</x:v>
      </x:c>
      <x:c r="L973" s="240" t="n">
        <x:f>I973-'Beta HC3'!$E$9</x:f>
        <x:v>0.010082301650400798</x:v>
      </x:c>
      <x:c r="M973" s="240" t="n">
        <x:f>1/'Beta HC3'!$E$8+L973^2/'Beta HC3'!$E$11</x:f>
        <x:v>0.0014919598807339256</x:v>
      </x:c>
      <x:c r="N973" s="240" t="n">
        <x:f>K973^2/(1-M973)^2</x:f>
        <x:v>0.0000053070129343643596</x:v>
      </x:c>
      <x:c r="O973" s="240" t="n">
        <x:f>N973*L973^2/'Beta HC3'!$E$11^2</x:f>
        <x:v>2.522808250689974e-8</x:v>
      </x:c>
      <x:c r="P973" s="240" t="n">
        <x:f>N973*(1/'Beta HC3'!$E$8-'Beta HC3'!$E$9*L973/'Beta HC3'!$E$11)^2</x:f>
        <x:v>3.0486562517131936e-12</x:v>
      </x:c>
      <x:c r="Q973" s="240" t="n">
        <x:f>N973*(1/'Beta HC3'!$E$8-'Beta HC3'!$E$9*L973/'Beta HC3'!$E$11)*L973/'Beta HC3'!$E$11</x:f>
        <x:v>2.7732968008021815e-10</x:v>
      </x:c>
      <x:c r="R973" s="240" t="n">
        <x:f>K973*L973/'Beta HC3'!$E$11</x:f>
        <x:v>0.0001585965323998906</x:v>
      </x:c>
      <x:c r="S973" s="240" t="n">
        <x:f>(K973-K972)^2</x:f>
        <x:v>3.5495354847173816e-7</x:v>
      </x:c>
      <x:c r="T973" s="280" t="n">
        <x:f>E973/$E$9*100</x:f>
        <x:v>185.19603681578647</x:v>
      </x:c>
    </x:row>
    <x:row r="974" ht="24" customHeight="1">
      <x:c r="C974" s="274" t="d">
        <x:v>2025-08-13T00:00:00.000Z</x:v>
      </x:c>
      <x:c r="D974" s="191" t="n">
        <x:v>520.5800170898438</x:v>
      </x:c>
      <x:c r="E974" s="191" t="n">
        <x:v>515.4844360351562</x:v>
      </x:c>
      <x:c r="F974" s="191" t="n">
        <x:v>644.8900146484375</x:v>
      </x:c>
      <x:c r="G974" s="191" t="n">
        <x:v>636.2427978515625</x:v>
      </x:c>
      <x:c r="H974" s="208" t="n">
        <x:f>E974/E973-1</x:f>
        <x:v>-0.016362899874589387</x:v>
      </x:c>
      <x:c r="I974" s="208" t="n">
        <x:f>G974/G973-1</x:f>
        <x:v>0.003422969046387392</x:v>
      </x:c>
      <x:c r="J974" s="208" t="n">
        <x:f>'Beta HC3'!$E$13+'Beta HC3'!$E$12*I974</x:f>
        <x:v>0.003869596056854517</x:v>
      </x:c>
      <x:c r="K974" s="240" t="n">
        <x:f>H974-J974</x:f>
        <x:v>-0.020232495931443904</x:v>
      </x:c>
      <x:c r="L974" s="240" t="n">
        <x:f>I974-'Beta HC3'!$E$9</x:f>
        <x:v>0.0028590214287269526</x:v>
      </x:c>
      <x:c r="M974" s="240" t="n">
        <x:f>1/'Beta HC3'!$E$8+L974^2/'Beta HC3'!$E$11</x:f>
        <x:v>0.0008527102229677709</x:v>
      </x:c>
      <x:c r="N974" s="240" t="n">
        <x:f>K974^2/(1-M974)^2</x:f>
        <x:v>0.00041005290607031594</x:v>
      </x:c>
      <x:c r="O974" s="240" t="n">
        <x:f>N974*L974^2/'Beta HC3'!$E$11^2</x:f>
        <x:v>1.5674346309677177e-7</x:v>
      </x:c>
      <x:c r="P974" s="240" t="n">
        <x:f>N974*(1/'Beta HC3'!$E$8-'Beta HC3'!$E$9*L974/'Beta HC3'!$E$11)^2</x:f>
        <x:v>2.531916743428025e-10</x:v>
      </x:c>
      <x:c r="Q974" s="240" t="n">
        <x:f>N974*(1/'Beta HC3'!$E$8-'Beta HC3'!$E$9*L974/'Beta HC3'!$E$11)*L974/'Beta HC3'!$E$11</x:f>
        <x:v>6.299693632531739e-9</x:v>
      </x:c>
      <x:c r="R974" s="240" t="n">
        <x:f>K974*L974/'Beta HC3'!$E$11</x:f>
        <x:v>-0.0003955708072652983</x:v>
      </x:c>
      <x:c r="S974" s="240" t="n">
        <x:f>(K974-K973)^2</x:f>
        <x:v>0.0005077250210911681</x:v>
      </x:c>
      <x:c r="T974" s="280" t="n">
        <x:f>E974/$E$9*100</x:f>
        <x:v>182.16569260819898</x:v>
      </x:c>
    </x:row>
    <x:row r="975" ht="24" customHeight="1">
      <x:c r="C975" s="274" t="d">
        <x:v>2025-08-14T00:00:00.000Z</x:v>
      </x:c>
      <x:c r="D975" s="191" t="n">
        <x:v>522.47998046875</x:v>
      </x:c>
      <x:c r="E975" s="191" t="n">
        <x:v>517.36572265625</x:v>
      </x:c>
      <x:c r="F975" s="191" t="n">
        <x:v>644.9500122070312</x:v>
      </x:c>
      <x:c r="G975" s="191" t="n">
        <x:v>636.3020629882812</x:v>
      </x:c>
      <x:c r="H975" s="208" t="n">
        <x:f>E975/E974-1</x:f>
        <x:v>0.003649550771238852</x:v>
      </x:c>
      <x:c r="I975" s="208" t="n">
        <x:f>G975/G974-1</x:f>
        <x:v>0.00009314861703568766</x:v>
      </x:c>
      <x:c r="J975" s="208" t="n">
        <x:f>'Beta HC3'!$E$13+'Beta HC3'!$E$12*I975</x:f>
        <x:v>0.00011418550415084537</x:v>
      </x:c>
      <x:c r="K975" s="240" t="n">
        <x:f>H975-J975</x:f>
        <x:v>0.0035353652670880066</x:v>
      </x:c>
      <x:c r="L975" s="240" t="n">
        <x:f>I975-'Beta HC3'!$E$9</x:f>
        <x:v>-0.0004707990006247517</x:v>
      </x:c>
      <x:c r="M975" s="240" t="n">
        <x:f>1/'Beta HC3'!$E$8+L975^2/'Beta HC3'!$E$11</x:f>
        <x:v>0.0007983285019673796</x:v>
      </x:c>
      <x:c r="N975" s="240" t="n">
        <x:f>K975^2/(1-M975)^2</x:f>
        <x:v>0.000012518787803380329</x:v>
      </x:c>
      <x:c r="O975" s="240" t="n">
        <x:f>N975*L975^2/'Beta HC3'!$E$11^2</x:f>
        <x:v>1.2976215980897004e-10</x:v>
      </x:c>
      <x:c r="P975" s="240" t="n">
        <x:f>N975*(1/'Beta HC3'!$E$8-'Beta HC3'!$E$9*L975/'Beta HC3'!$E$11)^2</x:f>
        <x:v>7.984574455094376e-12</x:v>
      </x:c>
      <x:c r="Q975" s="240" t="n">
        <x:f>N975*(1/'Beta HC3'!$E$8-'Beta HC3'!$E$9*L975/'Beta HC3'!$E$11)*L975/'Beta HC3'!$E$11</x:f>
        <x:v>-3.2188439329184265e-11</x:v>
      </x:c>
      <x:c r="R975" s="240" t="n">
        <x:f>K975*L975/'Beta HC3'!$E$11</x:f>
        <x:v>-0.000011382225478735459</x:v>
      </x:c>
      <x:c r="S975" s="240" t="n">
        <x:f>(K975-K974)^2</x:f>
        <x:v>0.0005649112259526787</x:v>
      </x:c>
      <x:c r="T975" s="280" t="n">
        <x:f>E975/$E$9*100</x:f>
        <x:v>182.83051555215053</x:v>
      </x:c>
    </x:row>
    <x:row r="976" ht="24" customHeight="1">
      <x:c r="C976" s="274" t="d">
        <x:v>2025-08-15T00:00:00.000Z</x:v>
      </x:c>
      <x:c r="D976" s="191" t="n">
        <x:v>520.1699829101562</x:v>
      </x:c>
      <x:c r="E976" s="191" t="n">
        <x:v>515.078369140625</x:v>
      </x:c>
      <x:c r="F976" s="191" t="n">
        <x:v>643.4400024414062</x:v>
      </x:c>
      <x:c r="G976" s="191" t="n">
        <x:v>634.8123168945312</x:v>
      </x:c>
      <x:c r="H976" s="208" t="n">
        <x:f>E976/E975-1</x:f>
        <x:v>-0.004421153964126789</x:v>
      </x:c>
      <x:c r="I976" s="208" t="n">
        <x:f>G976/G975-1</x:f>
        <x:v>-0.002341256111529244</x:v>
      </x:c>
      <x:c r="J976" s="208" t="n">
        <x:f>'Beta HC3'!$E$13+'Beta HC3'!$E$12*I976</x:f>
        <x:v>-0.0026313647142987397</x:v>
      </x:c>
      <x:c r="K976" s="240" t="n">
        <x:f>H976-J976</x:f>
        <x:v>-0.0017897892498280497</x:v>
      </x:c>
      <x:c r="L976" s="240" t="n">
        <x:f>I976-'Beta HC3'!$E$9</x:f>
        <x:v>-0.0029052037291896833</x:v>
      </x:c>
      <x:c r="M976" s="240" t="n">
        <x:f>1/'Beta HC3'!$E$8+L976^2/'Beta HC3'!$E$11</x:f>
        <x:v>0.0008545306524503063</x:v>
      </x:c>
      <x:c r="N976" s="240" t="n">
        <x:f>K976^2/(1-M976)^2</x:f>
        <x:v>0.000003208827298211206</x:v>
      </x:c>
      <x:c r="O976" s="240" t="n">
        <x:f>N976*L976^2/'Beta HC3'!$E$11^2</x:f>
        <x:v>1.2665264161426915e-9</x:v>
      </x:c>
      <x:c r="P976" s="240" t="n">
        <x:f>N976*(1/'Beta HC3'!$E$8-'Beta HC3'!$E$9*L976/'Beta HC3'!$E$11)^2</x:f>
        <x:v>2.0950146267342256e-12</x:v>
      </x:c>
      <x:c r="Q976" s="240" t="n">
        <x:f>N976*(1/'Beta HC3'!$E$8-'Beta HC3'!$E$9*L976/'Beta HC3'!$E$11)*L976/'Beta HC3'!$E$11</x:f>
        <x:v>-5.1511080040746744e-11</x:v>
      </x:c>
      <x:c r="R976" s="240" t="n">
        <x:f>K976*L976/'Beta HC3'!$E$11</x:f>
        <x:v>0.000035557879150752034</x:v>
      </x:c>
      <x:c r="S976" s="240" t="n">
        <x:f>(K976-K975)^2</x:f>
        <x:v>0.000028357270629031476</x:v>
      </x:c>
      <x:c r="T976" s="280" t="n">
        <x:f>E976/$E$9*100</x:f>
        <x:v>182.0221936935538</x:v>
      </x:c>
    </x:row>
    <x:row r="977" ht="24" customHeight="1">
      <x:c r="C977" s="274" t="d">
        <x:v>2025-08-18T00:00:00.000Z</x:v>
      </x:c>
      <x:c r="D977" s="191" t="n">
        <x:v>517.0999755859375</x:v>
      </x:c>
      <x:c r="E977" s="191" t="n">
        <x:v>512.0383911132812</x:v>
      </x:c>
      <x:c r="F977" s="191" t="n">
        <x:v>643.2999877929688</x:v>
      </x:c>
      <x:c r="G977" s="191" t="n">
        <x:v>634.6741333007812</x:v>
      </x:c>
      <x:c r="H977" s="208" t="n">
        <x:f>E977/E976-1</x:f>
        <x:v>-0.0059019718347244066</x:v>
      </x:c>
      <x:c r="I977" s="208" t="n">
        <x:f>G977/G976-1</x:f>
        <x:v>-0.00021767629592628346</x:v>
      </x:c>
      <x:c r="J977" s="208" t="n">
        <x:f>'Beta HC3'!$E$13+'Beta HC3'!$E$12*I977</x:f>
        <x:v>-0.00023636647994153644</x:v>
      </x:c>
      <x:c r="K977" s="240" t="n">
        <x:f>H977-J977</x:f>
        <x:v>-0.00566560535478287</x:v>
      </x:c>
      <x:c r="L977" s="240" t="n">
        <x:f>I977-'Beta HC3'!$E$9</x:f>
        <x:v>-0.0007816239135867228</x:v>
      </x:c>
      <x:c r="M977" s="240" t="n">
        <x:f>1/'Beta HC3'!$E$8+L977^2/'Beta HC3'!$E$11</x:f>
        <x:v>0.0008009906008733564</x:v>
      </x:c>
      <x:c r="N977" s="240" t="n">
        <x:f>K977^2/(1-M977)^2</x:f>
        <x:v>0.000032150568014376354</x:v>
      </x:c>
      <x:c r="O977" s="240" t="n">
        <x:f>N977*L977^2/'Beta HC3'!$E$11^2</x:f>
        <x:v>9.185420634544608e-10</x:v>
      </x:c>
      <x:c r="P977" s="240" t="n">
        <x:f>N977*(1/'Beta HC3'!$E$8-'Beta HC3'!$E$9*L977/'Beta HC3'!$E$11)^2</x:f>
        <x:v>2.05674704089212e-11</x:v>
      </x:c>
      <x:c r="Q977" s="240" t="n">
        <x:f>N977*(1/'Beta HC3'!$E$8-'Beta HC3'!$E$9*L977/'Beta HC3'!$E$11)*L977/'Beta HC3'!$E$11</x:f>
        <x:v>-1.3744848747603245e-10</x:v>
      </x:c>
      <x:c r="R977" s="240" t="n">
        <x:f>K977*L977/'Beta HC3'!$E$11</x:f>
        <x:v>0.00003028318288521649</x:v>
      </x:c>
      <x:c r="S977" s="240" t="n">
        <x:f>(K977-K976)^2</x:f>
        <x:v>0.000015021950479427158</x:v>
      </x:c>
      <x:c r="T977" s="280" t="n">
        <x:f>E977/$E$9*100</x:f>
        <x:v>180.9479038330797</x:v>
      </x:c>
    </x:row>
    <x:row r="978" ht="24" customHeight="1">
      <x:c r="C978" s="274" t="d">
        <x:v>2025-08-19T00:00:00.000Z</x:v>
      </x:c>
      <x:c r="D978" s="191" t="n">
        <x:v>509.7699890136719</x:v>
      </x:c>
      <x:c r="E978" s="191" t="n">
        <x:v>504.7801818847656</x:v>
      </x:c>
      <x:c r="F978" s="191" t="n">
        <x:v>639.8099975585938</x:v>
      </x:c>
      <x:c r="G978" s="191" t="n">
        <x:v>631.23095703125</x:v>
      </x:c>
      <x:c r="H978" s="208" t="n">
        <x:f>E978/E977-1</x:f>
        <x:v>-0.01417512701095458</x:v>
      </x:c>
      <x:c r="I978" s="208" t="n">
        <x:f>G978/G977-1</x:f>
        <x:v>-0.005425108869057227</x:v>
      </x:c>
      <x:c r="J978" s="208" t="n">
        <x:f>'Beta HC3'!$E$13+'Beta HC3'!$E$12*I978</x:f>
        <x:v>-0.006109370040507781</x:v>
      </x:c>
      <x:c r="K978" s="240" t="n">
        <x:f>H978-J978</x:f>
        <x:v>-0.0080657569704468</x:v>
      </x:c>
      <x:c r="L978" s="240" t="n">
        <x:f>I978-'Beta HC3'!$E$9</x:f>
        <x:v>-0.005989056486717667</x:v>
      </x:c>
      <x:c r="M978" s="240" t="n">
        <x:f>1/'Beta HC3'!$E$8+L978^2/'Beta HC3'!$E$11</x:f>
        <x:v>0.0010420995503468739</x:v>
      </x:c>
      <x:c r="N978" s="240" t="n">
        <x:f>K978^2/(1-M978)^2</x:f>
        <x:v>0.00006519223831386603</x:v>
      </x:c>
      <x:c r="O978" s="240" t="n">
        <x:f>N978*L978^2/'Beta HC3'!$E$11^2</x:f>
        <x:v>1.0935217704622918e-7</x:v>
      </x:c>
      <x:c r="P978" s="240" t="n">
        <x:f>N978*(1/'Beta HC3'!$E$8-'Beta HC3'!$E$9*L978/'Beta HC3'!$E$11)^2</x:f>
        <x:v>4.3825606465762554e-11</x:v>
      </x:c>
      <x:c r="Q978" s="240" t="n">
        <x:f>N978*(1/'Beta HC3'!$E$8-'Beta HC3'!$E$9*L978/'Beta HC3'!$E$11)*L978/'Beta HC3'!$E$11</x:f>
        <x:v>-2.1891609071519692e-9</x:v>
      </x:c>
      <x:c r="R978" s="240" t="n">
        <x:f>K978*L978/'Beta HC3'!$E$11</x:f>
        <x:v>0.0003303398009482286</x:v>
      </x:c>
      <x:c r="S978" s="240" t="n">
        <x:f>(K978-K977)^2</x:f>
        <x:v>0.00000576072777817417</x:v>
      </x:c>
      <x:c r="T978" s="280" t="n">
        <x:f>E978/$E$9*100</x:f>
        <x:v>178.3829443138798</x:v>
      </x:c>
    </x:row>
    <x:row r="979" ht="24" customHeight="1">
      <x:c r="C979" s="274" t="d">
        <x:v>2025-08-20T00:00:00.000Z</x:v>
      </x:c>
      <x:c r="D979" s="191" t="n">
        <x:v>505.7200012207031</x:v>
      </x:c>
      <x:c r="E979" s="191" t="n">
        <x:v>500.7698059082031</x:v>
      </x:c>
      <x:c r="F979" s="191" t="n">
        <x:v>638.1099853515625</x:v>
      </x:c>
      <x:c r="G979" s="191" t="n">
        <x:v>629.5536499023438</x:v>
      </x:c>
      <x:c r="H979" s="208" t="n">
        <x:f>E979/E978-1</x:f>
        <x:v>-0.007944796805588572</x:v>
      </x:c>
      <x:c r="I979" s="208" t="n">
        <x:f>G979/G978-1</x:f>
        <x:v>-0.002657200364181822</x:v>
      </x:c>
      <x:c r="J979" s="208" t="n">
        <x:f>'Beta HC3'!$E$13+'Beta HC3'!$E$12*I979</x:f>
        <x:v>-0.0029876903497650857</x:v>
      </x:c>
      <x:c r="K979" s="240" t="n">
        <x:f>H979-J979</x:f>
        <x:v>-0.004957106455823486</x:v>
      </x:c>
      <x:c r="L979" s="240" t="n">
        <x:f>I979-'Beta HC3'!$E$9</x:f>
        <x:v>-0.0032211479818422613</x:v>
      </x:c>
      <x:c r="M979" s="240" t="n">
        <x:f>1/'Beta HC3'!$E$8+L979^2/'Beta HC3'!$E$11</x:f>
        <x:v>0.0008677670482998736</x:v>
      </x:c>
      <x:c r="N979" s="240" t="n">
        <x:f>K979^2/(1-M979)^2</x:f>
        <x:v>0.000024615607103768124</x:v>
      </x:c>
      <x:c r="O979" s="240" t="n">
        <x:f>N979*L979^2/'Beta HC3'!$E$11^2</x:f>
        <x:v>1.194391291944618e-8</x:v>
      </x:c>
      <x:c r="P979" s="240" t="n">
        <x:f>N979*(1/'Beta HC3'!$E$8-'Beta HC3'!$E$9*L979/'Beta HC3'!$E$11)^2</x:f>
        <x:v>1.6119815517105014e-11</x:v>
      </x:c>
      <x:c r="Q979" s="240" t="n">
        <x:f>N979*(1/'Beta HC3'!$E$8-'Beta HC3'!$E$9*L979/'Beta HC3'!$E$11)*L979/'Beta HC3'!$E$11</x:f>
        <x:v>-4.387865914243957e-10</x:v>
      </x:c>
      <x:c r="R979" s="240" t="n">
        <x:f>K979*L979/'Beta HC3'!$E$11</x:f>
        <x:v>0.0001091933736328757</x:v>
      </x:c>
      <x:c r="S979" s="240" t="n">
        <x:f>(K979-K978)^2</x:f>
        <x:v>0.000009663708022067794</x:v>
      </x:c>
      <x:c r="T979" s="280" t="n">
        <x:f>E979/$E$9*100</x:f>
        <x:v>176.96572806772338</x:v>
      </x:c>
    </x:row>
    <x:row r="980" ht="24" customHeight="1">
      <x:c r="C980" s="274" t="d">
        <x:v>2025-08-21T00:00:00.000Z</x:v>
      </x:c>
      <x:c r="D980" s="191" t="n">
        <x:v>504.239990234375</x:v>
      </x:c>
      <x:c r="E980" s="191" t="n">
        <x:v>500.1251220703125</x:v>
      </x:c>
      <x:c r="F980" s="191" t="n">
        <x:v>635.5499877929688</x:v>
      </x:c>
      <x:c r="G980" s="191" t="n">
        <x:v>627.028076171875</x:v>
      </x:c>
      <x:c r="H980" s="208" t="n">
        <x:f>E980/E979-1</x:f>
        <x:v>-0.0012873856016966112</x:v>
      </x:c>
      <x:c r="I980" s="208" t="n">
        <x:f>G980/G979-1</x:f>
        <x:v>-0.004011689441972943</x:v>
      </x:c>
      <x:c r="J980" s="208" t="n">
        <x:f>'Beta HC3'!$E$13+'Beta HC3'!$E$12*I980</x:f>
        <x:v>-0.004515299025422404</x:v>
      </x:c>
      <x:c r="K980" s="240" t="n">
        <x:f>H980-J980</x:f>
        <x:v>0.003227913423725793</x:v>
      </x:c>
      <x:c r="L980" s="240" t="n">
        <x:f>I980-'Beta HC3'!$E$9</x:f>
        <x:v>-0.004575637059633383</x:v>
      </x:c>
      <x:c r="M980" s="240" t="n">
        <x:f>1/'Beta HC3'!$E$8+L980^2/'Beta HC3'!$E$11</x:f>
        <x:v>0.0009399855426181966</x:v>
      </x:c>
      <x:c r="N980" s="240" t="n">
        <x:f>K980^2/(1-M980)^2</x:f>
        <x:v>0.000010439040942545908</x:v>
      </x:c>
      <x:c r="O980" s="240" t="n">
        <x:f>N980*L980^2/'Beta HC3'!$E$11^2</x:f>
        <x:v>1.0220648705986389e-8</x:v>
      </x:c>
      <x:c r="P980" s="240" t="n">
        <x:f>N980*(1/'Beta HC3'!$E$8-'Beta HC3'!$E$9*L980/'Beta HC3'!$E$11)^2</x:f>
        <x:v>6.924666280155678e-12</x:v>
      </x:c>
      <x:c r="Q980" s="240" t="n">
        <x:f>N980*(1/'Beta HC3'!$E$8-'Beta HC3'!$E$9*L980/'Beta HC3'!$E$11)*L980/'Beta HC3'!$E$11</x:f>
        <x:v>-2.6603492525542715e-10</x:v>
      </x:c>
      <x:c r="R980" s="240" t="n">
        <x:f>K980*L980/'Beta HC3'!$E$11</x:f>
        <x:v>-0.00010100219409811938</x:v>
      </x:c>
      <x:c r="S980" s="240" t="n">
        <x:f>(K980-K979)^2</x:f>
        <x:v>0.00006699455042861689</x:v>
      </x:c>
      <x:c r="T980" s="280" t="n">
        <x:f>E980/$E$9*100</x:f>
        <x:v>176.73790493741524</x:v>
      </x:c>
    </x:row>
    <x:row r="981" ht="24" customHeight="1">
      <x:c r="C981" s="274" t="d">
        <x:v>2025-08-22T00:00:00.000Z</x:v>
      </x:c>
      <x:c r="D981" s="191" t="n">
        <x:v>507.2300109863281</x:v>
      </x:c>
      <x:c r="E981" s="191" t="n">
        <x:v>503.09075927734375</x:v>
      </x:c>
      <x:c r="F981" s="191" t="n">
        <x:v>645.3099975585938</x:v>
      </x:c>
      <x:c r="G981" s="191" t="n">
        <x:v>636.6571655273438</x:v>
      </x:c>
      <x:c r="H981" s="208" t="n">
        <x:f>E981/E980-1</x:f>
        <x:v>0.005929790518730105</x:v>
      </x:c>
      <x:c r="I981" s="208" t="n">
        <x:f>G981/G980-1</x:f>
        <x:v>0.015356711639223919</x:v>
      </x:c>
      <x:c r="J981" s="208" t="n">
        <x:f>'Beta HC3'!$E$13+'Beta HC3'!$E$12*I981</x:f>
        <x:v>0.017328610984909662</x:v>
      </x:c>
      <x:c r="K981" s="240" t="n">
        <x:f>H981-J981</x:f>
        <x:v>-0.011398820466179557</x:v>
      </x:c>
      <x:c r="L981" s="240" t="n">
        <x:f>I981-'Beta HC3'!$E$9</x:f>
        <x:v>0.01479276402156348</x:v>
      </x:c>
      <x:c r="M981" s="240" t="n">
        <x:f>1/'Beta HC3'!$E$8+L981^2/'Beta HC3'!$E$11</x:f>
        <x:v>0.002293241418344646</x:v>
      </x:c>
      <x:c r="N981" s="240" t="n">
        <x:f>K981^2/(1-M981)^2</x:f>
        <x:v>0.00013053110021363882</x:v>
      </x:c>
      <x:c r="O981" s="240" t="n">
        <x:f>N981*L981^2/'Beta HC3'!$E$11^2</x:f>
        <x:v>0.0000013357567578386439</x:v>
      </x:c>
      <x:c r="P981" s="240" t="n">
        <x:f>N981*(1/'Beta HC3'!$E$8-'Beta HC3'!$E$9*L981/'Beta HC3'!$E$11)^2</x:f>
        <x:v>7.143326279890523e-11</x:v>
      </x:c>
      <x:c r="Q981" s="240" t="n">
        <x:f>N981*(1/'Beta HC3'!$E$8-'Beta HC3'!$E$9*L981/'Beta HC3'!$E$11)*L981/'Beta HC3'!$E$11</x:f>
        <x:v>9.768186296242587e-9</x:v>
      </x:c>
      <x:c r="R981" s="240" t="n">
        <x:f>K981*L981/'Beta HC3'!$E$11</x:f>
        <x:v>-0.0011530990231030083</x:v>
      </x:c>
      <x:c r="S981" s="240" t="n">
        <x:f>(K981-K980)^2</x:f>
        <x:v>0.0002139413442861057</x:v>
      </x:c>
      <x:c r="T981" s="280" t="n">
        <x:f>E981/$E$9*100</x:f>
        <x:v>177.78592369041334</x:v>
      </x:c>
    </x:row>
    <x:row r="982" ht="24" customHeight="1">
      <x:c r="C982" s="274" t="d">
        <x:v>2025-08-25T00:00:00.000Z</x:v>
      </x:c>
      <x:c r="D982" s="191" t="n">
        <x:v>504.260009765625</x:v>
      </x:c>
      <x:c r="E982" s="191" t="n">
        <x:v>500.1449890136719</x:v>
      </x:c>
      <x:c r="F982" s="191" t="n">
        <x:v>642.469970703125</x:v>
      </x:c>
      <x:c r="G982" s="191" t="n">
        <x:v>633.855224609375</x:v>
      </x:c>
      <x:c r="H982" s="208" t="n">
        <x:f>E982/E981-1</x:f>
        <x:v>-0.005855345599873996</x:v>
      </x:c>
      <x:c r="I982" s="208" t="n">
        <x:f>G982/G981-1</x:f>
        <x:v>-0.004401019998962696</x:v>
      </x:c>
      <x:c r="J982" s="208" t="n">
        <x:f>'Beta HC3'!$E$13+'Beta HC3'!$E$12*I982</x:f>
        <x:v>-0.0049543905960432195</x:v>
      </x:c>
      <x:c r="K982" s="240" t="n">
        <x:f>H982-J982</x:f>
        <x:v>-0.0009009550038307761</x:v>
      </x:c>
      <x:c r="L982" s="240" t="n">
        <x:f>I982-'Beta HC3'!$E$9</x:f>
        <x:v>-0.004964967616623136</x:v>
      </x:c>
      <x:c r="M982" s="240" t="n">
        <x:f>1/'Beta HC3'!$E$8+L982^2/'Beta HC3'!$E$11</x:f>
        <x:v>0.0009653865975285939</x:v>
      </x:c>
      <x:c r="N982" s="240" t="n">
        <x:f>K982^2/(1-M982)^2</x:f>
        <x:v>8.132894384128232e-7</x:v>
      </x:c>
      <x:c r="O982" s="240" t="n">
        <x:f>N982*L982^2/'Beta HC3'!$E$11^2</x:f>
        <x:v>9.375462384478377e-10</x:v>
      </x:c>
      <x:c r="P982" s="240" t="n">
        <x:f>N982*(1/'Beta HC3'!$E$8-'Beta HC3'!$E$9*L982/'Beta HC3'!$E$11)^2</x:f>
        <x:v>5.414809200443592e-13</x:v>
      </x:c>
      <x:c r="Q982" s="240" t="n">
        <x:f>N982*(1/'Beta HC3'!$E$8-'Beta HC3'!$E$9*L982/'Beta HC3'!$E$11)*L982/'Beta HC3'!$E$11</x:f>
        <x:v>-2.253138699190228e-11</x:v>
      </x:c>
      <x:c r="R982" s="240" t="n">
        <x:f>K982*L982/'Beta HC3'!$E$11</x:f>
        <x:v>0.00003058981731013911</x:v>
      </x:c>
      <x:c r="S982" s="240" t="n">
        <x:f>(K982-K981)^2</x:f>
        <x:v>0.00011020517926557539</x:v>
      </x:c>
      <x:c r="T982" s="280" t="n">
        <x:f>E982/$E$9*100</x:f>
        <x:v>176.74492566441313</x:v>
      </x:c>
    </x:row>
    <x:row r="983" ht="24" customHeight="1">
      <x:c r="C983" s="274" t="d">
        <x:v>2025-08-26T00:00:00.000Z</x:v>
      </x:c>
      <x:c r="D983" s="191" t="n">
        <x:v>502.0400085449219</x:v>
      </x:c>
      <x:c r="E983" s="191" t="n">
        <x:v>497.9430847167969</x:v>
      </x:c>
      <x:c r="F983" s="191" t="n">
        <x:v>645.1599731445312</x:v>
      </x:c>
      <x:c r="G983" s="191" t="n">
        <x:v>636.5091552734375</x:v>
      </x:c>
      <x:c r="H983" s="208" t="n">
        <x:f>E983/E982-1</x:f>
        <x:v>-0.004402531956217981</x:v>
      </x:c>
      <x:c r="I983" s="208" t="n">
        <x:f>G983/G982-1</x:f>
        <x:v>0.004186966614810217</x:v>
      </x:c>
      <x:c r="J983" s="208" t="n">
        <x:f>'Beta HC3'!$E$13+'Beta HC3'!$E$12*I983</x:f>
        <x:v>0.004731241479353659</x:v>
      </x:c>
      <x:c r="K983" s="240" t="n">
        <x:f>H983-J983</x:f>
        <x:v>-0.009133773435571639</x:v>
      </x:c>
      <x:c r="L983" s="240" t="n">
        <x:f>I983-'Beta HC3'!$E$9</x:f>
        <x:v>0.0036230189971497777</x:v>
      </x:c>
      <x:c r="M983" s="240" t="n">
        <x:f>1/'Beta HC3'!$E$8+L983^2/'Beta HC3'!$E$11</x:f>
        <x:v>0.00088657600220441</x:v>
      </x:c>
      <x:c r="N983" s="240" t="n">
        <x:f>K983^2/(1-M983)^2</x:f>
        <x:v>0.00008357394078243</x:v>
      </x:c>
      <x:c r="O983" s="240" t="n">
        <x:f>N983*L983^2/'Beta HC3'!$E$11^2</x:f>
        <x:v>5.130111759886779e-8</x:v>
      </x:c>
      <x:c r="P983" s="240" t="n">
        <x:f>N983*(1/'Beta HC3'!$E$8-'Beta HC3'!$E$9*L983/'Beta HC3'!$E$11)^2</x:f>
        <x:v>5.121738928059507e-11</x:v>
      </x:c>
      <x:c r="Q983" s="240" t="n">
        <x:f>N983*(1/'Beta HC3'!$E$8-'Beta HC3'!$E$9*L983/'Beta HC3'!$E$11)*L983/'Beta HC3'!$E$11</x:f>
        <x:v>1.6209593796856226e-9</x:v>
      </x:c>
      <x:c r="R983" s="240" t="n">
        <x:f>K983*L983/'Beta HC3'!$E$11</x:f>
        <x:v>-0.00022629669295621597</x:v>
      </x:c>
      <x:c r="S983" s="240" t="n">
        <x:f>(K983-K982)^2</x:f>
        <x:v>0.00006777929933001209</x:v>
      </x:c>
      <x:c r="T983" s="280" t="n">
        <x:f>E983/$E$9*100</x:f>
        <x:v>175.96680048107618</x:v>
      </x:c>
    </x:row>
    <x:row r="984" ht="24" customHeight="1">
      <x:c r="C984" s="274" t="d">
        <x:v>2025-08-27T00:00:00.000Z</x:v>
      </x:c>
      <x:c r="D984" s="191" t="n">
        <x:v>506.739990234375</x:v>
      </x:c>
      <x:c r="E984" s="191" t="n">
        <x:v>502.604736328125</x:v>
      </x:c>
      <x:c r="F984" s="191" t="n">
        <x:v>646.6300048828125</x:v>
      </x:c>
      <x:c r="G984" s="191" t="n">
        <x:v>637.95947265625</x:v>
      </x:c>
      <x:c r="H984" s="208" t="n">
        <x:f>E984/E983-1</x:f>
        <x:v>0.00936181614808329</x:v>
      </x:c>
      <x:c r="I984" s="208" t="n">
        <x:f>G984/G983-1</x:f>
        <x:v>0.0022785491312995454</x:v>
      </x:c>
      <x:c r="J984" s="208" t="n">
        <x:f>'Beta HC3'!$E$13+'Beta HC3'!$E$12*I984</x:f>
        <x:v>0.0025789058478687165</x:v>
      </x:c>
      <x:c r="K984" s="240" t="n">
        <x:f>H984-J984</x:f>
        <x:v>0.006782910300214574</x:v>
      </x:c>
      <x:c r="L984" s="240" t="n">
        <x:f>I984-'Beta HC3'!$E$9</x:f>
        <x:v>0.0017146015136391061</x:v>
      </x:c>
      <x:c r="M984" s="240" t="n">
        <x:f>1/'Beta HC3'!$E$8+L984^2/'Beta HC3'!$E$11</x:f>
        <x:v>0.000816916808784102</x:v>
      </x:c>
      <x:c r="N984" s="240" t="n">
        <x:f>K984^2/(1-M984)^2</x:f>
        <x:v>0.00004608313355984917</x:v>
      </x:c>
      <x:c r="O984" s="240" t="n">
        <x:f>N984*L984^2/'Beta HC3'!$E$11^2</x:f>
        <x:v>6.335532614511329e-9</x:v>
      </x:c>
      <x:c r="P984" s="240" t="n">
        <x:f>N984*(1/'Beta HC3'!$E$8-'Beta HC3'!$E$9*L984/'Beta HC3'!$E$11)^2</x:f>
        <x:v>2.8775072949550654e-11</x:v>
      </x:c>
      <x:c r="Q984" s="240" t="n">
        <x:f>N984*(1/'Beta HC3'!$E$8-'Beta HC3'!$E$9*L984/'Beta HC3'!$E$11)*L984/'Beta HC3'!$E$11</x:f>
        <x:v>4.2697237985239854e-10</x:v>
      </x:c>
      <x:c r="R984" s="240" t="n">
        <x:f>K984*L984/'Beta HC3'!$E$11</x:f>
        <x:v>0.00007953103568027828</x:v>
      </x:c>
      <x:c r="S984" s="240" t="n">
        <x:f>(K984-K983)^2</x:f>
        <x:v>0.0002533408211450414</x:v>
      </x:c>
      <x:c r="T984" s="280" t="n">
        <x:f>E984/$E$9*100</x:f>
        <x:v>177.61416931534646</x:v>
      </x:c>
    </x:row>
    <x:row r="985" ht="24" customHeight="1">
      <x:c r="C985" s="274" t="d">
        <x:v>2025-08-28T00:00:00.000Z</x:v>
      </x:c>
      <x:c r="D985" s="191" t="n">
        <x:v>509.6400146484375</x:v>
      </x:c>
      <x:c r="E985" s="191" t="n">
        <x:v>505.4810791015625</x:v>
      </x:c>
      <x:c r="F985" s="191" t="n">
        <x:v>648.9199829101562</x:v>
      </x:c>
      <x:c r="G985" s="191" t="n">
        <x:v>640.21875</x:v>
      </x:c>
      <x:c r="H985" s="208" t="n">
        <x:f>E985/E984-1</x:f>
        <x:v>0.0057228723995941255</x:v>
      </x:c>
      <x:c r="I985" s="208" t="n">
        <x:f>G985/G984-1</x:f>
        <x:v>0.003541412018451817</x:v>
      </x:c>
      <x:c r="J985" s="208" t="n">
        <x:f>'Beta HC3'!$E$13+'Beta HC3'!$E$12*I985</x:f>
        <x:v>0.0040031774305716965</x:v>
      </x:c>
      <x:c r="K985" s="240" t="n">
        <x:f>H985-J985</x:f>
        <x:v>0.001719694969022429</x:v>
      </x:c>
      <x:c r="L985" s="240" t="n">
        <x:f>I985-'Beta HC3'!$E$9</x:f>
        <x:v>0.002977464400791378</x:v>
      </x:c>
      <x:c r="M985" s="240" t="n">
        <x:f>1/'Beta HC3'!$E$8+L985^2/'Beta HC3'!$E$11</x:f>
        <x:v>0.0008574375766239935</x:v>
      </x:c>
      <x:c r="N985" s="240" t="n">
        <x:f>K985^2/(1-M985)^2</x:f>
        <x:v>0.000002962428804055113</x:v>
      </x:c>
      <x:c r="O985" s="240" t="n">
        <x:f>N985*L985^2/'Beta HC3'!$E$11^2</x:f>
        <x:v>1.2281624071302815e-9</x:v>
      </x:c>
      <x:c r="P985" s="240" t="n">
        <x:f>N985*(1/'Beta HC3'!$E$8-'Beta HC3'!$E$9*L985/'Beta HC3'!$E$11)^2</x:f>
        <x:v>1.8270582363002253e-12</x:v>
      </x:c>
      <x:c r="Q985" s="240" t="n">
        <x:f>N985*(1/'Beta HC3'!$E$8-'Beta HC3'!$E$9*L985/'Beta HC3'!$E$11)*L985/'Beta HC3'!$E$11</x:f>
        <x:v>4.737007749056035e-11</x:v>
      </x:c>
      <x:c r="R985" s="240" t="n">
        <x:f>K985*L985/'Beta HC3'!$E$11</x:f>
        <x:v>0.00003501509909850545</x:v>
      </x:c>
      <x:c r="S985" s="240" t="n">
        <x:f>(K985-K984)^2</x:f>
        <x:v>0.000025636149490019183</x:v>
      </x:c>
      <x:c r="T985" s="280" t="n">
        <x:f>E985/$E$9*100</x:f>
        <x:v>178.6306325426981</x:v>
      </x:c>
    </x:row>
    <x:row r="986" ht="24" customHeight="1">
      <x:c r="C986" s="274" t="d">
        <x:v>2025-08-29T00:00:00.000Z</x:v>
      </x:c>
      <x:c r="D986" s="191" t="n">
        <x:v>506.69000244140625</x:v>
      </x:c>
      <x:c r="E986" s="191" t="n">
        <x:v>502.5551452636719</x:v>
      </x:c>
      <x:c r="F986" s="191" t="n">
        <x:v>645.0499877929688</x:v>
      </x:c>
      <x:c r="G986" s="191" t="n">
        <x:v>636.4006958007812</x:v>
      </x:c>
      <x:c r="H986" s="208" t="n">
        <x:f>E986/E985-1</x:f>
        <x:v>-0.005788414163970579</x:v>
      </x:c>
      <x:c r="I986" s="208" t="n">
        <x:f>G986/G985-1</x:f>
        <x:v>-0.005963671322057884</x:v>
      </x:c>
      <x:c r="J986" s="208" t="n">
        <x:f>'Beta HC3'!$E$13+'Beta HC3'!$E$12*I986</x:f>
        <x:v>-0.00671676709455325</x:v>
      </x:c>
      <x:c r="K986" s="240" t="n">
        <x:f>H986-J986</x:f>
        <x:v>0.0009283529305826712</x:v>
      </x:c>
      <x:c r="L986" s="240" t="n">
        <x:f>I986-'Beta HC3'!$E$9</x:f>
        <x:v>-0.006527618939718324</x:v>
      </x:c>
      <x:c r="M986" s="240" t="n">
        <x:f>1/'Beta HC3'!$E$8+L986^2/'Beta HC3'!$E$11</x:f>
        <x:v>0.0010881975865197047</x:v>
      </x:c>
      <x:c r="N986" s="240" t="n">
        <x:f>K986^2/(1-M986)^2</x:f>
        <x:v>8.637179324682172e-7</x:v>
      </x:c>
      <x:c r="O986" s="240" t="n">
        <x:f>N986*L986^2/'Beta HC3'!$E$11^2</x:f>
        <x:v>1.7210609349749618e-9</x:v>
      </x:c>
      <x:c r="P986" s="240" t="n">
        <x:f>N986*(1/'Beta HC3'!$E$8-'Beta HC3'!$E$9*L986/'Beta HC3'!$E$11)^2</x:f>
        <x:v>5.83581464339277e-13</x:v>
      </x:c>
      <x:c r="Q986" s="240" t="n">
        <x:f>N986*(1/'Beta HC3'!$E$8-'Beta HC3'!$E$9*L986/'Beta HC3'!$E$11)*L986/'Beta HC3'!$E$11</x:f>
        <x:v>-3.169194315042569e-11</x:v>
      </x:c>
      <x:c r="R986" s="240" t="n">
        <x:f>K986*L986/'Beta HC3'!$E$11</x:f>
        <x:v>-0.00004144052683423759</x:v>
      </x:c>
      <x:c r="S986" s="240" t="n">
        <x:f>(K986-K985)^2</x:f>
        <x:v>6.262222218019913e-7</x:v>
      </x:c>
      <x:c r="T986" s="280" t="n">
        <x:f>E986/$E$9*100</x:f>
        <x:v>177.5966444591689</x:v>
      </x:c>
    </x:row>
    <x:row r="987" ht="24" customHeight="1">
      <x:c r="C987" s="274" t="d">
        <x:v>2025-09-02T00:00:00.000Z</x:v>
      </x:c>
      <x:c r="D987" s="191" t="n">
        <x:v>505.1199951171875</x:v>
      </x:c>
      <x:c r="E987" s="191" t="n">
        <x:v>500.9979248046875</x:v>
      </x:c>
      <x:c r="F987" s="191" t="n">
        <x:v>640.27001953125</x:v>
      </x:c>
      <x:c r="G987" s="191" t="n">
        <x:v>631.6847534179688</x:v>
      </x:c>
      <x:c r="H987" s="208" t="n">
        <x:f>E987/E986-1</x:f>
        <x:v>-0.003098606140361726</x:v>
      </x:c>
      <x:c r="I987" s="208" t="n">
        <x:f>G987/G986-1</x:f>
        <x:v>-0.007410335051375783</x:v>
      </x:c>
      <x:c r="J987" s="208" t="n">
        <x:f>'Beta HC3'!$E$13+'Beta HC3'!$E$12*I987</x:f>
        <x:v>-0.008348331423790014</x:v>
      </x:c>
      <x:c r="K987" s="240" t="n">
        <x:f>H987-J987</x:f>
        <x:v>0.005249725283428288</x:v>
      </x:c>
      <x:c r="L987" s="240" t="n">
        <x:f>I987-'Beta HC3'!$E$9</x:f>
        <x:v>-0.007974282669036221</x:v>
      </x:c>
      <x:c r="M987" s="240" t="n">
        <x:f>1/'Beta HC3'!$E$8+L987^2/'Beta HC3'!$E$11</x:f>
        <x:v>0.0012316638900388118</x:v>
      </x:c>
      <x:c r="N987" s="240" t="n">
        <x:f>K987^2/(1-M987)^2</x:f>
        <x:v>0.000027627629547827275</x:v>
      </x:c>
      <x:c r="O987" s="240" t="n">
        <x:f>N987*L987^2/'Beta HC3'!$E$11^2</x:f>
        <x:v>8.215643758926163e-8</x:v>
      </x:c>
      <x:c r="P987" s="240" t="n">
        <x:f>N987*(1/'Beta HC3'!$E$8-'Beta HC3'!$E$9*L987/'Beta HC3'!$E$11)^2</x:f>
        <x:v>1.8921199275235684e-11</x:v>
      </x:c>
      <x:c r="Q987" s="240" t="n">
        <x:f>N987*(1/'Beta HC3'!$E$8-'Beta HC3'!$E$9*L987/'Beta HC3'!$E$11)*L987/'Beta HC3'!$E$11</x:f>
        <x:v>-1.246795222708959e-9</x:v>
      </x:c>
      <x:c r="R987" s="240" t="n">
        <x:f>K987*L987/'Beta HC3'!$E$11</x:f>
        <x:v>-0.0002862764118561253</x:v>
      </x:c>
      <x:c r="S987" s="240" t="n">
        <x:f>(K987-K986)^2</x:f>
        <x:v>0.00001867425901193846</x:v>
      </x:c>
      <x:c r="T987" s="280" t="n">
        <x:f>E987/$E$9*100</x:f>
        <x:v>177.0463424061401</x:v>
      </x:c>
    </x:row>
    <x:row r="988" ht="24" customHeight="1">
      <x:c r="C988" s="274" t="d">
        <x:v>2025-09-03T00:00:00.000Z</x:v>
      </x:c>
      <x:c r="D988" s="191" t="n">
        <x:v>505.3500061035156</x:v>
      </x:c>
      <x:c r="E988" s="191" t="n">
        <x:v>501.22607421875</x:v>
      </x:c>
      <x:c r="F988" s="191" t="n">
        <x:v>643.739990234375</x:v>
      </x:c>
      <x:c r="G988" s="191" t="n">
        <x:v>635.108154296875</x:v>
      </x:c>
      <x:c r="H988" s="208" t="n">
        <x:f>E988/E987-1</x:f>
        <x:v>0.0004553899382946369</x:v>
      </x:c>
      <x:c r="I988" s="208" t="n">
        <x:f>G988/G987-1</x:f>
        <x:v>0.005419476820332614</x:v>
      </x:c>
      <x:c r="J988" s="208" t="n">
        <x:f>'Beta HC3'!$E$13+'Beta HC3'!$E$12*I988</x:f>
        <x:v>0.006121280951552746</x:v>
      </x:c>
      <x:c r="K988" s="240" t="n">
        <x:f>H988-J988</x:f>
        <x:v>-0.005665891013258109</x:v>
      </x:c>
      <x:c r="L988" s="240" t="n">
        <x:f>I988-'Beta HC3'!$E$9</x:f>
        <x:v>0.004855529202672174</x:v>
      </x:c>
      <x:c r="M988" s="240" t="n">
        <x:f>1/'Beta HC3'!$E$8+L988^2/'Beta HC3'!$E$11</x:f>
        <x:v>0.000958037049859359</x:v>
      </x:c>
      <x:c r="N988" s="240" t="n">
        <x:f>K988^2/(1-M988)^2</x:f>
        <x:v>0.00003216391990682682</x:v>
      </x:c>
      <x:c r="O988" s="240" t="n">
        <x:f>N988*L988^2/'Beta HC3'!$E$11^2</x:f>
        <x:v>3.5461478252063554e-8</x:v>
      </x:c>
      <x:c r="P988" s="240" t="n">
        <x:f>N988*(1/'Beta HC3'!$E$8-'Beta HC3'!$E$9*L988/'Beta HC3'!$E$11)^2</x:f>
        <x:v>1.947267446167845e-11</x:v>
      </x:c>
      <x:c r="Q988" s="240" t="n">
        <x:f>N988*(1/'Beta HC3'!$E$8-'Beta HC3'!$E$9*L988/'Beta HC3'!$E$11)*L988/'Beta HC3'!$E$11</x:f>
        <x:v>8.309812404214211e-10</x:v>
      </x:c>
      <x:c r="R988" s="240" t="n">
        <x:f>K988*L988/'Beta HC3'!$E$11</x:f>
        <x:v>-0.00018813177291417986</x:v>
      </x:c>
      <x:c r="S988" s="240" t="n">
        <x:f>(K988-K987)^2</x:f>
        <x:v>0.00011915067913648565</x:v>
      </x:c>
      <x:c r="T988" s="280" t="n">
        <x:f>E988/$E$9*100</x:f>
        <x:v>177.12696752908371</x:v>
      </x:c>
    </x:row>
    <x:row r="989" ht="24" customHeight="1">
      <x:c r="C989" s="274" t="d">
        <x:v>2025-09-04T00:00:00.000Z</x:v>
      </x:c>
      <x:c r="D989" s="191" t="n">
        <x:v>507.9700012207031</x:v>
      </x:c>
      <x:c r="E989" s="191" t="n">
        <x:v>503.82470703125</x:v>
      </x:c>
      <x:c r="F989" s="191" t="n">
        <x:v>649.1199951171875</x:v>
      </x:c>
      <x:c r="G989" s="191" t="n">
        <x:v>640.4160766601562</x:v>
      </x:c>
      <x:c r="H989" s="208" t="n">
        <x:f>E989/E988-1</x:f>
        <x:v>0.005184552333097336</x:v>
      </x:c>
      <x:c r="I989" s="208" t="n">
        <x:f>G989/G988-1</x:f>
        <x:v>0.008357509390125362</x:v>
      </x:c>
      <x:c r="J989" s="208" t="n">
        <x:f>'Beta HC3'!$E$13+'Beta HC3'!$E$12*I989</x:f>
        <x:v>0.009434828558963795</x:v>
      </x:c>
      <x:c r="K989" s="240" t="n">
        <x:f>H989-J989</x:f>
        <x:v>-0.004250276225866458</x:v>
      </x:c>
      <x:c r="L989" s="240" t="n">
        <x:f>I989-'Beta HC3'!$E$9</x:f>
        <x:v>0.007793561772464922</x:v>
      </x:c>
      <x:c r="M989" s="240" t="n">
        <x:f>1/'Beta HC3'!$E$8+L989^2/'Beta HC3'!$E$11</x:f>
        <x:v>0.0012121772007428213</x:v>
      </x:c>
      <x:c r="N989" s="240" t="n">
        <x:f>K989^2/(1-M989)^2</x:f>
        <x:v>0.000018108723350847133</x:v>
      </x:c>
      <x:c r="O989" s="240" t="n">
        <x:f>N989*L989^2/'Beta HC3'!$E$11^2</x:f>
        <x:v>5.143686852141014e-8</x:v>
      </x:c>
      <x:c r="P989" s="240" t="n">
        <x:f>N989*(1/'Beta HC3'!$E$8-'Beta HC3'!$E$9*L989/'Beta HC3'!$E$11)^2</x:f>
        <x:v>1.064640482359005e-11</x:v>
      </x:c>
      <x:c r="Q989" s="240" t="n">
        <x:f>N989*(1/'Beta HC3'!$E$8-'Beta HC3'!$E$9*L989/'Beta HC3'!$E$11)*L989/'Beta HC3'!$E$11</x:f>
        <x:v>7.400119763468076e-10</x:v>
      </x:c>
      <x:c r="R989" s="240" t="n">
        <x:f>K989*L989/'Beta HC3'!$E$11</x:f>
        <x:v>-0.00022652205831394552</x:v>
      </x:c>
      <x:c r="S989" s="240" t="n">
        <x:f>(K989-K988)^2</x:f>
        <x:v>0.000002003965226281909</x:v>
      </x:c>
      <x:c r="T989" s="280" t="n">
        <x:f>E989/$E$9*100</x:f>
        <x:v>178.04529156184105</x:v>
      </x:c>
    </x:row>
    <x:row r="990" ht="24" customHeight="1">
      <x:c r="C990" s="274" t="d">
        <x:v>2025-09-05T00:00:00.000Z</x:v>
      </x:c>
      <x:c r="D990" s="191" t="n">
        <x:v>495</x:v>
      </x:c>
      <x:c r="E990" s="191" t="n">
        <x:v>490.9605407714844</x:v>
      </x:c>
      <x:c r="F990" s="191" t="n">
        <x:v>647.239990234375</x:v>
      </x:c>
      <x:c r="G990" s="191" t="n">
        <x:v>638.561279296875</x:v>
      </x:c>
      <x:c r="H990" s="208" t="n">
        <x:f>E990/E989-1</x:f>
        <x:v>-0.025533019878216767</x:v>
      </x:c>
      <x:c r="I990" s="208" t="n">
        <x:f>G990/G989-1</x:f>
        <x:v>-0.002896237978525229</x:v>
      </x:c>
      <x:c r="J990" s="208" t="n">
        <x:f>'Beta HC3'!$E$13+'Beta HC3'!$E$12*I990</x:f>
        <x:v>-0.003257279776115357</x:v>
      </x:c>
      <x:c r="K990" s="240" t="n">
        <x:f>H990-J990</x:f>
        <x:v>-0.02227574010210141</x:v>
      </x:c>
      <x:c r="L990" s="240" t="n">
        <x:f>I990-'Beta HC3'!$E$9</x:f>
        <x:v>-0.0034601855961856683</x:v>
      </x:c>
      <x:c r="M990" s="240" t="n">
        <x:f>1/'Beta HC3'!$E$8+L990^2/'Beta HC3'!$E$11</x:f>
        <x:v>0.000878688660769577</x:v>
      </x:c>
      <x:c r="N990" s="240" t="n">
        <x:f>K990^2/(1-M990)^2</x:f>
        <x:v>0.0004970817735383989</x:v>
      </x:c>
      <x:c r="O990" s="240" t="n">
        <x:f>N990*L990^2/'Beta HC3'!$E$11^2</x:f>
        <x:v>2.7831803524814697e-7</x:v>
      </x:c>
      <x:c r="P990" s="240" t="n">
        <x:f>N990*(1/'Beta HC3'!$E$8-'Beta HC3'!$E$9*L990/'Beta HC3'!$E$11)^2</x:f>
        <x:v>3.2626182430606746e-10</x:v>
      </x:c>
      <x:c r="Q990" s="240" t="n">
        <x:f>N990*(1/'Beta HC3'!$E$8-'Beta HC3'!$E$9*L990/'Beta HC3'!$E$11)*L990/'Beta HC3'!$E$11</x:f>
        <x:v>-9.5291421396336e-9</x:v>
      </x:c>
      <x:c r="R990" s="240" t="n">
        <x:f>K990*L990/'Beta HC3'!$E$11</x:f>
        <x:v>0.0005270950012402372</x:v>
      </x:c>
      <x:c r="S990" s="240" t="n">
        <x:f>(K990-K989)^2</x:f>
        <x:v>0.00032491734795345113</x:v>
      </x:c>
      <x:c r="T990" s="280" t="n">
        <x:f>E990/$E$9*100</x:f>
        <x:v>173.4992575931697</x:v>
      </x:c>
    </x:row>
    <x:row r="991" ht="24" customHeight="1">
      <x:c r="C991" s="274" t="d">
        <x:v>2025-09-08T00:00:00.000Z</x:v>
      </x:c>
      <x:c r="D991" s="191" t="n">
        <x:v>498.20001220703125</x:v>
      </x:c>
      <x:c r="E991" s="191" t="n">
        <x:v>494.1344299316406</x:v>
      </x:c>
      <x:c r="F991" s="191" t="n">
        <x:v>648.8300170898438</x:v>
      </x:c>
      <x:c r="G991" s="191" t="n">
        <x:v>640.1299438476562</x:v>
      </x:c>
      <x:c r="H991" s="208" t="n">
        <x:f>E991/E990-1</x:f>
        <x:v>0.00646465224103121</x:v>
      </x:c>
      <x:c r="I991" s="208" t="n">
        <x:f>G991/G990-1</x:f>
        <x:v>0.0024565607117745802</x:v>
      </x:c>
      <x:c r="J991" s="208" t="n">
        <x:f>'Beta HC3'!$E$13+'Beta HC3'!$E$12*I991</x:f>
        <x:v>0.0027796693971360144</x:v>
      </x:c>
      <x:c r="K991" s="240" t="n">
        <x:f>H991-J991</x:f>
        <x:v>0.0036849828438951958</x:v>
      </x:c>
      <x:c r="L991" s="240" t="n">
        <x:f>I991-'Beta HC3'!$E$9</x:f>
        <x:v>0.001892613094114141</x:v>
      </x:c>
      <x:c r="M991" s="240" t="n">
        <x:f>1/'Beta HC3'!$E$8+L991^2/'Beta HC3'!$E$11</x:f>
        <x:v>0.000821307951967535</x:v>
      </x:c>
      <x:c r="N991" s="240" t="n">
        <x:f>K991^2/(1-M991)^2</x:f>
        <x:v>0.000013601431312390624</x:v>
      </x:c>
      <x:c r="O991" s="240" t="n">
        <x:f>N991*L991^2/'Beta HC3'!$E$11^2</x:f>
        <x:v>2.2783635098616645e-9</x:v>
      </x:c>
      <x:c r="P991" s="240" t="n">
        <x:f>N991*(1/'Beta HC3'!$E$8-'Beta HC3'!$E$9*L991/'Beta HC3'!$E$11)^2</x:f>
        <x:v>8.478208784436145e-12</x:v>
      </x:c>
      <x:c r="Q991" s="240" t="n">
        <x:f>N991*(1/'Beta HC3'!$E$8-'Beta HC3'!$E$9*L991/'Beta HC3'!$E$11)*L991/'Beta HC3'!$E$11</x:f>
        <x:v>1.389836016350416e-10</x:v>
      </x:c>
      <x:c r="R991" s="240" t="n">
        <x:f>K991*L991/'Beta HC3'!$E$11</x:f>
        <x:v>0.00004769300337143936</x:v>
      </x:c>
      <x:c r="S991" s="240" t="n">
        <x:f>(K991-K990)^2</x:f>
        <x:v>0.0006739591358787947</x:v>
      </x:c>
      <x:c r="T991" s="280" t="n">
        <x:f>E991/$E$9*100</x:f>
        <x:v>174.62086995758662</x:v>
      </x:c>
    </x:row>
    <x:row r="992" ht="24" customHeight="1">
      <x:c r="C992" s="274" t="d">
        <x:v>2025-09-09T00:00:00.000Z</x:v>
      </x:c>
      <x:c r="D992" s="191" t="n">
        <x:v>498.4100036621094</x:v>
      </x:c>
      <x:c r="E992" s="191" t="n">
        <x:v>494.3426818847656</x:v>
      </x:c>
      <x:c r="F992" s="191" t="n">
        <x:v>650.3300170898438</x:v>
      </x:c>
      <x:c r="G992" s="191" t="n">
        <x:v>641.60986328125</x:v>
      </x:c>
      <x:c r="H992" s="208" t="n">
        <x:f>E992/E991-1</x:f>
        <x:v>0.00042144797146348445</x:v>
      </x:c>
      <x:c r="I992" s="208" t="n">
        <x:f>G992/G991-1</x:f>
        <x:v>0.0023119047121875624</x:v>
      </x:c>
      <x:c r="J992" s="208" t="n">
        <x:f>'Beta HC3'!$E$13+'Beta HC3'!$E$12*I992</x:f>
        <x:v>0.0026165246633922936</x:v>
      </x:c>
      <x:c r="K992" s="240" t="n">
        <x:f>H992-J992</x:f>
        <x:v>-0.002195076691928809</x:v>
      </x:c>
      <x:c r="L992" s="240" t="n">
        <x:f>I992-'Beta HC3'!$E$9</x:f>
        <x:v>0.0017479570945271232</x:v>
      </x:c>
      <x:c r="M992" s="240" t="n">
        <x:f>1/'Beta HC3'!$E$8+L992^2/'Beta HC3'!$E$11</x:f>
        <x:v>0.0008177066194654781</x:v>
      </x:c>
      <x:c r="N992" s="240" t="n">
        <x:f>K992^2/(1-M992)^2</x:f>
        <x:v>0.000004826251371792382</x:v>
      </x:c>
      <x:c r="O992" s="240" t="n">
        <x:f>N992*L992^2/'Beta HC3'!$E$11^2</x:f>
        <x:v>6.895824455944993e-10</x:v>
      </x:c>
      <x:c r="P992" s="240" t="n">
        <x:f>N992*(1/'Beta HC3'!$E$8-'Beta HC3'!$E$9*L992/'Beta HC3'!$E$11)^2</x:f>
        <x:v>3.0126103222943417e-12</x:v>
      </x:c>
      <x:c r="Q992" s="240" t="n">
        <x:f>N992*(1/'Beta HC3'!$E$8-'Beta HC3'!$E$9*L992/'Beta HC3'!$E$11)*L992/'Beta HC3'!$E$11</x:f>
        <x:v>4.557897754086818e-11</x:v>
      </x:c>
      <x:c r="R992" s="240" t="n">
        <x:f>K992*L992/'Beta HC3'!$E$11</x:f>
        <x:v>-0.00002623842896247571</x:v>
      </x:c>
      <x:c r="S992" s="240" t="n">
        <x:f>(K992-K991)^2</x:f>
        <x:v>0.000034575100144834815</x:v>
      </x:c>
      <x:c r="T992" s="280" t="n">
        <x:f>E992/$E$9*100</x:f>
        <x:v>174.69446356900545</x:v>
      </x:c>
    </x:row>
    <x:row r="993" ht="24" customHeight="1">
      <x:c r="C993" s="274" t="d">
        <x:v>2025-09-10T00:00:00.000Z</x:v>
      </x:c>
      <x:c r="D993" s="191" t="n">
        <x:v>500.3699951171875</x:v>
      </x:c>
      <x:c r="E993" s="191" t="n">
        <x:v>496.2867431640625</x:v>
      </x:c>
      <x:c r="F993" s="191" t="n">
        <x:v>652.2100219726562</x:v>
      </x:c>
      <x:c r="G993" s="191" t="n">
        <x:v>643.464599609375</x:v>
      </x:c>
      <x:c r="H993" s="208" t="n">
        <x:f>E993/E992-1</x:f>
        <x:v>0.003932618708716085</x:v>
      </x:c>
      <x:c r="I993" s="208" t="n">
        <x:f>G993/G992-1</x:f>
        <x:v>0.0028907540770020113</x:v>
      </x:c>
      <x:c r="J993" s="208" t="n">
        <x:f>'Beta HC3'!$E$13+'Beta HC3'!$E$12*I993</x:f>
        <x:v>0.003269357769312431</x:v>
      </x:c>
      <x:c r="K993" s="240" t="n">
        <x:f>H993-J993</x:f>
        <x:v>0.0006632609394036535</x:v>
      </x:c>
      <x:c r="L993" s="240" t="n">
        <x:f>I993-'Beta HC3'!$E$9</x:f>
        <x:v>0.002326806459341572</x:v>
      </x:c>
      <x:c r="M993" s="240" t="n">
        <x:f>1/'Beta HC3'!$E$8+L993^2/'Beta HC3'!$E$11</x:f>
        <x:v>0.0008338362840181149</x:v>
      </x:c>
      <x:c r="N993" s="240" t="n">
        <x:f>K993^2/(1-M993)^2</x:f>
        <x:v>4.4064962665693645e-7</x:v>
      </x:c>
      <x:c r="O993" s="240" t="n">
        <x:f>N993*L993^2/'Beta HC3'!$E$11^2</x:f>
        <x:v>1.1156517495436217e-10</x:v>
      </x:c>
      <x:c r="P993" s="240" t="n">
        <x:f>N993*(1/'Beta HC3'!$E$8-'Beta HC3'!$E$9*L993/'Beta HC3'!$E$11)^2</x:f>
        <x:v>2.7350719600944597e-13</x:v>
      </x:c>
      <x:c r="Q993" s="240" t="n">
        <x:f>N993*(1/'Beta HC3'!$E$8-'Beta HC3'!$E$9*L993/'Beta HC3'!$E$11)*L993/'Beta HC3'!$E$11</x:f>
        <x:v>5.523936836538852e-12</x:v>
      </x:c>
      <x:c r="R993" s="240" t="n">
        <x:f>K993*L993/'Beta HC3'!$E$11</x:f>
        <x:v>0.00001055363436650647</x:v>
      </x:c>
      <x:c r="S993" s="240" t="n">
        <x:f>(K993-K992)^2</x:f>
        <x:v>0.000008170094014691273</x:v>
      </x:c>
      <x:c r="T993" s="280" t="n">
        <x:f>E993/$E$9*100</x:f>
        <x:v>175.38147028474603</x:v>
      </x:c>
    </x:row>
    <x:row r="994" ht="24" customHeight="1">
      <x:c r="C994" s="274" t="d">
        <x:v>2025-09-11T00:00:00.000Z</x:v>
      </x:c>
      <x:c r="D994" s="191" t="n">
        <x:v>501.010009765625</x:v>
      </x:c>
      <x:c r="E994" s="191" t="n">
        <x:v>496.9215087890625</x:v>
      </x:c>
      <x:c r="F994" s="191" t="n">
        <x:v>657.6300048828125</x:v>
      </x:c>
      <x:c r="G994" s="191" t="n">
        <x:v>648.81201171875</x:v>
      </x:c>
      <x:c r="H994" s="208" t="n">
        <x:f>E994/E993-1</x:f>
        <x:v>0.0012790299836604735</x:v>
      </x:c>
      <x:c r="I994" s="208" t="n">
        <x:f>G994/G993-1</x:f>
        <x:v>0.008310343898671801</x:v>
      </x:c>
      <x:c r="J994" s="208" t="n">
        <x:f>'Beta HC3'!$E$13+'Beta HC3'!$E$12*I994</x:f>
        <x:v>0.009381634764257383</x:v>
      </x:c>
      <x:c r="K994" s="240" t="n">
        <x:f>H994-J994</x:f>
        <x:v>-0.00810260478059691</x:v>
      </x:c>
      <x:c r="L994" s="240" t="n">
        <x:f>I994-'Beta HC3'!$E$9</x:f>
        <x:v>0.007746396281011362</x:v>
      </x:c>
      <x:c r="M994" s="240" t="n">
        <x:f>1/'Beta HC3'!$E$8+L994^2/'Beta HC3'!$E$11</x:f>
        <x:v>0.001207164964094393</x:v>
      </x:c>
      <x:c r="N994" s="240" t="n">
        <x:f>K994^2/(1-M994)^2</x:f>
        <x:v>0.00006581099778922278</x:v>
      </x:c>
      <x:c r="O994" s="240" t="n">
        <x:f>N994*L994^2/'Beta HC3'!$E$11^2</x:f>
        <x:v>1.8467691830342208e-7</x:v>
      </x:c>
      <x:c r="P994" s="240" t="n">
        <x:f>N994*(1/'Beta HC3'!$E$8-'Beta HC3'!$E$9*L994/'Beta HC3'!$E$11)^2</x:f>
        <x:v>3.8709685695992585e-11</x:v>
      </x:c>
      <x:c r="Q994" s="240" t="n">
        <x:f>N994*(1/'Beta HC3'!$E$8-'Beta HC3'!$E$9*L994/'Beta HC3'!$E$11)*L994/'Beta HC3'!$E$11</x:f>
        <x:v>2.6737212762047523e-9</x:v>
      </x:c>
      <x:c r="R994" s="240" t="n">
        <x:f>K994*L994/'Beta HC3'!$E$11</x:f>
        <x:v>-0.0004292217566858045</x:v>
      </x:c>
      <x:c r="S994" s="240" t="n">
        <x:f>(K994-K993)^2</x:f>
        <x:v>0.00007684040182108101</x:v>
      </x:c>
      <x:c r="T994" s="280" t="n">
        <x:f>E994/$E$9*100</x:f>
        <x:v>175.60578844381865</x:v>
      </x:c>
    </x:row>
    <x:row r="995" ht="24" customHeight="1">
      <x:c r="C995" s="274" t="d">
        <x:v>2025-09-12T00:00:00.000Z</x:v>
      </x:c>
      <x:c r="D995" s="191" t="n">
        <x:v>509.8999938964844</x:v>
      </x:c>
      <x:c r="E995" s="191" t="n">
        <x:v>505.73895263671875</x:v>
      </x:c>
      <x:c r="F995" s="191" t="n">
        <x:v>657.4099731445312</x:v>
      </x:c>
      <x:c r="G995" s="191" t="n">
        <x:v>648.5949096679688</x:v>
      </x:c>
      <x:c r="H995" s="208" t="n">
        <x:f>E995/E994-1</x:f>
        <x:v>0.017744138041324353</x:v>
      </x:c>
      <x:c r="I995" s="208" t="n">
        <x:f>G995/G994-1</x:f>
        <x:v>-0.00033461472176832263</x:v>
      </x:c>
      <x:c r="J995" s="208" t="n">
        <x:f>'Beta HC3'!$E$13+'Beta HC3'!$E$12*I995</x:f>
        <x:v>-0.00036825100877459725</x:v>
      </x:c>
      <x:c r="K995" s="240" t="n">
        <x:f>H995-J995</x:f>
        <x:v>0.01811238905009895</x:v>
      </x:c>
      <x:c r="L995" s="240" t="n">
        <x:f>I995-'Beta HC3'!$E$9</x:f>
        <x:v>-0.000898562339428762</x:v>
      </x:c>
      <x:c r="M995" s="240" t="n">
        <x:f>1/'Beta HC3'!$E$8+L995^2/'Beta HC3'!$E$11</x:f>
        <x:v>0.0008023342071741858</x:v>
      </x:c>
      <x:c r="N995" s="240" t="n">
        <x:f>K995^2/(1-M995)^2</x:f>
        <x:v>0.0003285856966671773</x:v>
      </x:c>
      <x:c r="O995" s="240" t="n">
        <x:f>N995*L995^2/'Beta HC3'!$E$11^2</x:f>
        <x:v>1.240680060195505e-8</x:v>
      </x:c>
      <x:c r="P995" s="240" t="n">
        <x:f>N995*(1/'Beta HC3'!$E$8-'Beta HC3'!$E$9*L995/'Beta HC3'!$E$11)^2</x:f>
        <x:v>2.1044106664591443e-10</x:v>
      </x:c>
      <x:c r="Q995" s="240" t="n">
        <x:f>N995*(1/'Beta HC3'!$E$8-'Beta HC3'!$E$9*L995/'Beta HC3'!$E$11)*L995/'Beta HC3'!$E$11</x:f>
        <x:v>-1.6158280701666852e-9</x:v>
      </x:c>
      <x:c r="R995" s="240" t="n">
        <x:f>K995*L995/'Beta HC3'!$E$11</x:f>
        <x:v>-0.00011129645002272996</x:v>
      </x:c>
      <x:c r="S995" s="240" t="n">
        <x:f>(K995-K994)^2</x:f>
        <x:v>0.0006872259015434219</x:v>
      </x:c>
      <x:c r="T995" s="280" t="n">
        <x:f>E995/$E$9*100</x:f>
        <x:v>178.72176179482136</x:v>
      </x:c>
    </x:row>
    <x:row r="996" ht="24" customHeight="1">
      <x:c r="C996" s="274" t="d">
        <x:v>2025-09-15T00:00:00.000Z</x:v>
      </x:c>
      <x:c r="D996" s="191" t="n">
        <x:v>515.3599853515625</x:v>
      </x:c>
      <x:c r="E996" s="191" t="n">
        <x:v>511.1543884277344</x:v>
      </x:c>
      <x:c r="F996" s="191" t="n">
        <x:v>660.9099731445312</x:v>
      </x:c>
      <x:c r="G996" s="191" t="n">
        <x:v>652.0479125976562</x:v>
      </x:c>
      <x:c r="H996" s="208" t="n">
        <x:f>E996/E995-1</x:f>
        <x:v>0.010707966556227744</x:v>
      </x:c>
      <x:c r="I996" s="208" t="n">
        <x:f>G996/G995-1</x:f>
        <x:v>0.005323820582334271</x:v>
      </x:c>
      <x:c r="J996" s="208" t="n">
        <x:f>'Beta HC3'!$E$13+'Beta HC3'!$E$12*I996</x:f>
        <x:v>0.00601339872389735</x:v>
      </x:c>
      <x:c r="K996" s="240" t="n">
        <x:f>H996-J996</x:f>
        <x:v>0.004694567832330394</x:v>
      </x:c>
      <x:c r="L996" s="240" t="n">
        <x:f>I996-'Beta HC3'!$E$9</x:f>
        <x:v>0.004759872964673831</x:v>
      </x:c>
      <x:c r="M996" s="240" t="n">
        <x:f>1/'Beta HC3'!$E$8+L996^2/'Beta HC3'!$E$11</x:f>
        <x:v>0.0009517472313867986</x:v>
      </x:c>
      <x:c r="N996" s="240" t="n">
        <x:f>K996^2/(1-M996)^2</x:f>
        <x:v>0.000022080978150540185</x:v>
      </x:c>
      <x:c r="O996" s="240" t="n">
        <x:f>N996*L996^2/'Beta HC3'!$E$11^2</x:f>
        <x:v>2.3395038001592337e-8</x:v>
      </x:c>
      <x:c r="P996" s="240" t="n">
        <x:f>N996*(1/'Beta HC3'!$E$8-'Beta HC3'!$E$9*L996/'Beta HC3'!$E$11)^2</x:f>
        <x:v>1.3380940838286851e-11</x:v>
      </x:c>
      <x:c r="Q996" s="240" t="n">
        <x:f>N996*(1/'Beta HC3'!$E$8-'Beta HC3'!$E$9*L996/'Beta HC3'!$E$11)*L996/'Beta HC3'!$E$11</x:f>
        <x:v>5.595065856706065e-10</x:v>
      </x:c>
      <x:c r="R996" s="240" t="n">
        <x:f>K996*L996/'Beta HC3'!$E$11</x:f>
        <x:v>0.0001528087918545873</x:v>
      </x:c>
      <x:c r="S996" s="240" t="n">
        <x:f>(K996-K995)^2</x:f>
        <x:v>0.00018003792623200003</x:v>
      </x:c>
      <x:c r="T996" s="280" t="n">
        <x:f>E996/$E$9*100</x:f>
        <x:v>180.6355084429904</x:v>
      </x:c>
    </x:row>
    <x:row r="997" ht="24" customHeight="1">
      <x:c r="C997" s="274" t="d">
        <x:v>2025-09-16T00:00:00.000Z</x:v>
      </x:c>
      <x:c r="D997" s="191" t="n">
        <x:v>509.0400085449219</x:v>
      </x:c>
      <x:c r="E997" s="191" t="n">
        <x:v>504.8859558105469</x:v>
      </x:c>
      <x:c r="F997" s="191" t="n">
        <x:v>660</x:v>
      </x:c>
      <x:c r="G997" s="191" t="n">
        <x:v>651.1502075195312</x:v>
      </x:c>
      <x:c r="H997" s="208" t="n">
        <x:f>E997/E996-1</x:f>
        <x:v>-0.012263286316427147</x:v>
      </x:c>
      <x:c r="I997" s="208" t="n">
        <x:f>G997/G996-1</x:f>
        <x:v>-0.0013767471082740679</x:v>
      </x:c>
      <x:c r="J997" s="208" t="n">
        <x:f>'Beta HC3'!$E$13+'Beta HC3'!$E$12*I997</x:f>
        <x:v>-0.0015435801427723418</x:v>
      </x:c>
      <x:c r="K997" s="240" t="n">
        <x:f>H997-J997</x:f>
        <x:v>-0.010719706173654805</x:v>
      </x:c>
      <x:c r="L997" s="240" t="n">
        <x:f>I997-'Beta HC3'!$E$9</x:f>
        <x:v>-0.0019406947259345071</x:v>
      </x:c>
      <x:c r="M997" s="240" t="n">
        <x:f>1/'Beta HC3'!$E$8+L997^2/'Beta HC3'!$E$11</x:f>
        <x:v>0.0008225683573673099</x:v>
      </x:c>
      <x:c r="N997" s="240" t="n">
        <x:f>K997^2/(1-M997)^2</x:f>
        <x:v>0.00011510138007602617</x:v>
      </x:c>
      <x:c r="O997" s="240" t="n">
        <x:f>N997*L997^2/'Beta HC3'!$E$11^2</x:f>
        <x:v>2.027261183662982e-8</x:v>
      </x:c>
      <x:c r="P997" s="240" t="n">
        <x:f>N997*(1/'Beta HC3'!$E$8-'Beta HC3'!$E$9*L997/'Beta HC3'!$E$11)^2</x:f>
        <x:v>7.445836949722154e-11</x:v>
      </x:c>
      <x:c r="Q997" s="240" t="n">
        <x:f>N997*(1/'Beta HC3'!$E$8-'Beta HC3'!$E$9*L997/'Beta HC3'!$E$11)*L997/'Beta HC3'!$E$11</x:f>
        <x:v>-1.228603118507165e-9</x:v>
      </x:c>
      <x:c r="R997" s="240" t="n">
        <x:f>K997*L997/'Beta HC3'!$E$11</x:f>
        <x:v>0.000142264803572149</x:v>
      </x:c>
      <x:c r="S997" s="240" t="n">
        <x:f>(K997-K996)^2</x:f>
        <x:v>0.00023759984313159098</x:v>
      </x:c>
      <x:c r="T997" s="280" t="n">
        <x:f>E997/$E$9*100</x:f>
        <x:v>178.4203234840406</x:v>
      </x:c>
    </x:row>
    <x:row r="998" ht="24" customHeight="1">
      <x:c r="C998" s="274" t="d">
        <x:v>2025-09-17T00:00:00.000Z</x:v>
      </x:c>
      <x:c r="D998" s="191" t="n">
        <x:v>510.0199890136719</x:v>
      </x:c>
      <x:c r="E998" s="191" t="n">
        <x:v>505.85797119140625</x:v>
      </x:c>
      <x:c r="F998" s="191" t="n">
        <x:v>659.1799926757812</x:v>
      </x:c>
      <x:c r="G998" s="191" t="n">
        <x:v>650.3412475585938</x:v>
      </x:c>
      <x:c r="H998" s="208" t="n">
        <x:f>E998/E997-1</x:f>
        <x:v>0.0019252177044593033</x:v>
      </x:c>
      <x:c r="I998" s="208" t="n">
        <x:f>G998/G997-1</x:f>
        <x:v>-0.0012423553760646522</x:v>
      </x:c>
      <x:c r="J998" s="208" t="n">
        <x:f>'Beta HC3'!$E$13+'Beta HC3'!$E$12*I998</x:f>
        <x:v>-0.0013920115702191287</x:v>
      </x:c>
      <x:c r="K998" s="240" t="n">
        <x:f>H998-J998</x:f>
        <x:v>0.003317229274678432</x:v>
      </x:c>
      <x:c r="L998" s="240" t="n">
        <x:f>I998-'Beta HC3'!$E$9</x:f>
        <x:v>-0.0018063029937250914</x:v>
      </x:c>
      <x:c r="M998" s="240" t="n">
        <x:f>1/'Beta HC3'!$E$8+L998^2/'Beta HC3'!$E$11</x:f>
        <x:v>0.0008191247522707255</x:v>
      </x:c>
      <x:c r="N998" s="240" t="n">
        <x:f>K998^2/(1-M998)^2</x:f>
        <x:v>0.000011022059548958553</x:v>
      </x:c>
      <x:c r="O998" s="240" t="n">
        <x:f>N998*L998^2/'Beta HC3'!$E$11^2</x:f>
        <x:v>1.6817393237491896e-9</x:v>
      </x:c>
      <x:c r="P998" s="240" t="n">
        <x:f>N998*(1/'Beta HC3'!$E$8-'Beta HC3'!$E$9*L998/'Beta HC3'!$E$11)^2</x:f>
        <x:v>7.120915775498114e-12</x:v>
      </x:c>
      <x:c r="Q998" s="240" t="n">
        <x:f>N998*(1/'Beta HC3'!$E$8-'Beta HC3'!$E$9*L998/'Beta HC3'!$E$11)*L998/'Beta HC3'!$E$11</x:f>
        <x:v>-1.0943273770111544e-10</x:v>
      </x:c>
      <x:c r="R998" s="240" t="n">
        <x:f>K998*L998/'Beta HC3'!$E$11</x:f>
        <x:v>-0.00004097542365277167</x:v>
      </x:c>
      <x:c r="S998" s="240" t="n">
        <x:f>(K998-K997)^2</x:f>
        <x:v>0.00019703555678067422</x:v>
      </x:c>
      <x:c r="T998" s="280" t="n">
        <x:f>E998/$E$9*100</x:f>
        <x:v>178.76382144964748</x:v>
      </x:c>
    </x:row>
    <x:row r="999" ht="24" customHeight="1">
      <x:c r="C999" s="274" t="d">
        <x:v>2025-09-18T00:00:00.000Z</x:v>
      </x:c>
      <x:c r="D999" s="191" t="n">
        <x:v>508.45001220703125</x:v>
      </x:c>
      <x:c r="E999" s="191" t="n">
        <x:v>504.30078125</x:v>
      </x:c>
      <x:c r="F999" s="191" t="n">
        <x:v>662.260009765625</x:v>
      </x:c>
      <x:c r="G999" s="191" t="n">
        <x:v>653.3799438476562</x:v>
      </x:c>
      <x:c r="H999" s="208" t="n">
        <x:f>E999/E998-1</x:f>
        <x:v>-0.003078314527175885</x:v>
      </x:c>
      <x:c r="I999" s="208" t="n">
        <x:f>G999/G998-1</x:f>
        <x:v>0.004672464341558991</x:v>
      </x:c>
      <x:c r="J999" s="208" t="n">
        <x:f>'Beta HC3'!$E$13+'Beta HC3'!$E$12*I999</x:f>
        <x:v>0.005278791512464892</x:v>
      </x:c>
      <x:c r="K999" s="240" t="n">
        <x:f>H999-J999</x:f>
        <x:v>-0.008357106039640776</x:v>
      </x:c>
      <x:c r="L999" s="240" t="n">
        <x:f>I999-'Beta HC3'!$E$9</x:f>
        <x:v>0.004108516723898551</x:v>
      </x:c>
      <x:c r="M999" s="240" t="n">
        <x:f>1/'Beta HC3'!$E$8+L999^2/'Beta HC3'!$E$11</x:f>
        <x:v>0.0009122450837059627</x:v>
      </x:c>
      <x:c r="N999" s="240" t="n">
        <x:f>K999^2/(1-M999)^2</x:f>
        <x:v>0.00006996882055550003</x:v>
      </x:c>
      <x:c r="O999" s="240" t="n">
        <x:f>N999*L999^2/'Beta HC3'!$E$11^2</x:f>
        <x:v>5.523182507828318e-8</x:v>
      </x:c>
      <x:c r="P999" s="240" t="n">
        <x:f>N999*(1/'Beta HC3'!$E$8-'Beta HC3'!$E$9*L999/'Beta HC3'!$E$11)^2</x:f>
        <x:v>4.267477115961559e-11</x:v>
      </x:c>
      <x:c r="Q999" s="240" t="n">
        <x:f>N999*(1/'Beta HC3'!$E$8-'Beta HC3'!$E$9*L999/'Beta HC3'!$E$11)*L999/'Beta HC3'!$E$11</x:f>
        <x:v>1.5352542121562969e-9</x:v>
      </x:c>
      <x:c r="R999" s="240" t="n">
        <x:f>K999*L999/'Beta HC3'!$E$11</x:f>
        <x:v>-0.00023480013015314216</x:v>
      </x:c>
      <x:c r="S999" s="240" t="n">
        <x:f>(K999-K998)^2</x:f>
        <x:v>0.0001362901050311606</x:v>
      </x:c>
      <x:c r="T999" s="280" t="n">
        <x:f>E999/$E$9*100</x:f>
        <x:v>178.21353018114553</x:v>
      </x:c>
    </x:row>
    <x:row r="1000" ht="24" customHeight="1">
      <x:c r="C1000" s="274" t="d">
        <x:v>2025-09-19T00:00:00.000Z</x:v>
      </x:c>
      <x:c r="D1000" s="191" t="n">
        <x:v>517.9299926757812</x:v>
      </x:c>
      <x:c r="E1000" s="191" t="n">
        <x:v>513.7034912109375</x:v>
      </x:c>
      <x:c r="F1000" s="191" t="n">
        <x:v>663.7000122070312</x:v>
      </x:c>
      <x:c r="G1000" s="191" t="n">
        <x:v>656.6160278320312</x:v>
      </x:c>
      <x:c r="H1000" s="208" t="n">
        <x:f>E1000/E999-1</x:f>
        <x:v>0.018645043415620233</x:v>
      </x:c>
      <x:c r="I1000" s="208" t="n">
        <x:f>G1000/G999-1</x:f>
        <x:v>0.00495283642365596</x:v>
      </x:c>
      <x:c r="J1000" s="208" t="n">
        <x:f>'Beta HC3'!$E$13+'Beta HC3'!$E$12*I1000</x:f>
        <x:v>0.005594998436570843</x:v>
      </x:c>
      <x:c r="K1000" s="240" t="n">
        <x:f>H1000-J1000</x:f>
        <x:v>0.01305004497904939</x:v>
      </x:c>
      <x:c r="L1000" s="240" t="n">
        <x:f>I1000-'Beta HC3'!$E$9</x:f>
        <x:v>0.00438888880599552</x:v>
      </x:c>
      <x:c r="M1000" s="240" t="n">
        <x:f>1/'Beta HC3'!$E$8+L1000^2/'Beta HC3'!$E$11</x:f>
        <x:v>0.0009285372364550566</x:v>
      </x:c>
      <x:c r="N1000" s="240" t="n">
        <x:f>K1000^2/(1-M1000)^2</x:f>
        <x:v>0.00017062038160472912</x:v>
      </x:c>
      <x:c r="O1000" s="240" t="n">
        <x:f>N1000*L1000^2/'Beta HC3'!$E$11^2</x:f>
        <x:v>1.5369324768167025e-7</x:v>
      </x:c>
      <x:c r="P1000" s="240" t="n">
        <x:f>N1000*(1/'Beta HC3'!$E$8-'Beta HC3'!$E$9*L1000/'Beta HC3'!$E$11)^2</x:f>
        <x:v>1.0377533624703781e-10</x:v>
      </x:c>
      <x:c r="Q1000" s="240" t="n">
        <x:f>N1000*(1/'Beta HC3'!$E$8-'Beta HC3'!$E$9*L1000/'Beta HC3'!$E$11)*L1000/'Beta HC3'!$E$11</x:f>
        <x:v>3.993691081827011e-9</x:v>
      </x:c>
      <x:c r="R1000" s="240" t="n">
        <x:f>K1000*L1000/'Beta HC3'!$E$11</x:f>
        <x:v>0.00039167328270664747</x:v>
      </x:c>
      <x:c r="S1000" s="240" t="n">
        <x:f>(K1000-K999)^2</x:f>
        <x:v>0.0004582661147370074</x:v>
      </x:c>
      <x:c r="T1000" s="280" t="n">
        <x:f>E1000/$E$9*100</x:f>
        <x:v>181.53632918862397</x:v>
      </x:c>
    </x:row>
    <x:row r="1001" ht="24" customHeight="1">
      <x:c r="C1001" s="274" t="d">
        <x:v>2025-09-22T00:00:00.000Z</x:v>
      </x:c>
      <x:c r="D1001" s="191" t="n">
        <x:v>514.4500122070312</x:v>
      </x:c>
      <x:c r="E1001" s="191" t="n">
        <x:v>510.2518310546875</x:v>
      </x:c>
      <x:c r="F1001" s="191" t="n">
        <x:v>666.8400268554688</x:v>
      </x:c>
      <x:c r="G1001" s="191" t="n">
        <x:v>659.7225341796875</x:v>
      </x:c>
      <x:c r="H1001" s="208" t="n">
        <x:f>E1001/E1000-1</x:f>
        <x:v>-0.006719168188079716</x:v>
      </x:c>
      <x:c r="I1001" s="208" t="n">
        <x:f>G1001/G1000-1</x:f>
        <x:v>0.004731085163901749</x:v>
      </x:c>
      <x:c r="J1001" s="208" t="n">
        <x:f>'Beta HC3'!$E$13+'Beta HC3'!$E$12*I1001</x:f>
        <x:v>0.005344904763766262</x:v>
      </x:c>
      <x:c r="K1001" s="240" t="n">
        <x:f>H1001-J1001</x:f>
        <x:v>-0.012064072951845979</x:v>
      </x:c>
      <x:c r="L1001" s="240" t="n">
        <x:f>I1001-'Beta HC3'!$E$9</x:f>
        <x:v>0.00416713754624131</x:v>
      </x:c>
      <x:c r="M1001" s="240" t="n">
        <x:f>1/'Beta HC3'!$E$8+L1001^2/'Beta HC3'!$E$11</x:f>
        <x:v>0.0009155625888647655</x:v>
      </x:c>
      <x:c r="N1001" s="240" t="n">
        <x:f>K1001^2/(1-M1001)^2</x:f>
        <x:v>0.0001458087279955531</x:v>
      </x:c>
      <x:c r="O1001" s="240" t="n">
        <x:f>N1001*L1001^2/'Beta HC3'!$E$11^2</x:f>
        <x:v>1.1840605598176904e-7</x:v>
      </x:c>
      <x:c r="P1001" s="240" t="n">
        <x:f>N1001*(1/'Beta HC3'!$E$8-'Beta HC3'!$E$9*L1001/'Beta HC3'!$E$11)^2</x:f>
        <x:v>8.887890506319318e-11</x:v>
      </x:c>
      <x:c r="Q1001" s="240" t="n">
        <x:f>N1001*(1/'Beta HC3'!$E$8-'Beta HC3'!$E$9*L1001/'Beta HC3'!$E$11)*L1001/'Beta HC3'!$E$11</x:f>
        <x:v>3.2440407840393724e-9</x:v>
      </x:c>
      <x:c r="R1001" s="240" t="n">
        <x:f>K1001*L1001/'Beta HC3'!$E$11</x:f>
        <x:v>-0.0003437867637444996</x:v>
      </x:c>
      <x:c r="S1001" s="240" t="n">
        <x:f>(K1001-K1000)^2</x:f>
        <x:v>0.0006307189194469203</x:v>
      </x:c>
      <x:c r="T1001" s="280" t="n">
        <x:f>E1001/$E$9*100</x:f>
        <x:v>180.316556060559</x:v>
      </x:c>
    </x:row>
    <x:row r="1002" ht="24" customHeight="1">
      <x:c r="C1002" s="274" t="d">
        <x:v>2025-09-23T00:00:00.000Z</x:v>
      </x:c>
      <x:c r="D1002" s="191" t="n">
        <x:v>509.2300109863281</x:v>
      </x:c>
      <x:c r="E1002" s="191" t="n">
        <x:v>505.0744323730469</x:v>
      </x:c>
      <x:c r="F1002" s="191" t="n">
        <x:v>663.2100219726562</x:v>
      </x:c>
      <x:c r="G1002" s="191" t="n">
        <x:v>656.1312866210938</x:v>
      </x:c>
      <x:c r="H1002" s="208" t="n">
        <x:f>E1002/E1001-1</x:f>
        <x:v>-0.010146751793009723</x:v>
      </x:c>
      <x:c r="I1002" s="208" t="n">
        <x:f>G1002/G1001-1</x:f>
        <x:v>-0.005443572672652719</x:v>
      </x:c>
      <x:c r="J1002" s="208" t="n">
        <x:f>'Beta HC3'!$E$13+'Beta HC3'!$E$12*I1002</x:f>
        <x:v>-0.0061301937348590884</x:v>
      </x:c>
      <x:c r="K1002" s="240" t="n">
        <x:f>H1002-J1002</x:f>
        <x:v>-0.004016558058150634</x:v>
      </x:c>
      <x:c r="L1002" s="240" t="n">
        <x:f>I1002-'Beta HC3'!$E$9</x:f>
        <x:v>-0.006007520290313159</x:v>
      </x:c>
      <x:c r="M1002" s="240" t="n">
        <x:f>1/'Beta HC3'!$E$8+L1002^2/'Beta HC3'!$E$11</x:f>
        <x:v>0.0010436142825932938</x:v>
      </x:c>
      <x:c r="N1002" s="240" t="n">
        <x:f>K1002^2/(1-M1002)^2</x:f>
        <x:v>0.000016166464132837375</x:v>
      </x:c>
      <x:c r="O1002" s="240" t="n">
        <x:f>N1002*L1002^2/'Beta HC3'!$E$11^2</x:f>
        <x:v>2.7284767567859263e-8</x:v>
      </x:c>
      <x:c r="P1002" s="240" t="n">
        <x:f>N1002*(1/'Beta HC3'!$E$8-'Beta HC3'!$E$9*L1002/'Beta HC3'!$E$11)^2</x:f>
        <x:v>1.0869824089193278e-11</x:v>
      </x:c>
      <x:c r="Q1002" s="240" t="n">
        <x:f>N1002*(1/'Beta HC3'!$E$8-'Beta HC3'!$E$9*L1002/'Beta HC3'!$E$11)*L1002/'Beta HC3'!$E$11</x:f>
        <x:v>-5.445921627944679e-10</x:v>
      </x:c>
      <x:c r="R1002" s="240" t="n">
        <x:f>K1002*L1002/'Beta HC3'!$E$11</x:f>
        <x:v>0.0001650086292842804</x:v>
      </x:c>
      <x:c r="S1002" s="240" t="n">
        <x:f>(K1002-K1001)^2</x:f>
        <x:v>0.0000647624959642484</x:v>
      </x:c>
      <x:c r="T1002" s="280" t="n">
        <x:f>E1002/$E$9*100</x:f>
        <x:v>178.4869287220422</x:v>
      </x:c>
    </x:row>
    <x:row r="1003" ht="24" customHeight="1">
      <x:c r="C1003" s="274" t="d">
        <x:v>2025-09-24T00:00:00.000Z</x:v>
      </x:c>
      <x:c r="D1003" s="191" t="n">
        <x:v>510.1499938964844</x:v>
      </x:c>
      <x:c r="E1003" s="191" t="n">
        <x:v>505.9869079589844</x:v>
      </x:c>
      <x:c r="F1003" s="191" t="n">
        <x:v>661.0999755859375</x:v>
      </x:c>
      <x:c r="G1003" s="191" t="n">
        <x:v>654.0437622070312</x:v>
      </x:c>
      <x:c r="H1003" s="208" t="n">
        <x:f>E1003/E1002-1</x:f>
        <x:v>0.0018066160697352007</x:v>
      </x:c>
      <x:c r="I1003" s="208" t="n">
        <x:f>G1003/G1002-1</x:f>
        <x:v>-0.003181565117573837</x:v>
      </x:c>
      <x:c r="J1003" s="208" t="n">
        <x:f>'Beta HC3'!$E$13+'Beta HC3'!$E$12*I1003</x:f>
        <x:v>-0.0035790750715945516</x:v>
      </x:c>
      <x:c r="K1003" s="240" t="n">
        <x:f>H1003-J1003</x:f>
        <x:v>0.005385691141329752</x:v>
      </x:c>
      <x:c r="L1003" s="240" t="n">
        <x:f>I1003-'Beta HC3'!$E$9</x:f>
        <x:v>-0.003745512735234276</x:v>
      </x:c>
      <x:c r="M1003" s="240" t="n">
        <x:f>1/'Beta HC3'!$E$8+L1003^2/'Beta HC3'!$E$11</x:f>
        <x:v>0.0008927483758398294</x:v>
      </x:c>
      <x:c r="N1003" s="240" t="n">
        <x:f>K1003^2/(1-M1003)^2</x:f>
        <x:v>0.000029057528032872265</x:v>
      </x:c>
      <x:c r="O1003" s="240" t="n">
        <x:f>N1003*L1003^2/'Beta HC3'!$E$11^2</x:f>
        <x:v>1.906320615181845e-8</x:v>
      </x:c>
      <x:c r="P1003" s="240" t="n">
        <x:f>N1003*(1/'Beta HC3'!$E$8-'Beta HC3'!$E$9*L1003/'Beta HC3'!$E$11)^2</x:f>
        <x:v>1.9123880472929172e-11</x:v>
      </x:c>
      <x:c r="Q1003" s="240" t="n">
        <x:f>N1003*(1/'Beta HC3'!$E$8-'Beta HC3'!$E$9*L1003/'Beta HC3'!$E$11)*L1003/'Beta HC3'!$E$11</x:f>
        <x:v>-6.03790092563785e-10</x:v>
      </x:c>
      <x:c r="R1003" s="240" t="n">
        <x:f>K1003*L1003/'Beta HC3'!$E$11</x:f>
        <x:v>-0.00013794630858608232</x:v>
      </x:c>
      <x:c r="S1003" s="240" t="n">
        <x:f>(K1003-K1002)^2</x:f>
        <x:v>0.00008840229000912957</x:v>
      </x:c>
      <x:c r="T1003" s="280" t="n">
        <x:f>E1003/$E$9*100</x:f>
        <x:v>178.8093860757091</x:v>
      </x:c>
    </x:row>
    <x:row r="1004" ht="24" customHeight="1">
      <x:c r="C1004" s="274" t="d">
        <x:v>2025-09-25T00:00:00.000Z</x:v>
      </x:c>
      <x:c r="D1004" s="191" t="n">
        <x:v>507.0299987792969</x:v>
      </x:c>
      <x:c r="E1004" s="191" t="n">
        <x:v>502.8923645019531</x:v>
      </x:c>
      <x:c r="F1004" s="191" t="n">
        <x:v>658.0499877929688</x:v>
      </x:c>
      <x:c r="G1004" s="191" t="n">
        <x:v>651.0263061523438</x:v>
      </x:c>
      <x:c r="H1004" s="208" t="n">
        <x:f>E1004/E1003-1</x:f>
        <x:v>-0.00611585677090698</x:v>
      </x:c>
      <x:c r="I1004" s="208" t="n">
        <x:f>G1004/G1003-1</x:f>
        <x:v>-0.004613538464926736</x:v>
      </x:c>
      <x:c r="J1004" s="208" t="n">
        <x:f>'Beta HC3'!$E$13+'Beta HC3'!$E$12*I1004</x:f>
        <x:v>-0.005194071415672624</x:v>
      </x:c>
      <x:c r="K1004" s="240" t="n">
        <x:f>H1004-J1004</x:f>
        <x:v>-0.0009217853552343563</x:v>
      </x:c>
      <x:c r="L1004" s="240" t="n">
        <x:f>I1004-'Beta HC3'!$E$9</x:f>
        <x:v>-0.005177486082587176</x:v>
      </x:c>
      <x:c r="M1004" s="240" t="n">
        <x:f>1/'Beta HC3'!$E$8+L1004^2/'Beta HC3'!$E$11</x:f>
        <x:v>0.000980126583411044</x:v>
      </x:c>
      <x:c r="N1004" s="240" t="n">
        <x:f>K1004^2/(1-M1004)^2</x:f>
        <x:v>8.513562971482815e-7</x:v>
      </x:c>
      <x:c r="O1004" s="240" t="n">
        <x:f>N1004*L1004^2/'Beta HC3'!$E$11^2</x:f>
        <x:v>1.0672445748309306e-9</x:v>
      </x:c>
      <x:c r="P1004" s="240" t="n">
        <x:f>N1004*(1/'Beta HC3'!$E$8-'Beta HC3'!$E$9*L1004/'Beta HC3'!$E$11)^2</x:f>
        <x:v>5.679647538663749e-13</x:v>
      </x:c>
      <x:c r="Q1004" s="240" t="n">
        <x:f>N1004*(1/'Beta HC3'!$E$8-'Beta HC3'!$E$9*L1004/'Beta HC3'!$E$11)*L1004/'Beta HC3'!$E$11</x:f>
        <x:v>-2.4620262026612828e-11</x:v>
      </x:c>
      <x:c r="R1004" s="240" t="n">
        <x:f>K1004*L1004/'Beta HC3'!$E$11</x:f>
        <x:v>0.000032636689944291813</x:v>
      </x:c>
      <x:c r="S1004" s="240" t="n">
        <x:f>(K1004-K1003)^2</x:f>
        <x:v>0.00003978425975470864</x:v>
      </x:c>
      <x:c r="T1004" s="280" t="n">
        <x:f>E1004/$E$9*100</x:f>
        <x:v>177.71581348117627</x:v>
      </x:c>
    </x:row>
    <x:row r="1005" ht="24" customHeight="1">
      <x:c r="C1005" s="274" t="d">
        <x:v>2025-09-26T00:00:00.000Z</x:v>
      </x:c>
      <x:c r="D1005" s="191" t="n">
        <x:v>511.4599914550781</x:v>
      </x:c>
      <x:c r="E1005" s="191" t="n">
        <x:v>507.28619384765625</x:v>
      </x:c>
      <x:c r="F1005" s="191" t="n">
        <x:v>661.8200073242188</x:v>
      </x:c>
      <x:c r="G1005" s="191" t="n">
        <x:v>654.7560424804688</x:v>
      </x:c>
      <x:c r="H1005" s="208" t="n">
        <x:f>E1005/E1004-1</x:f>
        <x:v>0.008737116838221759</x:v>
      </x:c>
      <x:c r="I1005" s="208" t="n">
        <x:f>G1005/G1004-1</x:f>
        <x:v>0.005729010168833648</x:v>
      </x:c>
      <x:c r="J1005" s="208" t="n">
        <x:f>'Beta HC3'!$E$13+'Beta HC3'!$E$12*I1005</x:f>
        <x:v>0.006470376294090723</x:v>
      </x:c>
      <x:c r="K1005" s="240" t="n">
        <x:f>H1005-J1005</x:f>
        <x:v>0.002266740544131036</x:v>
      </x:c>
      <x:c r="L1005" s="240" t="n">
        <x:f>I1005-'Beta HC3'!$E$9</x:f>
        <x:v>0.005165062551173208</x:v>
      </x:c>
      <x:c r="M1005" s="240" t="n">
        <x:f>1/'Beta HC3'!$E$8+L1005^2/'Beta HC3'!$E$11</x:f>
        <x:v>0.0009792479049198035</x:v>
      </x:c>
      <x:c r="N1005" s="240" t="n">
        <x:f>K1005^2/(1-M1005)^2</x:f>
        <x:v>0.000005148190467129538</x:v>
      </x:c>
      <x:c r="O1005" s="240" t="n">
        <x:f>N1005*L1005^2/'Beta HC3'!$E$11^2</x:f>
        <x:v>6.422742337343078e-9</x:v>
      </x:c>
      <x:c r="P1005" s="240" t="n">
        <x:f>N1005*(1/'Beta HC3'!$E$8-'Beta HC3'!$E$9*L1005/'Beta HC3'!$E$11)^2</x:f>
        <x:v>3.1072603679291184e-12</x:v>
      </x:c>
      <x:c r="Q1005" s="240" t="n">
        <x:f>N1005*(1/'Beta HC3'!$E$8-'Beta HC3'!$E$9*L1005/'Beta HC3'!$E$11)*L1005/'Beta HC3'!$E$11</x:f>
        <x:v>1.4126971621068183e-10</x:v>
      </x:c>
      <x:c r="R1005" s="240" t="n">
        <x:f>K1005*L1005/'Beta HC3'!$E$11</x:f>
        <x:v>0.00008006353466045126</x:v>
      </x:c>
      <x:c r="S1005" s="240" t="n">
        <x:f>(K1005-K1004)^2</x:f>
        <x:v>0.000010166697410923884</x:v>
      </x:c>
      <x:c r="T1005" s="280" t="n">
        <x:f>E1005/$E$9*100</x:f>
        <x:v>179.2685373075609</x:v>
      </x:c>
    </x:row>
    <x:row r="1006" ht="24" customHeight="1">
      <x:c r="C1006" s="274" t="d">
        <x:v>2025-09-29T00:00:00.000Z</x:v>
      </x:c>
      <x:c r="D1006" s="191" t="n">
        <x:v>514.5999755859375</x:v>
      </x:c>
      <x:c r="E1006" s="191" t="n">
        <x:v>510.4005126953125</x:v>
      </x:c>
      <x:c r="F1006" s="191" t="n">
        <x:v>663.6799926757812</x:v>
      </x:c>
      <x:c r="G1006" s="191" t="n">
        <x:v>656.5962524414062</x:v>
      </x:c>
      <x:c r="H1006" s="208" t="n">
        <x:f>E1006/E1005-1</x:f>
        <x:v>0.006139175253390583</x:v>
      </x:c>
      <x:c r="I1006" s="208" t="n">
        <x:f>G1006/G1005-1</x:f>
        <x:v>0.0028105276492997877</x:v>
      </x:c>
      <x:c r="J1006" s="208" t="n">
        <x:f>'Beta HC3'!$E$13+'Beta HC3'!$E$12*I1006</x:f>
        <x:v>0.0031788774627640967</x:v>
      </x:c>
      <x:c r="K1006" s="240" t="n">
        <x:f>H1006-J1006</x:f>
        <x:v>0.0029602977906264863</x:v>
      </x:c>
      <x:c r="L1006" s="240" t="n">
        <x:f>I1006-'Beta HC3'!$E$9</x:f>
        <x:v>0.0022465800316393485</x:v>
      </x:c>
      <x:c r="M1006" s="240" t="n">
        <x:f>1/'Beta HC3'!$E$8+L1006^2/'Beta HC3'!$E$11</x:f>
        <x:v>0.0008313272143489444</x:v>
      </x:c>
      <x:c r="N1006" s="240" t="n">
        <x:f>K1006^2/(1-M1006)^2</x:f>
        <x:v>0.000008777951642876261</x:v>
      </x:c>
      <x:c r="O1006" s="240" t="n">
        <x:f>N1006*L1006^2/'Beta HC3'!$E$11^2</x:f>
        <x:v>2.0718184472180633e-9</x:v>
      </x:c>
      <x:c r="P1006" s="240" t="n">
        <x:f>N1006*(1/'Beta HC3'!$E$8-'Beta HC3'!$E$9*L1006/'Beta HC3'!$E$11)^2</x:f>
        <x:v>5.452674516913209e-12</x:v>
      </x:c>
      <x:c r="Q1006" s="240" t="n">
        <x:f>N1006*(1/'Beta HC3'!$E$8-'Beta HC3'!$E$9*L1006/'Beta HC3'!$E$11)*L1006/'Beta HC3'!$E$11</x:f>
        <x:v>1.0628711893177192e-10</x:v>
      </x:c>
      <x:c r="R1006" s="240" t="n">
        <x:f>K1006*L1006/'Beta HC3'!$E$11</x:f>
        <x:v>0.000045479392706425805</x:v>
      </x:c>
      <x:c r="S1006" s="240" t="n">
        <x:f>(K1006-K1005)^2</x:f>
        <x:v>4.810216541663509e-7</x:v>
      </x:c>
      <x:c r="T1006" s="280" t="n">
        <x:f>E1006/$E$9*100</x:f>
        <x:v>180.36909827551102</x:v>
      </x:c>
    </x:row>
    <x:row r="1007" ht="24" customHeight="1">
      <x:c r="C1007" s="274" t="d">
        <x:v>2025-09-30T00:00:00.000Z</x:v>
      </x:c>
      <x:c r="D1007" s="191" t="n">
        <x:v>517.9500122070312</x:v>
      </x:c>
      <x:c r="E1007" s="191" t="n">
        <x:v>513.7232666015625</x:v>
      </x:c>
      <x:c r="F1007" s="191" t="n">
        <x:v>666.1799926757812</x:v>
      </x:c>
      <x:c r="G1007" s="191" t="n">
        <x:v>659.0694580078125</x:v>
      </x:c>
      <x:c r="H1007" s="208" t="n">
        <x:f>E1007/E1006-1</x:f>
        <x:v>0.006510091239335214</x:v>
      </x:c>
      <x:c r="I1007" s="208" t="n">
        <x:f>G1007/G1006-1</x:f>
        <x:v>0.0037667067961630885</x:v>
      </x:c>
      <x:c r="J1007" s="208" t="n">
        <x:f>'Beta HC3'!$E$13+'Beta HC3'!$E$12*I1007</x:f>
        <x:v>0.004257267524508282</x:v>
      </x:c>
      <x:c r="K1007" s="240" t="n">
        <x:f>H1007-J1007</x:f>
        <x:v>0.002252823714826932</x:v>
      </x:c>
      <x:c r="L1007" s="240" t="n">
        <x:f>I1007-'Beta HC3'!$E$9</x:f>
        <x:v>0.003202759178502649</x:v>
      </x:c>
      <x:c r="M1007" s="240" t="n">
        <x:f>1/'Beta HC3'!$E$8+L1007^2/'Beta HC3'!$E$11</x:f>
        <x:v>0.0008669592366995233</x:v>
      </x:c>
      <x:c r="N1007" s="240" t="n">
        <x:f>K1007^2/(1-M1007)^2</x:f>
        <x:v>0.000005084026155710059</x:v>
      </x:c>
      <x:c r="O1007" s="240" t="n">
        <x:f>N1007*L1007^2/'Beta HC3'!$E$11^2</x:f>
        <x:v>2.4387712576072697e-9</x:v>
      </x:c>
      <x:c r="P1007" s="240" t="n">
        <x:f>N1007*(1/'Beta HC3'!$E$8-'Beta HC3'!$E$9*L1007/'Beta HC3'!$E$11)^2</x:f>
        <x:v>3.1286050645707097e-12</x:v>
      </x:c>
      <x:c r="Q1007" s="240" t="n">
        <x:f>N1007*(1/'Beta HC3'!$E$8-'Beta HC3'!$E$9*L1007/'Beta HC3'!$E$11)*L1007/'Beta HC3'!$E$11</x:f>
        <x:v>8.734959706764299e-11</x:v>
      </x:c>
      <x:c r="R1007" s="240" t="n">
        <x:f>K1007*L1007/'Beta HC3'!$E$11</x:f>
        <x:v>0.000049341103150380226</x:v>
      </x:c>
      <x:c r="S1007" s="240" t="n">
        <x:f>(K1007-K1006)^2</x:f>
        <x:v>5.005195679284333e-7</x:v>
      </x:c>
      <x:c r="T1007" s="280" t="n">
        <x:f>E1007/$E$9*100</x:f>
        <x:v>181.54331756204124</x:v>
      </x:c>
    </x:row>
    <x:row r="1008" ht="24" customHeight="1">
      <x:c r="C1008" s="274" t="d">
        <x:v>2025-10-01T00:00:00.000Z</x:v>
      </x:c>
      <x:c r="D1008" s="191" t="n">
        <x:v>519.7100219726562</x:v>
      </x:c>
      <x:c r="E1008" s="191" t="n">
        <x:v>515.4688720703125</x:v>
      </x:c>
      <x:c r="F1008" s="191" t="n">
        <x:v>668.4500122070312</x:v>
      </x:c>
      <x:c r="G1008" s="191" t="n">
        <x:v>661.3153076171875</x:v>
      </x:c>
      <x:c r="H1008" s="208" t="n">
        <x:f>E1008/E1007-1</x:f>
        <x:v>0.0033979490169828708</x:v>
      </x:c>
      <x:c r="I1008" s="208" t="n">
        <x:f>G1008/G1007-1</x:f>
        <x:v>0.0034076068646293756</x:v>
      </x:c>
      <x:c r="J1008" s="208" t="n">
        <x:f>'Beta HC3'!$E$13+'Beta HC3'!$E$12*I1008</x:f>
        <x:v>0.003852270408006288</x:v>
      </x:c>
      <x:c r="K1008" s="240" t="n">
        <x:f>H1008-J1008</x:f>
        <x:v>-0.00045432139102341736</x:v>
      </x:c>
      <x:c r="L1008" s="240" t="n">
        <x:f>I1008-'Beta HC3'!$E$9</x:f>
        <x:v>0.0028436592469689363</x:v>
      </x:c>
      <x:c r="M1008" s="240" t="n">
        <x:f>1/'Beta HC3'!$E$8+L1008^2/'Beta HC3'!$E$11</x:f>
        <x:v>0.0008521111367696679</x:v>
      </x:c>
      <x:c r="N1008" s="240" t="n">
        <x:f>K1008^2/(1-M1008)^2</x:f>
        <x:v>2.067601414526247e-7</x:v>
      </x:c>
      <x:c r="O1008" s="240" t="n">
        <x:f>N1008*L1008^2/'Beta HC3'!$E$11^2</x:f>
        <x:v>7.818737839513282e-11</x:v>
      </x:c>
      <x:c r="P1008" s="240" t="n">
        <x:f>N1008*(1/'Beta HC3'!$E$8-'Beta HC3'!$E$9*L1008/'Beta HC3'!$E$11)^2</x:f>
        <x:v>1.2768557374885028e-13</x:v>
      </x:c>
      <x:c r="Q1008" s="240" t="n">
        <x:f>N1008*(1/'Beta HC3'!$E$8-'Beta HC3'!$E$9*L1008/'Beta HC3'!$E$11)*L1008/'Beta HC3'!$E$11</x:f>
        <x:v>3.1596519223327425e-12</x:v>
      </x:c>
      <x:c r="R1008" s="240" t="n">
        <x:f>K1008*L1008/'Beta HC3'!$E$11</x:f>
        <x:v>-0.000008834828039905518</x:v>
      </x:c>
      <x:c r="S1008" s="240" t="n">
        <x:f>(K1008-K1007)^2</x:f>
        <x:v>0.0000073286346241295</x:v>
      </x:c>
      <x:c r="T1008" s="280" t="n">
        <x:f>E1008/$E$9*100</x:f>
        <x:v>182.160192499491</x:v>
      </x:c>
    </x:row>
    <x:row r="1009" ht="24" customHeight="1">
      <x:c r="C1009" s="274" t="d">
        <x:v>2025-10-02T00:00:00.000Z</x:v>
      </x:c>
      <x:c r="D1009" s="191" t="n">
        <x:v>515.739990234375</x:v>
      </x:c>
      <x:c r="E1009" s="191" t="n">
        <x:v>511.53131103515625</x:v>
      </x:c>
      <x:c r="F1009" s="191" t="n">
        <x:v>669.219970703125</x:v>
      </x:c>
      <x:c r="G1009" s="191" t="n">
        <x:v>662.0770263671875</x:v>
      </x:c>
      <x:c r="H1009" s="208" t="n">
        <x:f>E1009/E1008-1</x:f>
        <x:v>-0.007638794985508124</x:v>
      </x:c>
      <x:c r="I1009" s="208" t="n">
        <x:f>G1009/G1008-1</x:f>
        <x:v>0.0011518238595513708</x:v>
      </x:c>
      <x:c r="J1009" s="208" t="n">
        <x:f>'Beta HC3'!$E$13+'Beta HC3'!$E$12*I1009</x:f>
        <x:v>0.0013081718652722982</x:v>
      </x:c>
      <x:c r="K1009" s="240" t="n">
        <x:f>H1009-J1009</x:f>
        <x:v>-0.008946966850780422</x:v>
      </x:c>
      <x:c r="L1009" s="240" t="n">
        <x:f>I1009-'Beta HC3'!$E$9</x:f>
        <x:v>0.0005878762418909314</x:v>
      </x:c>
      <x:c r="M1009" s="240" t="n">
        <x:f>1/'Beta HC3'!$E$8+L1009^2/'Beta HC3'!$E$11</x:f>
        <x:v>0.0007991761051893729</x:v>
      </x:c>
      <x:c r="N1009" s="240" t="n">
        <x:f>K1009^2/(1-M1009)^2</x:f>
        <x:v>0.00008017631461143815</x:v>
      </x:c>
      <x:c r="O1009" s="240" t="n">
        <x:f>N1009*L1009^2/'Beta HC3'!$E$11^2</x:f>
        <x:v>1.2957840528399206e-9</x:v>
      </x:c>
      <x:c r="P1009" s="240" t="n">
        <x:f>N1009*(1/'Beta HC3'!$E$8-'Beta HC3'!$E$9*L1009/'Beta HC3'!$E$11)^2</x:f>
        <x:v>5.061552341835813e-11</x:v>
      </x:c>
      <x:c r="Q1009" s="240" t="n">
        <x:f>N1009*(1/'Beta HC3'!$E$8-'Beta HC3'!$E$9*L1009/'Beta HC3'!$E$11)*L1009/'Beta HC3'!$E$11</x:f>
        <x:v>2.560991762416545e-10</x:v>
      </x:c>
      <x:c r="R1009" s="240" t="n">
        <x:f>K1009*L1009/'Beta HC3'!$E$11</x:f>
        <x:v>-0.00003596823266619338</x:v>
      </x:c>
      <x:c r="S1009" s="240" t="n">
        <x:f>(K1009-K1008)^2</x:f>
        <x:v>0.00007212502690513127</x:v>
      </x:c>
      <x:c r="T1009" s="280" t="n">
        <x:f>E1009/$E$9*100</x:f>
        <x:v>180.76870813446666</x:v>
      </x:c>
    </x:row>
    <x:row r="1010" ht="24" customHeight="1">
      <x:c r="C1010" s="274" t="d">
        <x:v>2025-10-03T00:00:00.000Z</x:v>
      </x:c>
      <x:c r="D1010" s="191" t="n">
        <x:v>517.3499755859375</x:v>
      </x:c>
      <x:c r="E1010" s="191" t="n">
        <x:v>513.1281127929688</x:v>
      </x:c>
      <x:c r="F1010" s="191" t="n">
        <x:v>669.2100219726562</x:v>
      </x:c>
      <x:c r="G1010" s="191" t="n">
        <x:v>662.0671997070312</x:v>
      </x:c>
      <x:c r="H1010" s="208" t="n">
        <x:f>E1010/E1009-1</x:f>
        <x:v>0.0031216109813123616</x:v>
      </x:c>
      <x:c r="I1010" s="208" t="n">
        <x:f>G1010/G1009-1</x:f>
        <x:v>-0.0000148421705706836</x:v>
      </x:c>
      <x:c r="J1010" s="208" t="n">
        <x:f>'Beta HC3'!$E$13+'Beta HC3'!$E$12*I1010</x:f>
        <x:v>-0.000007607773287453487</x:v>
      </x:c>
      <x:c r="K1010" s="240" t="n">
        <x:f>H1010-J1010</x:f>
        <x:v>0.003129218754599815</x:v>
      </x:c>
      <x:c r="L1010" s="240" t="n">
        <x:f>I1010-'Beta HC3'!$E$9</x:f>
        <x:v>-0.000578789788231123</x:v>
      </x:c>
      <x:c r="M1010" s="240" t="n">
        <x:f>1/'Beta HC3'!$E$8+L1010^2/'Beta HC3'!$E$11</x:f>
        <x:v>0.0007991036118125503</x:v>
      </x:c>
      <x:c r="N1010" s="240" t="n">
        <x:f>K1010^2/(1-M1010)^2</x:f>
        <x:v>0.000009807678453835417</x:v>
      </x:c>
      <x:c r="O1010" s="240" t="n">
        <x:f>N1010*L1010^2/'Beta HC3'!$E$11^2</x:f>
        <x:v>1.5364649660202776e-10</x:v>
      </x:c>
      <x:c r="P1010" s="240" t="n">
        <x:f>N1010*(1/'Beta HC3'!$E$8-'Beta HC3'!$E$9*L1010/'Beta HC3'!$E$11)^2</x:f>
        <x:v>6.2619349250730764e-12</x:v>
      </x:c>
      <x:c r="Q1010" s="240" t="n">
        <x:f>N1010*(1/'Beta HC3'!$E$8-'Beta HC3'!$E$9*L1010/'Beta HC3'!$E$11)*L1010/'Beta HC3'!$E$11</x:f>
        <x:v>-3.1018129588796284e-11</x:v>
      </x:c>
      <x:c r="R1010" s="240" t="n">
        <x:f>K1010*L1010/'Beta HC3'!$E$11</x:f>
        <x:v>-0.000012385517178333409</x:v>
      </x:c>
      <x:c r="S1010" s="240" t="n">
        <x:f>(K1010-K1009)^2</x:f>
        <x:v>0.00014583425877559285</x:v>
      </x:c>
      <x:c r="T1010" s="280" t="n">
        <x:f>E1010/$E$9*100</x:f>
        <x:v>181.33299771885686</x:v>
      </x:c>
    </x:row>
    <x:row r="1011" ht="24" customHeight="1">
      <x:c r="C1011" s="274" t="d">
        <x:v>2025-10-06T00:00:00.000Z</x:v>
      </x:c>
      <x:c r="D1011" s="191" t="n">
        <x:v>528.5700073242188</x:v>
      </x:c>
      <x:c r="E1011" s="191" t="n">
        <x:v>524.256591796875</x:v>
      </x:c>
      <x:c r="F1011" s="191" t="n">
        <x:v>671.6099853515625</x:v>
      </x:c>
      <x:c r="G1011" s="191" t="n">
        <x:v>664.4415283203125</x:v>
      </x:c>
      <x:c r="H1011" s="208" t="n">
        <x:f>E1011/E1010-1</x:f>
        <x:v>0.021687525447268374</x:v>
      </x:c>
      <x:c r="I1011" s="208" t="n">
        <x:f>G1011/G1010-1</x:f>
        <x:v>0.0035862350745239358</x:v>
      </x:c>
      <x:c r="J1011" s="208" t="n">
        <x:f>'Beta HC3'!$E$13+'Beta HC3'!$E$12*I1011</x:f>
        <x:v>0.0040537293991685245</x:v>
      </x:c>
      <x:c r="K1011" s="240" t="n">
        <x:f>H1011-J1011</x:f>
        <x:v>0.01763379604809985</x:v>
      </x:c>
      <x:c r="L1011" s="240" t="n">
        <x:f>I1011-'Beta HC3'!$E$9</x:f>
        <x:v>0.0030222874568634965</x:v>
      </x:c>
      <x:c r="M1011" s="240" t="n">
        <x:f>1/'Beta HC3'!$E$8+L1011^2/'Beta HC3'!$E$11</x:f>
        <x:v>0.0008592766205984708</x:v>
      </x:c>
      <x:c r="N1011" s="240" t="n">
        <x:f>K1011^2/(1-M1011)^2</x:f>
        <x:v>0.00031148583807505853</x:v>
      </x:c>
      <x:c r="O1011" s="240" t="n">
        <x:f>N1011*L1011^2/'Beta HC3'!$E$11^2</x:f>
        <x:v>1.3305296783687533e-7</x:v>
      </x:c>
      <x:c r="P1011" s="240" t="n">
        <x:f>N1011*(1/'Beta HC3'!$E$8-'Beta HC3'!$E$9*L1011/'Beta HC3'!$E$11)^2</x:f>
        <x:v>1.9202225521826814e-10</x:v>
      </x:c>
      <x:c r="Q1011" s="240" t="n">
        <x:f>N1011*(1/'Beta HC3'!$E$8-'Beta HC3'!$E$9*L1011/'Beta HC3'!$E$11)*L1011/'Beta HC3'!$E$11</x:f>
        <x:v>5.054614816929228e-9</x:v>
      </x:c>
      <x:c r="R1011" s="240" t="n">
        <x:f>K1011*L1011/'Beta HC3'!$E$11</x:f>
        <x:v>0.00036445082997332693</x:v>
      </x:c>
      <x:c r="S1011" s="240" t="n">
        <x:f>(K1011-K1010)^2</x:f>
        <x:v>0.00021038276246311685</x:v>
      </x:c>
      <x:c r="T1011" s="280" t="n">
        <x:f>E1011/$E$9*100</x:f>
        <x:v>185.26566172131402</x:v>
      </x:c>
    </x:row>
    <x:row r="1012" ht="24" customHeight="1">
      <x:c r="C1012" s="274" t="d">
        <x:v>2025-10-07T00:00:00.000Z</x:v>
      </x:c>
      <x:c r="D1012" s="191" t="n">
        <x:v>523.97998046875</x:v>
      </x:c>
      <x:c r="E1012" s="191" t="n">
        <x:v>519.7039794921875</x:v>
      </x:c>
      <x:c r="F1012" s="191" t="n">
        <x:v>669.1199951171875</x:v>
      </x:c>
      <x:c r="G1012" s="191" t="n">
        <x:v>661.9782104492188</x:v>
      </x:c>
      <x:c r="H1012" s="208" t="n">
        <x:f>E1012/E1011-1</x:f>
        <x:v>-0.008683939078540814</x:v>
      </x:c>
      <x:c r="I1012" s="208" t="n">
        <x:f>G1012/G1011-1</x:f>
        <x:v>-0.003707350859481817</x:v>
      </x:c>
      <x:c r="J1012" s="208" t="n">
        <x:f>'Beta HC3'!$E$13+'Beta HC3'!$E$12*I1012</x:f>
        <x:v>-0.00417206240094636</x:v>
      </x:c>
      <x:c r="K1012" s="240" t="n">
        <x:f>H1012-J1012</x:f>
        <x:v>-0.004511876677594454</x:v>
      </x:c>
      <x:c r="L1012" s="240" t="n">
        <x:f>I1012-'Beta HC3'!$E$9</x:f>
        <x:v>-0.004271298477142257</x:v>
      </x:c>
      <x:c r="M1012" s="240" t="n">
        <x:f>1/'Beta HC3'!$E$8+L1012^2/'Beta HC3'!$E$11</x:f>
        <x:v>0.0009215732767361871</x:v>
      </x:c>
      <x:c r="N1012" s="240" t="n">
        <x:f>K1012^2/(1-M1012)^2</x:f>
        <x:v>0.00002039460407695237</x:v>
      </x:c>
      <x:c r="O1012" s="240" t="n">
        <x:f>N1012*L1012^2/'Beta HC3'!$E$11^2</x:f>
        <x:v>1.7400023838107378e-8</x:v>
      </x:c>
      <x:c r="P1012" s="240" t="n">
        <x:f>N1012*(1/'Beta HC3'!$E$8-'Beta HC3'!$E$9*L1012/'Beta HC3'!$E$11)^2</x:f>
        <x:v>1.3489657679407367e-11</x:v>
      </x:c>
      <x:c r="Q1012" s="240" t="n">
        <x:f>N1012*(1/'Beta HC3'!$E$8-'Beta HC3'!$E$9*L1012/'Beta HC3'!$E$11)*L1012/'Beta HC3'!$E$11</x:f>
        <x:v>-4.844794786052309e-10</x:v>
      </x:c>
      <x:c r="R1012" s="240" t="n">
        <x:f>K1012*L1012/'Beta HC3'!$E$11</x:f>
        <x:v>0.00013178758599326866</x:v>
      </x:c>
      <x:c r="S1012" s="240" t="n">
        <x:f>(K1012-K1011)^2</x:f>
        <x:v>0.0004904308204735607</x:v>
      </x:c>
      <x:c r="T1012" s="280" t="n">
        <x:f>E1012/$E$9*100</x:f>
        <x:v>183.65682600158058</x:v>
      </x:c>
    </x:row>
    <x:row r="1013" ht="24" customHeight="1">
      <x:c r="C1013" s="274" t="d">
        <x:v>2025-10-08T00:00:00.000Z</x:v>
      </x:c>
      <x:c r="D1013" s="191" t="n">
        <x:v>524.8499755859375</x:v>
      </x:c>
      <x:c r="E1013" s="191" t="n">
        <x:v>520.56689453125</x:v>
      </x:c>
      <x:c r="F1013" s="191" t="n">
        <x:v>673.1099853515625</x:v>
      </x:c>
      <x:c r="G1013" s="191" t="n">
        <x:v>665.925537109375</x:v>
      </x:c>
      <x:c r="H1013" s="208" t="n">
        <x:f>E1013/E1012-1</x:f>
        <x:v>0.0016603972128628186</x:v>
      </x:c>
      <x:c r="I1013" s="208" t="n">
        <x:f>G1013/G1012-1</x:f>
        <x:v>0.005962925361965521</x:v>
      </x:c>
      <x:c r="J1013" s="208" t="n">
        <x:f>'Beta HC3'!$E$13+'Beta HC3'!$E$12*I1013</x:f>
        <x:v>0.00673418859369157</x:v>
      </x:c>
      <x:c r="K1013" s="240" t="n">
        <x:f>H1013-J1013</x:f>
        <x:v>-0.005073791380828752</x:v>
      </x:c>
      <x:c r="L1013" s="240" t="n">
        <x:f>I1013-'Beta HC3'!$E$9</x:f>
        <x:v>0.005398977744305081</x:v>
      </x:c>
      <x:c r="M1013" s="240" t="n">
        <x:f>1/'Beta HC3'!$E$8+L1013^2/'Beta HC3'!$E$11</x:f>
        <x:v>0.0009961463148525224</x:v>
      </x:c>
      <x:c r="N1013" s="240" t="n">
        <x:f>K1013^2/(1-M1013)^2</x:f>
        <x:v>0.000025794724018421704</x:v>
      </x:c>
      <x:c r="O1013" s="240" t="n">
        <x:f>N1013*L1013^2/'Beta HC3'!$E$11^2</x:f>
        <x:v>3.51616043599767e-8</x:v>
      </x:c>
      <x:c r="P1013" s="240" t="n">
        <x:f>N1013*(1/'Beta HC3'!$E$8-'Beta HC3'!$E$9*L1013/'Beta HC3'!$E$11)^2</x:f>
        <x:v>1.553262174592474e-11</x:v>
      </x:c>
      <x:c r="Q1013" s="240" t="n">
        <x:f>N1013*(1/'Beta HC3'!$E$8-'Beta HC3'!$E$9*L1013/'Beta HC3'!$E$11)*L1013/'Beta HC3'!$E$11</x:f>
        <x:v>7.390209066754311e-10</x:v>
      </x:c>
      <x:c r="R1013" s="240" t="n">
        <x:f>K1013*L1013/'Beta HC3'!$E$11</x:f>
        <x:v>-0.0001873274860928976</x:v>
      </x:c>
      <x:c r="S1013" s="240" t="n">
        <x:f>(K1013-K1012)^2</x:f>
        <x:v>3.1574813371088845e-7</x:v>
      </x:c>
      <x:c r="T1013" s="280" t="n">
        <x:f>E1013/$E$9*100</x:f>
        <x:v>183.96176928359682</x:v>
      </x:c>
    </x:row>
    <x:row r="1014" ht="24" customHeight="1">
      <x:c r="C1014" s="274" t="d">
        <x:v>2025-10-09T00:00:00.000Z</x:v>
      </x:c>
      <x:c r="D1014" s="191" t="n">
        <x:v>522.4000244140625</x:v>
      </x:c>
      <x:c r="E1014" s="191" t="n">
        <x:v>518.136962890625</x:v>
      </x:c>
      <x:c r="F1014" s="191" t="n">
        <x:v>671.1599731445312</x:v>
      </x:c>
      <x:c r="G1014" s="191" t="n">
        <x:v>663.9963989257812</x:v>
      </x:c>
      <x:c r="H1014" s="208" t="n">
        <x:f>E1014/E1013-1</x:f>
        <x:v>-0.00466785665041769</x:v>
      </x:c>
      <x:c r="I1014" s="208" t="n">
        <x:f>G1014/G1013-1</x:f>
        <x:v>-0.002896927773588187</x:v>
      </x:c>
      <x:c r="J1014" s="208" t="n">
        <x:f>'Beta HC3'!$E$13+'Beta HC3'!$E$12*I1014</x:f>
        <x:v>-0.0032580577350814926</x:v>
      </x:c>
      <x:c r="K1014" s="240" t="n">
        <x:f>H1014-J1014</x:f>
        <x:v>-0.0014097989153361973</x:v>
      </x:c>
      <x:c r="L1014" s="240" t="n">
        <x:f>I1014-'Beta HC3'!$E$9</x:f>
        <x:v>-0.0034608753912486264</x:v>
      </x:c>
      <x:c r="M1014" s="240" t="n">
        <x:f>1/'Beta HC3'!$E$8+L1014^2/'Beta HC3'!$E$11</x:f>
        <x:v>0.0008787213082837658</x:v>
      </x:c>
      <x:c r="N1014" s="240" t="n">
        <x:f>K1014^2/(1-M1014)^2</x:f>
        <x:v>0.0000019910305662746617</x:v>
      </x:c>
      <x:c r="O1014" s="240" t="n">
        <x:f>N1014*L1014^2/'Beta HC3'!$E$11^2</x:f>
        <x:v>1.1152303396035106e-9</x:v>
      </x:c>
      <x:c r="P1014" s="240" t="n">
        <x:f>N1014*(1/'Beta HC3'!$E$8-'Beta HC3'!$E$9*L1014/'Beta HC3'!$E$11)^2</x:f>
        <x:v>1.3068303152378384e-12</x:v>
      </x:c>
      <x:c r="Q1014" s="240" t="n">
        <x:f>N1014*(1/'Beta HC3'!$E$8-'Beta HC3'!$E$9*L1014/'Beta HC3'!$E$11)*L1014/'Beta HC3'!$E$11</x:f>
        <x:v>-3.817612888005877e-11</x:v>
      </x:c>
      <x:c r="R1014" s="240" t="n">
        <x:f>K1014*L1014/'Beta HC3'!$E$11</x:f>
        <x:v>0.000033365719644625944</x:v>
      </x:c>
      <x:c r="S1014" s="240" t="n">
        <x:f>(K1014-K1013)^2</x:f>
        <x:v>0.000013424840787186207</x:v>
      </x:c>
      <x:c r="T1014" s="280" t="n">
        <x:f>E1014/$E$9*100</x:f>
        <x:v>183.10306211542377</x:v>
      </x:c>
    </x:row>
    <x:row r="1015" ht="24" customHeight="1">
      <x:c r="C1015" s="274" t="d">
        <x:v>2025-10-10T00:00:00.000Z</x:v>
      </x:c>
      <x:c r="D1015" s="191" t="n">
        <x:v>510.9599914550781</x:v>
      </x:c>
      <x:c r="E1015" s="191" t="n">
        <x:v>506.790283203125</x:v>
      </x:c>
      <x:c r="F1015" s="191" t="n">
        <x:v>653.02001953125</x:v>
      </x:c>
      <x:c r="G1015" s="191" t="n">
        <x:v>646.0499877929688</x:v>
      </x:c>
      <x:c r="H1015" s="208" t="n">
        <x:f>E1015/E1014-1</x:f>
        <x:v>-0.021898996790729264</x:v>
      </x:c>
      <x:c r="I1015" s="208" t="n">
        <x:f>G1015/G1014-1</x:f>
        <x:v>-0.02702787419005037</x:v>
      </x:c>
      <x:c r="J1015" s="208" t="n">
        <x:f>'Beta HC3'!$E$13+'Beta HC3'!$E$12*I1015</x:f>
        <x:v>-0.03047322225875895</x:v>
      </x:c>
      <x:c r="K1015" s="240" t="n">
        <x:f>H1015-J1015</x:f>
        <x:v>0.008574225468029686</x:v>
      </x:c>
      <x:c r="L1015" s="240" t="n">
        <x:f>I1015-'Beta HC3'!$E$9</x:f>
        <x:v>-0.02759182180771081</x:v>
      </x:c>
      <x:c r="M1015" s="240" t="n">
        <x:f>1/'Beta HC3'!$E$8+L1015^2/'Beta HC3'!$E$11</x:f>
        <x:v>0.006002979984609974</x:v>
      </x:c>
      <x:c r="N1015" s="240" t="n">
        <x:f>K1015^2/(1-M1015)^2</x:f>
        <x:v>0.00007440800050253682</x:v>
      </x:c>
      <x:c r="O1015" s="240" t="n">
        <x:f>N1015*L1015^2/'Beta HC3'!$E$11^2</x:f>
        <x:v>0.000002649080222930809</x:v>
      </x:c>
      <x:c r="P1015" s="240" t="n">
        <x:f>N1015*(1/'Beta HC3'!$E$8-'Beta HC3'!$E$9*L1015/'Beta HC3'!$E$11)^2</x:f>
        <x:v>6.070269458810302e-11</x:v>
      </x:c>
      <x:c r="Q1015" s="240" t="n">
        <x:f>N1015*(1/'Beta HC3'!$E$8-'Beta HC3'!$E$9*L1015/'Beta HC3'!$E$11)*L1015/'Beta HC3'!$E$11</x:f>
        <x:v>-1.2680942698078591e-8</x:v>
      </x:c>
      <x:c r="R1015" s="240" t="n">
        <x:f>K1015*L1015/'Beta HC3'!$E$11</x:f>
        <x:v>-0.0016178290804226567</x:v>
      </x:c>
      <x:c r="S1015" s="240" t="n">
        <x:f>(K1015-K1014)^2</x:f>
        <x:v>0.00009968074288764452</x:v>
      </x:c>
      <x:c r="T1015" s="280" t="n">
        <x:f>E1015/$E$9*100</x:f>
        <x:v>179.0932887457854</x:v>
      </x:c>
    </x:row>
    <x:row r="1016" ht="24" customHeight="1">
      <x:c r="C1016" s="274" t="d">
        <x:v>2025-10-13T00:00:00.000Z</x:v>
      </x:c>
      <x:c r="D1016" s="191" t="n">
        <x:v>514.0499877929688</x:v>
      </x:c>
      <x:c r="E1016" s="191" t="n">
        <x:v>509.8550720214844</x:v>
      </x:c>
      <x:c r="F1016" s="191" t="n">
        <x:v>663.0399780273438</x:v>
      </x:c>
      <x:c r="G1016" s="191" t="n">
        <x:v>655.9630126953125</x:v>
      </x:c>
      <x:c r="H1016" s="208" t="n">
        <x:f>E1016/E1015-1</x:f>
        <x:v>0.006047449842543573</x:v>
      </x:c>
      <x:c r="I1016" s="208" t="n">
        <x:f>G1016/G1015-1</x:f>
        <x:v>0.01534405245669701</x:v>
      </x:c>
      <x:c r="J1016" s="208" t="n">
        <x:f>'Beta HC3'!$E$13+'Beta HC3'!$E$12*I1016</x:f>
        <x:v>0.01731433381031157</x:v>
      </x:c>
      <x:c r="K1016" s="240" t="n">
        <x:f>H1016-J1016</x:f>
        <x:v>-0.011266883967767996</x:v>
      </x:c>
      <x:c r="L1016" s="240" t="n">
        <x:f>I1016-'Beta HC3'!$E$9</x:f>
        <x:v>0.014780104839036572</x:v>
      </x:c>
      <x:c r="M1016" s="240" t="n">
        <x:f>1/'Beta HC3'!$E$8+L1016^2/'Beta HC3'!$E$11</x:f>
        <x:v>0.0022906813209912537</x:v>
      </x:c>
      <x:c r="N1016" s="240" t="n">
        <x:f>K1016^2/(1-M1016)^2</x:f>
        <x:v>0.0001275262491786047</x:v>
      </x:c>
      <x:c r="O1016" s="240" t="n">
        <x:f>N1016*L1016^2/'Beta HC3'!$E$11^2</x:f>
        <x:v>0.0000013027747674427355</x:v>
      </x:c>
      <x:c r="P1016" s="240" t="n">
        <x:f>N1016*(1/'Beta HC3'!$E$8-'Beta HC3'!$E$9*L1016/'Beta HC3'!$E$11)^2</x:f>
        <x:v>6.979806703103113e-11</x:v>
      </x:c>
      <x:c r="Q1016" s="240" t="n">
        <x:f>N1016*(1/'Beta HC3'!$E$8-'Beta HC3'!$E$9*L1016/'Beta HC3'!$E$11)*L1016/'Beta HC3'!$E$11</x:f>
        <x:v>9.535783163658035e-9</x:v>
      </x:c>
      <x:c r="R1016" s="240" t="n">
        <x:f>K1016*L1016/'Beta HC3'!$E$11</x:f>
        <x:v>-0.001138777028104827</x:v>
      </x:c>
      <x:c r="S1016" s="240" t="n">
        <x:f>(K1016-K1015)^2</x:f>
        <x:v>0.0003936696236432998</x:v>
      </x:c>
      <x:c r="T1016" s="280" t="n">
        <x:f>E1016/$E$9*100</x:f>
        <x:v>180.17634642661173</x:v>
      </x:c>
    </x:row>
    <x:row r="1017" ht="24" customHeight="1">
      <x:c r="C1017" s="274" t="d">
        <x:v>2025-10-14T00:00:00.000Z</x:v>
      </x:c>
      <x:c r="D1017" s="191" t="n">
        <x:v>513.5700073242188</x:v>
      </x:c>
      <x:c r="E1017" s="191" t="n">
        <x:v>509.3789978027344</x:v>
      </x:c>
      <x:c r="F1017" s="191" t="n">
        <x:v>662.22998046875</x:v>
      </x:c>
      <x:c r="G1017" s="191" t="n">
        <x:v>655.1616821289062</x:v>
      </x:c>
      <x:c r="H1017" s="208" t="n">
        <x:f>E1017/E1016-1</x:f>
        <x:v>-0.000933744204725584</x:v>
      </x:c>
      <x:c r="I1017" s="208" t="n">
        <x:f>G1017/G1016-1</x:f>
        <x:v>-0.0012216093756775015</x:v>
      </x:c>
      <x:c r="J1017" s="208" t="n">
        <x:f>'Beta HC3'!$E$13+'Beta HC3'!$E$12*I1017</x:f>
        <x:v>-0.0013686139875466394</x:v>
      </x:c>
      <x:c r="K1017" s="240" t="n">
        <x:f>H1017-J1017</x:f>
        <x:v>0.00043486978282105543</x:v>
      </x:c>
      <x:c r="L1017" s="240" t="n">
        <x:f>I1017-'Beta HC3'!$E$9</x:f>
        <x:v>-0.0017855569933379408</x:v>
      </x:c>
      <x:c r="M1017" s="240" t="n">
        <x:f>1/'Beta HC3'!$E$8+L1017^2/'Beta HC3'!$E$11</x:f>
        <x:v>0.0008186151737164548</x:v>
      </x:c>
      <x:c r="N1017" s="240" t="n">
        <x:f>K1017^2/(1-M1017)^2</x:f>
        <x:v>1.894217280751651e-7</x:v>
      </x:c>
      <x:c r="O1017" s="240" t="n">
        <x:f>N1017*L1017^2/'Beta HC3'!$E$11^2</x:f>
        <x:v>2.8241772560431457e-11</x:v>
      </x:c>
      <x:c r="P1017" s="240" t="n">
        <x:f>N1017*(1/'Beta HC3'!$E$8-'Beta HC3'!$E$9*L1017/'Beta HC3'!$E$11)^2</x:f>
        <x:v>1.2235350852827943e-13</x:v>
      </x:c>
      <x:c r="Q1017" s="240" t="n">
        <x:f>N1017*(1/'Beta HC3'!$E$8-'Beta HC3'!$E$9*L1017/'Beta HC3'!$E$11)*L1017/'Beta HC3'!$E$11</x:f>
        <x:v>-1.858892132380596e-12</x:v>
      </x:c>
      <x:c r="R1017" s="240" t="n">
        <x:f>K1017*L1017/'Beta HC3'!$E$11</x:f>
        <x:v>-0.000005309948511898391</x:v>
      </x:c>
      <x:c r="S1017" s="240" t="n">
        <x:f>(K1017-K1016)^2</x:f>
        <x:v>0.00013693104083942493</x:v>
      </x:c>
      <x:c r="T1017" s="280" t="n">
        <x:f>E1017/$E$9*100</x:f>
        <x:v>180.00810780730725</x:v>
      </x:c>
    </x:row>
    <x:row r="1018" ht="24" customHeight="1">
      <x:c r="C1018" s="274" t="d">
        <x:v>2025-10-15T00:00:00.000Z</x:v>
      </x:c>
      <x:c r="D1018" s="191" t="n">
        <x:v>513.4299926757812</x:v>
      </x:c>
      <x:c r="E1018" s="191" t="n">
        <x:v>509.2401428222656</x:v>
      </x:c>
      <x:c r="F1018" s="191" t="n">
        <x:v>665.1699829101562</x:v>
      </x:c>
      <x:c r="G1018" s="191" t="n">
        <x:v>658.0702514648438</x:v>
      </x:c>
      <x:c r="H1018" s="208" t="n">
        <x:f>E1018/E1017-1</x:f>
        <x:v>-0.00027259659520262325</x:v>
      </x:c>
      <x:c r="I1018" s="208" t="n">
        <x:f>G1018/G1017-1</x:f>
        <x:v>0.0044394680203003745</x:v>
      </x:c>
      <x:c r="J1018" s="208" t="n">
        <x:f>'Beta HC3'!$E$13+'Beta HC3'!$E$12*I1018</x:f>
        <x:v>0.005016015527344849</x:v>
      </x:c>
      <x:c r="K1018" s="240" t="n">
        <x:f>H1018-J1018</x:f>
        <x:v>-0.005288612122547472</x:v>
      </x:c>
      <x:c r="L1018" s="240" t="n">
        <x:f>I1018-'Beta HC3'!$E$9</x:f>
        <x:v>0.003875520402639935</x:v>
      </x:c>
      <x:c r="M1018" s="240" t="n">
        <x:f>1/'Beta HC3'!$E$8+L1018^2/'Beta HC3'!$E$11</x:f>
        <x:v>0.0008995238575566474</x:v>
      </x:c>
      <x:c r="N1018" s="240" t="n">
        <x:f>K1018^2/(1-M1018)^2</x:f>
        <x:v>0.000028019804475943015</x:v>
      </x:c>
      <x:c r="O1018" s="240" t="n">
        <x:f>N1018*L1018^2/'Beta HC3'!$E$11^2</x:f>
        <x:v>1.9680669959593934e-8</x:v>
      </x:c>
      <x:c r="P1018" s="240" t="n">
        <x:f>N1018*(1/'Beta HC3'!$E$8-'Beta HC3'!$E$9*L1018/'Beta HC3'!$E$11)^2</x:f>
        <x:v>1.7128942179478512e-11</x:v>
      </x:c>
      <x:c r="Q1018" s="240" t="n">
        <x:f>N1018*(1/'Beta HC3'!$E$8-'Beta HC3'!$E$9*L1018/'Beta HC3'!$E$11)*L1018/'Beta HC3'!$E$11</x:f>
        <x:v>5.806109349566921e-10</x:v>
      </x:c>
      <x:c r="R1018" s="240" t="n">
        <x:f>K1018*L1018/'Beta HC3'!$E$11</x:f>
        <x:v>-0.000140161618925264</x:v>
      </x:c>
      <x:c r="S1018" s="240" t="n">
        <x:f>(K1018-K1017)^2</x:f>
        <x:v>0.00003275824512108095</x:v>
      </x:c>
      <x:c r="T1018" s="280" t="n">
        <x:f>E1018/$E$9*100</x:f>
        <x:v>179.9590382100101</x:v>
      </x:c>
    </x:row>
    <x:row r="1019" ht="24" customHeight="1">
      <x:c r="C1019" s="274" t="d">
        <x:v>2025-10-16T00:00:00.000Z</x:v>
      </x:c>
      <x:c r="D1019" s="191" t="n">
        <x:v>511.6099853515625</x:v>
      </x:c>
      <x:c r="E1019" s="191" t="n">
        <x:v>507.43499755859375</x:v>
      </x:c>
      <x:c r="F1019" s="191" t="n">
        <x:v>660.6400146484375</x:v>
      </x:c>
      <x:c r="G1019" s="191" t="n">
        <x:v>653.5886840820312</x:v>
      </x:c>
      <x:c r="H1019" s="208" t="n">
        <x:f>E1019/E1018-1</x:f>
        <x:v>-0.003544781944462505</x:v>
      </x:c>
      <x:c r="I1019" s="208" t="n">
        <x:f>G1019/G1018-1</x:f>
        <x:v>-0.00681016559073544</x:v>
      </x:c>
      <x:c r="J1019" s="208" t="n">
        <x:f>'Beta HC3'!$E$13+'Beta HC3'!$E$12*I1019</x:f>
        <x:v>-0.007671453263625072</x:v>
      </x:c>
      <x:c r="K1019" s="240" t="n">
        <x:f>H1019-J1019</x:f>
        <x:v>0.004126671319162567</x:v>
      </x:c>
      <x:c r="L1019" s="240" t="n">
        <x:f>I1019-'Beta HC3'!$E$9</x:f>
        <x:v>-0.007374113208395879</x:v>
      </x:c>
      <x:c r="M1019" s="240" t="n">
        <x:f>1/'Beta HC3'!$E$8+L1019^2/'Beta HC3'!$E$11</x:f>
        <x:v>0.0011686706065198252</x:v>
      </x:c>
      <x:c r="N1019" s="240" t="n">
        <x:f>K1019^2/(1-M1019)^2</x:f>
        <x:v>0.000017069289617417114</x:v>
      </x:c>
      <x:c r="O1019" s="240" t="n">
        <x:f>N1019*L1019^2/'Beta HC3'!$E$11^2</x:f>
        <x:v>4.34060005285351e-8</x:v>
      </x:c>
      <x:c r="P1019" s="240" t="n">
        <x:f>N1019*(1/'Beta HC3'!$E$8-'Beta HC3'!$E$9*L1019/'Beta HC3'!$E$11)^2</x:f>
        <x:v>1.1624861185830148e-11</x:v>
      </x:c>
      <x:c r="Q1019" s="240" t="n">
        <x:f>N1019*(1/'Beta HC3'!$E$8-'Beta HC3'!$E$9*L1019/'Beta HC3'!$E$11)*L1019/'Beta HC3'!$E$11</x:f>
        <x:v>-7.10344093222637e-10</x:v>
      </x:c>
      <x:c r="R1019" s="240" t="n">
        <x:f>K1019*L1019/'Beta HC3'!$E$11</x:f>
        <x:v>-0.00020809758570951954</x:v>
      </x:c>
      <x:c r="S1019" s="240" t="n">
        <x:f>(K1019-K1018)^2</x:f>
        <x:v>0.00008864756228773926</x:v>
      </x:c>
      <x:c r="T1019" s="280" t="n">
        <x:f>E1019/$E$9*100</x:f>
        <x:v>179.32112266062043</x:v>
      </x:c>
    </x:row>
    <x:row r="1020" ht="24" customHeight="1">
      <x:c r="C1020" s="274" t="d">
        <x:v>2025-10-17T00:00:00.000Z</x:v>
      </x:c>
      <x:c r="D1020" s="191" t="n">
        <x:v>513.5800170898438</x:v>
      </x:c>
      <x:c r="E1020" s="191" t="n">
        <x:v>509.38897705078125</x:v>
      </x:c>
      <x:c r="F1020" s="191" t="n">
        <x:v>664.3900146484375</x:v>
      </x:c>
      <x:c r="G1020" s="191" t="n">
        <x:v>657.2986450195312</x:v>
      </x:c>
      <x:c r="H1020" s="208" t="n">
        <x:f>E1020/E1019-1</x:f>
        <x:v>0.0038506991074493957</x:v>
      </x:c>
      <x:c r="I1020" s="208" t="n">
        <x:f>G1020/G1019-1</x:f>
        <x:v>0.005676293099704743</x:v>
      </x:c>
      <x:c r="J1020" s="208" t="n">
        <x:f>'Beta HC3'!$E$13+'Beta HC3'!$E$12*I1020</x:f>
        <x:v>0.006410921364939231</x:v>
      </x:c>
      <x:c r="K1020" s="240" t="n">
        <x:f>H1020-J1020</x:f>
        <x:v>-0.002560222257489835</x:v>
      </x:c>
      <x:c r="L1020" s="240" t="n">
        <x:f>I1020-'Beta HC3'!$E$9</x:f>
        <x:v>0.005112345482044304</x:v>
      </x:c>
      <x:c r="M1020" s="240" t="n">
        <x:f>1/'Beta HC3'!$E$8+L1020^2/'Beta HC3'!$E$11</x:f>
        <x:v>0.000975542870749096</x:v>
      </x:c>
      <x:c r="N1020" s="240" t="n">
        <x:f>K1020^2/(1-M1020)^2</x:f>
        <x:v>0.000006567545602099879</x:v>
      </x:c>
      <x:c r="O1020" s="240" t="n">
        <x:f>N1020*L1020^2/'Beta HC3'!$E$11^2</x:f>
        <x:v>8.02709142853396e-9</x:v>
      </x:c>
      <x:c r="P1020" s="240" t="n">
        <x:f>N1020*(1/'Beta HC3'!$E$8-'Beta HC3'!$E$9*L1020/'Beta HC3'!$E$11)^2</x:f>
        <x:v>3.966006369669921e-12</x:v>
      </x:c>
      <x:c r="Q1020" s="240" t="n">
        <x:f>N1020*(1/'Beta HC3'!$E$8-'Beta HC3'!$E$9*L1020/'Beta HC3'!$E$11)*L1020/'Beta HC3'!$E$11</x:f>
        <x:v>1.7842504234408497e-10</x:v>
      </x:c>
      <x:c r="R1020" s="240" t="n">
        <x:f>K1020*L1020/'Beta HC3'!$E$11</x:f>
        <x:v>-0.00008950663396729688</x:v>
      </x:c>
      <x:c r="S1020" s="240" t="n">
        <x:f>(K1020-K1019)^2</x:f>
        <x:v>0.00004471454570547516</x:v>
      </x:c>
      <x:c r="T1020" s="280" t="n">
        <x:f>E1020/$E$9*100</x:f>
        <x:v>180.01163434759653</x:v>
      </x:c>
    </x:row>
    <x:row r="1021" ht="24" customHeight="1">
      <x:c r="C1021" s="274" t="d">
        <x:v>2025-10-20T00:00:00.000Z</x:v>
      </x:c>
      <x:c r="D1021" s="191" t="n">
        <x:v>516.7899780273438</x:v>
      </x:c>
      <x:c r="E1021" s="191" t="n">
        <x:v>512.57275390625</x:v>
      </x:c>
      <x:c r="F1021" s="191" t="n">
        <x:v>671.2999877929688</x:v>
      </x:c>
      <x:c r="G1021" s="191" t="n">
        <x:v>664.1348876953125</x:v>
      </x:c>
      <x:c r="H1021" s="208" t="n">
        <x:f>E1021/E1020-1</x:f>
        <x:v>0.006250187968145582</x:v>
      </x:c>
      <x:c r="I1021" s="208" t="n">
        <x:f>G1021/G1020-1</x:f>
        <x:v>0.010400512350939195</x:v>
      </x:c>
      <x:c r="J1021" s="208" t="n">
        <x:f>'Beta HC3'!$E$13+'Beta HC3'!$E$12*I1021</x:f>
        <x:v>0.011738951270992103</x:v>
      </x:c>
      <x:c r="K1021" s="240" t="n">
        <x:f>H1021-J1021</x:f>
        <x:v>-0.005488763302846521</x:v>
      </x:c>
      <x:c r="L1021" s="240" t="n">
        <x:f>I1021-'Beta HC3'!$E$9</x:f>
        <x:v>0.009836564733278756</x:v>
      </x:c>
      <x:c r="M1021" s="240" t="n">
        <x:f>1/'Beta HC3'!$E$8+L1021^2/'Beta HC3'!$E$11</x:f>
        <x:v>0.001458487054319878</x:v>
      </x:c>
      <x:c r="N1021" s="240" t="n">
        <x:f>K1021^2/(1-M1021)^2</x:f>
        <x:v>0.0000302145935096307</x:v>
      </x:c>
      <x:c r="O1021" s="240" t="n">
        <x:f>N1021*L1021^2/'Beta HC3'!$E$11^2</x:f>
        <x:v>1.3671569903168362e-7</x:v>
      </x:c>
      <x:c r="P1021" s="240" t="n">
        <x:f>N1021*(1/'Beta HC3'!$E$8-'Beta HC3'!$E$9*L1021/'Beta HC3'!$E$11)^2</x:f>
        <x:v>1.740044858922259e-11</x:v>
      </x:c>
      <x:c r="Q1021" s="240" t="n">
        <x:f>N1021*(1/'Beta HC3'!$E$8-'Beta HC3'!$E$9*L1021/'Beta HC3'!$E$11)*L1021/'Beta HC3'!$E$11</x:f>
        <x:v>1.5423730068762356e-9</x:v>
      </x:c>
      <x:c r="R1021" s="240" t="n">
        <x:f>K1021*L1021/'Beta HC3'!$E$11</x:f>
        <x:v>-0.0003692115839148033</x:v>
      </x:c>
      <x:c r="S1021" s="240" t="n">
        <x:f>(K1021-K1020)^2</x:f>
        <x:v>0.000008576352654338832</x:v>
      </x:c>
      <x:c r="T1021" s="280" t="n">
        <x:f>E1021/$E$9*100</x:f>
        <x:v>181.13674089872208</x:v>
      </x:c>
    </x:row>
    <x:row r="1022" ht="24" customHeight="1">
      <x:c r="C1022" s="274" t="d">
        <x:v>2025-10-21T00:00:00.000Z</x:v>
      </x:c>
      <x:c r="D1022" s="191" t="n">
        <x:v>517.6599731445312</x:v>
      </x:c>
      <x:c r="E1022" s="191" t="n">
        <x:v>513.4356079101562</x:v>
      </x:c>
      <x:c r="F1022" s="191" t="n">
        <x:v>671.2899780273438</x:v>
      </x:c>
      <x:c r="G1022" s="191" t="n">
        <x:v>664.1249389648438</x:v>
      </x:c>
      <x:c r="H1022" s="208" t="n">
        <x:f>E1022/E1021-1</x:f>
        <x:v>0.001683378598122065</x:v>
      </x:c>
      <x:c r="I1022" s="208" t="n">
        <x:f>G1022/G1021-1</x:f>
        <x:v>-0.000014979984718554995</x:v>
      </x:c>
      <x:c r="J1022" s="208" t="n">
        <x:f>'Beta HC3'!$E$13+'Beta HC3'!$E$12*I1022</x:f>
        <x:v>-0.000007763201700549282</x:v>
      </x:c>
      <x:c r="K1022" s="240" t="n">
        <x:f>H1022-J1022</x:f>
        <x:v>0.0016911417998226143</x:v>
      </x:c>
      <x:c r="L1022" s="240" t="n">
        <x:f>I1022-'Beta HC3'!$E$9</x:f>
        <x:v>-0.0005789276023789944</x:v>
      </x:c>
      <x:c r="M1022" s="240" t="n">
        <x:f>1/'Beta HC3'!$E$8+L1022^2/'Beta HC3'!$E$11</x:f>
        <x:v>0.000799104702885334</x:v>
      </x:c>
      <x:c r="N1022" s="240" t="n">
        <x:f>K1022^2/(1-M1022)^2</x:f>
        <x:v>0.0000028645368877018476</x:v>
      </x:c>
      <x:c r="O1022" s="240" t="n">
        <x:f>N1022*L1022^2/'Beta HC3'!$E$11^2</x:f>
        <x:v>4.4897034377231894e-11</x:v>
      </x:c>
      <x:c r="P1022" s="240" t="n">
        <x:f>N1022*(1/'Beta HC3'!$E$8-'Beta HC3'!$E$9*L1022/'Beta HC3'!$E$11)^2</x:f>
        <x:v>1.828931028680108e-12</x:v>
      </x:c>
      <x:c r="Q1022" s="240" t="n">
        <x:f>N1022*(1/'Beta HC3'!$E$8-'Beta HC3'!$E$9*L1022/'Beta HC3'!$E$11)*L1022/'Beta HC3'!$E$11</x:f>
        <x:v>-9.061654333963358e-12</x:v>
      </x:c>
      <x:c r="R1022" s="240" t="n">
        <x:f>K1022*L1022/'Beta HC3'!$E$11</x:f>
        <x:v>-0.000006695170511975262</x:v>
      </x:c>
      <x:c r="S1022" s="240" t="n">
        <x:f>(K1022-K1021)^2</x:f>
        <x:v>0.00005155103728333429</x:v>
      </x:c>
      <x:c r="T1022" s="280" t="n">
        <x:f>E1022/$E$9*100</x:f>
        <x:v>181.44166261168456</x:v>
      </x:c>
    </x:row>
    <x:row r="1023" ht="24" customHeight="1">
      <x:c r="C1023" s="274" t="d">
        <x:v>2025-10-22T00:00:00.000Z</x:v>
      </x:c>
      <x:c r="D1023" s="191" t="n">
        <x:v>520.5399780273438</x:v>
      </x:c>
      <x:c r="E1023" s="191" t="n">
        <x:v>516.2920532226562</x:v>
      </x:c>
      <x:c r="F1023" s="191" t="n">
        <x:v>667.7999877929688</x:v>
      </x:c>
      <x:c r="G1023" s="191" t="n">
        <x:v>660.6721801757812</x:v>
      </x:c>
      <x:c r="H1023" s="208" t="n">
        <x:f>E1023/E1022-1</x:f>
        <x:v>0.005563395425819184</x:v>
      </x:c>
      <x:c r="I1023" s="208" t="n">
        <x:f>G1023/G1022-1</x:f>
        <x:v>-0.005198959693403782</x:v>
      </x:c>
      <x:c r="J1023" s="208" t="n">
        <x:f>'Beta HC3'!$E$13+'Beta HC3'!$E$12*I1023</x:f>
        <x:v>-0.005854316346546412</x:v>
      </x:c>
      <x:c r="K1023" s="240" t="n">
        <x:f>H1023-J1023</x:f>
        <x:v>0.011417711772365596</x:v>
      </x:c>
      <x:c r="L1023" s="240" t="n">
        <x:f>I1023-'Beta HC3'!$E$9</x:f>
        <x:v>-0.0057629073110642215</x:v>
      </x:c>
      <x:c r="M1023" s="240" t="n">
        <x:f>1/'Beta HC3'!$E$8+L1023^2/'Beta HC3'!$E$11</x:f>
        <x:v>0.0010239250359690704</x:v>
      </x:c>
      <x:c r="N1023" s="240" t="n">
        <x:f>K1023^2/(1-M1023)^2</x:f>
        <x:v>0.00013063151892522335</x:v>
      </x:c>
      <x:c r="O1023" s="240" t="n">
        <x:f>N1023*L1023^2/'Beta HC3'!$E$11^2</x:f>
        <x:v>2.0288314506428456e-7</x:v>
      </x:c>
      <x:c r="P1023" s="240" t="n">
        <x:f>N1023*(1/'Beta HC3'!$E$8-'Beta HC3'!$E$9*L1023/'Beta HC3'!$E$11)^2</x:f>
        <x:v>8.763056189122615e-11</x:v>
      </x:c>
      <x:c r="Q1023" s="240" t="n">
        <x:f>N1023*(1/'Beta HC3'!$E$8-'Beta HC3'!$E$9*L1023/'Beta HC3'!$E$11)*L1023/'Beta HC3'!$E$11</x:f>
        <x:v>-4.216487163533455e-9</x:v>
      </x:c>
      <x:c r="R1023" s="240" t="n">
        <x:f>K1023*L1023/'Beta HC3'!$E$11</x:f>
        <x:v>-0.00044996431359422233</x:v>
      </x:c>
      <x:c r="S1023" s="240" t="n">
        <x:f>(K1023-K1022)^2</x:f>
        <x:v>0.00009460616343077477</x:v>
      </x:c>
      <x:c r="T1023" s="280" t="n">
        <x:f>E1023/$E$9*100</x:f>
        <x:v>182.4510943275114</x:v>
      </x:c>
    </x:row>
    <x:row r="1024" ht="24" customHeight="1">
      <x:c r="C1024" s="274" t="d">
        <x:v>2025-10-23T00:00:00.000Z</x:v>
      </x:c>
      <x:c r="D1024" s="191" t="n">
        <x:v>520.5599975585938</x:v>
      </x:c>
      <x:c r="E1024" s="191" t="n">
        <x:v>516.3119506835938</x:v>
      </x:c>
      <x:c r="F1024" s="191" t="n">
        <x:v>671.760009765625</x:v>
      </x:c>
      <x:c r="G1024" s="191" t="n">
        <x:v>664.5899658203125</x:v>
      </x:c>
      <x:c r="H1024" s="208" t="n">
        <x:f>E1024/E1023-1</x:f>
        <x:v>0.000038539157853234585</x:v>
      </x:c>
      <x:c r="I1024" s="208" t="n">
        <x:f>G1024/G1023-1</x:f>
        <x:v>0.005929999418908372</x:v>
      </x:c>
      <x:c r="J1024" s="208" t="n">
        <x:f>'Beta HC3'!$E$13+'Beta HC3'!$E$12*I1024</x:f>
        <x:v>0.006697054328755063</x:v>
      </x:c>
      <x:c r="K1024" s="240" t="n">
        <x:f>H1024-J1024</x:f>
        <x:v>-0.0066585151709018285</x:v>
      </x:c>
      <x:c r="L1024" s="240" t="n">
        <x:f>I1024-'Beta HC3'!$E$9</x:f>
        <x:v>0.005366051801247932</x:v>
      </x:c>
      <x:c r="M1024" s="240" t="n">
        <x:f>1/'Beta HC3'!$E$8+L1024^2/'Beta HC3'!$E$11</x:f>
        <x:v>0.0009937224365544105</x:v>
      </x:c>
      <x:c r="N1024" s="240" t="n">
        <x:f>K1024^2/(1-M1024)^2</x:f>
        <x:v>0.00004442407080482185</x:v>
      </x:c>
      <x:c r="O1024" s="240" t="n">
        <x:f>N1024*L1024^2/'Beta HC3'!$E$11^2</x:f>
        <x:v>5.981950254227998e-8</x:v>
      </x:c>
      <x:c r="P1024" s="240" t="n">
        <x:f>N1024*(1/'Beta HC3'!$E$8-'Beta HC3'!$E$9*L1024/'Beta HC3'!$E$11)^2</x:f>
        <x:v>2.675927567327635e-11</x:v>
      </x:c>
      <x:c r="Q1024" s="240" t="n">
        <x:f>N1024*(1/'Beta HC3'!$E$8-'Beta HC3'!$E$9*L1024/'Beta HC3'!$E$11)*L1024/'Beta HC3'!$E$11</x:f>
        <x:v>1.2651982291985417e-9</x:v>
      </x:c>
      <x:c r="R1024" s="240" t="n">
        <x:f>K1024*L1024/'Beta HC3'!$E$11</x:f>
        <x:v>-0.00024433721298537165</x:v>
      </x:c>
      <x:c r="S1024" s="240" t="n">
        <x:f>(K1024-K1023)^2</x:f>
        <x:v>0.0003267499805045071</x:v>
      </x:c>
      <x:c r="T1024" s="280" t="n">
        <x:f>E1024/$E$9*100</x:f>
        <x:v>182.4581258390362</x:v>
      </x:c>
    </x:row>
    <x:row r="1025" ht="24" customHeight="1">
      <x:c r="C1025" s="274" t="d">
        <x:v>2025-10-24T00:00:00.000Z</x:v>
      </x:c>
      <x:c r="D1025" s="191" t="n">
        <x:v>523.6099853515625</x:v>
      </x:c>
      <x:c r="E1025" s="191" t="n">
        <x:v>519.3370361328125</x:v>
      </x:c>
      <x:c r="F1025" s="191" t="n">
        <x:v>677.25</x:v>
      </x:c>
      <x:c r="G1025" s="191" t="n">
        <x:v>670.0213623046875</x:v>
      </x:c>
      <x:c r="H1025" s="208" t="n">
        <x:f>E1025/E1024-1</x:f>
        <x:v>0.00585902659276738</x:v>
      </x:c>
      <x:c r="I1025" s="208" t="n">
        <x:f>G1025/G1024-1</x:f>
        <x:v>0.008172552647061071</x:v>
      </x:c>
      <x:c r="J1025" s="208" t="n">
        <x:f>'Beta HC3'!$E$13+'Beta HC3'!$E$12*I1025</x:f>
        <x:v>0.00922623217383303</x:v>
      </x:c>
      <x:c r="K1025" s="240" t="n">
        <x:f>H1025-J1025</x:f>
        <x:v>-0.0033672055810656503</x:v>
      </x:c>
      <x:c r="L1025" s="240" t="n">
        <x:f>I1025-'Beta HC3'!$E$9</x:f>
        <x:v>0.007608605029400631</x:v>
      </x:c>
      <x:c r="M1025" s="240" t="n">
        <x:f>1/'Beta HC3'!$E$8+L1025^2/'Beta HC3'!$E$11</x:f>
        <x:v>0.0011926962856702126</x:v>
      </x:c>
      <x:c r="N1025" s="240" t="n">
        <x:f>K1025^2/(1-M1025)^2</x:f>
        <x:v>0.000011365167644402035</x:v>
      </x:c>
      <x:c r="O1025" s="240" t="n">
        <x:f>N1025*L1025^2/'Beta HC3'!$E$11^2</x:f>
        <x:v>3.0768097923715153e-8</x:v>
      </x:c>
      <x:c r="P1025" s="240" t="n">
        <x:f>N1025*(1/'Beta HC3'!$E$8-'Beta HC3'!$E$9*L1025/'Beta HC3'!$E$11)^2</x:f>
        <x:v>6.694199242492188e-12</x:v>
      </x:c>
      <x:c r="Q1025" s="240" t="n">
        <x:f>N1025*(1/'Beta HC3'!$E$8-'Beta HC3'!$E$9*L1025/'Beta HC3'!$E$11)*L1025/'Beta HC3'!$E$11</x:f>
        <x:v>4.538367303489873e-10</x:v>
      </x:c>
      <x:c r="R1025" s="240" t="n">
        <x:f>K1025*L1025/'Beta HC3'!$E$11</x:f>
        <x:v>-0.00017519916580812996</x:v>
      </x:c>
      <x:c r="S1025" s="240" t="n">
        <x:f>(K1025-K1024)^2</x:f>
        <x:v>0.000010832718816147591</x:v>
      </x:c>
      <x:c r="T1025" s="280" t="n">
        <x:f>E1025/$E$9*100</x:f>
        <x:v>183.52715285039358</x:v>
      </x:c>
    </x:row>
    <x:row r="1026" ht="24" customHeight="1">
      <x:c r="C1026" s="274" t="d">
        <x:v>2025-10-27T00:00:00.000Z</x:v>
      </x:c>
      <x:c r="D1026" s="191" t="n">
        <x:v>531.52001953125</x:v>
      </x:c>
      <x:c r="E1026" s="191" t="n">
        <x:v>527.1825561523438</x:v>
      </x:c>
      <x:c r="F1026" s="191" t="n">
        <x:v>685.239990234375</x:v>
      </x:c>
      <x:c r="G1026" s="191" t="n">
        <x:v>677.926025390625</x:v>
      </x:c>
      <x:c r="H1026" s="208" t="n">
        <x:f>E1026/E1025-1</x:f>
        <x:v>0.015106798617622319</x:v>
      </x:c>
      <x:c r="I1026" s="208" t="n">
        <x:f>G1026/G1025-1</x:f>
        <x:v>0.011797628449856656</x:v>
      </x:c>
      <x:c r="J1026" s="208" t="n">
        <x:f>'Beta HC3'!$E$13+'Beta HC3'!$E$12*I1026</x:f>
        <x:v>0.013314635201265884</x:v>
      </x:c>
      <x:c r="K1026" s="240" t="n">
        <x:f>H1026-J1026</x:f>
        <x:v>0.0017921634163564348</x:v>
      </x:c>
      <x:c r="L1026" s="240" t="n">
        <x:f>I1026-'Beta HC3'!$E$9</x:f>
        <x:v>0.011233680832196218</x:v>
      </x:c>
      <x:c r="M1026" s="240" t="n">
        <x:f>1/'Beta HC3'!$E$8+L1026^2/'Beta HC3'!$E$11</x:f>
        <x:v>0.0016597943226329282</x:v>
      </x:c>
      <x:c r="N1026" s="240" t="n">
        <x:f>K1026^2/(1-M1026)^2</x:f>
        <x:v>0.0000032225383347651236</x:v>
      </x:c>
      <x:c r="O1026" s="240" t="n">
        <x:f>N1026*L1026^2/'Beta HC3'!$E$11^2</x:f>
        <x:v>1.9017655522931372e-8</x:v>
      </x:c>
      <x:c r="P1026" s="240" t="n">
        <x:f>N1026*(1/'Beta HC3'!$E$8-'Beta HC3'!$E$9*L1026/'Beta HC3'!$E$11)^2</x:f>
        <x:v>1.8295859856533514e-12</x:v>
      </x:c>
      <x:c r="Q1026" s="240" t="n">
        <x:f>N1026*(1/'Beta HC3'!$E$8-'Beta HC3'!$E$9*L1026/'Beta HC3'!$E$11)*L1026/'Beta HC3'!$E$11</x:f>
        <x:v>1.865326674465851e-10</x:v>
      </x:c>
      <x:c r="R1026" s="240" t="n">
        <x:f>K1026*L1026/'Beta HC3'!$E$11</x:f>
        <x:v>0.00013767562283012943</x:v>
      </x:c>
      <x:c r="S1026" s="240" t="n">
        <x:f>(K1026-K1025)^2</x:f>
        <x:v>0.00002661908845156017</x:v>
      </x:c>
      <x:c r="T1026" s="280" t="n">
        <x:f>E1026/$E$9*100</x:f>
        <x:v>186.2996605893701</x:v>
      </x:c>
    </x:row>
    <x:row r="1027" ht="24" customHeight="1">
      <x:c r="C1027" s="274" t="d">
        <x:v>2025-10-28T00:00:00.000Z</x:v>
      </x:c>
      <x:c r="D1027" s="191" t="n">
        <x:v>542.0700073242188</x:v>
      </x:c>
      <x:c r="E1027" s="191" t="n">
        <x:v>537.6464233398438</x:v>
      </x:c>
      <x:c r="F1027" s="191" t="n">
        <x:v>687.0599975585938</x:v>
      </x:c>
      <x:c r="G1027" s="191" t="n">
        <x:v>679.7266235351562</x:v>
      </x:c>
      <x:c r="H1027" s="208" t="n">
        <x:f>E1027/E1026-1</x:f>
        <x:v>0.019848659758150644</x:v>
      </x:c>
      <x:c r="I1027" s="208" t="n">
        <x:f>G1027/G1026-1</x:f>
        <x:v>0.0026560392684344958</x:v>
      </x:c>
      <x:c r="J1027" s="208" t="n">
        <x:f>'Beta HC3'!$E$13+'Beta HC3'!$E$12*I1027</x:f>
        <x:v>0.0030046436540404906</x:v>
      </x:c>
      <x:c r="K1027" s="240" t="n">
        <x:f>H1027-J1027</x:f>
        <x:v>0.016844016104110154</x:v>
      </x:c>
      <x:c r="L1027" s="240" t="n">
        <x:f>I1027-'Beta HC3'!$E$9</x:f>
        <x:v>0.0020920916507740565</x:v>
      </x:c>
      <x:c r="M1027" s="240" t="n">
        <x:f>1/'Beta HC3'!$E$8+L1027^2/'Beta HC3'!$E$11</x:f>
        <x:v>0.0008267435799480965</x:v>
      </x:c>
      <x:c r="N1027" s="240" t="n">
        <x:f>K1027^2/(1-M1027)^2</x:f>
        <x:v>0.0002841905897609813</x:v>
      </x:c>
      <x:c r="O1027" s="240" t="n">
        <x:f>N1027*L1027^2/'Beta HC3'!$E$11^2</x:f>
        <x:v>5.816822729319796e-8</x:v>
      </x:c>
      <x:c r="P1027" s="240" t="n">
        <x:f>N1027*(1/'Beta HC3'!$E$8-'Beta HC3'!$E$9*L1027/'Beta HC3'!$E$11)^2</x:f>
        <x:v>1.7680006948266897e-10</x:v>
      </x:c>
      <x:c r="Q1027" s="240" t="n">
        <x:f>N1027*(1/'Beta HC3'!$E$8-'Beta HC3'!$E$9*L1027/'Beta HC3'!$E$11)*L1027/'Beta HC3'!$E$11</x:f>
        <x:v>3.206890491912856e-9</x:v>
      </x:c>
      <x:c r="R1027" s="240" t="n">
        <x:f>K1027*L1027/'Beta HC3'!$E$11</x:f>
        <x:v>0.00024098150683097213</x:v>
      </x:c>
      <x:c r="S1027" s="240" t="n">
        <x:f>(K1027-K1026)^2</x:f>
        <x:v>0.00022655826933383886</x:v>
      </x:c>
      <x:c r="T1027" s="280" t="n">
        <x:f>E1027/$E$9*100</x:f>
        <x:v>189.99745916546743</x:v>
      </x:c>
    </x:row>
    <x:row r="1028" ht="24" customHeight="1">
      <x:c r="C1028" s="274" t="d">
        <x:v>2025-10-29T00:00:00.000Z</x:v>
      </x:c>
      <x:c r="D1028" s="191" t="n">
        <x:v>541.5499877929688</x:v>
      </x:c>
      <x:c r="E1028" s="191" t="n">
        <x:v>537.130615234375</x:v>
      </x:c>
      <x:c r="F1028" s="191" t="n">
        <x:v>687.3900146484375</x:v>
      </x:c>
      <x:c r="G1028" s="191" t="n">
        <x:v>680.0530395507812</x:v>
      </x:c>
      <x:c r="H1028" s="208" t="n">
        <x:f>E1028/E1027-1</x:f>
        <x:v>-0.0009593816364750207</x:v>
      </x:c>
      <x:c r="I1028" s="208" t="n">
        <x:f>G1028/G1027-1</x:f>
        <x:v>0.0004802166110948747</x:v>
      </x:c>
      <x:c r="J1028" s="208" t="n">
        <x:f>'Beta HC3'!$E$13+'Beta HC3'!$E$12*I1028</x:f>
        <x:v>0.0005507253297494047</x:v>
      </x:c>
      <x:c r="K1028" s="240" t="n">
        <x:f>H1028-J1028</x:f>
        <x:v>-0.0015101069662244253</x:v>
      </x:c>
      <x:c r="L1028" s="240" t="n">
        <x:f>I1028-'Beta HC3'!$E$9</x:f>
        <x:v>-0.00008373100656556469</x:v>
      </x:c>
      <x:c r="M1028" s="240" t="n">
        <x:f>1/'Beta HC3'!$E$8+L1028^2/'Beta HC3'!$E$11</x:f>
        <x:v>0.0007968606925315916</x:v>
      </x:c>
      <x:c r="N1028" s="240" t="n">
        <x:f>K1028^2/(1-M1028)^2</x:f>
        <x:v>0.000002284061757157285</x:v>
      </x:c>
      <x:c r="O1028" s="240" t="n">
        <x:f>N1028*L1028^2/'Beta HC3'!$E$11^2</x:f>
        <x:v>7.488506124057726e-13</x:v>
      </x:c>
      <x:c r="P1028" s="240" t="n">
        <x:f>N1028*(1/'Beta HC3'!$E$8-'Beta HC3'!$E$9*L1028/'Beta HC3'!$E$11)^2</x:f>
        <x:v>1.451350535843306e-12</x:v>
      </x:c>
      <x:c r="Q1028" s="240" t="n">
        <x:f>N1028*(1/'Beta HC3'!$E$8-'Beta HC3'!$E$9*L1028/'Beta HC3'!$E$11)*L1028/'Beta HC3'!$E$11</x:f>
        <x:v>-1.0425184591083775e-12</x:v>
      </x:c>
      <x:c r="R1028" s="240" t="n">
        <x:f>K1028*L1028/'Beta HC3'!$E$11</x:f>
        <x:v>8.646719775041516e-7</x:v>
      </x:c>
      <x:c r="S1028" s="240" t="n">
        <x:f>(K1028-K1027)^2</x:f>
        <x:v>0.000336873833680988</x:v>
      </x:c>
      <x:c r="T1028" s="280" t="n">
        <x:f>E1028/$E$9*100</x:f>
        <x:v>189.81517909216717</x:v>
      </x:c>
    </x:row>
    <x:row r="1029" ht="24" customHeight="1">
      <x:c r="C1029" s="274" t="d">
        <x:v>2025-10-30T00:00:00.000Z</x:v>
      </x:c>
      <x:c r="D1029" s="191" t="n">
        <x:v>525.760009765625</x:v>
      </x:c>
      <x:c r="E1029" s="191" t="n">
        <x:v>521.469482421875</x:v>
      </x:c>
      <x:c r="F1029" s="191" t="n">
        <x:v>679.8300170898438</x:v>
      </x:c>
      <x:c r="G1029" s="191" t="n">
        <x:v>672.5739135742188</x:v>
      </x:c>
      <x:c r="H1029" s="208" t="n">
        <x:f>E1029/E1028-1</x:f>
        <x:v>-0.02915702879022508</x:v>
      </x:c>
      <x:c r="I1029" s="208" t="n">
        <x:f>G1029/G1028-1</x:f>
        <x:v>-0.010997856845846865</x:v>
      </x:c>
      <x:c r="J1029" s="208" t="n">
        <x:f>'Beta HC3'!$E$13+'Beta HC3'!$E$12*I1029</x:f>
        <x:v>-0.01239438059997161</x:v>
      </x:c>
      <x:c r="K1029" s="240" t="n">
        <x:f>H1029-J1029</x:f>
        <x:v>-0.01676264819025347</x:v>
      </x:c>
      <x:c r="L1029" s="240" t="n">
        <x:f>I1029-'Beta HC3'!$E$9</x:f>
        <x:v>-0.011561804463507304</x:v>
      </x:c>
      <x:c r="M1029" s="240" t="n">
        <x:f>1/'Beta HC3'!$E$8+L1029^2/'Beta HC3'!$E$11</x:f>
        <x:v>0.0017109440959053946</x:v>
      </x:c>
      <x:c r="N1029" s="240" t="n">
        <x:f>K1029^2/(1-M1029)^2</x:f>
        <x:v>0.00028195035156727507</x:v>
      </x:c>
      <x:c r="O1029" s="240" t="n">
        <x:f>N1029*L1029^2/'Beta HC3'!$E$11^2</x:f>
        <x:v>0.000001762538465000797</x:v>
      </x:c>
      <x:c r="P1029" s="240" t="n">
        <x:f>N1029*(1/'Beta HC3'!$E$8-'Beta HC3'!$E$9*L1029/'Beta HC3'!$E$11)^2</x:f>
        <x:v>1.996084062330551e-10</x:v>
      </x:c>
      <x:c r="Q1029" s="240" t="n">
        <x:f>N1029*(1/'Beta HC3'!$E$8-'Beta HC3'!$E$9*L1029/'Beta HC3'!$E$11)*L1029/'Beta HC3'!$E$11</x:f>
        <x:v>-1.875679860539278e-8</x:v>
      </x:c>
      <x:c r="R1029" s="240" t="n">
        <x:f>K1029*L1029/'Beta HC3'!$E$11</x:f>
        <x:v>0.0013253348312675531</x:v>
      </x:c>
      <x:c r="S1029" s="240" t="n">
        <x:f>(K1029-K1028)^2</x:f>
        <x:v>0.00023264001379070544</x:v>
      </x:c>
      <x:c r="T1029" s="280" t="n">
        <x:f>E1029/$E$9*100</x:f>
        <x:v>184.2807324505551</x:v>
      </x:c>
    </x:row>
    <x:row r="1030" ht="24" customHeight="1">
      <x:c r="C1030" s="274" t="d">
        <x:v>2025-10-31T00:00:00.000Z</x:v>
      </x:c>
      <x:c r="D1030" s="191" t="n">
        <x:v>517.8099975585938</x:v>
      </x:c>
      <x:c r="E1030" s="191" t="n">
        <x:v>513.5843505859375</x:v>
      </x:c>
      <x:c r="F1030" s="191" t="n">
        <x:v>682.0599975585938</x:v>
      </x:c>
      <x:c r="G1030" s="191" t="n">
        <x:v>674.7800903320312</x:v>
      </x:c>
      <x:c r="H1030" s="208" t="n">
        <x:f>E1030/E1029-1</x:f>
        <x:v>-0.015120984260318271</x:v>
      </x:c>
      <x:c r="I1030" s="208" t="n">
        <x:f>G1030/G1029-1</x:f>
        <x:v>0.00328019971230864</x:v>
      </x:c>
      <x:c r="J1030" s="208" t="n">
        <x:f>'Beta HC3'!$E$13+'Beta HC3'!$E$12*I1030</x:f>
        <x:v>0.0037085791266093606</x:v>
      </x:c>
      <x:c r="K1030" s="240" t="n">
        <x:f>H1030-J1030</x:f>
        <x:v>-0.018829563386927633</x:v>
      </x:c>
      <x:c r="L1030" s="240" t="n">
        <x:f>I1030-'Beta HC3'!$E$9</x:f>
        <x:v>0.002716252094648201</x:v>
      </x:c>
      <x:c r="M1030" s="240" t="n">
        <x:f>1/'Beta HC3'!$E$8+L1030^2/'Beta HC3'!$E$11</x:f>
        <x:v>0.000847266970551714</x:v>
      </x:c>
      <x:c r="N1030" s="240" t="n">
        <x:f>K1030^2/(1-M1030)^2</x:f>
        <x:v>0.0003551540229371766</x:v>
      </x:c>
      <x:c r="O1030" s="240" t="n">
        <x:f>N1030*L1030^2/'Beta HC3'!$E$11^2</x:f>
        <x:v>1.2253823192615522e-7</x:v>
      </x:c>
      <x:c r="P1030" s="240" t="n">
        <x:f>N1030*(1/'Beta HC3'!$E$8-'Beta HC3'!$E$9*L1030/'Beta HC3'!$E$11)^2</x:f>
        <x:v>2.196011772957375e-10</x:v>
      </x:c>
      <x:c r="Q1030" s="240" t="n">
        <x:f>N1030*(1/'Beta HC3'!$E$8-'Beta HC3'!$E$9*L1030/'Beta HC3'!$E$11)*L1030/'Beta HC3'!$E$11</x:f>
        <x:v>5.187440601560833e-9</x:v>
      </x:c>
      <x:c r="R1030" s="240" t="n">
        <x:f>K1030*L1030/'Beta HC3'!$E$11</x:f>
        <x:v>-0.0003497580230652764</x:v>
      </x:c>
      <x:c r="S1030" s="240" t="n">
        <x:f>(K1030-K1029)^2</x:f>
        <x:v>0.00000427213843024259</x:v>
      </x:c>
      <x:c r="T1030" s="280" t="n">
        <x:f>E1030/$E$9*100</x:f>
        <x:v>181.49422639569033</x:v>
      </x:c>
    </x:row>
    <x:row r="1031" ht="24" customHeight="1">
      <x:c r="C1031" s="274" t="d">
        <x:v>2025-11-03T00:00:00.000Z</x:v>
      </x:c>
      <x:c r="D1031" s="191" t="n">
        <x:v>517.030029296875</x:v>
      </x:c>
      <x:c r="E1031" s="191" t="n">
        <x:v>512.8107299804688</x:v>
      </x:c>
      <x:c r="F1031" s="191" t="n">
        <x:v>683.3400268554688</x:v>
      </x:c>
      <x:c r="G1031" s="191" t="n">
        <x:v>676.04638671875</x:v>
      </x:c>
      <x:c r="H1031" s="208" t="n">
        <x:f>E1031/E1030-1</x:f>
        <x:v>-0.0015063165468069961</x:v>
      </x:c>
      <x:c r="I1031" s="208" t="n">
        <x:f>G1031/G1030-1</x:f>
        <x:v>0.0018766060304116206</x:v>
      </x:c>
      <x:c r="J1031" s="208" t="n">
        <x:f>'Beta HC3'!$E$13+'Beta HC3'!$E$12*I1031</x:f>
        <x:v>0.00212558970224256</x:v>
      </x:c>
      <x:c r="K1031" s="240" t="n">
        <x:f>H1031-J1031</x:f>
        <x:v>-0.003631906249049556</x:v>
      </x:c>
      <x:c r="L1031" s="240" t="n">
        <x:f>I1031-'Beta HC3'!$E$9</x:f>
        <x:v>0.0013126584127511813</x:v>
      </x:c>
      <x:c r="M1031" s="240" t="n">
        <x:f>1/'Beta HC3'!$E$8+L1031^2/'Beta HC3'!$E$11</x:f>
        <x:v>0.000808595882932636</x:v>
      </x:c>
      <x:c r="N1031" s="240" t="n">
        <x:f>K1031^2/(1-M1031)^2</x:f>
        <x:v>0.000013212100864180287</x:v>
      </x:c>
      <x:c r="O1031" s="240" t="n">
        <x:f>N1031*L1031^2/'Beta HC3'!$E$11^2</x:f>
        <x:v>1.0646088102841146e-9</x:v>
      </x:c>
      <x:c r="P1031" s="240" t="n">
        <x:f>N1031*(1/'Beta HC3'!$E$8-'Beta HC3'!$E$9*L1031/'Beta HC3'!$E$11)^2</x:f>
        <x:v>8.282253470041229e-12</x:v>
      </x:c>
      <x:c r="Q1031" s="240" t="n">
        <x:f>N1031*(1/'Beta HC3'!$E$8-'Beta HC3'!$E$9*L1031/'Beta HC3'!$E$11)*L1031/'Beta HC3'!$E$11</x:f>
        <x:v>9.390079878899899e-11</x:v>
      </x:c>
      <x:c r="R1031" s="240" t="n">
        <x:f>K1031*L1031/'Beta HC3'!$E$11</x:f>
        <x:v>-0.0000326019605200755</x:v>
      </x:c>
      <x:c r="S1031" s="240" t="n">
        <x:f>(K1031-K1030)^2</x:f>
        <x:v>0.00023096878248049646</x:v>
      </x:c>
      <x:c r="T1031" s="280" t="n">
        <x:f>E1031/$E$9*100</x:f>
        <x:v>181.22083863932056</x:v>
      </x:c>
    </x:row>
    <x:row r="1032" ht="24" customHeight="1">
      <x:c r="C1032" s="274" t="d">
        <x:v>2025-11-04T00:00:00.000Z</x:v>
      </x:c>
      <x:c r="D1032" s="191" t="n">
        <x:v>514.3300170898438</x:v>
      </x:c>
      <x:c r="E1032" s="191" t="n">
        <x:v>510.1328430175781</x:v>
      </x:c>
      <x:c r="F1032" s="191" t="n">
        <x:v>675.239990234375</x:v>
      </x:c>
      <x:c r="G1032" s="191" t="n">
        <x:v>668.0327758789062</x:v>
      </x:c>
      <x:c r="H1032" s="208" t="n">
        <x:f>E1032/E1031-1</x:f>
        <x:v>-0.005221979194921733</x:v>
      </x:c>
      <x:c r="I1032" s="208" t="n">
        <x:f>G1032/G1031-1</x:f>
        <x:v>-0.011853640515318009</x:v>
      </x:c>
      <x:c r="J1032" s="208" t="n">
        <x:f>'Beta HC3'!$E$13+'Beta HC3'!$E$12*I1032</x:f>
        <x:v>-0.013359543464261298</x:v>
      </x:c>
      <x:c r="K1032" s="240" t="n">
        <x:f>H1032-J1032</x:f>
        <x:v>0.008137564269339564</x:v>
      </x:c>
      <x:c r="L1032" s="240" t="n">
        <x:f>I1032-'Beta HC3'!$E$9</x:f>
        <x:v>-0.012417588132978448</x:v>
      </x:c>
      <x:c r="M1032" s="240" t="n">
        <x:f>1/'Beta HC3'!$E$8+L1032^2/'Beta HC3'!$E$11</x:f>
        <x:v>0.001851277006974042</x:v>
      </x:c>
      <x:c r="N1032" s="240" t="n">
        <x:f>K1032^2/(1-M1032)^2</x:f>
        <x:v>0.00006646581772442227</x:v>
      </x:c>
      <x:c r="O1032" s="240" t="n">
        <x:f>N1032*L1032^2/'Beta HC3'!$E$11^2</x:f>
        <x:v>4.792780914225882e-7</x:v>
      </x:c>
      <x:c r="P1032" s="240" t="n">
        <x:f>N1032*(1/'Beta HC3'!$E$8-'Beta HC3'!$E$9*L1032/'Beta HC3'!$E$11)^2</x:f>
        <x:v>4.742473011760045e-11</x:v>
      </x:c>
      <x:c r="Q1032" s="240" t="n">
        <x:f>N1032*(1/'Beta HC3'!$E$8-'Beta HC3'!$E$9*L1032/'Beta HC3'!$E$11)*L1032/'Beta HC3'!$E$11</x:f>
        <x:v>-4.7675606065361014e-9</x:v>
      </x:c>
      <x:c r="R1032" s="240" t="n">
        <x:f>K1032*L1032/'Beta HC3'!$E$11</x:f>
        <x:v>-0.0006910174968812273</x:v>
      </x:c>
      <x:c r="S1032" s="240" t="n">
        <x:f>(K1032-K1031)^2</x:f>
        <x:v>0.00013852043628323067</x:v>
      </x:c>
      <x:c r="T1032" s="280" t="n">
        <x:f>E1032/$E$9*100</x:f>
        <x:v>180.27450719025978</x:v>
      </x:c>
    </x:row>
    <x:row r="1033" ht="24" customHeight="1">
      <x:c r="C1033" s="274" t="d">
        <x:v>2025-11-05T00:00:00.000Z</x:v>
      </x:c>
      <x:c r="D1033" s="191" t="n">
        <x:v>507.1600036621094</x:v>
      </x:c>
      <x:c r="E1033" s="191" t="n">
        <x:v>503.0213317871094</x:v>
      </x:c>
      <x:c r="F1033" s="191" t="n">
        <x:v>677.5800170898438</x:v>
      </x:c>
      <x:c r="G1033" s="191" t="n">
        <x:v>670.3477783203125</x:v>
      </x:c>
      <x:c r="H1033" s="208" t="n">
        <x:f>E1033/E1032-1</x:f>
        <x:v>-0.013940508492654935</x:v>
      </x:c>
      <x:c r="I1033" s="208" t="n">
        <x:f>G1033/G1032-1</x:f>
        <x:v>0.0034654024847216025</x:v>
      </x:c>
      <x:c r="J1033" s="208" t="n">
        <x:f>'Beta HC3'!$E$13+'Beta HC3'!$E$12*I1033</x:f>
        <x:v>0.003917452986526493</x:v>
      </x:c>
      <x:c r="K1033" s="240" t="n">
        <x:f>H1033-J1033</x:f>
        <x:v>-0.01785796147918143</x:v>
      </x:c>
      <x:c r="L1033" s="240" t="n">
        <x:f>I1033-'Beta HC3'!$E$9</x:f>
        <x:v>0.0029014548670611632</x:v>
      </x:c>
      <x:c r="M1033" s="240" t="n">
        <x:f>1/'Beta HC3'!$E$8+L1033^2/'Beta HC3'!$E$11</x:f>
        <x:v>0.0008543817906995268</x:v>
      </x:c>
      <x:c r="N1033" s="240" t="n">
        <x:f>K1033^2/(1-M1033)^2</x:f>
        <x:v>0.0003194524236693588</x:v>
      </x:c>
      <x:c r="O1033" s="240" t="n">
        <x:f>N1033*L1033^2/'Beta HC3'!$E$11^2</x:f>
        <x:v>1.2576290165373666e-7</x:v>
      </x:c>
      <x:c r="P1033" s="240" t="n">
        <x:f>N1033*(1/'Beta HC3'!$E$8-'Beta HC3'!$E$9*L1033/'Beta HC3'!$E$11)^2</x:f>
        <x:v>1.9716726197993613e-10</x:v>
      </x:c>
      <x:c r="Q1033" s="240" t="n">
        <x:f>N1033*(1/'Beta HC3'!$E$8-'Beta HC3'!$E$9*L1033/'Beta HC3'!$E$11)*L1033/'Beta HC3'!$E$11</x:f>
        <x:v>4.9795910452284385e-9</x:v>
      </x:c>
      <x:c r="R1033" s="240" t="n">
        <x:f>K1033*L1033/'Beta HC3'!$E$11</x:f>
        <x:v>-0.00035432766529079303</x:v>
      </x:c>
      <x:c r="S1033" s="240" t="n">
        <x:f>(K1033-K1032)^2</x:f>
        <x:v>0.000675767358942018</x:v>
      </x:c>
      <x:c r="T1033" s="280" t="n">
        <x:f>E1033/$E$9*100</x:f>
        <x:v>177.76138889176477</x:v>
      </x:c>
    </x:row>
    <x:row r="1034" ht="24" customHeight="1">
      <x:c r="C1034" s="274" t="d">
        <x:v>2025-11-06T00:00:00.000Z</x:v>
      </x:c>
      <x:c r="D1034" s="191" t="n">
        <x:v>497.1000061035156</x:v>
      </x:c>
      <x:c r="E1034" s="191" t="n">
        <x:v>493.04339599609375</x:v>
      </x:c>
      <x:c r="F1034" s="191" t="n">
        <x:v>670.3099975585938</x:v>
      </x:c>
      <x:c r="G1034" s="191" t="n">
        <x:v>663.155517578125</x:v>
      </x:c>
      <x:c r="H1034" s="208" t="n">
        <x:f>E1034/E1033-1</x:f>
        <x:v>-0.019836009251469555</x:v>
      </x:c>
      <x:c r="I1034" s="208" t="n">
        <x:f>G1034/G1033-1</x:f>
        <x:v>-0.01072914832388816</x:v>
      </x:c>
      <x:c r="J1034" s="208" t="n">
        <x:f>'Beta HC3'!$E$13+'Beta HC3'!$E$12*I1034</x:f>
        <x:v>-0.012091327975851099</x:v>
      </x:c>
      <x:c r="K1034" s="240" t="n">
        <x:f>H1034-J1034</x:f>
        <x:v>-0.007744681275618457</x:v>
      </x:c>
      <x:c r="L1034" s="240" t="n">
        <x:f>I1034-'Beta HC3'!$E$9</x:f>
        <x:v>-0.011293095941548599</x:v>
      </x:c>
      <x:c r="M1034" s="240" t="n">
        <x:f>1/'Beta HC3'!$E$8+L1034^2/'Beta HC3'!$E$11</x:f>
        <x:v>0.0016689471088302092</x:v>
      </x:c>
      <x:c r="N1034" s="240" t="n">
        <x:f>K1034^2/(1-M1034)^2</x:f>
        <x:v>0.000060180797570481965</x:v>
      </x:c>
      <x:c r="O1034" s="240" t="n">
        <x:f>N1034*L1034^2/'Beta HC3'!$E$11^2</x:f>
        <x:v>3.589208581287546e-7</x:v>
      </x:c>
      <x:c r="P1034" s="240" t="n">
        <x:f>N1034*(1/'Beta HC3'!$E$8-'Beta HC3'!$E$9*L1034/'Beta HC3'!$E$11)^2</x:f>
        <x:v>4.250046683002313e-11</x:v>
      </x:c>
      <x:c r="Q1034" s="240" t="n">
        <x:f>N1034*(1/'Beta HC3'!$E$8-'Beta HC3'!$E$9*L1034/'Beta HC3'!$E$11)*L1034/'Beta HC3'!$E$11</x:f>
        <x:v>-3.905675873073004e-9</x:v>
      </x:c>
      <x:c r="R1034" s="240" t="n">
        <x:f>K1034*L1034/'Beta HC3'!$E$11</x:f>
        <x:v>0.0005981001738876078</x:v>
      </x:c>
      <x:c r="S1034" s="240" t="n">
        <x:f>(K1034-K1033)^2</x:f>
        <x:v>0.00010227843647577872</x:v>
      </x:c>
      <x:c r="T1034" s="280" t="n">
        <x:f>E1034/$E$9*100</x:f>
        <x:v>174.23531233715363</x:v>
      </x:c>
    </x:row>
    <x:row r="1035" ht="24" customHeight="1">
      <x:c r="C1035" s="274" t="d">
        <x:v>2025-11-07T00:00:00.000Z</x:v>
      </x:c>
      <x:c r="D1035" s="191" t="n">
        <x:v>496.82000732421875</x:v>
      </x:c>
      <x:c r="E1035" s="191" t="n">
        <x:v>492.76568603515625</x:v>
      </x:c>
      <x:c r="F1035" s="191" t="n">
        <x:v>670.969970703125</x:v>
      </x:c>
      <x:c r="G1035" s="191" t="n">
        <x:v>663.808349609375</x:v>
      </x:c>
      <x:c r="H1035" s="208" t="n">
        <x:f>E1035/E1034-1</x:f>
        <x:v>-0.0005632566285092011</x:v>
      </x:c>
      <x:c r="I1035" s="208" t="n">
        <x:f>G1035/G1034-1</x:f>
        <x:v>0.000984432782274336</x:v>
      </x:c>
      <x:c r="J1035" s="208" t="n">
        <x:f>'Beta HC3'!$E$13+'Beta HC3'!$E$12*I1035</x:f>
        <x:v>0.0011193862441338633</x:v>
      </x:c>
      <x:c r="K1035" s="240" t="n">
        <x:f>H1035-J1035</x:f>
        <x:v>-0.0016826428726430644</x:v>
      </x:c>
      <x:c r="L1035" s="240" t="n">
        <x:f>I1035-'Beta HC3'!$E$9</x:f>
        <x:v>0.0004204851646138966</x:v>
      </x:c>
      <x:c r="M1035" s="240" t="n">
        <x:f>1/'Beta HC3'!$E$8+L1035^2/'Beta HC3'!$E$11</x:f>
        <x:v>0.000798021839248269</x:v>
      </x:c>
      <x:c r="N1035" s="240" t="n">
        <x:f>K1035^2/(1-M1035)^2</x:f>
        <x:v>0.0000028358113096157954</x:v>
      </x:c>
      <x:c r="O1035" s="240" t="n">
        <x:f>N1035*L1035^2/'Beta HC3'!$E$11^2</x:f>
        <x:v>2.344733069387001e-11</x:v>
      </x:c>
      <x:c r="P1035" s="240" t="n">
        <x:f>N1035*(1/'Beta HC3'!$E$8-'Beta HC3'!$E$9*L1035/'Beta HC3'!$E$11)^2</x:f>
        <x:v>1.7931655742645635e-12</x:v>
      </x:c>
      <x:c r="Q1035" s="240" t="n">
        <x:f>N1035*(1/'Beta HC3'!$E$8-'Beta HC3'!$E$9*L1035/'Beta HC3'!$E$11)*L1035/'Beta HC3'!$E$11</x:f>
        <x:v>6.484207446453616e-12</x:v>
      </x:c>
      <x:c r="R1035" s="240" t="n">
        <x:f>K1035*L1035/'Beta HC3'!$E$11</x:f>
        <x:v>-0.000004838380169241529</x:v>
      </x:c>
      <x:c r="S1035" s="240" t="n">
        <x:f>(K1035-K1034)^2</x:f>
        <x:v>0.00003674830959914844</x:v>
      </x:c>
      <x:c r="T1035" s="280" t="n">
        <x:f>E1035/$E$9*100</x:f>
        <x:v>174.13717314255936</x:v>
      </x:c>
    </x:row>
    <x:row r="1036" ht="24" customHeight="1">
      <x:c r="C1036" s="274" t="d">
        <x:v>2025-11-10T00:00:00.000Z</x:v>
      </x:c>
      <x:c r="D1036" s="191" t="n">
        <x:v>506</x:v>
      </x:c>
      <x:c r="E1036" s="191" t="n">
        <x:v>501.8707580566406</x:v>
      </x:c>
      <x:c r="F1036" s="191" t="n">
        <x:v>681.4400024414062</x:v>
      </x:c>
      <x:c r="G1036" s="191" t="n">
        <x:v>674.1666259765625</x:v>
      </x:c>
      <x:c r="H1036" s="208" t="n">
        <x:f>E1036/E1035-1</x:f>
        <x:v>0.018477487941063186</x:v>
      </x:c>
      <x:c r="I1036" s="208" t="n">
        <x:f>G1036/G1035-1</x:f>
        <x:v>0.015604317681877422</x:v>
      </x:c>
      <x:c r="J1036" s="208" t="n">
        <x:f>'Beta HC3'!$E$13+'Beta HC3'!$E$12*I1036</x:f>
        <x:v>0.017607863985250945</x:v>
      </x:c>
      <x:c r="K1036" s="240" t="n">
        <x:f>H1036-J1036</x:f>
        <x:v>0.0008696239558122418</x:v>
      </x:c>
      <x:c r="L1036" s="240" t="n">
        <x:f>I1036-'Beta HC3'!$E$9</x:f>
        <x:v>0.015040370064216983</x:v>
      </x:c>
      <x:c r="M1036" s="240" t="n">
        <x:f>1/'Beta HC3'!$E$8+L1036^2/'Beta HC3'!$E$11</x:f>
        <x:v>0.002343756083740498</x:v>
      </x:c>
      <x:c r="N1036" s="240" t="n">
        <x:f>K1036^2/(1-M1036)^2</x:f>
        <x:v>7.59803237698628e-7</x:v>
      </x:c>
      <x:c r="O1036" s="240" t="n">
        <x:f>N1036*L1036^2/'Beta HC3'!$E$11^2</x:f>
        <x:v>8.03772062362337e-9</x:v>
      </x:c>
      <x:c r="P1036" s="240" t="n">
        <x:f>N1036*(1/'Beta HC3'!$E$8-'Beta HC3'!$E$9*L1036/'Beta HC3'!$E$11)^2</x:f>
        <x:v>4.1473025289121993e-13</x:v>
      </x:c>
      <x:c r="Q1036" s="240" t="n">
        <x:f>N1036*(1/'Beta HC3'!$E$8-'Beta HC3'!$E$9*L1036/'Beta HC3'!$E$11)*L1036/'Beta HC3'!$E$11</x:f>
        <x:v>5.7736348229726943e-11</x:v>
      </x:c>
      <x:c r="R1036" s="240" t="n">
        <x:f>K1036*L1036/'Beta HC3'!$E$11</x:f>
        <x:v>0.0000894432102685755</x:v>
      </x:c>
      <x:c r="S1036" s="240" t="n">
        <x:f>(K1036-K1035)^2</x:f>
        <x:v>0.000006514065963633307</x:v>
      </x:c>
      <x:c r="T1036" s="280" t="n">
        <x:f>E1036/$E$9*100</x:f>
        <x:v>177.35479065939185</x:v>
      </x:c>
    </x:row>
    <x:row r="1037" ht="24" customHeight="1">
      <x:c r="C1037" s="274" t="d">
        <x:v>2025-11-11T00:00:00.000Z</x:v>
      </x:c>
      <x:c r="D1037" s="191" t="n">
        <x:v>508.67999267578125</x:v>
      </x:c>
      <x:c r="E1037" s="191" t="n">
        <x:v>504.5289001464844</x:v>
      </x:c>
      <x:c r="F1037" s="191" t="n">
        <x:v>683</x:v>
      </x:c>
      <x:c r="G1037" s="191" t="n">
        <x:v>675.7100219726562</x:v>
      </x:c>
      <x:c r="H1037" s="208" t="n">
        <x:f>E1037/E1036-1</x:f>
        <x:v>0.005296467361710189</x:v>
      </x:c>
      <x:c r="I1037" s="208" t="n">
        <x:f>G1037/G1036-1</x:f>
        <x:v>0.002289339069340812</x:v>
      </x:c>
      <x:c r="J1037" s="208" t="n">
        <x:f>'Beta HC3'!$E$13+'Beta HC3'!$E$12*I1037</x:f>
        <x:v>0.0025910748666019825</x:v>
      </x:c>
      <x:c r="K1037" s="240" t="n">
        <x:f>H1037-J1037</x:f>
        <x:v>0.002705392495108206</x:v>
      </x:c>
      <x:c r="L1037" s="240" t="n">
        <x:f>I1037-'Beta HC3'!$E$9</x:f>
        <x:v>0.001725391451680373</x:v>
      </x:c>
      <x:c r="M1037" s="240" t="n">
        <x:f>1/'Beta HC3'!$E$8+L1037^2/'Beta HC3'!$E$11</x:f>
        <x:v>0.0008171706334754293</x:v>
      </x:c>
      <x:c r="N1037" s="240" t="n">
        <x:f>K1037^2/(1-M1037)^2</x:f>
        <x:v>0.000007331125217574389</x:v>
      </x:c>
      <x:c r="O1037" s="240" t="n">
        <x:f>N1037*L1037^2/'Beta HC3'!$E$11^2</x:f>
        <x:v>1.0206119389034784e-9</x:v>
      </x:c>
      <x:c r="P1037" s="240" t="n">
        <x:f>N1037*(1/'Beta HC3'!$E$8-'Beta HC3'!$E$9*L1037/'Beta HC3'!$E$11)^2</x:f>
        <x:v>4.5771940782258955e-12</x:v>
      </x:c>
      <x:c r="Q1037" s="240" t="n">
        <x:f>N1037*(1/'Beta HC3'!$E$8-'Beta HC3'!$E$9*L1037/'Beta HC3'!$E$11)*L1037/'Beta HC3'!$E$11</x:f>
        <x:v>6.834865706738978e-11</x:v>
      </x:c>
      <x:c r="R1037" s="240" t="n">
        <x:f>K1037*L1037/'Beta HC3'!$E$11</x:f>
        <x:v>0.00003192091151934763</x:v>
      </x:c>
      <x:c r="S1037" s="240" t="n">
        <x:f>(K1037-K1036)^2</x:f>
        <x:v>0.000003370046129868839</x:v>
      </x:c>
      <x:c r="T1037" s="280" t="n">
        <x:f>E1037/$E$9*100</x:f>
        <x:v>178.29414451956228</x:v>
      </x:c>
    </x:row>
    <x:row r="1038" ht="24" customHeight="1">
      <x:c r="C1038" s="274" t="d">
        <x:v>2025-11-12T00:00:00.000Z</x:v>
      </x:c>
      <x:c r="D1038" s="191" t="n">
        <x:v>511.1400146484375</x:v>
      </x:c>
      <x:c r="E1038" s="191" t="n">
        <x:v>506.9688415527344</x:v>
      </x:c>
      <x:c r="F1038" s="191" t="n">
        <x:v>683.3800048828125</x:v>
      </x:c>
      <x:c r="G1038" s="191" t="n">
        <x:v>676.0859375</x:v>
      </x:c>
      <x:c r="H1038" s="208" t="n">
        <x:f>E1038/E1037-1</x:f>
        <x:v>0.0048360785785346305</x:v>
      </x:c>
      <x:c r="I1038" s="208" t="n">
        <x:f>G1038/G1037-1</x:f>
        <x:v>0.0005563267009809358</x:v>
      </x:c>
      <x:c r="J1038" s="208" t="n">
        <x:f>'Beta HC3'!$E$13+'Beta HC3'!$E$12*I1038</x:f>
        <x:v>0.0006365631822071084</x:v>
      </x:c>
      <x:c r="K1038" s="240" t="n">
        <x:f>H1038-J1038</x:f>
        <x:v>0.004199515396327522</x:v>
      </x:c>
      <x:c r="L1038" s="240" t="n">
        <x:f>I1038-'Beta HC3'!$E$9</x:f>
        <x:v>-0.000007620916679503529</x:v>
      </x:c>
      <x:c r="M1038" s="240" t="n">
        <x:f>1/'Beta HC3'!$E$8+L1038^2/'Beta HC3'!$E$11</x:f>
        <x:v>0.000796813146169733</x:v>
      </x:c>
      <x:c r="N1038" s="240" t="n">
        <x:f>K1038^2/(1-M1038)^2</x:f>
        <x:v>0.000017664068272506046</x:v>
      </x:c>
      <x:c r="O1038" s="240" t="n">
        <x:f>N1038*L1038^2/'Beta HC3'!$E$11^2</x:f>
        <x:v>4.7975541392890535e-14</x:v>
      </x:c>
      <x:c r="P1038" s="240" t="n">
        <x:f>N1038*(1/'Beta HC3'!$E$8-'Beta HC3'!$E$9*L1038/'Beta HC3'!$E$11)^2</x:f>
        <x:v>1.1215930773600916e-11</x:v>
      </x:c>
      <x:c r="Q1038" s="240" t="n">
        <x:f>N1038*(1/'Beta HC3'!$E$8-'Beta HC3'!$E$9*L1038/'Beta HC3'!$E$11)*L1038/'Beta HC3'!$E$11</x:f>
        <x:v>-7.335464205411171e-13</x:v>
      </x:c>
      <x:c r="R1038" s="240" t="n">
        <x:f>K1038*L1038/'Beta HC3'!$E$11</x:f>
        <x:v>-2.1885866848024476e-7</x:v>
      </x:c>
      <x:c r="S1038" s="240" t="n">
        <x:f>(K1038-K1037)^2</x:f>
        <x:v>0.0000022324032439480255</x:v>
      </x:c>
      <x:c r="T1038" s="280" t="n">
        <x:f>E1038/$E$9*100</x:f>
        <x:v>179.15638901255147</x:v>
      </x:c>
    </x:row>
    <x:row r="1039" ht="24" customHeight="1">
      <x:c r="C1039" s="274" t="d">
        <x:v>2025-11-13T00:00:00.000Z</x:v>
      </x:c>
      <x:c r="D1039" s="191" t="n">
        <x:v>503.2900085449219</x:v>
      </x:c>
      <x:c r="E1039" s="191" t="n">
        <x:v>499.1828918457031</x:v>
      </x:c>
      <x:c r="F1039" s="191" t="n">
        <x:v>672.0399780273438</x:v>
      </x:c>
      <x:c r="G1039" s="191" t="n">
        <x:v>664.8670043945312</x:v>
      </x:c>
      <x:c r="H1039" s="208" t="n">
        <x:f>E1039/E1038-1</x:f>
        <x:v>-0.015357846614763582</x:v>
      </x:c>
      <x:c r="I1039" s="208" t="n">
        <x:f>G1039/G1038-1</x:f>
        <x:v>-0.016593945359895557</x:v>
      </x:c>
      <x:c r="J1039" s="208" t="n">
        <x:f>'Beta HC3'!$E$13+'Beta HC3'!$E$12*I1039</x:f>
        <x:v>-0.018705714891236642</x:v>
      </x:c>
      <x:c r="K1039" s="240" t="n">
        <x:f>H1039-J1039</x:f>
        <x:v>0.00334786827647306</x:v>
      </x:c>
      <x:c r="L1039" s="240" t="n">
        <x:f>I1039-'Beta HC3'!$E$9</x:f>
        <x:v>-0.017157892977555995</x:v>
      </x:c>
      <x:c r="M1039" s="240" t="n">
        <x:f>1/'Beta HC3'!$E$8+L1039^2/'Beta HC3'!$E$11</x:f>
        <x:v>0.002810005095024673</x:v>
      </x:c>
      <x:c r="N1039" s="240" t="n">
        <x:f>K1039^2/(1-M1039)^2</x:f>
        <x:v>0.000011271478821401229</x:v>
      </x:c>
      <x:c r="O1039" s="240" t="n">
        <x:f>N1039*L1039^2/'Beta HC3'!$E$11^2</x:f>
        <x:v>1.5517563503055082e-7</x:v>
      </x:c>
      <x:c r="P1039" s="240" t="n">
        <x:f>N1039*(1/'Beta HC3'!$E$8-'Beta HC3'!$E$9*L1039/'Beta HC3'!$E$11)^2</x:f>
        <x:v>8.394309283884623e-12</x:v>
      </x:c>
      <x:c r="Q1039" s="240" t="n">
        <x:f>N1039*(1/'Beta HC3'!$E$8-'Beta HC3'!$E$9*L1039/'Beta HC3'!$E$11)*L1039/'Beta HC3'!$E$11</x:f>
        <x:v>-1.141311646207838e-9</x:v>
      </x:c>
      <x:c r="R1039" s="240" t="n">
        <x:f>K1039*L1039/'Beta HC3'!$E$11</x:f>
        <x:v>-0.00039281646053495115</x:v>
      </x:c>
      <x:c r="S1039" s="240" t="n">
        <x:f>(K1039-K1038)^2</x:f>
        <x:v>7.253028167564002e-7</x:v>
      </x:c>
      <x:c r="T1039" s="280" t="n">
        <x:f>E1039/$E$9*100</x:f>
        <x:v>176.4049326700418</x:v>
      </x:c>
    </x:row>
    <x:row r="1040" ht="24" customHeight="1">
      <x:c r="C1040" s="274" t="d">
        <x:v>2025-11-14T00:00:00.000Z</x:v>
      </x:c>
      <x:c r="D1040" s="191" t="n">
        <x:v>510.17999267578125</x:v>
      </x:c>
      <x:c r="E1040" s="191" t="n">
        <x:v>506.01666259765625</x:v>
      </x:c>
      <x:c r="F1040" s="191" t="n">
        <x:v>671.9299926757812</x:v>
      </x:c>
      <x:c r="G1040" s="191" t="n">
        <x:v>664.7581176757812</x:v>
      </x:c>
      <x:c r="H1040" s="208" t="n">
        <x:f>E1040/E1039-1</x:f>
        <x:v>0.013689913784275864</x:v>
      </x:c>
      <x:c r="I1040" s="208" t="n">
        <x:f>G1040/G1039-1</x:f>
        <x:v>-0.000163772180045485</x:v>
      </x:c>
      <x:c r="J1040" s="208" t="n">
        <x:f>'Beta HC3'!$E$13+'Beta HC3'!$E$12*I1040</x:f>
        <x:v>-0.0001755727855343205</x:v>
      </x:c>
      <x:c r="K1040" s="240" t="n">
        <x:f>H1040-J1040</x:f>
        <x:v>0.013865486569810185</x:v>
      </x:c>
      <x:c r="L1040" s="240" t="n">
        <x:f>I1040-'Beta HC3'!$E$9</x:f>
        <x:v>-0.0007277197977059244</x:v>
      </x:c>
      <x:c r="M1040" s="240" t="n">
        <x:f>1/'Beta HC3'!$E$8+L1040^2/'Beta HC3'!$E$11</x:f>
        <x:v>0.0008004342260898856</x:v>
      </x:c>
      <x:c r="N1040" s="240" t="n">
        <x:f>K1040^2/(1-M1040)^2</x:f>
        <x:v>0.0001925598574464005</x:v>
      </x:c>
      <x:c r="O1040" s="240" t="n">
        <x:f>N1040*L1040^2/'Beta HC3'!$E$11^2</x:f>
        <x:v>4.768797254709529e-9</x:v>
      </x:c>
      <x:c r="P1040" s="240" t="n">
        <x:f>N1040*(1/'Beta HC3'!$E$8-'Beta HC3'!$E$9*L1040/'Beta HC3'!$E$11)^2</x:f>
        <x:v>1.2312101949919082e-10</x:v>
      </x:c>
      <x:c r="Q1040" s="240" t="n">
        <x:f>N1040*(1/'Beta HC3'!$E$8-'Beta HC3'!$E$9*L1040/'Beta HC3'!$E$11)*L1040/'Beta HC3'!$E$11</x:f>
        <x:v>-7.662500765316631e-10</x:v>
      </x:c>
      <x:c r="R1040" s="240" t="n">
        <x:f>K1040*L1040/'Beta HC3'!$E$11</x:f>
        <x:v>-0.00006900120356177814</x:v>
      </x:c>
      <x:c r="S1040" s="240" t="n">
        <x:f>(K1040-K1039)^2</x:f>
        <x:v>0.00011062029456433974</x:v>
      </x:c>
      <x:c r="T1040" s="280" t="n">
        <x:f>E1040/$E$9*100</x:f>
        <x:v>178.81990098941563</x:v>
      </x:c>
    </x:row>
    <x:row r="1041" ht="24" customHeight="1">
      <x:c r="C1041" s="274" t="d">
        <x:v>2025-11-17T00:00:00.000Z</x:v>
      </x:c>
      <x:c r="D1041" s="191" t="n">
        <x:v>507.489990234375</x:v>
      </x:c>
      <x:c r="E1041" s="191" t="n">
        <x:v>503.34857177734375</x:v>
      </x:c>
      <x:c r="F1041" s="191" t="n">
        <x:v>665.6699829101562</x:v>
      </x:c>
      <x:c r="G1041" s="191" t="n">
        <x:v>658.56494140625</x:v>
      </x:c>
      <x:c r="H1041" s="208" t="n">
        <x:f>E1041/E1040-1</x:f>
        <x:v>-0.00527273312822496</x:v>
      </x:c>
      <x:c r="I1041" s="208" t="n">
        <x:f>G1041/G1040-1</x:f>
        <x:v>-0.00931643571527141</x:v>
      </x:c>
      <x:c r="J1041" s="208" t="n">
        <x:f>'Beta HC3'!$E$13+'Beta HC3'!$E$12*I1041</x:f>
        <x:v>-0.010498054118927291</x:v>
      </x:c>
      <x:c r="K1041" s="240" t="n">
        <x:f>H1041-J1041</x:f>
        <x:v>0.005225320990702331</x:v>
      </x:c>
      <x:c r="L1041" s="240" t="n">
        <x:f>I1041-'Beta HC3'!$E$9</x:f>
        <x:v>-0.009880383332931848</x:v>
      </x:c>
      <x:c r="M1041" s="240" t="n">
        <x:f>1/'Beta HC3'!$E$8+L1041^2/'Beta HC3'!$E$11</x:f>
        <x:v>0.001464395259216978</x:v>
      </x:c>
      <x:c r="N1041" s="240" t="n">
        <x:f>K1041^2/(1-M1041)^2</x:f>
        <x:v>0.00002738412309196383</x:v>
      </x:c>
      <x:c r="O1041" s="240" t="n">
        <x:f>N1041*L1041^2/'Beta HC3'!$E$11^2</x:f>
        <x:v>1.2501471925084483e-7</x:v>
      </x:c>
      <x:c r="P1041" s="240" t="n">
        <x:f>N1041*(1/'Beta HC3'!$E$8-'Beta HC3'!$E$9*L1041/'Beta HC3'!$E$11)^2</x:f>
        <x:v>1.9089085627805283e-11</x:v>
      </x:c>
      <x:c r="Q1041" s="240" t="n">
        <x:f>N1041*(1/'Beta HC3'!$E$8-'Beta HC3'!$E$9*L1041/'Beta HC3'!$E$11)*L1041/'Beta HC3'!$E$11</x:f>
        <x:v>-1.5448031203086737e-9</x:v>
      </x:c>
      <x:c r="R1041" s="240" t="n">
        <x:f>K1041*L1041/'Beta HC3'!$E$11</x:f>
        <x:v>-0.00035305643375342627</x:v>
      </x:c>
      <x:c r="S1041" s="240" t="n">
        <x:f>(K1041-K1040)^2</x:f>
        <x:v>0.00007465246123440015</x:v>
      </x:c>
      <x:c r="T1041" s="280" t="n">
        <x:f>E1041/$E$9*100</x:f>
        <x:v>177.87703137348282</x:v>
      </x:c>
    </x:row>
    <x:row r="1042" ht="24" customHeight="1">
      <x:c r="C1042" s="274" t="d">
        <x:v>2025-11-18T00:00:00.000Z</x:v>
      </x:c>
      <x:c r="D1042" s="191" t="n">
        <x:v>493.7900085449219</x:v>
      </x:c>
      <x:c r="E1042" s="191" t="n">
        <x:v>489.76043701171875</x:v>
      </x:c>
      <x:c r="F1042" s="191" t="n">
        <x:v>660.0800170898438</x:v>
      </x:c>
      <x:c r="G1042" s="191" t="n">
        <x:v>653.03466796875</x:v>
      </x:c>
      <x:c r="H1042" s="208" t="n">
        <x:f>E1042/E1041-1</x:f>
        <x:v>-0.026995476946809926</x:v>
      </x:c>
      <x:c r="I1042" s="208" t="n">
        <x:f>G1042/G1041-1</x:f>
        <x:v>-0.008397461039591714</x:v>
      </x:c>
      <x:c r="J1042" s="208" t="n">
        <x:f>'Beta HC3'!$E$13+'Beta HC3'!$E$12*I1042</x:f>
        <x:v>-0.00946162369634535</x:v>
      </x:c>
      <x:c r="K1042" s="240" t="n">
        <x:f>H1042-J1042</x:f>
        <x:v>-0.017533853250464575</x:v>
      </x:c>
      <x:c r="L1042" s="240" t="n">
        <x:f>I1042-'Beta HC3'!$E$9</x:f>
        <x:v>-0.008961408657252153</x:v>
      </x:c>
      <x:c r="M1042" s="240" t="n">
        <x:f>1/'Beta HC3'!$E$8+L1042^2/'Beta HC3'!$E$11</x:f>
        <x:v>0.0013459866963732169</x:v>
      </x:c>
      <x:c r="N1042" s="240" t="n">
        <x:f>K1042^2/(1-M1042)^2</x:f>
        <x:v>0.0003082652932981688</x:v>
      </x:c>
      <x:c r="O1042" s="240" t="n">
        <x:f>N1042*L1042^2/'Beta HC3'!$E$11^2</x:f>
        <x:v>0.0000011576890330805802</x:v>
      </x:c>
      <x:c r="P1042" s="240" t="n">
        <x:f>N1042*(1/'Beta HC3'!$E$8-'Beta HC3'!$E$9*L1042/'Beta HC3'!$E$11)^2</x:f>
        <x:v>2.1306695112386176e-10</x:v>
      </x:c>
      <x:c r="Q1042" s="240" t="n">
        <x:f>N1042*(1/'Beta HC3'!$E$8-'Beta HC3'!$E$9*L1042/'Beta HC3'!$E$11)*L1042/'Beta HC3'!$E$11</x:f>
        <x:v>-1.5705580938889548e-8</x:v>
      </x:c>
      <x:c r="R1042" s="240" t="n">
        <x:f>K1042*L1042/'Beta HC3'!$E$11</x:f>
        <x:v>0.0010745113598137233</x:v>
      </x:c>
      <x:c r="S1042" s="240" t="n">
        <x:f>(K1042-K1041)^2</x:f>
        <x:v>0.0005179800121397952</x:v>
      </x:c>
      <x:c r="T1042" s="280" t="n">
        <x:f>E1042/$E$9*100</x:f>
        <x:v>173.07515607367299</x:v>
      </x:c>
    </x:row>
    <x:row r="1043" ht="24" customHeight="1">
      <x:c r="C1043" s="274" t="d">
        <x:v>2025-11-19T00:00:00.000Z</x:v>
      </x:c>
      <x:c r="D1043" s="191" t="n">
        <x:v>487.1199951171875</x:v>
      </x:c>
      <x:c r="E1043" s="191" t="n">
        <x:v>483.14483642578125</x:v>
      </x:c>
      <x:c r="F1043" s="191" t="n">
        <x:v>662.6300048828125</x:v>
      </x:c>
      <x:c r="G1043" s="191" t="n">
        <x:v>655.557373046875</x:v>
      </x:c>
      <x:c r="H1043" s="208" t="n">
        <x:f>E1043/E1042-1</x:f>
        <x:v>-0.013507829718346964</x:v>
      </x:c>
      <x:c r="I1043" s="208" t="n">
        <x:f>G1043/G1042-1</x:f>
        <x:v>0.003863049240512506</x:v>
      </x:c>
      <x:c r="J1043" s="208" t="n">
        <x:f>'Beta HC3'!$E$13+'Beta HC3'!$E$12*I1043</x:f>
        <x:v>0.004365923663738442</x:v>
      </x:c>
      <x:c r="K1043" s="240" t="n">
        <x:f>H1043-J1043</x:f>
        <x:v>-0.017873753382085404</x:v>
      </x:c>
      <x:c r="L1043" s="240" t="n">
        <x:f>I1043-'Beta HC3'!$E$9</x:f>
        <x:v>0.003299101622852067</x:v>
      </x:c>
      <x:c r="M1043" s="240" t="n">
        <x:f>1/'Beta HC3'!$E$8+L1043^2/'Beta HC3'!$E$11</x:f>
        <x:v>0.0008712428739807049</x:v>
      </x:c>
      <x:c r="N1043" s="240" t="n">
        <x:f>K1043^2/(1-M1043)^2</x:f>
        <x:v>0.00032002846207558703</x:v>
      </x:c>
      <x:c r="O1043" s="240" t="n">
        <x:f>N1043*L1043^2/'Beta HC3'!$E$11^2</x:f>
        <x:v>1.628901090758244e-7</x:v>
      </x:c>
      <x:c r="P1043" s="240" t="n">
        <x:f>N1043*(1/'Beta HC3'!$E$8-'Beta HC3'!$E$9*L1043/'Beta HC3'!$E$11)^2</x:f>
        <x:v>1.967524197014245e-10</x:v>
      </x:c>
      <x:c r="Q1043" s="240" t="n">
        <x:f>N1043*(1/'Beta HC3'!$E$8-'Beta HC3'!$E$9*L1043/'Beta HC3'!$E$11)*L1043/'Beta HC3'!$E$11</x:f>
        <x:v>5.661185662570821e-9</x:v>
      </x:c>
      <x:c r="R1043" s="240" t="n">
        <x:f>K1043*L1043/'Beta HC3'!$E$11</x:f>
        <x:v>-0.0004032448375693325</x:v>
      </x:c>
      <x:c r="S1043" s="240" t="n">
        <x:f>(K1043-K1042)^2</x:f>
        <x:v>1.1553209947585717e-7</x:v>
      </x:c>
      <x:c r="T1043" s="280" t="n">
        <x:f>E1043/$E$9*100</x:f>
        <x:v>170.73728633695347</x:v>
      </x:c>
    </x:row>
    <x:row r="1044" ht="24" customHeight="1">
      <x:c r="C1044" s="274" t="d">
        <x:v>2025-11-20T00:00:00.000Z</x:v>
      </x:c>
      <x:c r="D1044" s="191" t="n">
        <x:v>478.42999267578125</x:v>
      </x:c>
      <x:c r="E1044" s="191" t="n">
        <x:v>475.41387939453125</x:v>
      </x:c>
      <x:c r="F1044" s="191" t="n">
        <x:v>652.530029296875</x:v>
      </x:c>
      <x:c r="G1044" s="191" t="n">
        <x:v>645.5652465820312</x:v>
      </x:c>
      <x:c r="H1044" s="208" t="n">
        <x:f>E1044/E1043-1</x:f>
        <x:v>-0.01600132392688336</x:v>
      </x:c>
      <x:c r="I1044" s="208" t="n">
        <x:f>G1044/G1043-1</x:f>
        <x:v>-0.015242184552669569</x:v>
      </x:c>
      <x:c r="J1044" s="208" t="n">
        <x:f>'Beta HC3'!$E$13+'Beta HC3'!$E$12*I1044</x:f>
        <x:v>-0.01718118319113651</x:v>
      </x:c>
      <x:c r="K1044" s="240" t="n">
        <x:f>H1044-J1044</x:f>
        <x:v>0.001179859264253149</x:v>
      </x:c>
      <x:c r="L1044" s="240" t="n">
        <x:f>I1044-'Beta HC3'!$E$9</x:f>
        <x:v>-0.015806132170330008</x:v>
      </x:c>
      <x:c r="M1044" s="240" t="n">
        <x:f>1/'Beta HC3'!$E$8+L1044^2/'Beta HC3'!$E$11</x:f>
        <x:v>0.0025052875585162117</x:v>
      </x:c>
      <x:c r="N1044" s="240" t="n">
        <x:f>K1044^2/(1-M1044)^2</x:f>
        <x:v>0.000001399069243773648</x:v>
      </x:c>
      <x:c r="O1044" s="240" t="n">
        <x:f>N1044*L1044^2/'Beta HC3'!$E$11^2</x:f>
        <x:v>1.6345761227151095e-8</x:v>
      </x:c>
      <x:c r="P1044" s="240" t="n">
        <x:f>N1044*(1/'Beta HC3'!$E$8-'Beta HC3'!$E$9*L1044/'Beta HC3'!$E$11)^2</x:f>
        <x:v>1.0293910751129487e-12</x:v>
      </x:c>
      <x:c r="Q1044" s="240" t="n">
        <x:f>N1044*(1/'Beta HC3'!$E$8-'Beta HC3'!$E$9*L1044/'Beta HC3'!$E$11)*L1044/'Beta HC3'!$E$11</x:f>
        <x:v>-1.2971576898417795e-10</x:v>
      </x:c>
      <x:c r="R1044" s="240" t="n">
        <x:f>K1044*L1044/'Beta HC3'!$E$11</x:f>
        <x:v>-0.00012753024016400147</x:v>
      </x:c>
      <x:c r="S1044" s="240" t="n">
        <x:f>(K1044-K1043)^2</x:f>
        <x:v>0.00036304015487671244</x:v>
      </x:c>
      <x:c r="T1044" s="280" t="n">
        <x:f>E1044/$E$9*100</x:f>
        <x:v>168.00526371187885</x:v>
      </x:c>
    </x:row>
    <x:row r="1045" ht="24" customHeight="1">
      <x:c r="C1045" s="274" t="d">
        <x:v>2025-11-21T00:00:00.000Z</x:v>
      </x:c>
      <x:c r="D1045" s="191" t="n">
        <x:v>472.1199951171875</x:v>
      </x:c>
      <x:c r="E1045" s="191" t="n">
        <x:v>469.1436462402344</x:v>
      </x:c>
      <x:c r="F1045" s="191" t="n">
        <x:v>659.030029296875</x:v>
      </x:c>
      <x:c r="G1045" s="191" t="n">
        <x:v>651.995849609375</x:v>
      </x:c>
      <x:c r="H1045" s="208" t="n">
        <x:f>E1045/E1044-1</x:f>
        <x:v>-0.01318899894610226</x:v>
      </x:c>
      <x:c r="I1045" s="208" t="n">
        <x:f>G1045/G1044-1</x:f>
        <x:v>0.00996119766575232</x:v>
      </x:c>
      <x:c r="J1045" s="208" t="n">
        <x:f>'Beta HC3'!$E$13+'Beta HC3'!$E$12*I1045</x:f>
        <x:v>0.011243487014071291</x:v>
      </x:c>
      <x:c r="K1045" s="240" t="n">
        <x:f>H1045-J1045</x:f>
        <x:v>-0.02443248596017355</x:v>
      </x:c>
      <x:c r="L1045" s="240" t="n">
        <x:f>I1045-'Beta HC3'!$E$9</x:f>
        <x:v>0.00939725004809188</x:v>
      </x:c>
      <x:c r="M1045" s="240" t="n">
        <x:f>1/'Beta HC3'!$E$8+L1045^2/'Beta HC3'!$E$11</x:f>
        <x:v>0.0014007042637575796</x:v>
      </x:c>
      <x:c r="N1045" s="240" t="n">
        <x:f>K1045^2/(1-M1045)^2</x:f>
        <x:v>0.000598622180996463</x:v>
      </x:c>
      <x:c r="O1045" s="240" t="n">
        <x:f>N1045*L1045^2/'Beta HC3'!$E$11^2</x:f>
        <x:v>0.000002472117413137919</x:v>
      </x:c>
      <x:c r="P1045" s="240" t="n">
        <x:f>N1045*(1/'Beta HC3'!$E$8-'Beta HC3'!$E$9*L1045/'Beta HC3'!$E$11)^2</x:f>
        <x:v>3.462848529794574e-10</x:v>
      </x:c>
      <x:c r="Q1045" s="240" t="n">
        <x:f>N1045*(1/'Beta HC3'!$E$8-'Beta HC3'!$E$9*L1045/'Beta HC3'!$E$11)*L1045/'Beta HC3'!$E$11</x:f>
        <x:v>2.9258448608161388e-8</x:v>
      </x:c>
      <x:c r="R1045" s="240" t="n">
        <x:f>K1045*L1045/'Beta HC3'!$E$11</x:f>
        <x:v>-0.0015700945361862627</x:v>
      </x:c>
      <x:c r="S1045" s="240" t="n">
        <x:f>(K1045-K1044)^2</x:f>
        <x:v>0.0006559922278952131</x:v>
      </x:c>
      <x:c r="T1045" s="280" t="n">
        <x:f>E1045/$E$9*100</x:f>
        <x:v>165.78944246584325</x:v>
      </x:c>
    </x:row>
    <x:row r="1046" ht="24" customHeight="1">
      <x:c r="C1046" s="274" t="d">
        <x:v>2025-11-24T00:00:00.000Z</x:v>
      </x:c>
      <x:c r="D1046" s="191" t="n">
        <x:v>474</x:v>
      </x:c>
      <x:c r="E1046" s="191" t="n">
        <x:v>471.0118103027344</x:v>
      </x:c>
      <x:c r="F1046" s="191" t="n">
        <x:v>668.72998046875</x:v>
      </x:c>
      <x:c r="G1046" s="191" t="n">
        <x:v>661.59228515625</x:v>
      </x:c>
      <x:c r="H1046" s="208" t="n">
        <x:f>E1046/E1045-1</x:f>
        <x:v>0.003982072607125131</x:v>
      </x:c>
      <x:c r="I1046" s="208" t="n">
        <x:f>G1046/G1045-1</x:f>
        <x:v>0.014718553120582678</x:v>
      </x:c>
      <x:c r="J1046" s="208" t="n">
        <x:f>'Beta HC3'!$E$13+'Beta HC3'!$E$12*I1046</x:f>
        <x:v>0.016608888319363503</x:v>
      </x:c>
      <x:c r="K1046" s="240" t="n">
        <x:f>H1046-J1046</x:f>
        <x:v>-0.012626815712238372</x:v>
      </x:c>
      <x:c r="L1046" s="240" t="n">
        <x:f>I1046-'Beta HC3'!$E$9</x:f>
        <x:v>0.01415460550292224</x:v>
      </x:c>
      <x:c r="M1046" s="240" t="n">
        <x:f>1/'Beta HC3'!$E$8+L1046^2/'Beta HC3'!$E$11</x:f>
        <x:v>0.002166914751476609</x:v>
      </x:c>
      <x:c r="N1046" s="240" t="n">
        <x:f>K1046^2/(1-M1046)^2</x:f>
        <x:v>0.00016012969794797005</x:v>
      </x:c>
      <x:c r="O1046" s="240" t="n">
        <x:f>N1046*L1046^2/'Beta HC3'!$E$11^2</x:f>
        <x:v>0.0000015003139484178056</x:v>
      </x:c>
      <x:c r="P1046" s="240" t="n">
        <x:f>N1046*(1/'Beta HC3'!$E$8-'Beta HC3'!$E$9*L1046/'Beta HC3'!$E$11)^2</x:f>
        <x:v>8.821516092762758e-11</x:v>
      </x:c>
      <x:c r="Q1046" s="240" t="n">
        <x:f>N1046*(1/'Beta HC3'!$E$8-'Beta HC3'!$E$9*L1046/'Beta HC3'!$E$11)*L1046/'Beta HC3'!$E$11</x:f>
        <x:v>1.150436597130155e-8</x:v>
      </x:c>
      <x:c r="R1046" s="240" t="n">
        <x:f>K1046*L1046/'Beta HC3'!$E$11</x:f>
        <x:v>-0.001222218838145576</x:v>
      </x:c>
      <x:c r="S1046" s="240" t="n">
        <x:f>(K1046-K1045)^2</x:f>
        <x:v>0.00013937385000298183</x:v>
      </x:c>
      <x:c r="T1046" s="280" t="n">
        <x:f>E1046/$E$9*100</x:f>
        <x:v>166.44962806323701</x:v>
      </x:c>
    </x:row>
    <x:row r="1047" ht="24" customHeight="1">
      <x:c r="C1047" s="274" t="d">
        <x:v>2025-11-25T00:00:00.000Z</x:v>
      </x:c>
      <x:c r="D1047" s="191" t="n">
        <x:v>476.989990234375</x:v>
      </x:c>
      <x:c r="E1047" s="191" t="n">
        <x:v>473.9829406738281</x:v>
      </x:c>
      <x:c r="F1047" s="191" t="n">
        <x:v>675.02001953125</x:v>
      </x:c>
      <x:c r="G1047" s="191" t="n">
        <x:v>667.815185546875</x:v>
      </x:c>
      <x:c r="H1047" s="208" t="n">
        <x:f>E1047/E1046-1</x:f>
        <x:v>0.006307974250548298</x:v>
      </x:c>
      <x:c r="I1047" s="208" t="n">
        <x:f>G1047/G1046-1</x:f>
        <x:v>0.009405944613086525</x:v>
      </x:c>
      <x:c r="J1047" s="208" t="n">
        <x:f>'Beta HC3'!$E$13+'Beta HC3'!$E$12*I1047</x:f>
        <x:v>0.01061726610587414</x:v>
      </x:c>
      <x:c r="K1047" s="240" t="n">
        <x:f>H1047-J1047</x:f>
        <x:v>-0.004309291855325841</x:v>
      </x:c>
      <x:c r="L1047" s="240" t="n">
        <x:f>I1047-'Beta HC3'!$E$9</x:f>
        <x:v>0.008841996995426087</x:v>
      </x:c>
      <x:c r="M1047" s="240" t="n">
        <x:f>1/'Beta HC3'!$E$8+L1047^2/'Beta HC3'!$E$11</x:f>
        <x:v>0.0013314486117931227</x:v>
      </x:c>
      <x:c r="N1047" s="240" t="n">
        <x:f>K1047^2/(1-M1047)^2</x:f>
        <x:v>0.000018619545221753632</x:v>
      </x:c>
      <x:c r="O1047" s="240" t="n">
        <x:f>N1047*L1047^2/'Beta HC3'!$E$11^2</x:f>
        <x:v>6.807450906915554e-8</x:v>
      </x:c>
      <x:c r="P1047" s="240" t="n">
        <x:f>N1047*(1/'Beta HC3'!$E$8-'Beta HC3'!$E$9*L1047/'Beta HC3'!$E$11)^2</x:f>
        <x:v>1.0831579365253561e-11</x:v>
      </x:c>
      <x:c r="Q1047" s="240" t="n">
        <x:f>N1047*(1/'Beta HC3'!$E$8-'Beta HC3'!$E$9*L1047/'Beta HC3'!$E$11)*L1047/'Beta HC3'!$E$11</x:f>
        <x:v>8.586934538781765e-10</x:v>
      </x:c>
      <x:c r="R1047" s="240" t="n">
        <x:f>K1047*L1047/'Beta HC3'!$E$11</x:f>
        <x:v>-0.0002605635322285378</x:v>
      </x:c>
      <x:c r="S1047" s="240" t="n">
        <x:f>(K1047-K1046)^2</x:f>
        <x:v>0.0000691812031103091</x:v>
      </x:c>
      <x:c r="T1047" s="280" t="n">
        <x:f>E1047/$E$9*100</x:f>
        <x:v>167.49958803107324</x:v>
      </x:c>
    </x:row>
    <x:row r="1048" ht="24" customHeight="1">
      <x:c r="C1048" s="274" t="d">
        <x:v>2025-11-26T00:00:00.000Z</x:v>
      </x:c>
      <x:c r="D1048" s="191" t="n">
        <x:v>485.5</x:v>
      </x:c>
      <x:c r="E1048" s="191" t="n">
        <x:v>482.4393310546875</x:v>
      </x:c>
      <x:c r="F1048" s="191" t="n">
        <x:v>679.6799926757812</x:v>
      </x:c>
      <x:c r="G1048" s="191" t="n">
        <x:v>672.4254760742188</x:v>
      </x:c>
      <x:c r="H1048" s="208" t="n">
        <x:f>E1048/E1047-1</x:f>
        <x:v>0.017841128140260842</x:v>
      </x:c>
      <x:c r="I1048" s="208" t="n">
        <x:f>G1048/G1047-1</x:f>
        <x:v>0.006903542517632921</x:v>
      </x:c>
      <x:c r="J1048" s="208" t="n">
        <x:f>'Beta HC3'!$E$13+'Beta HC3'!$E$12*I1048</x:f>
        <x:v>0.0077950276591588945</x:v>
      </x:c>
      <x:c r="K1048" s="240" t="n">
        <x:f>H1048-J1048</x:f>
        <x:v>0.010046100481101949</x:v>
      </x:c>
      <x:c r="L1048" s="240" t="n">
        <x:f>I1048-'Beta HC3'!$E$9</x:f>
        <x:v>0.0063395948999724816</x:v>
      </x:c>
      <x:c r="M1048" s="240" t="n">
        <x:f>1/'Beta HC3'!$E$8+L1048^2/'Beta HC3'!$E$11</x:f>
        <x:v>0.0010716530250845374</x:v>
      </x:c>
      <x:c r="N1048" s="240" t="n">
        <x:f>K1048^2/(1-M1048)^2</x:f>
        <x:v>0.00010114079439879587</x:v>
      </x:c>
      <x:c r="O1048" s="240" t="n">
        <x:f>N1048*L1048^2/'Beta HC3'!$E$11^2</x:f>
        <x:v>1.9009211290232163e-7</x:v>
      </x:c>
      <x:c r="P1048" s="240" t="n">
        <x:f>N1048*(1/'Beta HC3'!$E$8-'Beta HC3'!$E$9*L1048/'Beta HC3'!$E$11)^2</x:f>
        <x:v>6.033514261958308e-11</x:v>
      </x:c>
      <x:c r="Q1048" s="240" t="n">
        <x:f>N1048*(1/'Beta HC3'!$E$8-'Beta HC3'!$E$9*L1048/'Beta HC3'!$E$11)*L1048/'Beta HC3'!$E$11</x:f>
        <x:v>3.3866258640156083e-9</x:v>
      </x:c>
      <x:c r="R1048" s="240" t="n">
        <x:f>K1048*L1048/'Beta HC3'!$E$11</x:f>
        <x:v>0.00043552830635456294</x:v>
      </x:c>
      <x:c r="S1048" s="240" t="n">
        <x:f>(K1048-K1047)^2</x:f>
        <x:v>0.00020607728913276971</x:v>
      </x:c>
      <x:c r="T1048" s="280" t="n">
        <x:f>E1048/$E$9*100</x:f>
        <x:v>170.4879696445765</x:v>
      </x:c>
    </x:row>
    <x:row r="1049" ht="24" customHeight="1">
      <x:c r="C1049" s="274" t="d">
        <x:v>2025-11-28T00:00:00.000Z</x:v>
      </x:c>
      <x:c r="D1049" s="191" t="n">
        <x:v>492.010009765625</x:v>
      </x:c>
      <x:c r="E1049" s="191" t="n">
        <x:v>488.9082946777344</x:v>
      </x:c>
      <x:c r="F1049" s="191" t="n">
        <x:v>683.3900146484375</x:v>
      </x:c>
      <x:c r="G1049" s="191" t="n">
        <x:v>676.0958251953125</x:v>
      </x:c>
      <x:c r="H1049" s="208" t="n">
        <x:f>E1049/E1048-1</x:f>
        <x:v>0.01340886450717993</x:v>
      </x:c>
      <x:c r="I1049" s="208" t="n">
        <x:f>G1049/G1048-1</x:f>
        <x:v>0.005458373086222323</x:v>
      </x:c>
      <x:c r="J1049" s="208" t="n">
        <x:f>'Beta HC3'!$E$13+'Beta HC3'!$E$12*I1049</x:f>
        <x:v>0.006165148616636242</x:v>
      </x:c>
      <x:c r="K1049" s="240" t="n">
        <x:f>H1049-J1049</x:f>
        <x:v>0.007243715890543688</x:v>
      </x:c>
      <x:c r="L1049" s="240" t="n">
        <x:f>I1049-'Beta HC3'!$E$9</x:f>
        <x:v>0.004894425468561884</x:v>
      </x:c>
      <x:c r="M1049" s="240" t="n">
        <x:f>1/'Beta HC3'!$E$8+L1049^2/'Beta HC3'!$E$11</x:f>
        <x:v>0.000960630440076844</x:v>
      </x:c>
      <x:c r="N1049" s="240" t="n">
        <x:f>K1049^2/(1-M1049)^2</x:f>
        <x:v>0.0000525723766391695</x:v>
      </x:c>
      <x:c r="O1049" s="240" t="n">
        <x:f>N1049*L1049^2/'Beta HC3'!$E$11^2</x:f>
        <x:v>5.889464014190743e-8</x:v>
      </x:c>
      <x:c r="P1049" s="240" t="n">
        <x:f>N1049*(1/'Beta HC3'!$E$8-'Beta HC3'!$E$9*L1049/'Beta HC3'!$E$11)^2</x:f>
        <x:v>3.181608762755854e-11</x:v>
      </x:c>
      <x:c r="Q1049" s="240" t="n">
        <x:f>N1049*(1/'Beta HC3'!$E$8-'Beta HC3'!$E$9*L1049/'Beta HC3'!$E$11)*L1049/'Beta HC3'!$E$11</x:f>
        <x:v>1.3688670613132797e-9</x:v>
      </x:c>
      <x:c r="R1049" s="240" t="n">
        <x:f>K1049*L1049/'Beta HC3'!$E$11</x:f>
        <x:v>0.0002424490513950602</x:v>
      </x:c>
      <x:c r="S1049" s="240" t="n">
        <x:f>(K1049-K1048)^2</x:f>
        <x:v>0.000007853359393398392</x:v>
      </x:c>
      <x:c r="T1049" s="280" t="n">
        <x:f>E1049/$E$9*100</x:f>
        <x:v>172.77401972964486</x:v>
      </x:c>
    </x:row>
    <x:row r="1050" ht="24" customHeight="1">
      <x:c r="C1050" s="274" t="d">
        <x:v>2025-12-01T00:00:00.000Z</x:v>
      </x:c>
      <x:c r="D1050" s="191" t="n">
        <x:v>486.739990234375</x:v>
      </x:c>
      <x:c r="E1050" s="191" t="n">
        <x:v>483.6714782714844</x:v>
      </x:c>
      <x:c r="F1050" s="191" t="n">
        <x:v>680.27001953125</x:v>
      </x:c>
      <x:c r="G1050" s="191" t="n">
        <x:v>673.0091552734375</x:v>
      </x:c>
      <x:c r="H1050" s="208" t="n">
        <x:f>E1050/E1049-1</x:f>
        <x:v>-0.010711244753378257</x:v>
      </x:c>
      <x:c r="I1050" s="208" t="n">
        <x:f>G1050/G1049-1</x:f>
        <x:v>-0.0045654326011898005</x:v>
      </x:c>
      <x:c r="J1050" s="208" t="n">
        <x:f>'Beta HC3'!$E$13+'Beta HC3'!$E$12*I1050</x:f>
        <x:v>-0.005139817058070587</x:v>
      </x:c>
      <x:c r="K1050" s="240" t="n">
        <x:f>H1050-J1050</x:f>
        <x:v>-0.00557142769530767</x:v>
      </x:c>
      <x:c r="L1050" s="240" t="n">
        <x:f>I1050-'Beta HC3'!$E$9</x:f>
        <x:v>-0.00512938021885024</x:v>
      </x:c>
      <x:c r="M1050" s="240" t="n">
        <x:f>1/'Beta HC3'!$E$8+L1050^2/'Beta HC3'!$E$11</x:f>
        <x:v>0.0009767359407602783</x:v>
      </x:c>
      <x:c r="N1050" s="240" t="n">
        <x:f>K1050^2/(1-M1050)^2</x:f>
        <x:v>0.00003110153286269108</x:v>
      </x:c>
      <x:c r="O1050" s="240" t="n">
        <x:f>N1050*L1050^2/'Beta HC3'!$E$11^2</x:f>
        <x:v>3.826716616417109e-8</x:v>
      </x:c>
      <x:c r="P1050" s="240" t="n">
        <x:f>N1050*(1/'Beta HC3'!$E$8-'Beta HC3'!$E$9*L1050/'Beta HC3'!$E$11)^2</x:f>
        <x:v>2.073932012701486e-11</x:v>
      </x:c>
      <x:c r="Q1050" s="240" t="n">
        <x:f>N1050*(1/'Beta HC3'!$E$8-'Beta HC3'!$E$9*L1050/'Beta HC3'!$E$11)*L1050/'Beta HC3'!$E$11</x:f>
        <x:v>-8.908619474601077e-10</x:v>
      </x:c>
      <x:c r="R1050" s="240" t="n">
        <x:f>K1050*L1050/'Beta HC3'!$E$11</x:f>
        <x:v>0.00019542888435045022</x:v>
      </x:c>
      <x:c r="S1050" s="240" t="n">
        <x:f>(K1050-K1049)^2</x:f>
        <x:v>0.0001642279051259872</x:v>
      </x:c>
      <x:c r="T1050" s="280" t="n">
        <x:f>E1050/$E$9*100</x:f>
        <x:v>170.9233949172956</x:v>
      </x:c>
    </x:row>
    <x:row r="1051" ht="24" customHeight="1">
      <x:c r="C1051" s="274" t="d">
        <x:v>2025-12-02T00:00:00.000Z</x:v>
      </x:c>
      <x:c r="D1051" s="191" t="n">
        <x:v>490</x:v>
      </x:c>
      <x:c r="E1051" s="191" t="n">
        <x:v>486.91094970703125</x:v>
      </x:c>
      <x:c r="F1051" s="191" t="n">
        <x:v>681.530029296875</x:v>
      </x:c>
      <x:c r="G1051" s="191" t="n">
        <x:v>674.2556762695312</x:v>
      </x:c>
      <x:c r="H1051" s="208" t="n">
        <x:f>E1051/E1050-1</x:f>
        <x:v>0.006697668936617607</x:v>
      </x:c>
      <x:c r="I1051" s="208" t="n">
        <x:f>G1051/G1050-1</x:f>
        <x:v>0.0018521605335179991</x:v>
      </x:c>
      <x:c r="J1051" s="208" t="n">
        <x:f>'Beta HC3'!$E$13+'Beta HC3'!$E$12*I1051</x:f>
        <x:v>0.0020980197839997722</x:v>
      </x:c>
      <x:c r="K1051" s="240" t="n">
        <x:f>H1051-J1051</x:f>
        <x:v>0.004599649152617834</x:v>
      </x:c>
      <x:c r="L1051" s="240" t="n">
        <x:f>I1051-'Beta HC3'!$E$9</x:f>
        <x:v>0.0012882129158575599</x:v>
      </x:c>
      <x:c r="M1051" s="240" t="n">
        <x:f>1/'Beta HC3'!$E$8+L1051^2/'Beta HC3'!$E$11</x:f>
        <x:v>0.0008081610973866601</x:v>
      </x:c>
      <x:c r="N1051" s="240" t="n">
        <x:f>K1051^2/(1-M1051)^2</x:f>
        <x:v>0.000021191009986584118</x:v>
      </x:c>
      <x:c r="O1051" s="240" t="n">
        <x:f>N1051*L1051^2/'Beta HC3'!$E$11^2</x:f>
        <x:v>1.644529533735429e-9</x:v>
      </x:c>
      <x:c r="P1051" s="240" t="n">
        <x:f>N1051*(1/'Beta HC3'!$E$8-'Beta HC3'!$E$9*L1051/'Beta HC3'!$E$11)^2</x:f>
        <x:v>1.328714611649077e-11</x:v>
      </x:c>
      <x:c r="Q1051" s="240" t="n">
        <x:f>N1051*(1/'Beta HC3'!$E$8-'Beta HC3'!$E$9*L1051/'Beta HC3'!$E$11)*L1051/'Beta HC3'!$E$11</x:f>
        <x:v>1.4782118998177182e-10</x:v>
      </x:c>
      <x:c r="R1051" s="240" t="n">
        <x:f>K1051*L1051/'Beta HC3'!$E$11</x:f>
        <x:v>0.00004052002613810103</x:v>
      </x:c>
      <x:c r="S1051" s="240" t="n">
        <x:f>(K1051-K1050)^2</x:f>
        <x:v>0.00010345080424640623</x:v>
      </x:c>
      <x:c r="T1051" s="280" t="n">
        <x:f>E1051/$E$9*100</x:f>
        <x:v>172.06818322997444</x:v>
      </x:c>
    </x:row>
    <x:row r="1052" ht="24" customHeight="1">
      <x:c r="C1052" s="274" t="d">
        <x:v>2025-12-03T00:00:00.000Z</x:v>
      </x:c>
      <x:c r="D1052" s="191" t="n">
        <x:v>477.7300109863281</x:v>
      </x:c>
      <x:c r="E1052" s="191" t="n">
        <x:v>474.7182922363281</x:v>
      </x:c>
      <x:c r="F1052" s="191" t="n">
        <x:v>683.8900146484375</x:v>
      </x:c>
      <x:c r="G1052" s="191" t="n">
        <x:v>676.5905151367188</x:v>
      </x:c>
      <x:c r="H1052" s="208" t="n">
        <x:f>E1052/E1051-1</x:f>
        <x:v>-0.025040836477469464</x:v>
      </x:c>
      <x:c r="I1052" s="208" t="n">
        <x:f>G1052/G1051-1</x:f>
        <x:v>0.0034628390228845785</x:v>
      </x:c>
      <x:c r="J1052" s="208" t="n">
        <x:f>'Beta HC3'!$E$13+'Beta HC3'!$E$12*I1052</x:f>
        <x:v>0.003914561884186754</x:v>
      </x:c>
      <x:c r="K1052" s="240" t="n">
        <x:f>H1052-J1052</x:f>
        <x:v>-0.02895539836165622</x:v>
      </x:c>
      <x:c r="L1052" s="240" t="n">
        <x:f>I1052-'Beta HC3'!$E$9</x:f>
        <x:v>0.002898891405224139</x:v>
      </x:c>
      <x:c r="M1052" s="240" t="n">
        <x:f>1/'Beta HC3'!$E$8+L1052^2/'Beta HC3'!$E$11</x:f>
        <x:v>0.0008542801100904875</x:v>
      </x:c>
      <x:c r="N1052" s="240" t="n">
        <x:f>K1052^2/(1-M1052)^2</x:f>
        <x:v>0.0008398494146655544</x:v>
      </x:c>
      <x:c r="O1052" s="240" t="n">
        <x:f>N1052*L1052^2/'Beta HC3'!$E$11^2</x:f>
        <x:v>3.300502301843757e-7</x:v>
      </x:c>
      <x:c r="P1052" s="240" t="n">
        <x:f>N1052*(1/'Beta HC3'!$E$8-'Beta HC3'!$E$9*L1052/'Beta HC3'!$E$11)^2</x:f>
        <x:v>5.183713279817788e-10</x:v>
      </x:c>
      <x:c r="Q1052" s="240" t="n">
        <x:f>N1052*(1/'Beta HC3'!$E$8-'Beta HC3'!$E$9*L1052/'Beta HC3'!$E$11)*L1052/'Beta HC3'!$E$11</x:f>
        <x:v>1.3080083184803017e-8</x:v>
      </x:c>
      <x:c r="R1052" s="240" t="n">
        <x:f>K1052*L1052/'Beta HC3'!$E$11</x:f>
        <x:v>-0.0005740091988455115</x:v>
      </x:c>
      <x:c r="S1052" s="240" t="n">
        <x:f>(K1052-K1051)^2</x:f>
        <x:v>0.0011259412136851892</x:v>
      </x:c>
      <x:c r="T1052" s="280" t="n">
        <x:f>E1052/$E$9*100</x:f>
        <x:v>167.75945199073738</x:v>
      </x:c>
    </x:row>
    <x:row r="1053" ht="24" customHeight="1">
      <x:c r="C1053" s="274" t="d">
        <x:v>2025-12-04T00:00:00.000Z</x:v>
      </x:c>
      <x:c r="D1053" s="191" t="n">
        <x:v>480.8399963378906</x:v>
      </x:c>
      <x:c r="E1053" s="191" t="n">
        <x:v>477.8087158203125</x:v>
      </x:c>
      <x:c r="F1053" s="191" t="n">
        <x:v>684.3900146484375</x:v>
      </x:c>
      <x:c r="G1053" s="191" t="n">
        <x:v>677.085205078125</x:v>
      </x:c>
      <x:c r="H1053" s="208" t="n">
        <x:f>E1053/E1052-1</x:f>
        <x:v>0.006510015802057678</x:v>
      </x:c>
      <x:c r="I1053" s="208" t="n">
        <x:f>G1053/G1052-1</x:f>
        <x:v>0.000731151162097321</x:v>
      </x:c>
      <x:c r="J1053" s="208" t="n">
        <x:f>'Beta HC3'!$E$13+'Beta HC3'!$E$12*I1053</x:f>
        <x:v>0.0008337322608637102</x:v>
      </x:c>
      <x:c r="K1053" s="240" t="n">
        <x:f>H1053-J1053</x:f>
        <x:v>0.005676283541193968</x:v>
      </x:c>
      <x:c r="L1053" s="240" t="n">
        <x:f>I1053-'Beta HC3'!$E$9</x:f>
        <x:v>0.00016720354443688164</x:v>
      </x:c>
      <x:c r="M1053" s="240" t="n">
        <x:f>1/'Beta HC3'!$E$8+L1053^2/'Beta HC3'!$E$11</x:f>
        <x:v>0.0007970039315850217</x:v>
      </x:c>
      <x:c r="N1053" s="240" t="n">
        <x:f>K1053^2/(1-M1053)^2</x:f>
        <x:v>0.00003227161554954983</x:v>
      </x:c>
      <x:c r="O1053" s="240" t="n">
        <x:f>N1053*L1053^2/'Beta HC3'!$E$11^2</x:f>
        <x:v>4.219163826865841e-11</x:v>
      </x:c>
      <x:c r="P1053" s="240" t="n">
        <x:f>N1053*(1/'Beta HC3'!$E$8-'Beta HC3'!$E$9*L1053/'Beta HC3'!$E$11)^2</x:f>
        <x:v>2.045644022066021e-11</x:v>
      </x:c>
      <x:c r="Q1053" s="240" t="n">
        <x:f>N1053*(1/'Beta HC3'!$E$8-'Beta HC3'!$E$9*L1053/'Beta HC3'!$E$11)*L1053/'Beta HC3'!$E$11</x:f>
        <x:v>2.937840577796097e-11</x:v>
      </x:c>
      <x:c r="R1053" s="240" t="n">
        <x:f>K1053*L1053/'Beta HC3'!$E$11</x:f>
        <x:v>0.0000064903321383632525</x:v>
      </x:c>
      <x:c r="S1053" s="240" t="n">
        <x:f>(K1053-K1052)^2</x:f>
        <x:v>0.0011993533914202012</x:v>
      </x:c>
      <x:c r="T1053" s="280" t="n">
        <x:f>E1053/$E$9*100</x:f>
        <x:v>168.85156867414165</x:v>
      </x:c>
    </x:row>
    <x:row r="1054" ht="24" customHeight="1">
      <x:c r="C1054" s="274" t="d">
        <x:v>2025-12-05T00:00:00.000Z</x:v>
      </x:c>
      <x:c r="D1054" s="191" t="n">
        <x:v>483.1600036621094</x:v>
      </x:c>
      <x:c r="E1054" s="191" t="n">
        <x:v>480.11407470703125</x:v>
      </x:c>
      <x:c r="F1054" s="191" t="n">
        <x:v>685.6900024414062</x:v>
      </x:c>
      <x:c r="G1054" s="191" t="n">
        <x:v>678.3712768554688</x:v>
      </x:c>
      <x:c r="H1054" s="208" t="n">
        <x:f>E1054/E1053-1</x:f>
        <x:v>0.004824857333882715</x:v>
      </x:c>
      <x:c r="I1054" s="208" t="n">
        <x:f>G1054/G1053-1</x:f>
        <x:v>0.0018994238357272764</x:v>
      </x:c>
      <x:c r="J1054" s="208" t="n">
        <x:f>'Beta HC3'!$E$13+'Beta HC3'!$E$12*I1054</x:f>
        <x:v>0.002151323890824205</x:v>
      </x:c>
      <x:c r="K1054" s="240" t="n">
        <x:f>H1054-J1054</x:f>
        <x:v>0.00267353344305851</x:v>
      </x:c>
      <x:c r="L1054" s="240" t="n">
        <x:f>I1054-'Beta HC3'!$E$9</x:f>
        <x:v>0.001335476218066837</x:v>
      </x:c>
      <x:c r="M1054" s="240" t="n">
        <x:f>1/'Beta HC3'!$E$8+L1054^2/'Beta HC3'!$E$11</x:f>
        <x:v>0.0008090090933791851</x:v>
      </x:c>
      <x:c r="N1054" s="240" t="n">
        <x:f>K1054^2/(1-M1054)^2</x:f>
        <x:v>0.000007159360360650717</x:v>
      </x:c>
      <x:c r="O1054" s="240" t="n">
        <x:f>N1054*L1054^2/'Beta HC3'!$E$11^2</x:f>
        <x:v>5.971195120257578e-10</x:v>
      </x:c>
      <x:c r="P1054" s="240" t="n">
        <x:f>N1054*(1/'Beta HC3'!$E$8-'Beta HC3'!$E$9*L1054/'Beta HC3'!$E$11)^2</x:f>
        <x:v>4.486981892991105e-12</x:v>
      </x:c>
      <x:c r="Q1054" s="240" t="n">
        <x:f>N1054*(1/'Beta HC3'!$E$8-'Beta HC3'!$E$9*L1054/'Beta HC3'!$E$11)*L1054/'Beta HC3'!$E$11</x:f>
        <x:v>5.176161162880518e-11</x:v>
      </x:c>
      <x:c r="R1054" s="240" t="n">
        <x:f>K1054*L1054/'Beta HC3'!$E$11</x:f>
        <x:v>0.00002441626000450914</x:v>
      </x:c>
      <x:c r="S1054" s="240" t="n">
        <x:f>(K1054-K1053)^2</x:f>
        <x:v>0.000009016508151852502</x:v>
      </x:c>
      <x:c r="T1054" s="280" t="n">
        <x:f>E1054/$E$9*100</x:f>
        <x:v>169.6662534035967</x:v>
      </x:c>
    </x:row>
    <x:row r="1055" ht="24" customHeight="1">
      <x:c r="C1055" s="274" t="d">
        <x:v>2025-12-08T00:00:00.000Z</x:v>
      </x:c>
      <x:c r="D1055" s="191" t="n">
        <x:v>491.0199890136719</x:v>
      </x:c>
      <x:c r="E1055" s="191" t="n">
        <x:v>487.9245300292969</x:v>
      </x:c>
      <x:c r="F1055" s="191" t="n">
        <x:v>683.6300048828125</x:v>
      </x:c>
      <x:c r="G1055" s="191" t="n">
        <x:v>676.3333129882812</x:v>
      </x:c>
      <x:c r="H1055" s="208" t="n">
        <x:f>E1055/E1054-1</x:f>
        <x:v>0.016267915759461182</x:v>
      </x:c>
      <x:c r="I1055" s="208" t="n">
        <x:f>G1055/G1054-1</x:f>
        <x:v>-0.0030042012931831286</x:v>
      </x:c>
      <x:c r="J1055" s="208" t="n">
        <x:f>'Beta HC3'!$E$13+'Beta HC3'!$E$12*I1055</x:f>
        <x:v>-0.003379042069239999</x:v>
      </x:c>
      <x:c r="K1055" s="240" t="n">
        <x:f>H1055-J1055</x:f>
        <x:v>0.01964695782870118</x:v>
      </x:c>
      <x:c r="L1055" s="240" t="n">
        <x:f>I1055-'Beta HC3'!$E$9</x:f>
        <x:v>-0.003568148910843568</x:v>
      </x:c>
      <x:c r="M1055" s="240" t="n">
        <x:f>1/'Beta HC3'!$E$8+L1055^2/'Beta HC3'!$E$11</x:f>
        <x:v>0.0008838776885315887</x:v>
      </x:c>
      <x:c r="N1055" s="240" t="n">
        <x:f>K1055^2/(1-M1055)^2</x:f>
        <x:v>0.00038668621646650733</x:v>
      </x:c>
      <x:c r="O1055" s="240" t="n">
        <x:f>N1055*L1055^2/'Beta HC3'!$E$11^2</x:f>
        <x:v>2.3022864417387283e-7</x:v>
      </x:c>
      <x:c r="P1055" s="240" t="n">
        <x:f>N1055*(1/'Beta HC3'!$E$8-'Beta HC3'!$E$9*L1055/'Beta HC3'!$E$11)^2</x:f>
        <x:v>2.540641520292032e-10</x:v>
      </x:c>
      <x:c r="Q1055" s="240" t="n">
        <x:f>N1055*(1/'Beta HC3'!$E$8-'Beta HC3'!$E$9*L1055/'Beta HC3'!$E$11)*L1055/'Beta HC3'!$E$11</x:f>
        <x:v>-7.648061535766312e-9</x:v>
      </x:c>
      <x:c r="R1055" s="240" t="n">
        <x:f>K1055*L1055/'Beta HC3'!$E$11</x:f>
        <x:v>-0.00047939736765438453</x:v>
      </x:c>
      <x:c r="S1055" s="240" t="n">
        <x:f>(K1055-K1054)^2</x:f>
        <x:v>0.0002880971353751293</x:v>
      </x:c>
      <x:c r="T1055" s="280" t="n">
        <x:f>E1055/$E$9*100</x:f>
        <x:v>172.4263697211898</x:v>
      </x:c>
    </x:row>
    <x:row r="1056" ht="24" customHeight="1">
      <x:c r="C1056" s="274" t="d">
        <x:v>2025-12-09T00:00:00.000Z</x:v>
      </x:c>
      <x:c r="D1056" s="191" t="n">
        <x:v>492.0199890136719</x:v>
      </x:c>
      <x:c r="E1056" s="191" t="n">
        <x:v>488.9181823730469</x:v>
      </x:c>
      <x:c r="F1056" s="191" t="n">
        <x:v>683.0399780273438</x:v>
      </x:c>
      <x:c r="G1056" s="191" t="n">
        <x:v>675.7495727539062</x:v>
      </x:c>
      <x:c r="H1056" s="208" t="n">
        <x:f>E1056/E1055-1</x:f>
        <x:v>0.002036487781605034</x:v>
      </x:c>
      <x:c r="I1056" s="208" t="n">
        <x:f>G1056/G1055-1</x:f>
        <x:v>-0.0008630954932499213</x:v>
      </x:c>
      <x:c r="J1056" s="208" t="n">
        <x:f>'Beta HC3'!$E$13+'Beta HC3'!$E$12*I1056</x:f>
        <x:v>-0.000964277824103307</x:v>
      </x:c>
      <x:c r="K1056" s="240" t="n">
        <x:f>H1056-J1056</x:f>
        <x:v>0.003000765605708341</x:v>
      </x:c>
      <x:c r="L1056" s="240" t="n">
        <x:f>I1056-'Beta HC3'!$E$9</x:f>
        <x:v>-0.0014270431109103606</x:v>
      </x:c>
      <x:c r="M1056" s="240" t="n">
        <x:f>1/'Beta HC3'!$E$8+L1056^2/'Beta HC3'!$E$11</x:f>
        <x:v>0.0008107389143756905</x:v>
      </x:c>
      <x:c r="N1056" s="240" t="n">
        <x:f>K1056^2/(1-M1056)^2</x:f>
        <x:v>0.000009019212745595144</x:v>
      </x:c>
      <x:c r="O1056" s="240" t="n">
        <x:f>N1056*L1056^2/'Beta HC3'!$E$11^2</x:f>
        <x:v>8.589295431333473e-10</x:v>
      </x:c>
      <x:c r="P1056" s="240" t="n">
        <x:f>N1056*(1/'Beta HC3'!$E$8-'Beta HC3'!$E$9*L1056/'Beta HC3'!$E$11)^2</x:f>
        <x:v>5.805768678916087e-12</x:v>
      </x:c>
      <x:c r="Q1056" s="240" t="n">
        <x:f>N1056*(1/'Beta HC3'!$E$8-'Beta HC3'!$E$9*L1056/'Beta HC3'!$E$11)*L1056/'Beta HC3'!$E$11</x:f>
        <x:v>-7.061689768688009e-11</x:v>
      </x:c>
      <x:c r="R1056" s="240" t="n">
        <x:f>K1056*L1056/'Beta HC3'!$E$11</x:f>
        <x:v>-0.000029283739045671975</x:v>
      </x:c>
      <x:c r="S1056" s="240" t="n">
        <x:f>(K1056-K1055)^2</x:f>
        <x:v>0.0002770957155248273</x:v>
      </x:c>
      <x:c r="T1056" s="280" t="n">
        <x:f>E1056/$E$9*100</x:f>
        <x:v>172.77751391635348</x:v>
      </x:c>
    </x:row>
    <x:row r="1057" ht="24" customHeight="1">
      <x:c r="C1057" s="274" t="d">
        <x:v>2025-12-10T00:00:00.000Z</x:v>
      </x:c>
      <x:c r="D1057" s="191" t="n">
        <x:v>478.55999755859375</x:v>
      </x:c>
      <x:c r="E1057" s="191" t="n">
        <x:v>475.5430908203125</x:v>
      </x:c>
      <x:c r="F1057" s="191" t="n">
        <x:v>687.5700073242188</x:v>
      </x:c>
      <x:c r="G1057" s="191" t="n">
        <x:v>680.231201171875</x:v>
      </x:c>
      <x:c r="H1057" s="208" t="n">
        <x:f>E1057/E1056-1</x:f>
        <x:v>-0.02735650265207179</x:v>
      </x:c>
      <x:c r="I1057" s="208" t="n">
        <x:f>G1057/G1056-1</x:f>
        <x:v>0.006632084722901999</x:v>
      </x:c>
      <x:c r="J1057" s="208" t="n">
        <x:f>'Beta HC3'!$E$13+'Beta HC3'!$E$12*I1057</x:f>
        <x:v>0.0074888743729456045</x:v>
      </x:c>
      <x:c r="K1057" s="240" t="n">
        <x:f>H1057-J1057</x:f>
        <x:v>-0.034845377025017395</x:v>
      </x:c>
      <x:c r="L1057" s="240" t="n">
        <x:f>I1057-'Beta HC3'!$E$9</x:f>
        <x:v>0.006068137105241559</x:v>
      </x:c>
      <x:c r="M1057" s="240" t="n">
        <x:f>1/'Beta HC3'!$E$8+L1057^2/'Beta HC3'!$E$11</x:f>
        <x:v>0.0010486199415515427</x:v>
      </x:c>
      <x:c r="N1057" s="240" t="n">
        <x:f>K1057^2/(1-M1057)^2</x:f>
        <x:v>0.0012167507803361685</x:v>
      </x:c>
      <x:c r="O1057" s="240" t="n">
        <x:f>N1057*L1057^2/'Beta HC3'!$E$11^2</x:f>
        <x:v>0.000002095207914133039</x:v>
      </x:c>
      <x:c r="P1057" s="240" t="n">
        <x:f>N1057*(1/'Beta HC3'!$E$8-'Beta HC3'!$E$9*L1057/'Beta HC3'!$E$11)^2</x:f>
        <x:v>7.27816889221452e-10</x:v>
      </x:c>
      <x:c r="Q1057" s="240" t="n">
        <x:f>N1057*(1/'Beta HC3'!$E$8-'Beta HC3'!$E$9*L1057/'Beta HC3'!$E$11)*L1057/'Beta HC3'!$E$11</x:f>
        <x:v>3.9050322743051374e-8</x:v>
      </x:c>
      <x:c r="R1057" s="240" t="n">
        <x:f>K1057*L1057/'Beta HC3'!$E$11</x:f>
        <x:v>-0.0014459654437194104</x:v>
      </x:c>
      <x:c r="S1057" s="240" t="n">
        <x:f>(K1057-K1056)^2</x:f>
        <x:v>0.001432330512025236</x:v>
      </x:c>
      <x:c r="T1057" s="280" t="n">
        <x:f>E1057/$E$9*100</x:f>
        <x:v>168.05092539868238</x:v>
      </x:c>
    </x:row>
    <x:row r="1058" ht="24" customHeight="1">
      <x:c r="C1058" s="274" t="d">
        <x:v>2025-12-11T00:00:00.000Z</x:v>
      </x:c>
      <x:c r="D1058" s="191" t="n">
        <x:v>483.4700012207031</x:v>
      </x:c>
      <x:c r="E1058" s="191" t="n">
        <x:v>480.422119140625</x:v>
      </x:c>
      <x:c r="F1058" s="191" t="n">
        <x:v>689.1699829101562</x:v>
      </x:c>
      <x:c r="G1058" s="191" t="n">
        <x:v>681.8141479492188</x:v>
      </x:c>
      <x:c r="H1058" s="208" t="n">
        <x:f>E1058/E1057-1</x:f>
        <x:v>0.010259907912648192</x:v>
      </x:c>
      <x:c r="I1058" s="208" t="n">
        <x:f>G1058/G1057-1</x:f>
        <x:v>0.002327071699470329</x:v>
      </x:c>
      <x:c r="J1058" s="208" t="n">
        <x:f>'Beta HC3'!$E$13+'Beta HC3'!$E$12*I1058</x:f>
        <x:v>0.0026336301696209025</x:v>
      </x:c>
      <x:c r="K1058" s="240" t="n">
        <x:f>H1058-J1058</x:f>
        <x:v>0.00762627774302729</x:v>
      </x:c>
      <x:c r="L1058" s="240" t="n">
        <x:f>I1058-'Beta HC3'!$E$9</x:f>
        <x:v>0.0017631240818098896</x:v>
      </x:c>
      <x:c r="M1058" s="240" t="n">
        <x:f>1/'Beta HC3'!$E$8+L1058^2/'Beta HC3'!$E$11</x:f>
        <x:v>0.0008180707839214587</x:v>
      </x:c>
      <x:c r="N1058" s="240" t="n">
        <x:f>K1058^2/(1-M1058)^2</x:f>
        <x:v>0.00005825538728766138</x:v>
      </x:c>
      <x:c r="O1058" s="240" t="n">
        <x:f>N1058*L1058^2/'Beta HC3'!$E$11^2</x:f>
        <x:v>8.468696545983374e-9</x:v>
      </x:c>
      <x:c r="P1058" s="240" t="n">
        <x:f>N1058*(1/'Beta HC3'!$E$8-'Beta HC3'!$E$9*L1058/'Beta HC3'!$E$11)^2</x:f>
        <x:v>3.635840378021766e-11</x:v>
      </x:c>
      <x:c r="Q1058" s="240" t="n">
        <x:f>N1058*(1/'Beta HC3'!$E$8-'Beta HC3'!$E$9*L1058/'Beta HC3'!$E$11)*L1058/'Beta HC3'!$E$11</x:f>
        <x:v>5.548948445525496e-10</x:v>
      </x:c>
      <x:c r="R1058" s="240" t="n">
        <x:f>K1058*L1058/'Beta HC3'!$E$11</x:f>
        <x:v>0.00009195023777635318</x:v>
      </x:c>
      <x:c r="S1058" s="240" t="n">
        <x:f>(K1058-K1057)^2</x:f>
        <x:v>0.0018038414587359724</x:v>
      </x:c>
      <x:c r="T1058" s="280" t="n">
        <x:f>E1058/$E$9*100</x:f>
        <x:v>169.7751124179082</x:v>
      </x:c>
    </x:row>
    <x:row r="1059" ht="24" customHeight="1">
      <x:c r="C1059" s="274" t="d">
        <x:v>2025-12-12T00:00:00.000Z</x:v>
      </x:c>
      <x:c r="D1059" s="191" t="n">
        <x:v>478.5299987792969</x:v>
      </x:c>
      <x:c r="E1059" s="191" t="n">
        <x:v>475.51324462890625</x:v>
      </x:c>
      <x:c r="F1059" s="191" t="n">
        <x:v>681.760009765625</x:v>
      </x:c>
      <x:c r="G1059" s="191" t="n">
        <x:v>674.4832763671875</x:v>
      </x:c>
      <x:c r="H1059" s="208" t="n">
        <x:f>E1059/E1058-1</x:f>
        <x:v>-0.010217836182271789</x:v>
      </x:c>
      <x:c r="I1059" s="208" t="n">
        <x:f>G1059/G1058-1</x:f>
        <x:v>-0.010752008599530072</x:v>
      </x:c>
      <x:c r="J1059" s="208" t="n">
        <x:f>'Beta HC3'!$E$13+'Beta HC3'!$E$12*I1059</x:f>
        <x:v>-0.012117110062965047</x:v>
      </x:c>
      <x:c r="K1059" s="240" t="n">
        <x:f>H1059-J1059</x:f>
        <x:v>0.0018992738806932578</x:v>
      </x:c>
      <x:c r="L1059" s="240" t="n">
        <x:f>I1059-'Beta HC3'!$E$9</x:f>
        <x:v>-0.01131595621719051</x:v>
      </x:c>
      <x:c r="M1059" s="240" t="n">
        <x:f>1/'Beta HC3'!$E$8+L1059^2/'Beta HC3'!$E$11</x:f>
        <x:v>0.0016724815534388728</x:v>
      </x:c>
      <x:c r="N1059" s="240" t="n">
        <x:f>K1059^2/(1-M1059)^2</x:f>
        <x:v>0.000003619337700973035</x:v>
      </x:c>
      <x:c r="O1059" s="240" t="n">
        <x:f>N1059*L1059^2/'Beta HC3'!$E$11^2</x:f>
        <x:v>2.167336507097853e-8</x:v>
      </x:c>
      <x:c r="P1059" s="240" t="n">
        <x:f>N1059*(1/'Beta HC3'!$E$8-'Beta HC3'!$E$9*L1059/'Beta HC3'!$E$11)^2</x:f>
        <x:v>2.5565599748289798e-12</x:v>
      </x:c>
      <x:c r="Q1059" s="240" t="n">
        <x:f>N1059*(1/'Beta HC3'!$E$8-'Beta HC3'!$E$9*L1059/'Beta HC3'!$E$11)*L1059/'Beta HC3'!$E$11</x:f>
        <x:v>-2.3539171111218033e-10</x:v>
      </x:c>
      <x:c r="R1059" s="240" t="n">
        <x:f>K1059*L1059/'Beta HC3'!$E$11</x:f>
        <x:v>-0.00014697254535807973</x:v>
      </x:c>
      <x:c r="S1059" s="240" t="n">
        <x:f>(K1059-K1058)^2</x:f>
        <x:v>0.00003279857323918892</x:v>
      </x:c>
      <x:c r="T1059" s="280" t="n">
        <x:f>E1059/$E$9*100</x:f>
        <x:v>168.04037813139524</x:v>
      </x:c>
    </x:row>
    <x:row r="1060" ht="24" customHeight="1">
      <x:c r="C1060" s="274" t="d">
        <x:v>2025-12-15T00:00:00.000Z</x:v>
      </x:c>
      <x:c r="D1060" s="191" t="n">
        <x:v>474.82000732421875</x:v>
      </x:c>
      <x:c r="E1060" s="191" t="n">
        <x:v>471.82666015625</x:v>
      </x:c>
      <x:c r="F1060" s="191" t="n">
        <x:v>680.72998046875</x:v>
      </x:c>
      <x:c r="G1060" s="191" t="n">
        <x:v>673.4641723632812</x:v>
      </x:c>
      <x:c r="H1060" s="208" t="n">
        <x:f>E1060/E1059-1</x:f>
        <x:v>-0.007752853394300874</x:v>
      </x:c>
      <x:c r="I1060" s="208" t="n">
        <x:f>G1060/G1059-1</x:f>
        <x:v>-0.001510940359255808</x:v>
      </x:c>
      <x:c r="J1060" s="208" t="n">
        <x:f>'Beta HC3'!$E$13+'Beta HC3'!$E$12*I1060</x:f>
        <x:v>-0.001694924865867982</x:v>
      </x:c>
      <x:c r="K1060" s="240" t="n">
        <x:f>H1060-J1060</x:f>
        <x:v>-0.006057928528432892</x:v>
      </x:c>
      <x:c r="L1060" s="240" t="n">
        <x:f>I1060-'Beta HC3'!$E$9</x:f>
        <x:v>-0.002074887976916247</x:v>
      </x:c>
      <x:c r="M1060" s="240" t="n">
        <x:f>1/'Beta HC3'!$E$8+L1060^2/'Beta HC3'!$E$11</x:f>
        <x:v>0.0008262533498864275</x:v>
      </x:c>
      <x:c r="N1060" s="240" t="n">
        <x:f>K1060^2/(1-M1060)^2</x:f>
        <x:v>0.000036759217813997705</x:v>
      </x:c>
      <x:c r="O1060" s="240" t="n">
        <x:f>N1060*L1060^2/'Beta HC3'!$E$11^2</x:f>
        <x:v>7.40065727953898e-9</x:v>
      </x:c>
      <x:c r="P1060" s="240" t="n">
        <x:f>N1060*(1/'Beta HC3'!$E$8-'Beta HC3'!$E$9*L1060/'Beta HC3'!$E$11)^2</x:f>
        <x:v>2.3809921332393158e-11</x:v>
      </x:c>
      <x:c r="Q1060" s="240" t="n">
        <x:f>N1060*(1/'Beta HC3'!$E$8-'Beta HC3'!$E$9*L1060/'Beta HC3'!$E$11)*L1060/'Beta HC3'!$E$11</x:f>
        <x:v>-4.197726380242355e-10</x:v>
      </x:c>
      <x:c r="R1060" s="240" t="n">
        <x:f>K1060*L1060/'Beta HC3'!$E$11</x:f>
        <x:v>0.00008595599278811552</x:v>
      </x:c>
      <x:c r="S1060" s="240" t="n">
        <x:f>(K1060-K1059)^2</x:f>
        <x:v>0.000063317070179803</x:v>
      </x:c>
      <x:c r="T1060" s="280" t="n">
        <x:f>E1060/$E$9*100</x:f>
        <x:v>166.73758571541964</x:v>
      </x:c>
    </x:row>
    <x:row r="1061" ht="24" customHeight="1">
      <x:c r="C1061" s="274" t="d">
        <x:v>2025-12-16T00:00:00.000Z</x:v>
      </x:c>
      <x:c r="D1061" s="191" t="n">
        <x:v>476.3900146484375</x:v>
      </x:c>
      <x:c r="E1061" s="191" t="n">
        <x:v>473.38677978515625</x:v>
      </x:c>
      <x:c r="F1061" s="191" t="n">
        <x:v>678.8699951171875</x:v>
      </x:c>
      <x:c r="G1061" s="191" t="n">
        <x:v>671.6240844726562</x:v>
      </x:c>
      <x:c r="H1061" s="208" t="n">
        <x:f>E1061/E1060-1</x:f>
        <x:v>0.0033065525131403817</x:v>
      </x:c>
      <x:c r="I1061" s="208" t="n">
        <x:f>G1061/G1060-1</x:f>
        <x:v>-0.0027322728752857683</x:v>
      </x:c>
      <x:c r="J1061" s="208" t="n">
        <x:f>'Beta HC3'!$E$13+'Beta HC3'!$E$12*I1061</x:f>
        <x:v>-0.003072358008697256</x:v>
      </x:c>
      <x:c r="K1061" s="240" t="n">
        <x:f>H1061-J1061</x:f>
        <x:v>0.006378910521837637</x:v>
      </x:c>
      <x:c r="L1061" s="240" t="n">
        <x:f>I1061-'Beta HC3'!$E$9</x:f>
        <x:v>-0.0032962204929462076</x:v>
      </x:c>
      <x:c r="M1061" s="240" t="n">
        <x:f>1/'Beta HC3'!$E$8+L1061^2/'Beta HC3'!$E$11</x:f>
        <x:v>0.0008711129299861257</x:v>
      </x:c>
      <x:c r="N1061" s="240" t="n">
        <x:f>K1061^2/(1-M1061)^2</x:f>
        <x:v>0.00004076148422616816</x:v>
      </x:c>
      <x:c r="O1061" s="240" t="n">
        <x:f>N1061*L1061^2/'Beta HC3'!$E$11^2</x:f>
        <x:v>2.0710816576438277e-8</x:v>
      </x:c>
      <x:c r="P1061" s="240" t="n">
        <x:f>N1061*(1/'Beta HC3'!$E$8-'Beta HC3'!$E$9*L1061/'Beta HC3'!$E$11)^2</x:f>
        <x:v>2.6712233570947033e-11</x:v>
      </x:c>
      <x:c r="Q1061" s="240" t="n">
        <x:f>N1061*(1/'Beta HC3'!$E$8-'Beta HC3'!$E$9*L1061/'Beta HC3'!$E$11)*L1061/'Beta HC3'!$E$11</x:f>
        <x:v>-7.437957850343473e-10</x:v>
      </x:c>
      <x:c r="R1061" s="240" t="n">
        <x:f>K1061*L1061/'Beta HC3'!$E$11</x:f>
        <x:v>-0.00014378716692517047</x:v>
      </x:c>
      <x:c r="S1061" s="240" t="n">
        <x:f>(K1061-K1060)^2</x:f>
        <x:v>0.00015467496556233396</x:v>
      </x:c>
      <x:c r="T1061" s="280" t="n">
        <x:f>E1061/$E$9*100</x:f>
        <x:v>167.28891229850188</x:v>
      </x:c>
    </x:row>
    <x:row r="1062" ht="24" customHeight="1">
      <x:c r="C1062" s="274" t="d">
        <x:v>2025-12-17T00:00:00.000Z</x:v>
      </x:c>
      <x:c r="D1062" s="191" t="n">
        <x:v>476.1199951171875</x:v>
      </x:c>
      <x:c r="E1062" s="191" t="n">
        <x:v>473.1184387207031</x:v>
      </x:c>
      <x:c r="F1062" s="191" t="n">
        <x:v>671.4000244140625</x:v>
      </x:c>
      <x:c r="G1062" s="191" t="n">
        <x:v>664.2338256835938</x:v>
      </x:c>
      <x:c r="H1062" s="208" t="n">
        <x:f>E1062/E1061-1</x:f>
        <x:v>-0.0005668537354907022</x:v>
      </x:c>
      <x:c r="I1062" s="208" t="n">
        <x:f>G1062/G1061-1</x:f>
        <x:v>-0.01100356428531768</x:v>
      </x:c>
      <x:c r="J1062" s="208" t="n">
        <x:f>'Beta HC3'!$E$13+'Beta HC3'!$E$12*I1062</x:f>
        <x:v>-0.01240081751717852</x:v>
      </x:c>
      <x:c r="K1062" s="240" t="n">
        <x:f>H1062-J1062</x:f>
        <x:v>0.011833963781687818</x:v>
      </x:c>
      <x:c r="L1062" s="240" t="n">
        <x:f>I1062-'Beta HC3'!$E$9</x:f>
        <x:v>-0.011567511902978118</x:v>
      </x:c>
      <x:c r="M1062" s="240" t="n">
        <x:f>1/'Beta HC3'!$E$8+L1062^2/'Beta HC3'!$E$11</x:f>
        <x:v>0.0017118468333819385</x:v>
      </x:c>
      <x:c r="N1062" s="240" t="n">
        <x:f>K1062^2/(1-M1062)^2</x:f>
        <x:v>0.00014052339605489294</x:v>
      </x:c>
      <x:c r="O1062" s="240" t="n">
        <x:f>N1062*L1062^2/'Beta HC3'!$E$11^2</x:f>
        <x:v>8.79312546331392e-7</x:v>
      </x:c>
      <x:c r="P1062" s="240" t="n">
        <x:f>N1062*(1/'Beta HC3'!$E$8-'Beta HC3'!$E$9*L1062/'Beta HC3'!$E$11)^2</x:f>
        <x:v>9.948956805526264e-11</x:v>
      </x:c>
      <x:c r="Q1062" s="240" t="n">
        <x:f>N1062*(1/'Beta HC3'!$E$8-'Beta HC3'!$E$9*L1062/'Beta HC3'!$E$11)*L1062/'Beta HC3'!$E$11</x:f>
        <x:v>-9.353204018948977e-9</x:v>
      </x:c>
      <x:c r="R1062" s="240" t="n">
        <x:f>K1062*L1062/'Beta HC3'!$E$11</x:f>
        <x:v>-0.0009361114390338978</x:v>
      </x:c>
      <x:c r="S1062" s="240" t="n">
        <x:f>(K1062-K1061)^2</x:f>
        <x:v>0.000029757606067802085</x:v>
      </x:c>
      <x:c r="T1062" s="280" t="n">
        <x:f>E1062/$E$9*100</x:f>
        <x:v>167.19408395365932</x:v>
      </x:c>
    </x:row>
    <x:row r="1063" ht="24" customHeight="1">
      <x:c r="C1063" s="274" t="d">
        <x:v>2025-12-18T00:00:00.000Z</x:v>
      </x:c>
      <x:c r="D1063" s="191" t="n">
        <x:v>483.9800109863281</x:v>
      </x:c>
      <x:c r="E1063" s="191" t="n">
        <x:v>480.92889404296875</x:v>
      </x:c>
      <x:c r="F1063" s="191" t="n">
        <x:v>676.469970703125</x:v>
      </x:c>
      <x:c r="G1063" s="191" t="n">
        <x:v>669.2496337890625</x:v>
      </x:c>
      <x:c r="H1063" s="208" t="n">
        <x:f>E1063/E1062-1</x:f>
        <x:v>0.016508456832468488</x:v>
      </x:c>
      <x:c r="I1063" s="208" t="n">
        <x:f>G1063/G1062-1</x:f>
        <x:v>0.007551268712199022</x:v>
      </x:c>
      <x:c r="J1063" s="208" t="n">
        <x:f>'Beta HC3'!$E$13+'Beta HC3'!$E$12*I1063</x:f>
        <x:v>0.008525540861881275</x:v>
      </x:c>
      <x:c r="K1063" s="240" t="n">
        <x:f>H1063-J1063</x:f>
        <x:v>0.007982915970587213</x:v>
      </x:c>
      <x:c r="L1063" s="240" t="n">
        <x:f>I1063-'Beta HC3'!$E$9</x:f>
        <x:v>0.006987321094538582</x:v>
      </x:c>
      <x:c r="M1063" s="240" t="n">
        <x:f>1/'Beta HC3'!$E$8+L1063^2/'Beta HC3'!$E$11</x:f>
        <x:v>0.0011306837997056148</x:v>
      </x:c>
      <x:c r="N1063" s="240" t="n">
        <x:f>K1063^2/(1-M1063)^2</x:f>
        <x:v>0.00006387130223085185</x:v>
      </x:c>
      <x:c r="O1063" s="240" t="n">
        <x:f>N1063*L1063^2/'Beta HC3'!$E$11^2</x:f>
        <x:v>1.458283278912959e-7</x:v>
      </x:c>
      <x:c r="P1063" s="240" t="n">
        <x:f>N1063*(1/'Beta HC3'!$E$8-'Beta HC3'!$E$9*L1063/'Beta HC3'!$E$11)^2</x:f>
        <x:v>3.785611300031732e-11</x:v>
      </x:c>
      <x:c r="Q1063" s="240" t="n">
        <x:f>N1063*(1/'Beta HC3'!$E$8-'Beta HC3'!$E$9*L1063/'Beta HC3'!$E$11)*L1063/'Beta HC3'!$E$11</x:f>
        <x:v>2.349573080221218e-9</x:v>
      </x:c>
      <x:c r="R1063" s="240" t="n">
        <x:f>K1063*L1063/'Beta HC3'!$E$11</x:f>
        <x:v>0.00038144297459665914</x:v>
      </x:c>
      <x:c r="S1063" s="240" t="n">
        <x:f>(K1063-K1062)^2</x:f>
        <x:v>0.000014830569243382761</x:v>
      </x:c>
      <x:c r="T1063" s="280" t="n">
        <x:f>E1063/$E$9*100</x:f>
        <x:v>169.9542002712524</x:v>
      </x:c>
    </x:row>
    <x:row r="1064" ht="24" customHeight="1">
      <x:c r="C1064" s="274" t="d">
        <x:v>2025-12-19T00:00:00.000Z</x:v>
      </x:c>
      <x:c r="D1064" s="191" t="n">
        <x:v>485.9200134277344</x:v>
      </x:c>
      <x:c r="E1064" s="191" t="n">
        <x:v>482.8566589355469</x:v>
      </x:c>
      <x:c r="F1064" s="191" t="n">
        <x:v>680.5900268554688</x:v>
      </x:c>
      <x:c r="G1064" s="191" t="n">
        <x:v>675.3153686523438</x:v>
      </x:c>
      <x:c r="H1064" s="208" t="n">
        <x:f>E1064/E1063-1</x:f>
        <x:v>0.004008419781918793</x:v>
      </x:c>
      <x:c r="I1064" s="208" t="n">
        <x:f>G1064/G1063-1</x:f>
        <x:v>0.009063486264369258</x:v>
      </x:c>
      <x:c r="J1064" s="208" t="n">
        <x:f>'Beta HC3'!$E$13+'Beta HC3'!$E$12*I1064</x:f>
        <x:v>0.010231037561746705</x:v>
      </x:c>
      <x:c r="K1064" s="240" t="n">
        <x:f>H1064-J1064</x:f>
        <x:v>-0.006222617779827912</x:v>
      </x:c>
      <x:c r="L1064" s="240" t="n">
        <x:f>I1064-'Beta HC3'!$E$9</x:f>
        <x:v>0.00849953864670882</x:v>
      </x:c>
      <x:c r="M1064" s="240" t="n">
        <x:f>1/'Beta HC3'!$E$8+L1064^2/'Beta HC3'!$E$11</x:f>
        <x:v>0.0012908367712324</x:v>
      </x:c>
      <x:c r="N1064" s="240" t="n">
        <x:f>K1064^2/(1-M1064)^2</x:f>
        <x:v>0.00003882113083411268</x:v>
      </x:c>
      <x:c r="O1064" s="240" t="n">
        <x:f>N1064*L1064^2/'Beta HC3'!$E$11^2</x:f>
        <x:v>1.311516052702093e-7</x:v>
      </x:c>
      <x:c r="P1064" s="240" t="n">
        <x:f>N1064*(1/'Beta HC3'!$E$8-'Beta HC3'!$E$9*L1064/'Beta HC3'!$E$11)^2</x:f>
        <x:v>2.26617596666076e-11</x:v>
      </x:c>
      <x:c r="Q1064" s="240" t="n">
        <x:f>N1064*(1/'Beta HC3'!$E$8-'Beta HC3'!$E$9*L1064/'Beta HC3'!$E$11)*L1064/'Beta HC3'!$E$11</x:f>
        <x:v>1.7239855447547323e-9</x:v>
      </x:c>
      <x:c r="R1064" s="240" t="n">
        <x:f>K1064*L1064/'Beta HC3'!$E$11</x:f>
        <x:v>-0.00036168112084189414</x:v>
      </x:c>
      <x:c r="S1064" s="240" t="n">
        <x:f>(K1064-K1063)^2</x:f>
        <x:v>0.0002017971891341832</x:v>
      </x:c>
      <x:c r="T1064" s="280" t="n">
        <x:f>E1064/$E$9*100</x:f>
        <x:v>170.63544804963988</x:v>
      </x:c>
    </x:row>
    <x:row r="1065" ht="24" customHeight="1">
      <x:c r="C1065" s="274" t="d">
        <x:v>2025-12-22T00:00:00.000Z</x:v>
      </x:c>
      <x:c r="D1065" s="191" t="n">
        <x:v>484.9200134277344</x:v>
      </x:c>
      <x:c r="E1065" s="191" t="n">
        <x:v>481.8630065917969</x:v>
      </x:c>
      <x:c r="F1065" s="191" t="n">
        <x:v>684.8300170898438</x:v>
      </x:c>
      <x:c r="G1065" s="191" t="n">
        <x:v>679.5224609375</x:v>
      </x:c>
      <x:c r="H1065" s="208" t="n">
        <x:f>E1065/E1064-1</x:f>
        <x:v>-0.0020578619459044045</x:v>
      </x:c>
      <x:c r="I1065" s="208" t="n">
        <x:f>G1065/G1064-1</x:f>
        <x:v>0.006229818660208997</x:v>
      </x:c>
      <x:c r="J1065" s="208" t="n">
        <x:f>'Beta HC3'!$E$13+'Beta HC3'!$E$12*I1065</x:f>
        <x:v>0.007035193987206012</x:v>
      </x:c>
      <x:c r="K1065" s="240" t="n">
        <x:f>H1065-J1065</x:f>
        <x:v>-0.009093055933110416</x:v>
      </x:c>
      <x:c r="L1065" s="240" t="n">
        <x:f>I1065-'Beta HC3'!$E$9</x:f>
        <x:v>0.005665871042548557</x:v>
      </x:c>
      <x:c r="M1065" s="240" t="n">
        <x:f>1/'Beta HC3'!$E$8+L1065^2/'Beta HC3'!$E$11</x:f>
        <x:v>0.0010163411593447978</x:v>
      </x:c>
      <x:c r="N1065" s="240" t="n">
        <x:f>K1065^2/(1-M1065)^2</x:f>
        <x:v>0.00008285199240078394</x:v>
      </x:c>
      <x:c r="O1065" s="240" t="n">
        <x:f>N1065*L1065^2/'Beta HC3'!$E$11^2</x:f>
        <x:v>1.2438014267622054e-7</x:v>
      </x:c>
      <x:c r="P1065" s="240" t="n">
        <x:f>N1065*(1/'Beta HC3'!$E$8-'Beta HC3'!$E$9*L1065/'Beta HC3'!$E$11)^2</x:f>
        <x:v>4.975812078330094e-11</x:v>
      </x:c>
      <x:c r="Q1065" s="240" t="n">
        <x:f>N1065*(1/'Beta HC3'!$E$8-'Beta HC3'!$E$9*L1065/'Beta HC3'!$E$11)*L1065/'Beta HC3'!$E$11</x:f>
        <x:v>2.487754441726029e-9</x:v>
      </x:c>
      <x:c r="R1065" s="240" t="n">
        <x:f>K1065*L1065/'Beta HC3'!$E$11</x:f>
        <x:v>-0.0003523172516891478</x:v>
      </x:c>
      <x:c r="S1065" s="240" t="n">
        <x:f>(K1065-K1064)^2</x:f>
        <x:v>0.000008239415191819873</x:v>
      </x:c>
      <x:c r="T1065" s="280" t="n">
        <x:f>E1065/$E$9*100</x:f>
        <x:v>170.2843038544762</x:v>
      </x:c>
    </x:row>
    <x:row r="1066" ht="24" customHeight="1">
      <x:c r="C1066" s="274" t="d">
        <x:v>2025-12-23T00:00:00.000Z</x:v>
      </x:c>
      <x:c r="D1066" s="191" t="n">
        <x:v>486.8500061035156</x:v>
      </x:c>
      <x:c r="E1066" s="191" t="n">
        <x:v>483.7807922363281</x:v>
      </x:c>
      <x:c r="F1066" s="191" t="n">
        <x:v>687.9600219726562</x:v>
      </x:c>
      <x:c r="G1066" s="191" t="n">
        <x:v>682.628173828125</x:v>
      </x:c>
      <x:c r="H1066" s="208" t="n">
        <x:f>E1066/E1065-1</x:f>
        <x:v>0.0039799395643498325</x:v>
      </x:c>
      <x:c r="I1066" s="208" t="n">
        <x:f>G1066/G1065-1</x:f>
        <x:v>0.0045704344876844605</x:v>
      </x:c>
      <x:c r="J1066" s="208" t="n">
        <x:f>'Beta HC3'!$E$13+'Beta HC3'!$E$12*I1066</x:f>
        <x:v>0.005163721046035619</x:v>
      </x:c>
      <x:c r="K1066" s="240" t="n">
        <x:f>H1066-J1066</x:f>
        <x:v>-0.0011837814816857868</x:v>
      </x:c>
      <x:c r="L1066" s="240" t="n">
        <x:f>I1066-'Beta HC3'!$E$9</x:f>
        <x:v>0.004006486870024021</x:v>
      </x:c>
      <x:c r="M1066" s="240" t="n">
        <x:f>1/'Beta HC3'!$E$8+L1066^2/'Beta HC3'!$E$11</x:f>
        <x:v>0.0009065830383682171</x:v>
      </x:c>
      <x:c r="N1066" s="240" t="n">
        <x:f>K1066^2/(1-M1066)^2</x:f>
        <x:v>0.0000014038829154188762</x:v>
      </x:c>
      <x:c r="O1066" s="240" t="n">
        <x:f>N1066*L1066^2/'Beta HC3'!$E$11^2</x:f>
        <x:v>1.0538360703299822e-9</x:v>
      </x:c>
      <x:c r="P1066" s="240" t="n">
        <x:f>N1066*(1/'Beta HC3'!$E$8-'Beta HC3'!$E$9*L1066/'Beta HC3'!$E$11)^2</x:f>
        <x:v>8.571070230797869e-13</x:v>
      </x:c>
      <x:c r="Q1066" s="240" t="n">
        <x:f>N1066*(1/'Beta HC3'!$E$8-'Beta HC3'!$E$9*L1066/'Beta HC3'!$E$11)*L1066/'Beta HC3'!$E$11</x:f>
        <x:v>3.005412279629257e-11</x:v>
      </x:c>
      <x:c r="R1066" s="240" t="n">
        <x:f>K1066*L1066/'Beta HC3'!$E$11</x:f>
        <x:v>-0.00003243341111658013</x:v>
      </x:c>
      <x:c r="S1066" s="240" t="n">
        <x:f>(K1066-K1065)^2</x:f>
        <x:v>0.00006255662234795837</x:v>
      </x:c>
      <x:c r="T1066" s="280" t="n">
        <x:f>E1066/$E$9*100</x:f>
        <x:v>170.96202509257438</x:v>
      </x:c>
    </x:row>
    <x:row r="1067" ht="24" customHeight="1">
      <x:c r="C1067" s="274" t="d">
        <x:v>2025-12-24T00:00:00.000Z</x:v>
      </x:c>
      <x:c r="D1067" s="191" t="n">
        <x:v>488.0199890136719</x:v>
      </x:c>
      <x:c r="E1067" s="191" t="n">
        <x:v>484.94342041015625</x:v>
      </x:c>
      <x:c r="F1067" s="191" t="n">
        <x:v>690.3800048828125</x:v>
      </x:c>
      <x:c r="G1067" s="191" t="n">
        <x:v>685.0294799804688</x:v>
      </x:c>
      <x:c r="H1067" s="208" t="n">
        <x:f>E1067/E1066-1</x:f>
        <x:v>0.00240321276182498</x:v>
      </x:c>
      <x:c r="I1067" s="208" t="n">
        <x:f>G1067/G1066-1</x:f>
        <x:v>0.003517736660175297</x:v>
      </x:c>
      <x:c r="J1067" s="208" t="n">
        <x:f>'Beta HC3'!$E$13+'Beta HC3'!$E$12*I1067</x:f>
        <x:v>0.003976476083698167</x:v>
      </x:c>
      <x:c r="K1067" s="240" t="n">
        <x:f>H1067-J1067</x:f>
        <x:v>-0.001573263321873187</x:v>
      </x:c>
      <x:c r="L1067" s="240" t="n">
        <x:f>I1067-'Beta HC3'!$E$9</x:f>
        <x:v>0.0029537890425148576</x:v>
      </x:c>
      <x:c r="M1067" s="240" t="n">
        <x:f>1/'Beta HC3'!$E$8+L1067^2/'Beta HC3'!$E$11</x:f>
        <x:v>0.0008564772910533439</x:v>
      </x:c>
      <x:c r="N1067" s="240" t="n">
        <x:f>K1067^2/(1-M1067)^2</x:f>
        <x:v>0.0000024794027655053107</x:v>
      </x:c>
      <x:c r="O1067" s="240" t="n">
        <x:f>N1067*L1067^2/'Beta HC3'!$E$11^2</x:f>
        <x:v>1.0116277972413122e-9</x:v>
      </x:c>
      <x:c r="P1067" s="240" t="n">
        <x:f>N1067*(1/'Beta HC3'!$E$8-'Beta HC3'!$E$9*L1067/'Beta HC3'!$E$11)^2</x:f>
        <x:v>1.529510731907513e-12</x:v>
      </x:c>
      <x:c r="Q1067" s="240" t="n">
        <x:f>N1067*(1/'Beta HC3'!$E$8-'Beta HC3'!$E$9*L1067/'Beta HC3'!$E$11)*L1067/'Beta HC3'!$E$11</x:f>
        <x:v>3.9335678112580505e-11</x:v>
      </x:c>
      <x:c r="R1067" s="240" t="n">
        <x:f>K1067*L1067/'Beta HC3'!$E$11</x:f>
        <x:v>-0.00003177885565676651</x:v>
      </x:c>
      <x:c r="S1067" s="240" t="n">
        <x:f>(K1067-K1066)^2</x:f>
        <x:v>1.5169610383576358e-7</x:v>
      </x:c>
      <x:c r="T1067" s="280" t="n">
        <x:f>E1067/$E$9*100</x:f>
        <x:v>171.37288321306428</x:v>
      </x:c>
    </x:row>
    <x:row r="1068" ht="24" customHeight="1">
      <x:c r="C1068" s="274" t="d">
        <x:v>2025-12-26T00:00:00.000Z</x:v>
      </x:c>
      <x:c r="D1068" s="191" t="n">
        <x:v>487.7099914550781</x:v>
      </x:c>
      <x:c r="E1068" s="191" t="n">
        <x:v>484.6353759765625</x:v>
      </x:c>
      <x:c r="F1068" s="191" t="n">
        <x:v>690.3099975585938</x:v>
      </x:c>
      <x:c r="G1068" s="191" t="n">
        <x:v>684.9600219726562</x:v>
      </x:c>
      <x:c r="H1068" s="208" t="n">
        <x:f>E1068/E1067-1</x:f>
        <x:v>-0.0006352172658270483</x:v>
      </x:c>
      <x:c r="I1068" s="208" t="n">
        <x:f>G1068/G1067-1</x:f>
        <x:v>-0.00010139418790333643</x:v>
      </x:c>
      <x:c r="J1068" s="208" t="n">
        <x:f>'Beta HC3'!$E$13+'Beta HC3'!$E$12*I1068</x:f>
        <x:v>-0.0001052221540461536</x:v>
      </x:c>
      <x:c r="K1068" s="240" t="n">
        <x:f>H1068-J1068</x:f>
        <x:v>-0.0005299951117808947</x:v>
      </x:c>
      <x:c r="L1068" s="240" t="n">
        <x:f>I1068-'Beta HC3'!$E$9</x:f>
        <x:v>-0.0006653418055637758</x:v>
      </x:c>
      <x:c r="M1068" s="240" t="n">
        <x:f>1/'Beta HC3'!$E$8+L1068^2/'Beta HC3'!$E$11</x:f>
        <x:v>0.000799839989931093</x:v>
      </x:c>
      <x:c r="N1068" s="240" t="n">
        <x:f>K1068^2/(1-M1068)^2</x:f>
        <x:v>2.8134470000709825e-7</x:v>
      </x:c>
      <x:c r="O1068" s="240" t="n">
        <x:f>N1068*L1068^2/'Beta HC3'!$E$11^2</x:f>
        <x:v>5.824291273360783e-12</x:v>
      </x:c>
      <x:c r="P1068" s="240" t="n">
        <x:f>N1068*(1/'Beta HC3'!$E$8-'Beta HC3'!$E$9*L1068/'Beta HC3'!$E$11)^2</x:f>
        <x:v>1.7978101775472254e-13</x:v>
      </x:c>
      <x:c r="Q1068" s="240" t="n">
        <x:f>N1068*(1/'Beta HC3'!$E$8-'Beta HC3'!$E$9*L1068/'Beta HC3'!$E$11)*L1068/'Beta HC3'!$E$11</x:f>
        <x:v>-1.0232775834663586e-12</x:v>
      </x:c>
      <x:c r="R1068" s="240" t="n">
        <x:f>K1068*L1068/'Beta HC3'!$E$11</x:f>
        <x:v>0.0000024114265481804236</x:v>
      </x:c>
      <x:c r="S1068" s="240" t="n">
        <x:f>(K1068-K1067)^2</x:f>
        <x:v>0.0000010884085581891757</x:v>
      </x:c>
      <x:c r="T1068" s="280" t="n">
        <x:f>E1068/$E$9*100</x:f>
        <x:v>171.2640241987528</x:v>
      </x:c>
    </x:row>
    <x:row r="1069" ht="24" customHeight="1">
      <x:c r="C1069" s="274" t="d">
        <x:v>2025-12-29T00:00:00.000Z</x:v>
      </x:c>
      <x:c r="D1069" s="191" t="n">
        <x:v>487.1000061035156</x:v>
      </x:c>
      <x:c r="E1069" s="191" t="n">
        <x:v>484.02923583984375</x:v>
      </x:c>
      <x:c r="F1069" s="191" t="n">
        <x:v>687.8499755859375</x:v>
      </x:c>
      <x:c r="G1069" s="191" t="n">
        <x:v>682.51904296875</x:v>
      </x:c>
      <x:c r="H1069" s="208" t="n">
        <x:f>E1069/E1068-1</x:f>
        <x:v>-0.0012507137670199064</x:v>
      </x:c>
      <x:c r="I1069" s="208" t="n">
        <x:f>G1069/G1068-1</x:f>
        <x:v>-0.0035636809822511273</x:v>
      </x:c>
      <x:c r="J1069" s="208" t="n">
        <x:f>'Beta HC3'!$E$13+'Beta HC3'!$E$12*I1069</x:f>
        <x:v>-0.004010029827567375</x:v>
      </x:c>
      <x:c r="K1069" s="240" t="n">
        <x:f>H1069-J1069</x:f>
        <x:v>0.0027593160605474685</x:v>
      </x:c>
      <x:c r="L1069" s="240" t="n">
        <x:f>I1069-'Beta HC3'!$E$9</x:f>
        <x:v>-0.004127628599911567</x:v>
      </x:c>
      <x:c r="M1069" s="240" t="n">
        <x:f>1/'Beta HC3'!$E$8+L1069^2/'Beta HC3'!$E$11</x:f>
        <x:v>0.0009133215109514856</x:v>
      </x:c>
      <x:c r="N1069" s="240" t="n">
        <x:f>K1069^2/(1-M1069)^2</x:f>
        <x:v>0.000007627751939111147</x:v>
      </x:c>
      <x:c r="O1069" s="240" t="n">
        <x:f>N1069*L1069^2/'Beta HC3'!$E$11^2</x:f>
        <x:v>6.07732566900633e-9</x:v>
      </x:c>
      <x:c r="P1069" s="240" t="n">
        <x:f>N1069*(1/'Beta HC3'!$E$8-'Beta HC3'!$E$9*L1069/'Beta HC3'!$E$11)^2</x:f>
        <x:v>5.0383724232609685e-12</x:v>
      </x:c>
      <x:c r="Q1069" s="240" t="n">
        <x:f>N1069*(1/'Beta HC3'!$E$8-'Beta HC3'!$E$9*L1069/'Beta HC3'!$E$11)*L1069/'Beta HC3'!$E$11</x:f>
        <x:v>-1.749852281133968e-10</x:v>
      </x:c>
      <x:c r="R1069" s="240" t="n">
        <x:f>K1069*L1069/'Beta HC3'!$E$11</x:f>
        <x:v>-0.0000778860040952159</x:v>
      </x:c>
      <x:c r="S1069" s="240" t="n">
        <x:f>(K1069-K1068)^2</x:f>
        <x:v>0.00001081956798840419</x:v>
      </x:c>
      <x:c r="T1069" s="280" t="n">
        <x:f>E1069/$E$9*100</x:f>
        <x:v>171.0498219258922</x:v>
      </x:c>
    </x:row>
    <x:row r="1070" ht="24" customHeight="1">
      <x:c r="C1070" s="274" t="d">
        <x:v>2025-12-30T00:00:00.000Z</x:v>
      </x:c>
      <x:c r="D1070" s="191" t="n">
        <x:v>487.4800109863281</x:v>
      </x:c>
      <x:c r="E1070" s="191" t="n">
        <x:v>484.4068298339844</x:v>
      </x:c>
      <x:c r="F1070" s="191" t="n">
        <x:v>687.010009765625</x:v>
      </x:c>
      <x:c r="G1070" s="191" t="n">
        <x:v>681.685546875</x:v>
      </x:c>
      <x:c r="H1070" s="208" t="n">
        <x:f>E1070/E1069-1</x:f>
        <x:v>0.000780105758457772</x:v>
      </x:c>
      <x:c r="I1070" s="208" t="n">
        <x:f>G1070/G1069-1</x:f>
        <x:v>-0.0012212056239845337</x:v>
      </x:c>
      <x:c r="J1070" s="208" t="n">
        <x:f>'Beta HC3'!$E$13+'Beta HC3'!$E$12*I1070</x:f>
        <x:v>-0.0013681586316496436</x:v>
      </x:c>
      <x:c r="K1070" s="240" t="n">
        <x:f>H1070-J1070</x:f>
        <x:v>0.0021482643901074155</x:v>
      </x:c>
      <x:c r="L1070" s="240" t="n">
        <x:f>I1070-'Beta HC3'!$E$9</x:f>
        <x:v>-0.001785153241644973</x:v>
      </x:c>
      <x:c r="M1070" s="240" t="n">
        <x:f>1/'Beta HC3'!$E$8+L1070^2/'Beta HC3'!$E$11</x:f>
        <x:v>0.0008186053148649292</x:v>
      </x:c>
      <x:c r="N1070" s="240" t="n">
        <x:f>K1070^2/(1-M1070)^2</x:f>
        <x:v>0.000004622604970122347</x:v>
      </x:c>
      <x:c r="O1070" s="240" t="n">
        <x:f>N1070*L1070^2/'Beta HC3'!$E$11^2</x:f>
        <x:v>6.888941717172483e-10</x:v>
      </x:c>
      <x:c r="P1070" s="240" t="n">
        <x:f>N1070*(1/'Beta HC3'!$E$8-'Beta HC3'!$E$9*L1070/'Beta HC3'!$E$11)^2</x:f>
        <x:v>2.9858757537441637e-12</x:v>
      </x:c>
      <x:c r="Q1070" s="240" t="n">
        <x:f>N1070*(1/'Beta HC3'!$E$8-'Beta HC3'!$E$9*L1070/'Beta HC3'!$E$11)*L1070/'Beta HC3'!$E$11</x:f>
        <x:v>-4.535363716645227e-11</x:v>
      </x:c>
      <x:c r="R1070" s="240" t="n">
        <x:f>K1070*L1070/'Beta HC3'!$E$11</x:f>
        <x:v>-0.000026225307786461513</x:v>
      </x:c>
      <x:c r="S1070" s="240" t="n">
        <x:f>(K1070-K1069)^2</x:f>
        <x:v>3.73384143947579e-7</x:v>
      </x:c>
      <x:c r="T1070" s="280" t="n">
        <x:f>E1070/$E$9*100</x:f>
        <x:v>171.18325887695974</x:v>
      </x:c>
    </x:row>
    <x:row r="1071" ht="24" customHeight="1">
      <x:c r="C1071" s="274" t="d">
        <x:v>2025-12-31T00:00:00.000Z</x:v>
      </x:c>
      <x:c r="D1071" s="191" t="n">
        <x:v>483.6199951171875</x:v>
      </x:c>
      <x:c r="E1071" s="191" t="n">
        <x:v>480.5711669921875</x:v>
      </x:c>
      <x:c r="F1071" s="191" t="n">
        <x:v>681.9199829101562</x:v>
      </x:c>
      <x:c r="G1071" s="191" t="n">
        <x:v>676.635009765625</x:v>
      </x:c>
      <x:c r="H1071" s="208" t="n">
        <x:f>E1071/E1070-1</x:f>
        <x:v>-0.007918267467680873</x:v>
      </x:c>
      <x:c r="I1071" s="208" t="n">
        <x:f>G1071/G1070-1</x:f>
        <x:v>-0.0074088956888227475</x:v>
      </x:c>
      <x:c r="J1071" s="208" t="n">
        <x:f>'Beta HC3'!$E$13+'Beta HC3'!$E$12*I1071</x:f>
        <x:v>-0.008346708093813061</x:v>
      </x:c>
      <x:c r="K1071" s="240" t="n">
        <x:f>H1071-J1071</x:f>
        <x:v>0.0004284406261321882</x:v>
      </x:c>
      <x:c r="L1071" s="240" t="n">
        <x:f>I1071-'Beta HC3'!$E$9</x:f>
        <x:v>-0.007972843306483186</x:v>
      </x:c>
      <x:c r="M1071" s="240" t="n">
        <x:f>1/'Beta HC3'!$E$8+L1071^2/'Beta HC3'!$E$11</x:f>
        <x:v>0.0012315069224503503</x:v>
      </x:c>
      <x:c r="N1071" s="240" t="n">
        <x:f>K1071^2/(1-M1071)^2</x:f>
        <x:v>1.840143208626558e-7</x:v>
      </x:c>
      <x:c r="O1071" s="240" t="n">
        <x:f>N1071*L1071^2/'Beta HC3'!$E$11^2</x:f>
        <x:v>5.470068987549166e-10</x:v>
      </x:c>
      <x:c r="P1071" s="240" t="n">
        <x:f>N1071*(1/'Beta HC3'!$E$8-'Beta HC3'!$E$9*L1071/'Beta HC3'!$E$11)^2</x:f>
        <x:v>1.2602329564198906e-13</x:v>
      </x:c>
      <x:c r="Q1071" s="240" t="n">
        <x:f>N1071*(1/'Beta HC3'!$E$8-'Beta HC3'!$E$9*L1071/'Beta HC3'!$E$11)*L1071/'Beta HC3'!$E$11</x:f>
        <x:v>-8.302747263406157e-12</x:v>
      </x:c>
      <x:c r="R1071" s="240" t="n">
        <x:f>K1071*L1071/'Beta HC3'!$E$11</x:f>
        <x:v>-0.000023359375907454742</x:v>
      </x:c>
      <x:c r="S1071" s="240" t="n">
        <x:f>(K1071-K1070)^2</x:f>
        <x:v>0.0000029577937791339187</x:v>
      </x:c>
      <x:c r="T1071" s="280" t="n">
        <x:f>E1071/$E$9*100</x:f>
        <x:v>169.82778404718272</x:v>
      </x:c>
    </x:row>
    <x:row r="1072" ht="24" customHeight="1">
      <x:c r="C1072" s="274" t="d">
        <x:v>2026-01-02T00:00:00.000Z</x:v>
      </x:c>
      <x:c r="D1072" s="191" t="n">
        <x:v>472.94000244140625</x:v>
      </x:c>
      <x:c r="E1072" s="191" t="n">
        <x:v>469.95849609375</x:v>
      </x:c>
      <x:c r="F1072" s="191" t="n">
        <x:v>683.1699829101562</x:v>
      </x:c>
      <x:c r="G1072" s="191" t="n">
        <x:v>677.8753051757812</x:v>
      </x:c>
      <x:c r="H1072" s="208" t="n">
        <x:f>E1072/E1071-1</x:f>
        <x:v>-0.022083453247643603</x:v>
      </x:c>
      <x:c r="I1072" s="208" t="n">
        <x:f>G1072/G1071-1</x:f>
        <x:v>0.0018330346379591411</x:v>
      </x:c>
      <x:c r="J1072" s="208" t="n">
        <x:f>'Beta HC3'!$E$13+'Beta HC3'!$E$12*I1072</x:f>
        <x:v>0.0020764493745631203</x:v>
      </x:c>
      <x:c r="K1072" s="240" t="n">
        <x:f>H1072-J1072</x:f>
        <x:v>-0.024159902622206724</x:v>
      </x:c>
      <x:c r="L1072" s="240" t="n">
        <x:f>I1072-'Beta HC3'!$E$9</x:f>
        <x:v>0.0012690870202987019</x:v>
      </x:c>
      <x:c r="M1072" s="240" t="n">
        <x:f>1/'Beta HC3'!$E$8+L1072^2/'Beta HC3'!$E$11</x:f>
        <x:v>0.0008078266245841593</x:v>
      </x:c>
      <x:c r="N1072" s="240" t="n">
        <x:f>K1072^2/(1-M1072)^2</x:f>
        <x:v>0.0005846450969350334</x:v>
      </x:c>
      <x:c r="O1072" s="240" t="n">
        <x:f>N1072*L1072^2/'Beta HC3'!$E$11^2</x:f>
        <x:v>4.403417249829882e-8</x:v>
      </x:c>
      <x:c r="P1072" s="240" t="n">
        <x:f>N1072*(1/'Beta HC3'!$E$8-'Beta HC3'!$E$9*L1072/'Beta HC3'!$E$11)^2</x:f>
        <x:v>3.6665133529425293e-10</x:v>
      </x:c>
      <x:c r="Q1072" s="240" t="n">
        <x:f>N1072*(1/'Beta HC3'!$E$8-'Beta HC3'!$E$9*L1072/'Beta HC3'!$E$11)*L1072/'Beta HC3'!$E$11</x:f>
        <x:v>4.018107532791865e-9</x:v>
      </x:c>
      <x:c r="R1072" s="240" t="n">
        <x:f>K1072*L1072/'Beta HC3'!$E$11</x:f>
        <x:v>-0.0002096736923899075</x:v>
      </x:c>
      <x:c r="S1072" s="240" t="n">
        <x:f>(K1072-K1071)^2</x:f>
        <x:v>0.0006045866236981337</x:v>
      </x:c>
      <x:c r="T1072" s="280" t="n">
        <x:f>E1072/$E$9*100</x:f>
        <x:v>166.07740011802585</x:v>
      </x:c>
    </x:row>
    <x:row r="1073" ht="24" customHeight="1">
      <x:c r="C1073" s="274" t="d">
        <x:v>2026-01-05T00:00:00.000Z</x:v>
      </x:c>
      <x:c r="D1073" s="191" t="n">
        <x:v>472.8500061035156</x:v>
      </x:c>
      <x:c r="E1073" s="191" t="n">
        <x:v>469.8691101074219</x:v>
      </x:c>
      <x:c r="F1073" s="191" t="n">
        <x:v>687.719970703125</x:v>
      </x:c>
      <x:c r="G1073" s="191" t="n">
        <x:v>682.3900756835938</x:v>
      </x:c>
      <x:c r="H1073" s="208" t="n">
        <x:f>E1073/E1072-1</x:f>
        <x:v>-0.00019019974544798313</x:v>
      </x:c>
      <x:c r="I1073" s="208" t="n">
        <x:f>G1073/G1072-1</x:f>
        <x:v>0.006660178462529753</x:v>
      </x:c>
      <x:c r="J1073" s="208" t="n">
        <x:f>'Beta HC3'!$E$13+'Beta HC3'!$E$12*I1073</x:f>
        <x:v>0.00752055882215283</x:v>
      </x:c>
      <x:c r="K1073" s="240" t="n">
        <x:f>H1073-J1073</x:f>
        <x:v>-0.007710758567600813</x:v>
      </x:c>
      <x:c r="L1073" s="240" t="n">
        <x:f>I1073-'Beta HC3'!$E$9</x:f>
        <x:v>0.006096230844869314</x:v>
      </x:c>
      <x:c r="M1073" s="240" t="n">
        <x:f>1/'Beta HC3'!$E$8+L1073^2/'Beta HC3'!$E$11</x:f>
        <x:v>0.0010509569294460583</x:v>
      </x:c>
      <x:c r="N1073" s="240" t="n">
        <x:f>K1073^2/(1-M1073)^2</x:f>
        <x:v>0.000059580965938060185</x:v>
      </x:c>
      <x:c r="O1073" s="240" t="n">
        <x:f>N1073*L1073^2/'Beta HC3'!$E$11^2</x:f>
        <x:v>1.0354880006543122e-7</x:v>
      </x:c>
      <x:c r="P1073" s="240" t="n">
        <x:f>N1073*(1/'Beta HC3'!$E$8-'Beta HC3'!$E$9*L1073/'Beta HC3'!$E$11)^2</x:f>
        <x:v>3.562922286960525e-11</x:v>
      </x:c>
      <x:c r="Q1073" s="240" t="n">
        <x:f>N1073*(1/'Beta HC3'!$E$8-'Beta HC3'!$E$9*L1073/'Beta HC3'!$E$11)*L1073/'Beta HC3'!$E$11</x:f>
        <x:v>1.9207715312893005e-9</x:v>
      </x:c>
      <x:c r="R1073" s="240" t="n">
        <x:f>K1073*L1073/'Beta HC3'!$E$11</x:f>
        <x:v>-0.00032145180630731513</x:v>
      </x:c>
      <x:c r="S1073" s="240" t="n">
        <x:f>(K1073-K1072)^2</x:f>
        <x:v>0.00027057434012917693</x:v>
      </x:c>
      <x:c r="T1073" s="280" t="n">
        <x:f>E1073/$E$9*100</x:f>
        <x:v>166.04581223879876</x:v>
      </x:c>
    </x:row>
    <x:row r="1074" ht="24" customHeight="1">
      <x:c r="C1074" s="274" t="d">
        <x:v>2026-01-06T00:00:00.000Z</x:v>
      </x:c>
      <x:c r="D1074" s="191" t="n">
        <x:v>478.510009765625</x:v>
      </x:c>
      <x:c r="E1074" s="191" t="n">
        <x:v>475.493408203125</x:v>
      </x:c>
      <x:c r="F1074" s="191" t="n">
        <x:v>691.8099975585938</x:v>
      </x:c>
      <x:c r="G1074" s="191" t="n">
        <x:v>686.4483642578125</x:v>
      </x:c>
      <x:c r="H1074" s="208" t="n">
        <x:f>E1074/E1073-1</x:f>
        <x:v>0.011969925187074626</x:v>
      </x:c>
      <x:c r="I1074" s="208" t="n">
        <x:f>G1074/G1073-1</x:f>
        <x:v>0.0059471682236194034</x:v>
      </x:c>
      <x:c r="J1074" s="208" t="n">
        <x:f>'Beta HC3'!$E$13+'Beta HC3'!$E$12*I1074</x:f>
        <x:v>0.006716417508168817</x:v>
      </x:c>
      <x:c r="K1074" s="240" t="n">
        <x:f>H1074-J1074</x:f>
        <x:v>0.005253507678905809</x:v>
      </x:c>
      <x:c r="L1074" s="240" t="n">
        <x:f>I1074-'Beta HC3'!$E$9</x:f>
        <x:v>0.005383220605958964</x:v>
      </x:c>
      <x:c r="M1074" s="240" t="n">
        <x:f>1/'Beta HC3'!$E$8+L1074^2/'Beta HC3'!$E$11</x:f>
        <x:v>0.0009949844863505293</x:v>
      </x:c>
      <x:c r="N1074" s="240" t="n">
        <x:f>K1074^2/(1-M1074)^2</x:f>
        <x:v>0.000027654346846866884</x:v>
      </x:c>
      <x:c r="O1074" s="240" t="n">
        <x:f>N1074*L1074^2/'Beta HC3'!$E$11^2</x:f>
        <x:v>3.747679850781082e-8</x:v>
      </x:c>
      <x:c r="P1074" s="240" t="n">
        <x:f>N1074*(1/'Beta HC3'!$E$8-'Beta HC3'!$E$9*L1074/'Beta HC3'!$E$11)^2</x:f>
        <x:v>1.6655025527108474e-11</x:v>
      </x:c>
      <x:c r="Q1074" s="240" t="n">
        <x:f>N1074*(1/'Beta HC3'!$E$8-'Beta HC3'!$E$9*L1074/'Beta HC3'!$E$11)*L1074/'Beta HC3'!$E$11</x:f>
        <x:v>7.900487553448142e-10</x:v>
      </x:c>
      <x:c r="R1074" s="240" t="n">
        <x:f>K1074*L1074/'Beta HC3'!$E$11</x:f>
        <x:v>0.0001933966337436993</x:v>
      </x:c>
      <x:c r="S1074" s="240" t="n">
        <x:f>(K1074-K1073)^2</x:f>
        <x:v>0.00016807219931031092</x:v>
      </x:c>
      <x:c r="T1074" s="280" t="n">
        <x:f>E1074/$E$9*100</x:f>
        <x:v>168.03336818892421</x:v>
      </x:c>
    </x:row>
    <x:row r="1075" ht="24" customHeight="1">
      <x:c r="C1075" s="274" t="d">
        <x:v>2026-01-07T00:00:00.000Z</x:v>
      </x:c>
      <x:c r="D1075" s="191" t="n">
        <x:v>483.4700012207031</x:v>
      </x:c>
      <x:c r="E1075" s="191" t="n">
        <x:v>480.422119140625</x:v>
      </x:c>
      <x:c r="F1075" s="191" t="n">
        <x:v>689.5800170898438</x:v>
      </x:c>
      <x:c r="G1075" s="191" t="n">
        <x:v>684.2356567382812</x:v>
      </x:c>
      <x:c r="H1075" s="208" t="n">
        <x:f>E1075/E1074-1</x:f>
        <x:v>0.010365466381806243</x:v>
      </x:c>
      <x:c r="I1075" s="208" t="n">
        <x:f>G1075/G1074-1</x:f>
        <x:v>-0.0032234143669693793</x:v>
      </x:c>
      <x:c r="J1075" s="208" t="n">
        <x:f>'Beta HC3'!$E$13+'Beta HC3'!$E$12*I1075</x:f>
        <x:v>-0.0036262731461265607</x:v>
      </x:c>
      <x:c r="K1075" s="240" t="n">
        <x:f>H1075-J1075</x:f>
        <x:v>0.013991739527932805</x:v>
      </x:c>
      <x:c r="L1075" s="240" t="n">
        <x:f>I1075-'Beta HC3'!$E$9</x:f>
        <x:v>-0.0037873619846298186</x:v>
      </x:c>
      <x:c r="M1075" s="240" t="n">
        <x:f>1/'Beta HC3'!$E$8+L1075^2/'Beta HC3'!$E$11</x:f>
        <x:v>0.0008949041624941042</x:v>
      </x:c>
      <x:c r="N1075" s="240" t="n">
        <x:f>K1075^2/(1-M1075)^2</x:f>
        <x:v>0.00019611963450896723</x:v>
      </x:c>
      <x:c r="O1075" s="240" t="n">
        <x:f>N1075*L1075^2/'Beta HC3'!$E$11^2</x:f>
        <x:v>1.315556271687493e-7</x:v>
      </x:c>
      <x:c r="P1075" s="240" t="n">
        <x:f>N1075*(1/'Beta HC3'!$E$8-'Beta HC3'!$E$9*L1075/'Beta HC3'!$E$11)^2</x:f>
        <x:v>1.2912526073978358e-10</x:v>
      </x:c>
      <x:c r="Q1075" s="240" t="n">
        <x:f>N1075*(1/'Beta HC3'!$E$8-'Beta HC3'!$E$9*L1075/'Beta HC3'!$E$11)*L1075/'Beta HC3'!$E$11</x:f>
        <x:v>-4.121547604959879e-9</x:v>
      </x:c>
      <x:c r="R1075" s="240" t="n">
        <x:f>K1075*L1075/'Beta HC3'!$E$11</x:f>
        <x:v>-0.0003623813918633555</x:v>
      </x:c>
      <x:c r="S1075" s="240" t="n">
        <x:f>(K1075-K1074)^2</x:f>
        <x:v>0.00007635669584734974</x:v>
      </x:c>
      <x:c r="T1075" s="280" t="n">
        <x:f>E1075/$E$9*100</x:f>
        <x:v>169.7751124179082</x:v>
      </x:c>
    </x:row>
    <x:row r="1076" ht="24" customHeight="1">
      <x:c r="C1076" s="274" t="d">
        <x:v>2026-01-08T00:00:00.000Z</x:v>
      </x:c>
      <x:c r="D1076" s="191" t="n">
        <x:v>478.1099853515625</x:v>
      </x:c>
      <x:c r="E1076" s="191" t="n">
        <x:v>475.09588623046875</x:v>
      </x:c>
      <x:c r="F1076" s="191" t="n">
        <x:v>689.510009765625</x:v>
      </x:c>
      <x:c r="G1076" s="191" t="n">
        <x:v>684.1661987304688</x:v>
      </x:c>
      <x:c r="H1076" s="208" t="n">
        <x:f>E1076/E1075-1</x:f>
        <x:v>-0.011086568869234759</x:v>
      </x:c>
      <x:c r="I1076" s="208" t="n">
        <x:f>G1076/G1075-1</x:f>
        <x:v>-0.00010151182144413351</x:v>
      </x:c>
      <x:c r="J1076" s="208" t="n">
        <x:f>'Beta HC3'!$E$13+'Beta HC3'!$E$12*I1076</x:f>
        <x:v>-0.00010535482253378951</x:v>
      </x:c>
      <x:c r="K1076" s="240" t="n">
        <x:f>H1076-J1076</x:f>
        <x:v>-0.010981214046700969</x:v>
      </x:c>
      <x:c r="L1076" s="240" t="n">
        <x:f>I1076-'Beta HC3'!$E$9</x:f>
        <x:v>-0.0006654594391045729</x:v>
      </x:c>
      <x:c r="M1076" s="240" t="n">
        <x:f>1/'Beta HC3'!$E$8+L1076^2/'Beta HC3'!$E$11</x:f>
        <x:v>0.0007998410604682098</x:v>
      </x:c>
      <x:c r="N1076" s="240" t="n">
        <x:f>K1076^2/(1-M1076)^2</x:f>
        <x:v>0.00012078019458869666</x:v>
      </x:c>
      <x:c r="O1076" s="240" t="n">
        <x:f>N1076*L1076^2/'Beta HC3'!$E$11^2</x:f>
        <x:v>2.501229988586187e-9</x:v>
      </x:c>
      <x:c r="P1076" s="240" t="n">
        <x:f>N1076*(1/'Beta HC3'!$E$8-'Beta HC3'!$E$9*L1076/'Beta HC3'!$E$11)^2</x:f>
        <x:v>7.717938512119492e-11</x:v>
      </x:c>
      <x:c r="Q1076" s="240" t="n">
        <x:f>N1076*(1/'Beta HC3'!$E$8-'Beta HC3'!$E$9*L1076/'Beta HC3'!$E$11)*L1076/'Beta HC3'!$E$11</x:f>
        <x:v>-4.393670362757945e-10</x:v>
      </x:c>
      <x:c r="R1076" s="240" t="n">
        <x:f>K1076*L1076/'Beta HC3'!$E$11</x:f>
        <x:v>0.000049972296483594594</x:v>
      </x:c>
      <x:c r="S1076" s="240" t="n">
        <x:f>(K1076-K1075)^2</x:f>
        <x:v>0.0006236484102408137</x:v>
      </x:c>
      <x:c r="T1076" s="280" t="n">
        <x:f>E1076/$E$9*100</x:f>
        <x:v>167.89288894180496</x:v>
      </x:c>
    </x:row>
    <x:row r="1077" ht="24" customHeight="1">
      <x:c r="C1077" s="274" t="d">
        <x:v>2026-01-09T00:00:00.000Z</x:v>
      </x:c>
      <x:c r="D1077" s="191" t="n">
        <x:v>479.2799987792969</x:v>
      </x:c>
      <x:c r="E1077" s="191" t="n">
        <x:v>476.2585144042969</x:v>
      </x:c>
      <x:c r="F1077" s="191" t="n">
        <x:v>694.0700073242188</x:v>
      </x:c>
      <x:c r="G1077" s="191" t="n">
        <x:v>688.6908569335938</x:v>
      </x:c>
      <x:c r="H1077" s="208" t="n">
        <x:f>E1077/E1076-1</x:f>
        <x:v>0.0024471442660822795</x:v>
      </x:c>
      <x:c r="I1077" s="208" t="n">
        <x:f>G1077/G1076-1</x:f>
        <x:v>0.006613390447410161</x:v>
      </x:c>
      <x:c r="J1077" s="208" t="n">
        <x:f>'Beta HC3'!$E$13+'Beta HC3'!$E$12*I1077</x:f>
        <x:v>0.007467790749685216</x:v>
      </x:c>
      <x:c r="K1077" s="240" t="n">
        <x:f>H1077-J1077</x:f>
        <x:v>-0.0050206464836029365</x:v>
      </x:c>
      <x:c r="L1077" s="240" t="n">
        <x:f>I1077-'Beta HC3'!$E$9</x:f>
        <x:v>0.0060494428297497215</x:v>
      </x:c>
      <x:c r="M1077" s="240" t="n">
        <x:f>1/'Beta HC3'!$E$8+L1077^2/'Beta HC3'!$E$11</x:f>
        <x:v>0.0010470708328510108</x:v>
      </x:c>
      <x:c r="N1077" s="240" t="n">
        <x:f>K1077^2/(1-M1077)^2</x:f>
        <x:v>0.000025259760937435258</x:v>
      </x:c>
      <x:c r="O1077" s="240" t="n">
        <x:f>N1077*L1077^2/'Beta HC3'!$E$11^2</x:f>
        <x:v>4.3228952531019176e-8</x:v>
      </x:c>
      <x:c r="P1077" s="240" t="n">
        <x:f>N1077*(1/'Beta HC3'!$E$8-'Beta HC3'!$E$9*L1077/'Beta HC3'!$E$11)^2</x:f>
        <x:v>1.5112304485334895e-11</x:v>
      </x:c>
      <x:c r="Q1077" s="240" t="n">
        <x:f>N1077*(1/'Beta HC3'!$E$8-'Beta HC3'!$E$9*L1077/'Beta HC3'!$E$11)*L1077/'Beta HC3'!$E$11</x:f>
        <x:v>8.082630099360296e-10</x:v>
      </x:c>
      <x:c r="R1077" s="240" t="n">
        <x:f>K1077*L1077/'Beta HC3'!$E$11</x:f>
        <x:v>-0.00020769803170646138</x:v>
      </x:c>
      <x:c r="S1077" s="240" t="n">
        <x:f>(K1077-K1076)^2</x:f>
        <x:v>0.00003552836567425642</x:v>
      </x:c>
      <x:c r="T1077" s="280" t="n">
        <x:f>E1077/$E$9*100</x:f>
        <x:v>168.30374706229486</x:v>
      </x:c>
    </x:row>
    <x:row r="1078" ht="24" customHeight="1">
      <x:c r="C1078" s="274" t="d">
        <x:v>2026-01-12T00:00:00.000Z</x:v>
      </x:c>
      <x:c r="D1078" s="191" t="n">
        <x:v>477.17999267578125</x:v>
      </x:c>
      <x:c r="E1078" s="191" t="n">
        <x:v>474.1717529296875</x:v>
      </x:c>
      <x:c r="F1078" s="191" t="n">
        <x:v>695.1599731445312</x:v>
      </x:c>
      <x:c r="G1078" s="191" t="n">
        <x:v>689.7723999023438</x:v>
      </x:c>
      <x:c r="H1078" s="208" t="n">
        <x:f>E1078/E1077-1</x:f>
        <x:v>-0.004381573056430277</x:v>
      </x:c>
      <x:c r="I1078" s="208" t="n">
        <x:f>G1078/G1077-1</x:f>
        <x:v>0.0015704331745678424</x:v>
      </x:c>
      <x:c r="J1078" s="208" t="n">
        <x:f>'Beta HC3'!$E$13+'Beta HC3'!$E$12*I1078</x:f>
        <x:v>0.001780284362755828</x:v>
      </x:c>
      <x:c r="K1078" s="240" t="n">
        <x:f>H1078-J1078</x:f>
        <x:v>-0.006161857419186105</x:v>
      </x:c>
      <x:c r="L1078" s="240" t="n">
        <x:f>I1078-'Beta HC3'!$E$9</x:f>
        <x:v>0.0010064855569074031</x:v>
      </x:c>
      <x:c r="M1078" s="240" t="n">
        <x:f>1/'Beta HC3'!$E$8+L1078^2/'Beta HC3'!$E$11</x:f>
        <x:v>0.0008037401839430415</x:v>
      </x:c>
      <x:c r="N1078" s="240" t="n">
        <x:f>K1078^2/(1-M1078)^2</x:f>
        <x:v>0.00003802959411326208</x:v>
      </x:c>
      <x:c r="O1078" s="240" t="n">
        <x:f>N1078*L1078^2/'Beta HC3'!$E$11^2</x:f>
        <x:v>1.8015715184077143e-9</x:v>
      </x:c>
      <x:c r="P1078" s="240" t="n">
        <x:f>N1078*(1/'Beta HC3'!$E$8-'Beta HC3'!$E$9*L1078/'Beta HC3'!$E$11)^2</x:f>
        <x:v>2.3910723494767332e-11</x:v>
      </x:c>
      <x:c r="Q1078" s="240" t="n">
        <x:f>N1078*(1/'Beta HC3'!$E$8-'Beta HC3'!$E$9*L1078/'Beta HC3'!$E$11)*L1078/'Beta HC3'!$E$11</x:f>
        <x:v>2.075497011144439e-10</x:v>
      </x:c>
      <x:c r="R1078" s="240" t="n">
        <x:f>K1078*L1078/'Beta HC3'!$E$11</x:f>
        <x:v>-0.00004241080866209273</x:v>
      </x:c>
      <x:c r="S1078" s="240" t="n">
        <x:f>(K1078-K1077)^2</x:f>
        <x:v>0.0000013023623994946104</x:v>
      </x:c>
      <x:c r="T1078" s="280" t="n">
        <x:f>E1078/$E$9*100</x:f>
        <x:v>167.56631189887048</x:v>
      </x:c>
    </x:row>
    <x:row r="1079" ht="24" customHeight="1">
      <x:c r="C1079" s="274" t="d">
        <x:v>2026-01-13T00:00:00.000Z</x:v>
      </x:c>
      <x:c r="D1079" s="191" t="n">
        <x:v>470.6700134277344</x:v>
      </x:c>
      <x:c r="E1079" s="191" t="n">
        <x:v>467.70281982421875</x:v>
      </x:c>
      <x:c r="F1079" s="191" t="n">
        <x:v>693.77001953125</x:v>
      </x:c>
      <x:c r="G1079" s="191" t="n">
        <x:v>688.3931884765625</x:v>
      </x:c>
      <x:c r="H1079" s="208" t="n">
        <x:f>E1079/E1078-1</x:f>
        <x:v>-0.013642594830881816</x:v>
      </x:c>
      <x:c r="I1079" s="208" t="n">
        <x:f>G1079/G1078-1</x:f>
        <x:v>-0.001999516689819014</x:v>
      </x:c>
      <x:c r="J1079" s="208" t="n">
        <x:f>'Beta HC3'!$E$13+'Beta HC3'!$E$12*I1079</x:f>
        <x:v>-0.0022459469844858105</x:v>
      </x:c>
      <x:c r="K1079" s="240" t="n">
        <x:f>H1079-J1079</x:f>
        <x:v>-0.011396647846396005</x:v>
      </x:c>
      <x:c r="L1079" s="240" t="n">
        <x:f>I1079-'Beta HC3'!$E$9</x:f>
        <x:v>-0.0025634643074794535</x:v>
      </x:c>
      <x:c r="M1079" s="240" t="n">
        <x:f>1/'Beta HC3'!$E$8+L1079^2/'Beta HC3'!$E$11</x:f>
        <x:v>0.0008417505597822747</x:v>
      </x:c>
      <x:c r="N1079" s="240" t="n">
        <x:f>K1079^2/(1-M1079)^2</x:f>
        <x:v>0.0001301025176855856</x:v>
      </x:c>
      <x:c r="O1079" s="240" t="n">
        <x:f>N1079*L1079^2/'Beta HC3'!$E$11^2</x:f>
        <x:v>3.998112161934072e-8</x:v>
      </x:c>
      <x:c r="P1079" s="240" t="n">
        <x:f>N1079*(1/'Beta HC3'!$E$8-'Beta HC3'!$E$9*L1079/'Beta HC3'!$E$11)^2</x:f>
        <x:v>8.466590137973632e-11</x:v>
      </x:c>
      <x:c r="Q1079" s="240" t="n">
        <x:f>N1079*(1/'Beta HC3'!$E$8-'Beta HC3'!$E$9*L1079/'Beta HC3'!$E$11)*L1079/'Beta HC3'!$E$11</x:f>
        <x:v>-1.8398471947622021e-9</x:v>
      </x:c>
      <x:c r="R1079" s="240" t="n">
        <x:f>K1079*L1079/'Beta HC3'!$E$11</x:f>
        <x:v>0.00019978448809834348</x:v>
      </x:c>
      <x:c r="S1079" s="240" t="n">
        <x:f>(K1079-K1078)^2</x:f>
        <x:v>0.000027403030816808407</x:v>
      </x:c>
      <x:c r="T1079" s="280" t="n">
        <x:f>E1079/$E$9*100</x:f>
        <x:v>165.280272598329</x:v>
      </x:c>
    </x:row>
    <x:row r="1080" ht="24" customHeight="1">
      <x:c r="C1080" s="274" t="d">
        <x:v>2026-01-14T00:00:00.000Z</x:v>
      </x:c>
      <x:c r="D1080" s="191" t="n">
        <x:v>459.3800048828125</x:v>
      </x:c>
      <x:c r="E1080" s="191" t="n">
        <x:v>456.4839782714844</x:v>
      </x:c>
      <x:c r="F1080" s="191" t="n">
        <x:v>690.3599853515625</x:v>
      </x:c>
      <x:c r="G1080" s="191" t="n">
        <x:v>685.0095825195312</x:v>
      </x:c>
      <x:c r="H1080" s="208" t="n">
        <x:f>E1080/E1079-1</x:f>
        <x:v>-0.023987115487032695</x:v>
      </x:c>
      <x:c r="I1080" s="208" t="n">
        <x:f>G1080/G1079-1</x:f>
        <x:v>-0.004915222889580462</x:v>
      </x:c>
      <x:c r="J1080" s="208" t="n">
        <x:f>'Beta HC3'!$E$13+'Beta HC3'!$E$12*I1080</x:f>
        <x:v>-0.005534314649795467</x:v>
      </x:c>
      <x:c r="K1080" s="240" t="n">
        <x:f>H1080-J1080</x:f>
        <x:v>-0.01845280083723723</x:v>
      </x:c>
      <x:c r="L1080" s="240" t="n">
        <x:f>I1080-'Beta HC3'!$E$9</x:f>
        <x:v>-0.005479170507240901</x:v>
      </x:c>
      <x:c r="M1080" s="240" t="n">
        <x:f>1/'Beta HC3'!$E$8+L1080^2/'Beta HC3'!$E$11</x:f>
        <x:v>0.0010021118239375015</x:v>
      </x:c>
      <x:c r="N1080" s="240" t="n">
        <x:f>K1080^2/(1-M1080)^2</x:f>
        <x:v>0.00034118933584211946</x:v>
      </x:c>
      <x:c r="O1080" s="240" t="n">
        <x:f>N1080*L1080^2/'Beta HC3'!$E$11^2</x:f>
        <x:v>4.790047304519883e-7</x:v>
      </x:c>
      <x:c r="P1080" s="240" t="n">
        <x:f>N1080*(1/'Beta HC3'!$E$8-'Beta HC3'!$E$9*L1080/'Beta HC3'!$E$11)^2</x:f>
        <x:v>2.2826632842093012e-10</x:v>
      </x:c>
      <x:c r="Q1080" s="240" t="n">
        <x:f>N1080*(1/'Beta HC3'!$E$8-'Beta HC3'!$E$9*L1080/'Beta HC3'!$E$11)*L1080/'Beta HC3'!$E$11</x:f>
        <x:v>-1.04566080119957e-8</x:v>
      </x:c>
      <x:c r="R1080" s="240" t="n">
        <x:f>K1080*L1080/'Beta HC3'!$E$11</x:f>
        <x:v>0.0006914081131096067</x:v>
      </x:c>
      <x:c r="S1080" s="240" t="n">
        <x:f>(K1080-K1079)^2</x:f>
        <x:v>0.00004978929503015756</x:v>
      </x:c>
      <x:c r="T1080" s="280" t="n">
        <x:f>E1080/$E$9*100</x:f>
        <x:v>161.31567561178463</x:v>
      </x:c>
    </x:row>
    <x:row r="1081" ht="24" customHeight="1">
      <x:c r="C1081" s="274" t="d">
        <x:v>2026-01-15T00:00:00.000Z</x:v>
      </x:c>
      <x:c r="D1081" s="191" t="n">
        <x:v>456.6600036621094</x:v>
      </x:c>
      <x:c r="E1081" s="191" t="n">
        <x:v>453.7811279296875</x:v>
      </x:c>
      <x:c r="F1081" s="191" t="n">
        <x:v>692.239990234375</x:v>
      </x:c>
      <x:c r="G1081" s="191" t="n">
        <x:v>686.8750610351562</x:v>
      </x:c>
      <x:c r="H1081" s="208" t="n">
        <x:f>E1081/E1080-1</x:f>
        <x:v>-0.005921019072852141</x:v>
      </x:c>
      <x:c r="I1081" s="208" t="n">
        <x:f>G1081/G1080-1</x:f>
        <x:v>0.0027232882038870088</x:v>
      </x:c>
      <x:c r="J1081" s="208" t="n">
        <x:f>'Beta HC3'!$E$13+'Beta HC3'!$E$12*I1081</x:f>
        <x:v>0.0030804877925502735</x:v>
      </x:c>
      <x:c r="K1081" s="240" t="n">
        <x:f>H1081-J1081</x:f>
        <x:v>-0.009001506865402414</x:v>
      </x:c>
      <x:c r="L1081" s="240" t="n">
        <x:f>I1081-'Beta HC3'!$E$9</x:f>
        <x:v>0.0021593405862265695</x:v>
      </x:c>
      <x:c r="M1081" s="240" t="n">
        <x:f>1/'Beta HC3'!$E$8+L1081^2/'Beta HC3'!$E$11</x:f>
        <x:v>0.0008286987207385988</x:v>
      </x:c>
      <x:c r="N1081" s="240" t="n">
        <x:f>K1081^2/(1-M1081)^2</x:f>
        <x:v>0.00008116158711768615</x:v>
      </x:c>
      <x:c r="O1081" s="240" t="n">
        <x:f>N1081*L1081^2/'Beta HC3'!$E$11^2</x:f>
        <x:v>1.769732185319967e-8</x:v>
      </x:c>
      <x:c r="P1081" s="240" t="n">
        <x:f>N1081*(1/'Beta HC3'!$E$8-'Beta HC3'!$E$9*L1081/'Beta HC3'!$E$11)^2</x:f>
        <x:v>5.045888171850651e-11</x:v>
      </x:c>
      <x:c r="Q1081" s="240" t="n">
        <x:f>N1081*(1/'Beta HC3'!$E$8-'Beta HC3'!$E$9*L1081/'Beta HC3'!$E$11)*L1081/'Beta HC3'!$E$11</x:f>
        <x:v>9.44979931069937e-10</x:v>
      </x:c>
      <x:c r="R1081" s="240" t="n">
        <x:f>K1081*L1081/'Beta HC3'!$E$11</x:f>
        <x:v>-0.00013292103863093218</x:v>
      </x:c>
      <x:c r="S1081" s="240" t="n">
        <x:f>(K1081-K1080)^2</x:f>
        <x:v>0.00008932695774204112</x:v>
      </x:c>
      <x:c r="T1081" s="280" t="n">
        <x:f>E1081/$E$9*100</x:f>
        <x:v>160.36052241973724</x:v>
      </x:c>
    </x:row>
    <x:row r="1082" ht="24" customHeight="1">
      <x:c r="C1082" s="274" t="d">
        <x:v>2026-01-16T00:00:00.000Z</x:v>
      </x:c>
      <x:c r="D1082" s="191" t="n">
        <x:v>459.8599853515625</x:v>
      </x:c>
      <x:c r="E1082" s="191" t="n">
        <x:v>456.9609375</x:v>
      </x:c>
      <x:c r="F1082" s="191" t="n">
        <x:v>691.6599731445312</x:v>
      </x:c>
      <x:c r="G1082" s="191" t="n">
        <x:v>686.2994995117188</x:v>
      </x:c>
      <x:c r="H1082" s="208" t="n">
        <x:f>E1082/E1081-1</x:f>
        <x:v>0.007007364067386224</x:v>
      </x:c>
      <x:c r="I1082" s="208" t="n">
        <x:f>G1082/G1081-1</x:f>
        <x:v>-0.0008379420888714462</x:v>
      </x:c>
      <x:c r="J1082" s="208" t="n">
        <x:f>'Beta HC3'!$E$13+'Beta HC3'!$E$12*I1082</x:f>
        <x:v>-0.0009359095194924367</x:v>
      </x:c>
      <x:c r="K1082" s="240" t="n">
        <x:f>H1082-J1082</x:f>
        <x:v>0.007943273586878661</x:v>
      </x:c>
      <x:c r="L1082" s="240" t="n">
        <x:f>I1082-'Beta HC3'!$E$9</x:f>
        <x:v>-0.0014018897065318854</x:v>
      </x:c>
      <x:c r="M1082" s="240" t="n">
        <x:f>1/'Beta HC3'!$E$8+L1082^2/'Beta HC3'!$E$11</x:f>
        <x:v>0.0008102523091506049</x:v>
      </x:c>
      <x:c r="N1082" s="240" t="n">
        <x:f>K1082^2/(1-M1082)^2</x:f>
        <x:v>0.00006319796638237271</x:v>
      </x:c>
      <x:c r="O1082" s="240" t="n">
        <x:f>N1082*L1082^2/'Beta HC3'!$E$11^2</x:f>
        <x:v>5.8082529304172734e-9</x:v>
      </x:c>
      <x:c r="P1082" s="240" t="n">
        <x:f>N1082*(1/'Beta HC3'!$E$8-'Beta HC3'!$E$9*L1082/'Beta HC3'!$E$11)^2</x:f>
        <x:v>4.0671405109884906e-11</x:v>
      </x:c>
      <x:c r="Q1082" s="240" t="n">
        <x:f>N1082*(1/'Beta HC3'!$E$8-'Beta HC3'!$E$9*L1082/'Beta HC3'!$E$11)*L1082/'Beta HC3'!$E$11</x:f>
        <x:v>-4.860347805596603e-10</x:v>
      </x:c>
      <x:c r="R1082" s="240" t="n">
        <x:f>K1082*L1082/'Beta HC3'!$E$11</x:f>
        <x:v>-0.00007615014407660998</x:v>
      </x:c>
      <x:c r="S1082" s="240" t="n">
        <x:f>(K1082-K1081)^2</x:f>
        <x:v>0.0002871255845760068</x:v>
      </x:c>
      <x:c r="T1082" s="280" t="n">
        <x:f>E1082/$E$9*100</x:f>
        <x:v>161.4842269823686</x:v>
      </x:c>
    </x:row>
    <x:row r="1083" ht="24" customHeight="1">
      <x:c r="C1083" s="274" t="d">
        <x:v>2026-01-20T00:00:00.000Z</x:v>
      </x:c>
      <x:c r="D1083" s="191" t="n">
        <x:v>454.5199890136719</x:v>
      </x:c>
      <x:c r="E1083" s="191" t="n">
        <x:v>451.6546325683594</x:v>
      </x:c>
      <x:c r="F1083" s="191" t="n">
        <x:v>677.5800170898438</x:v>
      </x:c>
      <x:c r="G1083" s="191" t="n">
        <x:v>672.32861328125</x:v>
      </x:c>
      <x:c r="H1083" s="208" t="n">
        <x:f>E1083/E1082-1</x:f>
        <x:v>-0.011612163089193217</x:v>
      </x:c>
      <x:c r="I1083" s="208" t="n">
        <x:f>G1083/G1082-1</x:f>
        <x:v>-0.020356835813531315</x:v>
      </x:c>
      <x:c r="J1083" s="208" t="n">
        <x:f>'Beta HC3'!$E$13+'Beta HC3'!$E$12*I1083</x:f>
        <x:v>-0.022949546899019384</x:v>
      </x:c>
      <x:c r="K1083" s="240" t="n">
        <x:f>H1083-J1083</x:f>
        <x:v>0.011337383809826167</x:v>
      </x:c>
      <x:c r="L1083" s="240" t="n">
        <x:f>I1083-'Beta HC3'!$E$9</x:f>
        <x:v>-0.020920783431191754</x:v>
      </x:c>
      <x:c r="M1083" s="240" t="n">
        <x:f>1/'Beta HC3'!$E$8+L1083^2/'Beta HC3'!$E$11</x:f>
        <x:v>0.0037898577659341024</x:v>
      </x:c>
      <x:c r="N1083" s="240" t="n">
        <x:f>K1083^2/(1-M1083)^2</x:f>
        <x:v>0.00012951610665386544</x:v>
      </x:c>
      <x:c r="O1083" s="240" t="n">
        <x:f>N1083*L1083^2/'Beta HC3'!$E$11^2</x:f>
        <x:v>0.000002650906384200371</x:v>
      </x:c>
      <x:c r="P1083" s="240" t="n">
        <x:f>N1083*(1/'Beta HC3'!$E$8-'Beta HC3'!$E$9*L1083/'Beta HC3'!$E$11)^2</x:f>
        <x:v>9.97269089439189e-11</x:v>
      </x:c>
      <x:c r="Q1083" s="240" t="n">
        <x:f>N1083*(1/'Beta HC3'!$E$8-'Beta HC3'!$E$9*L1083/'Beta HC3'!$E$11)*L1083/'Beta HC3'!$E$11</x:f>
        <x:v>-1.6259357293448094e-8</x:v>
      </x:c>
      <x:c r="R1083" s="240" t="n">
        <x:f>K1083*L1083/'Beta HC3'!$E$11</x:f>
        <x:v>-0.0016219899330553607</x:v>
      </x:c>
      <x:c r="S1083" s="240" t="n">
        <x:f>(K1083-K1082)^2</x:f>
        <x:v>0.000011519984205516772</x:v>
      </x:c>
      <x:c r="T1083" s="280" t="n">
        <x:f>E1083/$E$9*100</x:f>
        <x:v>159.60904580231704</x:v>
      </x:c>
    </x:row>
    <x:row r="1084" ht="24" customHeight="1">
      <x:c r="C1084" s="274" t="d">
        <x:v>2026-01-21T00:00:00.000Z</x:v>
      </x:c>
      <x:c r="D1084" s="191" t="n">
        <x:v>444.1099853515625</x:v>
      </x:c>
      <x:c r="E1084" s="191" t="n">
        <x:v>441.31024169921875</x:v>
      </x:c>
      <x:c r="F1084" s="191" t="n">
        <x:v>685.4000244140625</x:v>
      </x:c>
      <x:c r="G1084" s="191" t="n">
        <x:v>680.0880737304688</x:v>
      </x:c>
      <x:c r="H1084" s="208" t="n">
        <x:f>E1084/E1083-1</x:f>
        <x:v>-0.022903320641961877</x:v>
      </x:c>
      <x:c r="I1084" s="208" t="n">
        <x:f>G1084/G1083-1</x:f>
        <x:v>0.011541172420654888</x:v>
      </x:c>
      <x:c r="J1084" s="208" t="n">
        <x:f>'Beta HC3'!$E$13+'Beta HC3'!$E$12*I1084</x:f>
        <x:v>0.013025401082248748</x:v>
      </x:c>
      <x:c r="K1084" s="240" t="n">
        <x:f>H1084-J1084</x:f>
        <x:v>-0.035928721724210626</x:v>
      </x:c>
      <x:c r="L1084" s="240" t="n">
        <x:f>I1084-'Beta HC3'!$E$9</x:f>
        <x:v>0.01097722480299445</x:v>
      </x:c>
      <x:c r="M1084" s="240" t="n">
        <x:f>1/'Beta HC3'!$E$8+L1084^2/'Beta HC3'!$E$11</x:f>
        <x:v>0.0016208417144825994</x:v>
      </x:c>
      <x:c r="N1084" s="240" t="n">
        <x:f>K1084^2/(1-M1084)^2</x:f>
        <x:v>0.0012950678423910155</x:v>
      </x:c>
      <x:c r="O1084" s="240" t="n">
        <x:f>N1084*L1084^2/'Beta HC3'!$E$11^2</x:f>
        <x:v>0.000007297806751289724</x:v>
      </x:c>
      <x:c r="P1084" s="240" t="n">
        <x:f>N1084*(1/'Beta HC3'!$E$8-'Beta HC3'!$E$9*L1084/'Beta HC3'!$E$11)^2</x:f>
        <x:v>7.372021830759911e-10</x:v>
      </x:c>
      <x:c r="Q1084" s="240" t="n">
        <x:f>N1084*(1/'Beta HC3'!$E$8-'Beta HC3'!$E$9*L1084/'Beta HC3'!$E$11)*L1084/'Beta HC3'!$E$11</x:f>
        <x:v>7.334820426375476e-8</x:v>
      </x:c>
      <x:c r="R1084" s="240" t="n">
        <x:f>K1084*L1084/'Beta HC3'!$E$11</x:f>
        <x:v>-0.002697066692602861</x:v>
      </x:c>
      <x:c r="S1084" s="240" t="n">
        <x:f>(K1084-K1083)^2</x:f>
        <x:v>0.0022340847323547033</x:v>
      </x:c>
      <x:c r="T1084" s="280" t="n">
        <x:f>E1084/$E$9*100</x:f>
        <x:v>155.95346864894898</x:v>
      </x:c>
    </x:row>
    <x:row r="1085" ht="24" customHeight="1">
      <x:c r="C1085" s="274" t="d">
        <x:v>2026-01-22T00:00:00.000Z</x:v>
      </x:c>
      <x:c r="D1085" s="191" t="n">
        <x:v>451.1400146484375</x:v>
      </x:c>
      <x:c r="E1085" s="191" t="n">
        <x:v>448.2959289550781</x:v>
      </x:c>
      <x:c r="F1085" s="191" t="n">
        <x:v>688.97998046875</x:v>
      </x:c>
      <x:c r="G1085" s="191" t="n">
        <x:v>683.6403198242188</x:v>
      </x:c>
      <x:c r="H1085" s="208" t="n">
        <x:f>E1085/E1084-1</x:f>
        <x:v>0.015829424735219755</x:v>
      </x:c>
      <x:c r="I1085" s="208" t="n">
        <x:f>G1085/G1084-1</x:f>
        <x:v>0.005223214802554832</x:v>
      </x:c>
      <x:c r="J1085" s="208" t="n">
        <x:f>'Beta HC3'!$E$13+'Beta HC3'!$E$12*I1085</x:f>
        <x:v>0.005899934344942763</x:v>
      </x:c>
      <x:c r="K1085" s="240" t="n">
        <x:f>H1085-J1085</x:f>
        <x:v>0.009929490390276992</x:v>
      </x:c>
      <x:c r="L1085" s="240" t="n">
        <x:f>I1085-'Beta HC3'!$E$9</x:f>
        <x:v>0.004659267184894392</x:v>
      </x:c>
      <x:c r="M1085" s="240" t="n">
        <x:f>1/'Beta HC3'!$E$8+L1085^2/'Beta HC3'!$E$11</x:f>
        <x:v>0.0009452669845031974</x:v>
      </x:c>
      <x:c r="N1085" s="240" t="n">
        <x:f>K1085^2/(1-M1085)^2</x:f>
        <x:v>0.00009878144081582442</x:v>
      </x:c>
      <x:c r="O1085" s="240" t="n">
        <x:f>N1085*L1085^2/'Beta HC3'!$E$11^2</x:f>
        <x:v>1.002825365945914e-7</x:v>
      </x:c>
      <x:c r="P1085" s="240" t="n">
        <x:f>N1085*(1/'Beta HC3'!$E$8-'Beta HC3'!$E$9*L1085/'Beta HC3'!$E$11)^2</x:f>
        <x:v>5.992064819274685e-11</x:v>
      </x:c>
      <x:c r="Q1085" s="240" t="n">
        <x:f>N1085*(1/'Beta HC3'!$E$8-'Beta HC3'!$E$9*L1085/'Beta HC3'!$E$11)*L1085/'Beta HC3'!$E$11</x:f>
        <x:v>2.451325069255559e-9</x:v>
      </x:c>
      <x:c r="R1085" s="240" t="n">
        <x:f>K1085*L1085/'Beta HC3'!$E$11</x:f>
        <x:v>0.00031637483885113755</x:v>
      </x:c>
      <x:c r="S1085" s="240" t="n">
        <x:f>(K1085-K1084)^2</x:f>
        <x:v>0.0021029756183373388</x:v>
      </x:c>
      <x:c r="T1085" s="280" t="n">
        <x:f>E1085/$E$9*100</x:f>
        <x:v>158.42212234312396</x:v>
      </x:c>
    </x:row>
    <x:row r="1086" ht="24" customHeight="1">
      <x:c r="C1086" s="274" t="d">
        <x:v>2026-01-23T00:00:00.000Z</x:v>
      </x:c>
      <x:c r="D1086" s="191" t="n">
        <x:v>465.95001220703125</x:v>
      </x:c>
      <x:c r="E1086" s="191" t="n">
        <x:v>463.0125732421875</x:v>
      </x:c>
      <x:c r="F1086" s="191" t="n">
        <x:v>689.22998046875</x:v>
      </x:c>
      <x:c r="G1086" s="191" t="n">
        <x:v>683.8883056640625</x:v>
      </x:c>
      <x:c r="H1086" s="208" t="n">
        <x:f>E1086/E1085-1</x:f>
        <x:v>0.03282796772527474</x:v>
      </x:c>
      <x:c r="I1086" s="208" t="n">
        <x:f>G1086/G1085-1</x:f>
        <x:v>0.00036274314526618667</x:v>
      </x:c>
      <x:c r="J1086" s="208" t="n">
        <x:f>'Beta HC3'!$E$13+'Beta HC3'!$E$12*I1086</x:f>
        <x:v>0.00041823737654118307</x:v>
      </x:c>
      <x:c r="K1086" s="240" t="n">
        <x:f>H1086-J1086</x:f>
        <x:v>0.03240973034873356</x:v>
      </x:c>
      <x:c r="L1086" s="240" t="n">
        <x:f>I1086-'Beta HC3'!$E$9</x:f>
        <x:v>-0.0002012044723942527</x:v>
      </x:c>
      <x:c r="M1086" s="240" t="n">
        <x:f>1/'Beta HC3'!$E$8+L1086^2/'Beta HC3'!$E$11</x:f>
        <x:v>0.0007970895914141272</x:v>
      </x:c>
      <x:c r="N1086" s="240" t="n">
        <x:f>K1086^2/(1-M1086)^2</x:f>
        <x:v>0.0010520671363725977</x:v>
      </x:c>
      <x:c r="O1086" s="240" t="n">
        <x:f>N1086*L1086^2/'Beta HC3'!$E$11^2</x:f>
        <x:v>1.9917436331276777e-9</x:v>
      </x:c>
      <x:c r="P1086" s="240" t="n">
        <x:f>N1086*(1/'Beta HC3'!$E$8-'Beta HC3'!$E$9*L1086/'Beta HC3'!$E$11)^2</x:f>
        <x:v>6.692701235955831e-10</x:v>
      </x:c>
      <x:c r="Q1086" s="240" t="n">
        <x:f>N1086*(1/'Beta HC3'!$E$8-'Beta HC3'!$E$9*L1086/'Beta HC3'!$E$11)*L1086/'Beta HC3'!$E$11</x:f>
        <x:v>-1.1545624744958919e-9</x:v>
      </x:c>
      <x:c r="R1086" s="240" t="n">
        <x:f>K1086*L1086/'Beta HC3'!$E$11</x:f>
        <x:v>-0.000044593381822285586</x:v>
      </x:c>
      <x:c r="S1086" s="240" t="n">
        <x:f>(K1086-K1085)^2</x:f>
        <x:v>0.0005053611885897874</x:v>
      </x:c>
      <x:c r="T1086" s="280" t="n">
        <x:f>E1086/$E$9*100</x:f>
        <x:v>163.62279866237358</x:v>
      </x:c>
    </x:row>
    <x:row r="1087" ht="24" customHeight="1">
      <x:c r="C1087" s="274" t="d">
        <x:v>2026-01-26T00:00:00.000Z</x:v>
      </x:c>
      <x:c r="D1087" s="191" t="n">
        <x:v>470.2799987792969</x:v>
      </x:c>
      <x:c r="E1087" s="191" t="n">
        <x:v>467.3152770996094</x:v>
      </x:c>
      <x:c r="F1087" s="191" t="n">
        <x:v>692.72998046875</x:v>
      </x:c>
      <x:c r="G1087" s="191" t="n">
        <x:v>687.3612670898438</x:v>
      </x:c>
      <x:c r="H1087" s="208" t="n">
        <x:f>E1087/E1086-1</x:f>
        <x:v>0.00929284452750978</x:v>
      </x:c>
      <x:c r="I1087" s="208" t="n">
        <x:f>G1087/G1086-1</x:f>
        <x:v>0.005078258243367717</x:v>
      </x:c>
      <x:c r="J1087" s="208" t="n">
        <x:f>'Beta HC3'!$E$13+'Beta HC3'!$E$12*I1087</x:f>
        <x:v>0.005736450636555253</x:v>
      </x:c>
      <x:c r="K1087" s="240" t="n">
        <x:f>H1087-J1087</x:f>
        <x:v>0.0035563938909545277</x:v>
      </x:c>
      <x:c r="L1087" s="240" t="n">
        <x:f>I1087-'Beta HC3'!$E$9</x:f>
        <x:v>0.004514310625707277</x:v>
      </x:c>
      <x:c r="M1087" s="240" t="n">
        <x:f>1/'Beta HC3'!$E$8+L1087^2/'Beta HC3'!$E$11</x:f>
        <x:v>0.0009361734235517334</x:v>
      </x:c>
      <x:c r="N1087" s="240" t="n">
        <x:f>K1087^2/(1-M1087)^2</x:f>
        <x:v>0.000012671652129833608</x:v>
      </x:c>
      <x:c r="O1087" s="240" t="n">
        <x:f>N1087*L1087^2/'Beta HC3'!$E$11^2</x:f>
        <x:v>1.2076215185107896e-8</x:v>
      </x:c>
      <x:c r="P1087" s="240" t="n">
        <x:f>N1087*(1/'Beta HC3'!$E$8-'Beta HC3'!$E$9*L1087/'Beta HC3'!$E$11)^2</x:f>
        <x:v>7.697640223017173e-12</x:v>
      </x:c>
      <x:c r="Q1087" s="240" t="n">
        <x:f>N1087*(1/'Beta HC3'!$E$8-'Beta HC3'!$E$9*L1087/'Beta HC3'!$E$11)*L1087/'Beta HC3'!$E$11</x:f>
        <x:v>3.048907341174824e-10</x:v>
      </x:c>
      <x:c r="R1087" s="240" t="n">
        <x:f>K1087*L1087/'Beta HC3'!$E$11</x:f>
        <x:v>0.00010978895620929196</x:v>
      </x:c>
      <x:c r="S1087" s="240" t="n">
        <x:f>(K1087-K1086)^2</x:f>
        <x:v>0.0008325150247458007</x:v>
      </x:c>
      <x:c r="T1087" s="280" t="n">
        <x:f>E1087/$E$9*100</x:f>
        <x:v>165.14331989149903</x:v>
      </x:c>
    </x:row>
    <x:row r="1088" ht="24" customHeight="1">
      <x:c r="C1088" s="274" t="d">
        <x:v>2026-01-27T00:00:00.000Z</x:v>
      </x:c>
      <x:c r="D1088" s="191" t="n">
        <x:v>480.5799865722656</x:v>
      </x:c>
      <x:c r="E1088" s="191" t="n">
        <x:v>477.5503234863281</x:v>
      </x:c>
      <x:c r="F1088" s="191" t="n">
        <x:v>695.489990234375</x:v>
      </x:c>
      <x:c r="G1088" s="191" t="n">
        <x:v>690.0997924804688</x:v>
      </x:c>
      <x:c r="H1088" s="208" t="n">
        <x:f>E1088/E1087-1</x:f>
        <x:v>0.021901801392504305</x:v>
      </x:c>
      <x:c r="I1088" s="208" t="n">
        <x:f>G1088/G1087-1</x:f>
        <x:v>0.003984113626622321</x:v>
      </x:c>
      <x:c r="J1088" s="208" t="n">
        <x:f>'Beta HC3'!$E$13+'Beta HC3'!$E$12*I1088</x:f>
        <x:v>0.0045024614989759735</x:v>
      </x:c>
      <x:c r="K1088" s="240" t="n">
        <x:f>H1088-J1088</x:f>
        <x:v>0.01739933989352833</x:v>
      </x:c>
      <x:c r="L1088" s="240" t="n">
        <x:f>I1088-'Beta HC3'!$E$9</x:f>
        <x:v>0.0034201660089618817</x:v>
      </x:c>
      <x:c r="M1088" s="240" t="n">
        <x:f>1/'Beta HC3'!$E$8+L1088^2/'Beta HC3'!$E$11</x:f>
        <x:v>0.0008768057029183594</x:v>
      </x:c>
      <x:c r="N1088" s="240" t="n">
        <x:f>K1088^2/(1-M1088)^2</x:f>
        <x:v>0.0003032686108762495</x:v>
      </x:c>
      <x:c r="O1088" s="240" t="n">
        <x:f>N1088*L1088^2/'Beta HC3'!$E$11^2</x:f>
        <x:v>1.6589624565115243e-7</x:v>
      </x:c>
      <x:c r="P1088" s="240" t="n">
        <x:f>N1088*(1/'Beta HC3'!$E$8-'Beta HC3'!$E$9*L1088/'Beta HC3'!$E$11)^2</x:f>
        <x:v>1.8622654348187602e-10</x:v>
      </x:c>
      <x:c r="Q1088" s="240" t="n">
        <x:f>N1088*(1/'Beta HC3'!$E$8-'Beta HC3'!$E$9*L1088/'Beta HC3'!$E$11)*L1088/'Beta HC3'!$E$11</x:f>
        <x:v>5.558262714574971e-9</x:v>
      </x:c>
      <x:c r="R1088" s="240" t="n">
        <x:f>K1088*L1088/'Beta HC3'!$E$11</x:f>
        <x:v>0.0004069465021863143</x:v>
      </x:c>
      <x:c r="S1088" s="240" t="n">
        <x:f>(K1088-K1087)^2</x:f>
        <x:v>0.00019162715403017407</x:v>
      </x:c>
      <x:c r="T1088" s="280" t="n">
        <x:f>E1088/$E$9*100</x:f>
        <x:v>168.76025608506146</x:v>
      </x:c>
    </x:row>
    <x:row r="1089" ht="24" customHeight="1">
      <x:c r="C1089" s="274" t="d">
        <x:v>2026-01-28T00:00:00.000Z</x:v>
      </x:c>
      <x:c r="D1089" s="191" t="n">
        <x:v>481.6300048828125</x:v>
      </x:c>
      <x:c r="E1089" s="191" t="n">
        <x:v>478.5937194824219</x:v>
      </x:c>
      <x:c r="F1089" s="191" t="n">
        <x:v>695.4199829101562</x:v>
      </x:c>
      <x:c r="G1089" s="191" t="n">
        <x:v>690.0303344726562</x:v>
      </x:c>
      <x:c r="H1089" s="208" t="n">
        <x:f>E1089/E1088-1</x:f>
        <x:v>0.002184892240207237</x:v>
      </x:c>
      <x:c r="I1089" s="208" t="n">
        <x:f>G1089/G1088-1</x:f>
        <x:v>-0.00010064922286501243</x:v>
      </x:c>
      <x:c r="J1089" s="208" t="n">
        <x:f>'Beta HC3'!$E$13+'Beta HC3'!$E$12*I1089</x:f>
        <x:v>-0.00010438197373442973</x:v>
      </x:c>
      <x:c r="K1089" s="240" t="n">
        <x:f>H1089-J1089</x:f>
        <x:v>0.0022892742139416665</x:v>
      </x:c>
      <x:c r="L1089" s="240" t="n">
        <x:f>I1089-'Beta HC3'!$E$9</x:f>
        <x:v>-0.0006645968405254518</x:v>
      </x:c>
      <x:c r="M1089" s="240" t="n">
        <x:f>1/'Beta HC3'!$E$8+L1089^2/'Beta HC3'!$E$11</x:f>
        <x:v>0.0007998332146883594</x:v>
      </x:c>
      <x:c r="N1089" s="240" t="n">
        <x:f>K1089^2/(1-M1089)^2</x:f>
        <x:v>0.000005249169989564469</x:v>
      </x:c>
      <x:c r="O1089" s="240" t="n">
        <x:f>N1089*L1089^2/'Beta HC3'!$E$11^2</x:f>
        <x:v>1.0842312105966434e-10</x:v>
      </x:c>
      <x:c r="P1089" s="240" t="n">
        <x:f>N1089*(1/'Beta HC3'!$E$8-'Beta HC3'!$E$9*L1089/'Beta HC3'!$E$11)^2</x:f>
        <x:v>3.354228246468882e-12</x:v>
      </x:c>
      <x:c r="Q1089" s="240" t="n">
        <x:f>N1089*(1/'Beta HC3'!$E$8-'Beta HC3'!$E$9*L1089/'Beta HC3'!$E$11)*L1089/'Beta HC3'!$E$11</x:f>
        <x:v>-1.907028828383675e-11</x:v>
      </x:c>
      <x:c r="R1089" s="240" t="n">
        <x:f>K1089*L1089/'Beta HC3'!$E$11</x:f>
        <x:v>-0.000010404313989620075</x:v>
      </x:c>
      <x:c r="S1089" s="240" t="n">
        <x:f>(K1089-K1088)^2</x:f>
        <x:v>0.00022831408484142278</x:v>
      </x:c>
      <x:c r="T1089" s="280" t="n">
        <x:f>E1089/$E$9*100</x:f>
        <x:v>169.1289790590371</x:v>
      </x:c>
    </x:row>
    <x:row r="1090" ht="24" customHeight="1">
      <x:c r="C1090" s="274" t="d">
        <x:v>2026-01-29T00:00:00.000Z</x:v>
      </x:c>
      <x:c r="D1090" s="191" t="n">
        <x:v>433.5</x:v>
      </x:c>
      <x:c r="E1090" s="191" t="n">
        <x:v>430.76715087890625</x:v>
      </x:c>
      <x:c r="F1090" s="191" t="n">
        <x:v>694.0399780273438</x:v>
      </x:c>
      <x:c r="G1090" s="191" t="n">
        <x:v>688.6610717773438</x:v>
      </x:c>
      <x:c r="H1090" s="208" t="n">
        <x:f>E1090/E1089-1</x:f>
        <x:v>-0.09993145889009569</x:v>
      </x:c>
      <x:c r="I1090" s="208" t="n">
        <x:f>G1090/G1089-1</x:f>
        <x:v>-0.0019843514508082194</x:v>
      </x:c>
      <x:c r="J1090" s="208" t="n">
        <x:f>'Beta HC3'!$E$13+'Beta HC3'!$E$12*I1090</x:f>
        <x:v>-0.0022288434499788457</x:v>
      </x:c>
      <x:c r="K1090" s="240" t="n">
        <x:f>H1090-J1090</x:f>
        <x:v>-0.09770261544011685</x:v>
      </x:c>
      <x:c r="L1090" s="240" t="n">
        <x:f>I1090-'Beta HC3'!$E$9</x:f>
        <x:v>-0.0025482990684686587</x:v>
      </x:c>
      <x:c r="M1090" s="240" t="n">
        <x:f>1/'Beta HC3'!$E$8+L1090^2/'Beta HC3'!$E$11</x:f>
        <x:v>0.0008412204359084614</x:v>
      </x:c>
      <x:c r="N1090" s="240" t="n">
        <x:f>K1090^2/(1-M1090)^2</x:f>
        <x:v>0.009561881597767987</x:v>
      </x:c>
      <x:c r="O1090" s="240" t="n">
        <x:f>N1090*L1090^2/'Beta HC3'!$E$11^2</x:f>
        <x:v>0.0000029037476771817854</x:v>
      </x:c>
      <x:c r="P1090" s="240" t="n">
        <x:f>N1090*(1/'Beta HC3'!$E$8-'Beta HC3'!$E$9*L1090/'Beta HC3'!$E$11)^2</x:f>
        <x:v>6.221616284873775e-9</x:v>
      </x:c>
      <x:c r="Q1090" s="240" t="n">
        <x:f>N1090*(1/'Beta HC3'!$E$8-'Beta HC3'!$E$9*L1090/'Beta HC3'!$E$11)*L1090/'Beta HC3'!$E$11</x:f>
        <x:v>-1.344098353377408e-7</x:v>
      </x:c>
      <x:c r="R1090" s="240" t="n">
        <x:f>K1090*L1090/'Beta HC3'!$E$11</x:f>
        <x:v>0.0017026051651074553</x:v>
      </x:c>
      <x:c r="S1090" s="240" t="n">
        <x:f>(K1090-K1089)^2</x:f>
        <x:v>0.009998377996589414</x:v>
      </x:c>
      <x:c r="T1090" s="280" t="n">
        <x:f>E1090/$E$9*100</x:f>
        <x:v>152.22767344107507</x:v>
      </x:c>
    </x:row>
    <x:row r="1091" ht="24" customHeight="1">
      <x:c r="C1091" s="274" t="d">
        <x:v>2026-01-30T00:00:00.000Z</x:v>
      </x:c>
      <x:c r="D1091" s="191" t="n">
        <x:v>430.2900085449219</x:v>
      </x:c>
      <x:c r="E1091" s="191" t="n">
        <x:v>427.577392578125</x:v>
      </x:c>
      <x:c r="F1091" s="191" t="n">
        <x:v>691.969970703125</x:v>
      </x:c>
      <x:c r="G1091" s="191" t="n">
        <x:v>686.607177734375</x:v>
      </x:c>
      <x:c r="H1091" s="208" t="n">
        <x:f>E1091/E1090-1</x:f>
        <x:v>-0.007404831808259016</x:v>
      </x:c>
      <x:c r="I1091" s="208" t="n">
        <x:f>G1091/G1090-1</x:f>
        <x:v>-0.002982445396060962</x:v>
      </x:c>
      <x:c r="J1091" s="208" t="n">
        <x:f>'Beta HC3'!$E$13+'Beta HC3'!$E$12*I1091</x:f>
        <x:v>-0.003354505513179519</x:v>
      </x:c>
      <x:c r="K1091" s="240" t="n">
        <x:f>H1091-J1091</x:f>
        <x:v>-0.004050326295079497</x:v>
      </x:c>
      <x:c r="L1091" s="240" t="n">
        <x:f>I1091-'Beta HC3'!$E$9</x:f>
        <x:v>-0.0035463930137214013</x:v>
      </x:c>
      <x:c r="M1091" s="240" t="n">
        <x:f>1/'Beta HC3'!$E$8+L1091^2/'Beta HC3'!$E$11</x:f>
        <x:v>0.0008828192118355316</x:v>
      </x:c>
      <x:c r="N1091" s="240" t="n">
        <x:f>K1091^2/(1-M1091)^2</x:f>
        <x:v>0.000016434147049826585</x:v>
      </x:c>
      <x:c r="O1091" s="240" t="n">
        <x:f>N1091*L1091^2/'Beta HC3'!$E$11^2</x:f>
        <x:v>9.665751309272981e-9</x:v>
      </x:c>
      <x:c r="P1091" s="240" t="n">
        <x:f>N1091*(1/'Beta HC3'!$E$8-'Beta HC3'!$E$9*L1091/'Beta HC3'!$E$11)^2</x:f>
        <x:v>1.0795479973775529e-11</x:v>
      </x:c>
      <x:c r="Q1091" s="240" t="n">
        <x:f>N1091*(1/'Beta HC3'!$E$8-'Beta HC3'!$E$9*L1091/'Beta HC3'!$E$11)*L1091/'Beta HC3'!$E$11</x:f>
        <x:v>-3.230269720793468e-10</x:v>
      </x:c>
      <x:c r="R1091" s="240" t="n">
        <x:f>K1091*L1091/'Beta HC3'!$E$11</x:f>
        <x:v>0.0000982277589104117</x:v>
      </x:c>
      <x:c r="S1091" s="240" t="n">
        <x:f>(K1091-K1090)^2</x:f>
        <x:v>0.008770751262105681</x:v>
      </x:c>
      <x:c r="T1091" s="280" t="n">
        <x:f>E1091/$E$9*100</x:f>
        <x:v>151.10045312268133</x:v>
      </x:c>
    </x:row>
    <x:row r="1092" ht="24" customHeight="1">
      <x:c r="C1092" s="274" t="d">
        <x:v>2026-02-02T00:00:00.000Z</x:v>
      </x:c>
      <x:c r="D1092" s="191" t="n">
        <x:v>423.3699951171875</x:v>
      </x:c>
      <x:c r="E1092" s="191" t="n">
        <x:v>420.7010192871094</x:v>
      </x:c>
      <x:c r="F1092" s="191" t="n">
        <x:v>695.4099731445312</x:v>
      </x:c>
      <x:c r="G1092" s="191" t="n">
        <x:v>690.0204467773438</x:v>
      </x:c>
      <x:c r="H1092" s="208" t="n">
        <x:f>E1092/E1091-1</x:f>
        <x:v>-0.016082172281265295</x:v>
      </x:c>
      <x:c r="I1092" s="208" t="n">
        <x:f>G1092/G1091-1</x:f>
        <x:v>0.0049712108373694</x:v>
      </x:c>
      <x:c r="J1092" s="208" t="n">
        <x:f>'Beta HC3'!$E$13+'Beta HC3'!$E$12*I1092</x:f>
        <x:v>0.005615721315964261</x:v>
      </x:c>
      <x:c r="K1092" s="240" t="n">
        <x:f>H1092-J1092</x:f>
        <x:v>-0.021697893597229557</x:v>
      </x:c>
      <x:c r="L1092" s="240" t="n">
        <x:f>I1092-'Beta HC3'!$E$9</x:f>
        <x:v>0.00440726321970896</x:v>
      </x:c>
      <x:c r="M1092" s="240" t="n">
        <x:f>1/'Beta HC3'!$E$8+L1092^2/'Beta HC3'!$E$11</x:f>
        <x:v>0.0009296424942303485</x:v>
      </x:c>
      <x:c r="N1092" s="240" t="n">
        <x:f>K1092^2/(1-M1092)^2</x:f>
        <x:v>0.0004716751574581286</x:v>
      </x:c>
      <x:c r="O1092" s="240" t="n">
        <x:f>N1092*L1092^2/'Beta HC3'!$E$11^2</x:f>
        <x:v>4.284456168054501e-7</x:v>
      </x:c>
      <x:c r="P1092" s="240" t="n">
        <x:f>N1092*(1/'Beta HC3'!$E$8-'Beta HC3'!$E$9*L1092/'Beta HC3'!$E$11)^2</x:f>
        <x:v>2.8683181355545133e-10</x:v>
      </x:c>
      <x:c r="Q1092" s="240" t="n">
        <x:f>N1092*(1/'Beta HC3'!$E$8-'Beta HC3'!$E$9*L1092/'Beta HC3'!$E$11)*L1092/'Beta HC3'!$E$11</x:f>
        <x:v>1.1085658901400097e-8</x:v>
      </x:c>
      <x:c r="R1092" s="240" t="n">
        <x:f>K1092*L1092/'Beta HC3'!$E$11</x:f>
        <x:v>-0.0006539490687962797</x:v>
      </x:c>
      <x:c r="S1092" s="240" t="n">
        <x:f>(K1092-K1091)^2</x:f>
        <x:v>0.00031143663168391585</x:v>
      </x:c>
      <x:c r="T1092" s="280" t="n">
        <x:f>E1092/$E$9*100</x:f>
        <x:v>148.67042960378512</x:v>
      </x:c>
    </x:row>
    <x:row r="1093" ht="24" customHeight="1">
      <x:c r="C1093" s="274" t="d">
        <x:v>2026-02-03T00:00:00.000Z</x:v>
      </x:c>
      <x:c r="D1093" s="191" t="n">
        <x:v>411.2099914550781</x:v>
      </x:c>
      <x:c r="E1093" s="191" t="n">
        <x:v>408.6176452636719</x:v>
      </x:c>
      <x:c r="F1093" s="191" t="n">
        <x:v>689.530029296875</x:v>
      </x:c>
      <x:c r="G1093" s="191" t="n">
        <x:v>684.18603515625</x:v>
      </x:c>
      <x:c r="H1093" s="208" t="n">
        <x:f>E1093/E1092-1</x:f>
        <x:v>-0.028721998448953512</x:v>
      </x:c>
      <x:c r="I1093" s="208" t="n">
        <x:f>G1093/G1092-1</x:f>
        <x:v>-0.008455418456572827</x:v>
      </x:c>
      <x:c r="J1093" s="208" t="n">
        <x:f>'Beta HC3'!$E$13+'Beta HC3'!$E$12*I1093</x:f>
        <x:v>-0.009526988751295385</x:v>
      </x:c>
      <x:c r="K1093" s="240" t="n">
        <x:f>H1093-J1093</x:f>
        <x:v>-0.019195009697658125</x:v>
      </x:c>
      <x:c r="L1093" s="240" t="n">
        <x:f>I1093-'Beta HC3'!$E$9</x:f>
        <x:v>-0.009019366074233266</x:v>
      </x:c>
      <x:c r="M1093" s="240" t="n">
        <x:f>1/'Beta HC3'!$E$8+L1093^2/'Beta HC3'!$E$11</x:f>
        <x:v>0.001353113171657973</x:v>
      </x:c>
      <x:c r="N1093" s="240" t="n">
        <x:f>K1093^2/(1-M1093)^2</x:f>
        <x:v>0.00036944752950288535</x:v>
      </x:c>
      <x:c r="O1093" s="240" t="n">
        <x:f>N1093*L1093^2/'Beta HC3'!$E$11^2</x:f>
        <x:v>0.0000014054633273738566</x:v>
      </x:c>
      <x:c r="P1093" s="240" t="n">
        <x:f>N1093*(1/'Beta HC3'!$E$8-'Beta HC3'!$E$9*L1093/'Beta HC3'!$E$11)^2</x:f>
        <x:v>2.5549224066184454e-10</x:v>
      </x:c>
      <x:c r="Q1093" s="240" t="n">
        <x:f>N1093*(1/'Beta HC3'!$E$8-'Beta HC3'!$E$9*L1093/'Beta HC3'!$E$11)*L1093/'Beta HC3'!$E$11</x:f>
        <x:v>-1.8949537584827713e-8</x:v>
      </x:c>
      <x:c r="R1093" s="240" t="n">
        <x:f>K1093*L1093/'Beta HC3'!$E$11</x:f>
        <x:v>0.0011839182399038374</x:v>
      </x:c>
      <x:c r="S1093" s="240" t="n">
        <x:f>(K1093-K1092)^2</x:f>
        <x:v>0.000006264427814733899</x:v>
      </x:c>
      <x:c r="T1093" s="280" t="n">
        <x:f>E1093/$E$9*100</x:f>
        <x:v>144.40031775529997</x:v>
      </x:c>
    </x:row>
    <x:row r="1094" ht="24" customHeight="1">
      <x:c r="C1094" s="274" t="d">
        <x:v>2026-02-04T00:00:00.000Z</x:v>
      </x:c>
      <x:c r="D1094" s="191" t="n">
        <x:v>414.19000244140625</x:v>
      </x:c>
      <x:c r="E1094" s="191" t="n">
        <x:v>411.578857421875</x:v>
      </x:c>
      <x:c r="F1094" s="191" t="n">
        <x:v>686.1900024414062</x:v>
      </x:c>
      <x:c r="G1094" s="191" t="n">
        <x:v>680.8719482421875</x:v>
      </x:c>
      <x:c r="H1094" s="208" t="n">
        <x:f>E1094/E1093-1</x:f>
        <x:v>0.007246902312043613</x:v>
      </x:c>
      <x:c r="I1094" s="208" t="n">
        <x:f>G1094/G1093-1</x:f>
        <x:v>-0.00484383887388995</x:v>
      </x:c>
      <x:c r="J1094" s="208" t="n">
        <x:f>'Beta HC3'!$E$13+'Beta HC3'!$E$12*I1094</x:f>
        <x:v>-0.00545380691927178</x:v>
      </x:c>
      <x:c r="K1094" s="240" t="n">
        <x:f>H1094-J1094</x:f>
        <x:v>0.012700709231315391</x:v>
      </x:c>
      <x:c r="L1094" s="240" t="n">
        <x:f>I1094-'Beta HC3'!$E$9</x:f>
        <x:v>-0.005407786491550389</x:v>
      </x:c>
      <x:c r="M1094" s="240" t="n">
        <x:f>1/'Beta HC3'!$E$8+L1094^2/'Beta HC3'!$E$11</x:f>
        <x:v>0.0009967972941644651</x:v>
      </x:c>
      <x:c r="N1094" s="240" t="n">
        <x:f>K1094^2/(1-M1094)^2</x:f>
        <x:v>0.00016163007923326067</x:v>
      </x:c>
      <x:c r="O1094" s="240" t="n">
        <x:f>N1094*L1094^2/'Beta HC3'!$E$11^2</x:f>
        <x:v>2.2104260078746669e-7</x:v>
      </x:c>
      <x:c r="P1094" s="240" t="n">
        <x:f>N1094*(1/'Beta HC3'!$E$8-'Beta HC3'!$E$9*L1094/'Beta HC3'!$E$11)^2</x:f>
        <x:v>1.0806279634056004e-10</x:v>
      </x:c>
      <x:c r="Q1094" s="240" t="n">
        <x:f>N1094*(1/'Beta HC3'!$E$8-'Beta HC3'!$E$9*L1094/'Beta HC3'!$E$11)*L1094/'Beta HC3'!$E$11</x:f>
        <x:v>-4.887379824761293e-9</x:v>
      </x:c>
      <x:c r="R1094" s="240" t="n">
        <x:f>K1094*L1094/'Beta HC3'!$E$11</x:f>
        <x:v>-0.000469683032569568</x:v>
      </x:c>
      <x:c r="S1094" s="240" t="n">
        <x:f>(K1094-K1093)^2</x:f>
        <x:v>0.0010173368859960792</x:v>
      </x:c>
      <x:c r="T1094" s="280" t="n">
        <x:f>E1094/$E$9*100</x:f>
        <x:v>145.44677275190065</x:v>
      </x:c>
    </x:row>
    <x:row r="1095" ht="24" customHeight="1">
      <x:c r="C1095" s="274" t="d">
        <x:v>2026-02-05T00:00:00.000Z</x:v>
      </x:c>
      <x:c r="D1095" s="191" t="n">
        <x:v>393.6700134277344</x:v>
      </x:c>
      <x:c r="E1095" s="191" t="n">
        <x:v>391.188232421875</x:v>
      </x:c>
      <x:c r="F1095" s="191" t="n">
        <x:v>677.6199951171875</x:v>
      </x:c>
      <x:c r="G1095" s="191" t="n">
        <x:v>672.3683471679688</x:v>
      </x:c>
      <x:c r="H1095" s="208" t="n">
        <x:f>E1095/E1094-1</x:f>
        <x:v>-0.04954245008532909</x:v>
      </x:c>
      <x:c r="I1095" s="208" t="n">
        <x:f>G1095/G1094-1</x:f>
        <x:v>-0.012489280981794804</x:v>
      </x:c>
      <x:c r="J1095" s="208" t="n">
        <x:f>'Beta HC3'!$E$13+'Beta HC3'!$E$12*I1095</x:f>
        <x:v>-0.01407642624102929</x:v>
      </x:c>
      <x:c r="K1095" s="240" t="n">
        <x:f>H1095-J1095</x:f>
        <x:v>-0.0354660238442998</x:v>
      </x:c>
      <x:c r="L1095" s="240" t="n">
        <x:f>I1095-'Beta HC3'!$E$9</x:f>
        <x:v>-0.013053228599455242</x:v>
      </x:c>
      <x:c r="M1095" s="240" t="n">
        <x:f>1/'Beta HC3'!$E$8+L1095^2/'Beta HC3'!$E$11</x:f>
        <x:v>0.0019619933595801777</x:v>
      </x:c>
      <x:c r="N1095" s="240" t="n">
        <x:f>K1095^2/(1-M1095)^2</x:f>
        <x:v>0.0012627891541913603</x:v>
      </x:c>
      <x:c r="O1095" s="240" t="n">
        <x:f>N1095*L1095^2/'Beta HC3'!$E$11^2</x:f>
        <x:v>0.000010061933753053596</x:v>
      </x:c>
      <x:c r="P1095" s="240" t="n">
        <x:f>N1095*(1/'Beta HC3'!$E$8-'Beta HC3'!$E$9*L1095/'Beta HC3'!$E$11)^2</x:f>
        <x:v>9.062633024543974e-10</x:v>
      </x:c>
      <x:c r="Q1095" s="240" t="n">
        <x:f>N1095*(1/'Beta HC3'!$E$8-'Beta HC3'!$E$9*L1095/'Beta HC3'!$E$11)*L1095/'Beta HC3'!$E$11</x:f>
        <x:v>-9.549220550453176e-8</x:v>
      </x:c>
      <x:c r="R1095" s="240" t="n">
        <x:f>K1095*L1095/'Beta HC3'!$E$11</x:f>
        <x:v>0.0031658315797315996</x:v>
      </x:c>
      <x:c r="S1095" s="240" t="n">
        <x:f>(K1095-K1094)^2</x:f>
        <x:v>0.002320034175177563</x:v>
      </x:c>
      <x:c r="T1095" s="280" t="n">
        <x:f>E1095/$E$9*100</x:f>
        <x:v>138.24098327276744</x:v>
      </x:c>
    </x:row>
    <x:row r="1096" ht="24" customHeight="1">
      <x:c r="C1096" s="274" t="d">
        <x:v>2026-02-06T00:00:00.000Z</x:v>
      </x:c>
      <x:c r="D1096" s="191" t="n">
        <x:v>401.1400146484375</x:v>
      </x:c>
      <x:c r="E1096" s="191" t="n">
        <x:v>398.61114501953125</x:v>
      </x:c>
      <x:c r="F1096" s="191" t="n">
        <x:v>690.6199951171875</x:v>
      </x:c>
      <x:c r="G1096" s="191" t="n">
        <x:v>685.267578125</x:v>
      </x:c>
      <x:c r="H1096" s="208" t="n">
        <x:f>E1096/E1095-1</x:f>
        <x:v>0.018975296244727158</x:v>
      </x:c>
      <x:c r="I1096" s="208" t="n">
        <x:f>G1096/G1095-1</x:f>
        <x:v>0.0191847683064843</x:v>
      </x:c>
      <x:c r="J1096" s="208" t="n">
        <x:f>'Beta HC3'!$E$13+'Beta HC3'!$E$12*I1096</x:f>
        <x:v>0.021645938213085806</x:v>
      </x:c>
      <x:c r="K1096" s="240" t="n">
        <x:f>H1096-J1096</x:f>
        <x:v>-0.002670641968358648</x:v>
      </x:c>
      <x:c r="L1096" s="240" t="n">
        <x:f>I1096-'Beta HC3'!$E$9</x:f>
        <x:v>0.018620820688823862</x:v>
      </x:c>
      <x:c r="M1096" s="240" t="n">
        <x:f>1/'Beta HC3'!$E$8+L1096^2/'Beta HC3'!$E$11</x:f>
        <x:v>0.0031679407406532186</x:v>
      </x:c>
      <x:c r="N1096" s="240" t="n">
        <x:f>K1096^2/(1-M1096)^2</x:f>
        <x:v>0.000007177733758910545</x:v>
      </x:c>
      <x:c r="O1096" s="240" t="n">
        <x:f>N1096*L1096^2/'Beta HC3'!$E$11^2</x:f>
        <x:v>1.163857217279417e-7</x:v>
      </x:c>
      <x:c r="P1096" s="240" t="n">
        <x:f>N1096*(1/'Beta HC3'!$E$8-'Beta HC3'!$E$9*L1096/'Beta HC3'!$E$11)^2</x:f>
        <x:v>3.772807675825487e-12</x:v>
      </x:c>
      <x:c r="Q1096" s="240" t="n">
        <x:f>N1096*(1/'Beta HC3'!$E$8-'Beta HC3'!$E$9*L1096/'Beta HC3'!$E$11)*L1096/'Beta HC3'!$E$11</x:f>
        <x:v>6.626469227964978e-10</x:v>
      </x:c>
      <x:c r="R1096" s="240" t="n">
        <x:f>K1096*L1096/'Beta HC3'!$E$11</x:f>
        <x:v>-0.00034007276224130655</x:v>
      </x:c>
      <x:c r="S1096" s="240" t="n">
        <x:f>(K1096-K1095)^2</x:f>
        <x:v>0.0010755370723888092</x:v>
      </x:c>
      <x:c r="T1096" s="280" t="n">
        <x:f>E1096/$E$9*100</x:f>
        <x:v>140.86414688353054</x:v>
      </x:c>
    </x:row>
    <x:row r="1097" ht="24" customHeight="1">
      <x:c r="C1097" s="274" t="d">
        <x:v>2026-02-09T00:00:00.000Z</x:v>
      </x:c>
      <x:c r="D1097" s="191" t="n">
        <x:v>413.6000061035156</x:v>
      </x:c>
      <x:c r="E1097" s="191" t="n">
        <x:v>410.9925842285156</x:v>
      </x:c>
      <x:c r="F1097" s="191" t="n">
        <x:v>693.9500122070312</x:v>
      </x:c>
      <x:c r="G1097" s="191" t="n">
        <x:v>688.57177734375</x:v>
      </x:c>
      <x:c r="H1097" s="208" t="n">
        <x:f>E1097/E1096-1</x:f>
        <x:v>0.03106144763809282</x:v>
      </x:c>
      <x:c r="I1097" s="208" t="n">
        <x:f>G1097/G1096-1</x:f>
        <x:v>0.00482176499257525</x:v>
      </x:c>
      <x:c r="J1097" s="208" t="n">
        <x:f>'Beta HC3'!$E$13+'Beta HC3'!$E$12*I1097</x:f>
        <x:v>0.005447174538591365</x:v>
      </x:c>
      <x:c r="K1097" s="240" t="n">
        <x:f>H1097-J1097</x:f>
        <x:v>0.025614273099501456</x:v>
      </x:c>
      <x:c r="L1097" s="240" t="n">
        <x:f>I1097-'Beta HC3'!$E$9</x:f>
        <x:v>0.004257817374914811</x:v>
      </x:c>
      <x:c r="M1097" s="240" t="n">
        <x:f>1/'Beta HC3'!$E$8+L1097^2/'Beta HC3'!$E$11</x:f>
        <x:v>0.0009207869794497182</x:v>
      </x:c>
      <x:c r="N1097" s="240" t="n">
        <x:f>K1097^2/(1-M1097)^2</x:f>
        <x:v>0.0006573008973398603</x:v>
      </x:c>
      <x:c r="O1097" s="240" t="n">
        <x:f>N1097*L1097^2/'Beta HC3'!$E$11^2</x:f>
        <x:v>5.57253760280155e-7</x:v>
      </x:c>
      <x:c r="P1097" s="240" t="n">
        <x:f>N1097*(1/'Beta HC3'!$E$8-'Beta HC3'!$E$9*L1097/'Beta HC3'!$E$11)^2</x:f>
        <x:v>4.0030429992510854e-10</x:v>
      </x:c>
      <x:c r="Q1097" s="240" t="n">
        <x:f>N1097*(1/'Beta HC3'!$E$8-'Beta HC3'!$E$9*L1097/'Beta HC3'!$E$11)*L1097/'Beta HC3'!$E$11</x:f>
        <x:v>1.4935564147014392e-8</x:v>
      </x:c>
      <x:c r="R1097" s="240" t="n">
        <x:f>K1097*L1097/'Beta HC3'!$E$11</x:f>
        <x:v>0.000745806951384592</x:v>
      </x:c>
      <x:c r="S1097" s="240" t="n">
        <x:f>(K1097-K1096)^2</x:f>
        <x:v>0.0008000364203960595</x:v>
      </x:c>
      <x:c r="T1097" s="280" t="n">
        <x:f>E1097/$E$9*100</x:f>
        <x:v>145.23959120603794</x:v>
      </x:c>
    </x:row>
    <x:row r="1098" ht="24" customHeight="1">
      <x:c r="C1098" s="274" t="d">
        <x:v>2026-02-10T00:00:00.000Z</x:v>
      </x:c>
      <x:c r="D1098" s="191" t="n">
        <x:v>413.2699890136719</x:v>
      </x:c>
      <x:c r="E1098" s="191" t="n">
        <x:v>410.6646728515625</x:v>
      </x:c>
      <x:c r="F1098" s="191" t="n">
        <x:v>692.1199951171875</x:v>
      </x:c>
      <x:c r="G1098" s="191" t="n">
        <x:v>686.7559204101562</x:v>
      </x:c>
      <x:c r="H1098" s="208" t="n">
        <x:f>E1098/E1097-1</x:f>
        <x:v>-0.0007978522959694034</x:v>
      </x:c>
      <x:c r="I1098" s="208" t="n">
        <x:f>G1098/G1097-1</x:f>
        <x:v>-0.002637135289800363</x:v>
      </x:c>
      <x:c r="J1098" s="208" t="n">
        <x:f>'Beta HC3'!$E$13+'Beta HC3'!$E$12*I1098</x:f>
        <x:v>-0.0029650607234318763</x:v>
      </x:c>
      <x:c r="K1098" s="240" t="n">
        <x:f>H1098-J1098</x:f>
        <x:v>0.002167208427462473</x:v>
      </x:c>
      <x:c r="L1098" s="240" t="n">
        <x:f>I1098-'Beta HC3'!$E$9</x:f>
        <x:v>-0.0032010829074608023</x:v>
      </x:c>
      <x:c r="M1098" s="240" t="n">
        <x:f>1/'Beta HC3'!$E$8+L1098^2/'Beta HC3'!$E$11</x:f>
        <x:v>0.0008668858288979597</x:v>
      </x:c>
      <x:c r="N1098" s="240" t="n">
        <x:f>K1098^2/(1-M1098)^2</x:f>
        <x:v>0.000004704946134599123</x:v>
      </x:c>
      <x:c r="O1098" s="240" t="n">
        <x:f>N1098*L1098^2/'Beta HC3'!$E$11^2</x:f>
        <x:v>2.2545674019479607e-9</x:v>
      </x:c>
      <x:c r="P1098" s="240" t="n">
        <x:f>N1098*(1/'Beta HC3'!$E$8-'Beta HC3'!$E$9*L1098/'Beta HC3'!$E$11)^2</x:f>
        <x:v>3.0804992720492356e-12</x:v>
      </x:c>
      <x:c r="Q1098" s="240" t="n">
        <x:f>N1098*(1/'Beta HC3'!$E$8-'Beta HC3'!$E$9*L1098/'Beta HC3'!$E$11)*L1098/'Beta HC3'!$E$11</x:f>
        <x:v>-8.333782598848274e-11</x:v>
      </x:c>
      <x:c r="R1098" s="240" t="n">
        <x:f>K1098*L1098/'Beta HC3'!$E$11</x:f>
        <x:v>-0.0000474411234181177</x:v>
      </x:c>
      <x:c r="S1098" s="240" t="n">
        <x:f>(K1098-K1097)^2</x:f>
        <x:v>0.0005497648417347786</x:v>
      </x:c>
      <x:c r="T1098" s="280" t="n">
        <x:f>E1098/$E$9*100</x:f>
        <x:v>145.12371146472856</x:v>
      </x:c>
    </x:row>
    <x:row r="1099" ht="24" customHeight="1">
      <x:c r="C1099" s="274" t="d">
        <x:v>2026-02-11T00:00:00.000Z</x:v>
      </x:c>
      <x:c r="D1099" s="191" t="n">
        <x:v>404.3699951171875</x:v>
      </x:c>
      <x:c r="E1099" s="191" t="n">
        <x:v>401.8207702636719</x:v>
      </x:c>
      <x:c r="F1099" s="191" t="n">
        <x:v>691.9600219726562</x:v>
      </x:c>
      <x:c r="G1099" s="191" t="n">
        <x:v>686.5972290039062</x:v>
      </x:c>
      <x:c r="H1099" s="208" t="n">
        <x:f>E1099/E1098-1</x:f>
        <x:v>-0.021535581637642576</x:v>
      </x:c>
      <x:c r="I1099" s="208" t="n">
        <x:f>G1099/G1098-1</x:f>
        <x:v>-0.0002310739544192364</x:v>
      </x:c>
      <x:c r="J1099" s="208" t="n">
        <x:f>'Beta HC3'!$E$13+'Beta HC3'!$E$12*I1099</x:f>
        <x:v>-0.0002514765163994938</x:v>
      </x:c>
      <x:c r="K1099" s="240" t="n">
        <x:f>H1099-J1099</x:f>
        <x:v>-0.021284105121243083</x:v>
      </x:c>
      <x:c r="L1099" s="240" t="n">
        <x:f>I1099-'Beta HC3'!$E$9</x:f>
        <x:v>-0.0007950215720796758</x:v>
      </x:c>
      <x:c r="M1099" s="240" t="n">
        <x:f>1/'Beta HC3'!$E$8+L1099^2/'Beta HC3'!$E$11</x:f>
        <x:v>0.0008011350517947797</x:v>
      </x:c>
      <x:c r="N1099" s="240" t="n">
        <x:f>K1099^2/(1-M1099)^2</x:f>
        <x:v>0.00045373985339590943</x:v>
      </x:c>
      <x:c r="O1099" s="240" t="n">
        <x:f>N1099*L1099^2/'Beta HC3'!$E$11^2</x:f>
        <x:v>1.341156550393162e-8</x:v>
      </x:c>
      <x:c r="P1099" s="240" t="n">
        <x:f>N1099*(1/'Beta HC3'!$E$8-'Beta HC3'!$E$9*L1099/'Beta HC3'!$E$11)^2</x:f>
        <x:v>2.9030550140030874e-10</x:v>
      </x:c>
      <x:c r="Q1099" s="240" t="n">
        <x:f>N1099*(1/'Beta HC3'!$E$8-'Beta HC3'!$E$9*L1099/'Beta HC3'!$E$11)*L1099/'Beta HC3'!$E$11</x:f>
        <x:v>-1.97318302450177e-9</x:v>
      </x:c>
      <x:c r="R1099" s="240" t="n">
        <x:f>K1099*L1099/'Beta HC3'!$E$11</x:f>
        <x:v>0.00011571553552249608</x:v>
      </x:c>
      <x:c r="S1099" s="240" t="n">
        <x:f>(K1099-K1098)^2</x:f>
        <x:v>0.0005499641071597007</x:v>
      </x:c>
      <x:c r="T1099" s="280" t="n">
        <x:f>E1099/$E$9*100</x:f>
        <x:v>141.9983879289222</x:v>
      </x:c>
    </x:row>
    <x:row r="1100" ht="24" customHeight="1">
      <x:c r="C1100" s="274" t="d">
        <x:v>2026-02-12T00:00:00.000Z</x:v>
      </x:c>
      <x:c r="D1100" s="191" t="n">
        <x:v>401.8399963378906</x:v>
      </x:c>
      <x:c r="E1100" s="191" t="n">
        <x:v>399.30670166015625</x:v>
      </x:c>
      <x:c r="F1100" s="191" t="n">
        <x:v>681.27001953125</x:v>
      </x:c>
      <x:c r="G1100" s="191" t="n">
        <x:v>675.9901123046875</x:v>
      </x:c>
      <x:c r="H1100" s="208" t="n">
        <x:f>E1100/E1099-1</x:f>
        <x:v>-0.006256691514144208</x:v>
      </x:c>
      <x:c r="I1100" s="208" t="n">
        <x:f>G1100/G1099-1</x:f>
        <x:v>-0.015448819557001725</x:v>
      </x:c>
      <x:c r="J1100" s="208" t="n">
        <x:f>'Beta HC3'!$E$13+'Beta HC3'!$E$12*I1100</x:f>
        <x:v>-0.017414228573700286</x:v>
      </x:c>
      <x:c r="K1100" s="240" t="n">
        <x:f>H1100-J1100</x:f>
        <x:v>0.011157537059556077</x:v>
      </x:c>
      <x:c r="L1100" s="240" t="n">
        <x:f>I1100-'Beta HC3'!$E$9</x:f>
        <x:v>-0.016012767174662164</x:v>
      </x:c>
      <x:c r="M1100" s="240" t="n">
        <x:f>1/'Beta HC3'!$E$8+L1100^2/'Beta HC3'!$E$11</x:f>
        <x:v>0.0025502496399499542</x:v>
      </x:c>
      <x:c r="N1100" s="240" t="n">
        <x:f>K1100^2/(1-M1100)^2</x:f>
        <x:v>0.00012512803488281927</x:v>
      </x:c>
      <x:c r="O1100" s="240" t="n">
        <x:f>N1100*L1100^2/'Beta HC3'!$E$11^2</x:f>
        <x:v>0.0000015003829663904488</x:v>
      </x:c>
      <x:c r="P1100" s="240" t="n">
        <x:f>N1100*(1/'Beta HC3'!$E$8-'Beta HC3'!$E$9*L1100/'Beta HC3'!$E$11)^2</x:f>
        <x:v>9.223640832304033e-11</x:v>
      </x:c>
      <x:c r="Q1100" s="240" t="n">
        <x:f>N1100*(1/'Beta HC3'!$E$8-'Beta HC3'!$E$9*L1100/'Beta HC3'!$E$11)*L1100/'Beta HC3'!$E$11</x:f>
        <x:v>-1.1763925192252964e-8</x:v>
      </x:c>
      <x:c r="R1100" s="240" t="n">
        <x:f>K1100*L1100/'Beta HC3'!$E$11</x:f>
        <x:v>-0.001221777402926313</x:v>
      </x:c>
      <x:c r="S1100" s="240" t="n">
        <x:f>(K1100-K1099)^2</x:f>
        <x:v>0.0010524601473870072</x:v>
      </x:c>
      <x:c r="T1100" s="280" t="n">
        <x:f>E1100/$E$9*100</x:f>
        <x:v>141.10994782014515</x:v>
      </x:c>
    </x:row>
    <x:row r="1101" ht="24" customHeight="1">
      <x:c r="C1101" s="274" t="d">
        <x:v>2026-02-13T00:00:00.000Z</x:v>
      </x:c>
      <x:c r="D1101" s="191" t="n">
        <x:v>401.32000732421875</x:v>
      </x:c>
      <x:c r="E1101" s="191" t="n">
        <x:v>398.7900085449219</x:v>
      </x:c>
      <x:c r="F1101" s="191" t="n">
        <x:v>681.75</x:v>
      </x:c>
      <x:c r="G1101" s="191" t="n">
        <x:v>676.46630859375</x:v>
      </x:c>
      <x:c r="H1101" s="208" t="n">
        <x:f>E1101/E1100-1</x:f>
        <x:v>-0.0012939755658649688</x:v>
      </x:c>
      <x:c r="I1101" s="208" t="n">
        <x:f>G1101/G1100-1</x:f>
        <x:v>0.0007044426839897255</x:v>
      </x:c>
      <x:c r="J1101" s="208" t="n">
        <x:f>'Beta HC3'!$E$13+'Beta HC3'!$E$12*I1101</x:f>
        <x:v>0.0008036101258537309</x:v>
      </x:c>
      <x:c r="K1101" s="240" t="n">
        <x:f>H1101-J1101</x:f>
        <x:v>-0.0020975856917186996</x:v>
      </x:c>
      <x:c r="L1101" s="240" t="n">
        <x:f>I1101-'Beta HC3'!$E$9</x:f>
        <x:v>0.00014049506632928617</x:v>
      </x:c>
      <x:c r="M1101" s="240" t="n">
        <x:f>1/'Beta HC3'!$E$8+L1101^2/'Beta HC3'!$E$11</x:f>
        <x:v>0.000796947732138458</x:v>
      </x:c>
      <x:c r="N1101" s="240" t="n">
        <x:f>K1101^2/(1-M1101)^2</x:f>
        <x:v>0.000004406887052460343</x:v>
      </x:c>
      <x:c r="O1101" s="240" t="n">
        <x:f>N1101*L1101^2/'Beta HC3'!$E$11^2</x:f>
        <x:v>4.0678861534077504e-12</x:v>
      </x:c>
      <x:c r="P1101" s="240" t="n">
        <x:f>N1101*(1/'Beta HC3'!$E$8-'Beta HC3'!$E$9*L1101/'Beta HC3'!$E$11)^2</x:f>
        <x:v>2.7941752251161084e-12</x:v>
      </x:c>
      <x:c r="Q1101" s="240" t="n">
        <x:f>N1101*(1/'Beta HC3'!$E$8-'Beta HC3'!$E$9*L1101/'Beta HC3'!$E$11)*L1101/'Beta HC3'!$E$11</x:f>
        <x:v>3.3714072296957546e-12</x:v>
      </x:c>
      <x:c r="R1101" s="240" t="n">
        <x:f>K1101*L1101/'Beta HC3'!$E$11</x:f>
        <x:v>-0.0000020152927707252934</x:v>
      </x:c>
      <x:c r="S1101" s="240" t="n">
        <x:f>(K1101-K1100)^2</x:f>
        <x:v>0.0001756982791513622</x:v>
      </x:c>
      <x:c r="T1101" s="280" t="n">
        <x:f>E1101/$E$9*100</x:f>
        <x:v>140.92735499556542</x:v>
      </x:c>
    </x:row>
    <x:row r="1102" ht="24" customHeight="1">
      <x:c r="C1102" s="274" t="d">
        <x:v>2026-02-17T00:00:00.000Z</x:v>
      </x:c>
      <x:c r="D1102" s="191" t="n">
        <x:v>396.8599853515625</x:v>
      </x:c>
      <x:c r="E1102" s="191" t="n">
        <x:v>394.3581237792969</x:v>
      </x:c>
      <x:c r="F1102" s="191" t="n">
        <x:v>682.8499755859375</x:v>
      </x:c>
      <x:c r="G1102" s="191" t="n">
        <x:v>677.5578002929688</x:v>
      </x:c>
      <x:c r="H1102" s="208" t="n">
        <x:f>E1102/E1101-1</x:f>
        <x:v>-0.011113329498388835</x:v>
      </x:c>
      <x:c r="I1102" s="208" t="n">
        <x:f>G1102/G1101-1</x:f>
        <x:v>0.00161351967622414</x:v>
      </x:c>
      <x:c r="J1102" s="208" t="n">
        <x:f>'Beta HC3'!$E$13+'Beta HC3'!$E$12*I1102</x:f>
        <x:v>0.0018288778249055714</x:v>
      </x:c>
      <x:c r="K1102" s="240" t="n">
        <x:f>H1102-J1102</x:f>
        <x:v>-0.012942207323294406</x:v>
      </x:c>
      <x:c r="L1102" s="240" t="n">
        <x:f>I1102-'Beta HC3'!$E$9</x:f>
        <x:v>0.0010495720585637007</x:v>
      </x:c>
      <x:c r="M1102" s="240" t="n">
        <x:f>1/'Beta HC3'!$E$8+L1102^2/'Beta HC3'!$E$11</x:f>
        <x:v>0.0008043459903686698</x:v>
      </x:c>
      <x:c r="N1102" s="240" t="n">
        <x:f>K1102^2/(1-M1102)^2</x:f>
        <x:v>0.00016777051293499456</x:v>
      </x:c>
      <x:c r="O1102" s="240" t="n">
        <x:f>N1102*L1102^2/'Beta HC3'!$E$11^2</x:f>
        <x:v>8.642808217161735e-9</x:v>
      </x:c>
      <x:c r="P1102" s="240" t="n">
        <x:f>N1102*(1/'Beta HC3'!$E$8-'Beta HC3'!$E$9*L1102/'Beta HC3'!$E$11)^2</x:f>
        <x:v>1.054398116639591e-10</x:v>
      </x:c>
      <x:c r="Q1102" s="240" t="n">
        <x:f>N1102*(1/'Beta HC3'!$E$8-'Beta HC3'!$E$9*L1102/'Beta HC3'!$E$11)*L1102/'Beta HC3'!$E$11</x:f>
        <x:v>9.546182853189287e-10</x:v>
      </x:c>
      <x:c r="R1102" s="240" t="n">
        <x:f>K1102*L1102/'Beta HC3'!$E$11</x:f>
        <x:v>-0.00009289192748861838</x:v>
      </x:c>
      <x:c r="S1102" s="240" t="n">
        <x:f>(K1102-K1101)^2</x:f>
        <x:v>0.00011760581833203976</x:v>
      </x:c>
      <x:c r="T1102" s="280" t="n">
        <x:f>E1102/$E$9*100</x:f>
        <x:v>139.36118286416328</x:v>
      </x:c>
    </x:row>
    <x:row r="1103" ht="24" customHeight="1">
      <x:c r="C1103" s="274" t="d">
        <x:v>2026-02-18T00:00:00.000Z</x:v>
      </x:c>
      <x:c r="D1103" s="191" t="n">
        <x:v>399.6000061035156</x:v>
      </x:c>
      <x:c r="E1103" s="191" t="n">
        <x:v>397.08087158203125</x:v>
      </x:c>
      <x:c r="F1103" s="191" t="n">
        <x:v>686.2899780273438</x:v>
      </x:c>
      <x:c r="G1103" s="191" t="n">
        <x:v>680.9711303710938</x:v>
      </x:c>
      <x:c r="H1103" s="208" t="n">
        <x:f>E1103/E1102-1</x:f>
        <x:v>0.006904251842566822</x:v>
      </x:c>
      <x:c r="I1103" s="208" t="n">
        <x:f>G1103/G1102-1</x:f>
        <x:v>0.005037695790158558</x:v>
      </x:c>
      <x:c r="J1103" s="208" t="n">
        <x:f>'Beta HC3'!$E$13+'Beta HC3'!$E$12*I1103</x:f>
        <x:v>0.005690703825861656</x:v>
      </x:c>
      <x:c r="K1103" s="240" t="n">
        <x:f>H1103-J1103</x:f>
        <x:v>0.001213548016705166</x:v>
      </x:c>
      <x:c r="L1103" s="240" t="n">
        <x:f>I1103-'Beta HC3'!$E$9</x:f>
        <x:v>0.004473748172498119</x:v>
      </x:c>
      <x:c r="M1103" s="240" t="n">
        <x:f>1/'Beta HC3'!$E$8+L1103^2/'Beta HC3'!$E$11</x:f>
        <x:v>0.0009336802788856856</x:v>
      </x:c>
      <x:c r="N1103" s="240" t="n">
        <x:f>K1103^2/(1-M1103)^2</x:f>
        <x:v>0.0000014754527047958623</x:v>
      </x:c>
      <x:c r="O1103" s="240" t="n">
        <x:f>N1103*L1103^2/'Beta HC3'!$E$11^2</x:f>
        <x:v>1.3809663100051398e-9</x:v>
      </x:c>
      <x:c r="P1103" s="240" t="n">
        <x:f>N1103*(1/'Beta HC3'!$E$8-'Beta HC3'!$E$9*L1103/'Beta HC3'!$E$11)^2</x:f>
        <x:v>8.96652105348499e-13</x:v>
      </x:c>
      <x:c r="Q1103" s="240" t="n">
        <x:f>N1103*(1/'Beta HC3'!$E$8-'Beta HC3'!$E$9*L1103/'Beta HC3'!$E$11)*L1103/'Beta HC3'!$E$11</x:f>
        <x:v>3.518872474645048e-11</x:v>
      </x:c>
      <x:c r="R1103" s="240" t="n">
        <x:f>K1103*L1103/'Beta HC3'!$E$11</x:f>
        <x:v>0.00003712665823711913</x:v>
      </x:c>
      <x:c r="S1103" s="240" t="n">
        <x:f>(K1103-K1102)^2</x:f>
        <x:v>0.00020038540924592643</x:v>
      </x:c>
      <x:c r="T1103" s="280" t="n">
        <x:f>E1103/$E$9*100</x:f>
        <x:v>140.32336756773546</x:v>
      </x:c>
    </x:row>
    <x:row r="1104" ht="24" customHeight="1">
      <x:c r="C1104" s="274" t="d">
        <x:v>2026-02-19T00:00:00.000Z</x:v>
      </x:c>
      <x:c r="D1104" s="191" t="n">
        <x:v>398.4599914550781</x:v>
      </x:c>
      <x:c r="E1104" s="191" t="n">
        <x:v>396.8517761230469</x:v>
      </x:c>
      <x:c r="F1104" s="191" t="n">
        <x:v>684.47998046875</x:v>
      </x:c>
      <x:c r="G1104" s="191" t="n">
        <x:v>679.1751708984375</x:v>
      </x:c>
      <x:c r="H1104" s="208" t="n">
        <x:f>E1104/E1103-1</x:f>
        <x:v>-0.0005769491188826192</x:v>
      </x:c>
      <x:c r="I1104" s="208" t="n">
        <x:f>G1104/G1103-1</x:f>
        <x:v>-0.002637350384703585</x:v>
      </x:c>
      <x:c r="J1104" s="208" t="n">
        <x:f>'Beta HC3'!$E$13+'Beta HC3'!$E$12*I1104</x:f>
        <x:v>-0.0029653033099876773</x:v>
      </x:c>
      <x:c r="K1104" s="240" t="n">
        <x:f>H1104-J1104</x:f>
        <x:v>0.002388354191105058</x:v>
      </x:c>
      <x:c r="L1104" s="240" t="n">
        <x:f>I1104-'Beta HC3'!$E$9</x:f>
        <x:v>-0.0032012980023640243</x:v>
      </x:c>
      <x:c r="M1104" s="240" t="n">
        <x:f>1/'Beta HC3'!$E$8+L1104^2/'Beta HC3'!$E$11</x:f>
        <x:v>0.0008668952462540003</x:v>
      </x:c>
      <x:c r="N1104" s="240" t="n">
        <x:f>K1104^2/(1-M1104)^2</x:f>
        <x:v>0.0000057141385670723255</x:v>
      </x:c>
      <x:c r="O1104" s="240" t="n">
        <x:f>N1104*L1104^2/'Beta HC3'!$E$11^2</x:f>
        <x:v>2.7385312291475874e-9</x:v>
      </x:c>
      <x:c r="P1104" s="240" t="n">
        <x:f>N1104*(1/'Beta HC3'!$E$8-'Beta HC3'!$E$9*L1104/'Beta HC3'!$E$11)^2</x:f>
        <x:v>3.741261915305401e-12</x:v>
      </x:c>
      <x:c r="Q1104" s="240" t="n">
        <x:f>N1104*(1/'Beta HC3'!$E$8-'Beta HC3'!$E$9*L1104/'Beta HC3'!$E$11)*L1104/'Beta HC3'!$E$11</x:f>
        <x:v>-1.0122036648562562e-10</x:v>
      </x:c>
      <x:c r="R1104" s="240" t="n">
        <x:f>K1104*L1104/'Beta HC3'!$E$11</x:f>
        <x:v>-0.00005228561224433975</x:v>
      </x:c>
      <x:c r="S1104" s="240" t="n">
        <x:f>(K1104-K1103)^2</x:f>
        <x:v>0.0000013801695474081097</x:v>
      </x:c>
      <x:c r="T1104" s="280" t="n">
        <x:f>E1104/$E$9*100</x:f>
        <x:v>140.24240812445862</x:v>
      </x:c>
    </x:row>
    <x:row r="1105" ht="24" customHeight="1">
      <x:c r="C1105" s="274" t="d">
        <x:v>2026-02-20T00:00:00.000Z</x:v>
      </x:c>
      <x:c r="D1105" s="191" t="n">
        <x:v>397.2300109863281</x:v>
      </x:c>
      <x:c r="E1105" s="191" t="n">
        <x:v>395.6267395019531</x:v>
      </x:c>
      <x:c r="F1105" s="191" t="n">
        <x:v>689.4299926757812</x:v>
      </x:c>
      <x:c r="G1105" s="191" t="n">
        <x:v>684.0868530273438</x:v>
      </x:c>
      <x:c r="H1105" s="208" t="n">
        <x:f>E1105/E1104-1</x:f>
        <x:v>-0.0030868870817751803</x:v>
      </x:c>
      <x:c r="I1105" s="208" t="n">
        <x:f>G1105/G1104-1</x:f>
        <x:v>0.007231834053074815</x:v>
      </x:c>
      <x:c r="J1105" s="208" t="n">
        <x:f>'Beta HC3'!$E$13+'Beta HC3'!$E$12*I1105</x:f>
        <x:v>0.00816527870503941</x:v>
      </x:c>
      <x:c r="K1105" s="240" t="n">
        <x:f>H1105-J1105</x:f>
        <x:v>-0.01125216578681459</x:v>
      </x:c>
      <x:c r="L1105" s="240" t="n">
        <x:f>I1105-'Beta HC3'!$E$9</x:f>
        <x:v>0.006667886435414375</x:v>
      </x:c>
      <x:c r="M1105" s="240" t="n">
        <x:f>1/'Beta HC3'!$E$8+L1105^2/'Beta HC3'!$E$11</x:f>
        <x:v>0.0011008548678337444</x:v>
      </x:c>
      <x:c r="N1105" s="240" t="n">
        <x:f>K1105^2/(1-M1105)^2</x:f>
        <x:v>0.00012689045707247072</x:v>
      </x:c>
      <x:c r="O1105" s="240" t="n">
        <x:f>N1105*L1105^2/'Beta HC3'!$E$11^2</x:f>
        <x:v>2.638275069397538e-7</x:v>
      </x:c>
      <x:c r="P1105" s="240" t="n">
        <x:f>N1105*(1/'Beta HC3'!$E$8-'Beta HC3'!$E$9*L1105/'Beta HC3'!$E$11)^2</x:f>
        <x:v>7.544804303746007e-11</x:v>
      </x:c>
      <x:c r="Q1105" s="240" t="n">
        <x:f>N1105*(1/'Beta HC3'!$E$8-'Beta HC3'!$E$9*L1105/'Beta HC3'!$E$11)*L1105/'Beta HC3'!$E$11</x:f>
        <x:v>4.4615321469262476e-9</x:v>
      </x:c>
      <x:c r="R1105" s="240" t="n">
        <x:f>K1105*L1105/'Beta HC3'!$E$11</x:f>
        <x:v>-0.0005130759739812874</x:v>
      </x:c>
      <x:c r="S1105" s="240" t="n">
        <x:f>(K1105-K1104)^2</x:f>
        <x:v>0.00018606378526802504</x:v>
      </x:c>
      <x:c r="T1105" s="280" t="n">
        <x:f>E1105/$E$9*100</x:f>
        <x:v>139.80949564650217</x:v>
      </x:c>
    </x:row>
    <x:row r="1106" ht="24" customHeight="1">
      <x:c r="C1106" s="274" t="d">
        <x:v>2026-02-23T00:00:00.000Z</x:v>
      </x:c>
      <x:c r="D1106" s="191" t="n">
        <x:v>384.4700012207031</x:v>
      </x:c>
      <x:c r="E1106" s="191" t="n">
        <x:v>382.918212890625</x:v>
      </x:c>
      <x:c r="F1106" s="191" t="n">
        <x:v>682.3900146484375</x:v>
      </x:c>
      <x:c r="G1106" s="191" t="n">
        <x:v>677.1013793945312</x:v>
      </x:c>
      <x:c r="H1106" s="208" t="n">
        <x:f>E1106/E1105-1</x:f>
        <x:v>-0.03212251686356349</x:v>
      </x:c>
      <x:c r="I1106" s="208" t="n">
        <x:f>G1106/G1105-1</x:f>
        <x:v>-0.01021138412746736</x:v>
      </x:c>
      <x:c r="J1106" s="208" t="n">
        <x:f>'Beta HC3'!$E$13+'Beta HC3'!$E$12*I1106</x:f>
        <x:v>-0.011507387439625432</x:v>
      </x:c>
      <x:c r="K1106" s="240" t="n">
        <x:f>H1106-J1106</x:f>
        <x:v>-0.020615129423938054</x:v>
      </x:c>
      <x:c r="L1106" s="240" t="n">
        <x:f>I1106-'Beta HC3'!$E$9</x:f>
        <x:v>-0.010775331745127799</x:v>
      </x:c>
      <x:c r="M1106" s="240" t="n">
        <x:f>1/'Beta HC3'!$E$8+L1106^2/'Beta HC3'!$E$11</x:f>
        <x:v>0.0015908093826686167</x:v>
      </x:c>
      <x:c r="N1106" s="240" t="n">
        <x:f>K1106^2/(1-M1106)^2</x:f>
        <x:v>0.0004263389301813197</x:v>
      </x:c>
      <x:c r="O1106" s="240" t="n">
        <x:f>N1106*L1106^2/'Beta HC3'!$E$11^2</x:f>
        <x:v>0.0000023148934901782144</x:v>
      </x:c>
      <x:c r="P1106" s="240" t="n">
        <x:f>N1106*(1/'Beta HC3'!$E$8-'Beta HC3'!$E$9*L1106/'Beta HC3'!$E$11)^2</x:f>
        <x:v>2.996570249917322e-10</x:v>
      </x:c>
      <x:c r="Q1106" s="240" t="n">
        <x:f>N1106*(1/'Beta HC3'!$E$8-'Beta HC3'!$E$9*L1106/'Beta HC3'!$E$11)*L1106/'Beta HC3'!$E$11</x:f>
        <x:v>-2.6337693453291077e-8</x:v>
      </x:c>
      <x:c r="R1106" s="240" t="n">
        <x:f>K1106*L1106/'Beta HC3'!$E$11</x:f>
        <x:v>0.0015190570232390928</x:v>
      </x:c>
      <x:c r="S1106" s="240" t="n">
        <x:f>(K1106-K1105)^2</x:f>
        <x:v>0.00008766508807009624</x:v>
      </x:c>
      <x:c r="T1106" s="280" t="n">
        <x:f>E1106/$E$9*100</x:f>
        <x:v>135.31846276491112</x:v>
      </x:c>
    </x:row>
    <x:row r="1107" ht="24" customHeight="1">
      <x:c r="C1107" s="274" t="d">
        <x:v>2026-02-24T00:00:00.000Z</x:v>
      </x:c>
      <x:c r="D1107" s="191" t="n">
        <x:v>389</x:v>
      </x:c>
      <x:c r="E1107" s="191" t="n">
        <x:v>387.4299621582031</x:v>
      </x:c>
      <x:c r="F1107" s="191" t="n">
        <x:v>687.3499755859375</x:v>
      </x:c>
      <x:c r="G1107" s="191" t="n">
        <x:v>682.0228881835938</x:v>
      </x:c>
      <x:c r="H1107" s="208" t="n">
        <x:f>E1107/E1106-1</x:f>
        <x:v>0.011782540280649512</x:v>
      </x:c>
      <x:c r="I1107" s="208" t="n">
        <x:f>G1107/G1106-1</x:f>
        <x:v>0.007268496179203332</x:v>
      </x:c>
      <x:c r="J1107" s="208" t="n">
        <x:f>'Beta HC3'!$E$13+'Beta HC3'!$E$12*I1107</x:f>
        <x:v>0.008206626681084591</x:v>
      </x:c>
      <x:c r="K1107" s="240" t="n">
        <x:f>H1107-J1107</x:f>
        <x:v>0.0035759135995649203</x:v>
      </x:c>
      <x:c r="L1107" s="240" t="n">
        <x:f>I1107-'Beta HC3'!$E$9</x:f>
        <x:v>0.006704548561542892</x:v>
      </x:c>
      <x:c r="M1107" s="240" t="n">
        <x:f>1/'Beta HC3'!$E$8+L1107^2/'Beta HC3'!$E$11</x:f>
        <x:v>0.0011042074968859272</x:v>
      </x:c>
      <x:c r="N1107" s="240" t="n">
        <x:f>K1107^2/(1-M1107)^2</x:f>
        <x:v>0.000012815444265280133</x:v>
      </x:c>
      <x:c r="O1107" s="240" t="n">
        <x:f>N1107*L1107^2/'Beta HC3'!$E$11^2</x:f>
        <x:v>2.6939372193802138e-8</x:v>
      </x:c>
      <x:c r="P1107" s="240" t="n">
        <x:f>N1107*(1/'Beta HC3'!$E$8-'Beta HC3'!$E$9*L1107/'Beta HC3'!$E$11)^2</x:f>
        <x:v>7.617165734236762e-12</x:v>
      </x:c>
      <x:c r="Q1107" s="240" t="n">
        <x:f>N1107*(1/'Beta HC3'!$E$8-'Beta HC3'!$E$9*L1107/'Beta HC3'!$E$11)*L1107/'Beta HC3'!$E$11</x:f>
        <x:v>4.5299190144690246e-10</x:v>
      </x:c>
      <x:c r="R1107" s="240" t="n">
        <x:f>K1107*L1107/'Beta HC3'!$E$11</x:f>
        <x:v>0.00016395094304946195</x:v>
      </x:c>
      <x:c r="S1107" s="240" t="n">
        <x:f>(K1107-K1106)^2</x:f>
        <x:v>0.0005852065625649718</x:v>
      </x:c>
      <x:c r="T1107" s="280" t="n">
        <x:f>E1107/$E$9*100</x:f>
        <x:v>136.91285800315424</x:v>
      </x:c>
    </x:row>
    <x:row r="1108" ht="24" customHeight="1">
      <x:c r="C1108" s="274" t="d">
        <x:v>2026-02-25T00:00:00.000Z</x:v>
      </x:c>
      <x:c r="D1108" s="191" t="n">
        <x:v>400.6000061035156</x:v>
      </x:c>
      <x:c r="E1108" s="191" t="n">
        <x:v>398.9831237792969</x:v>
      </x:c>
      <x:c r="F1108" s="191" t="n">
        <x:v>693.1500244140625</x:v>
      </x:c>
      <x:c r="G1108" s="191" t="n">
        <x:v>687.7780151367188</x:v>
      </x:c>
      <x:c r="H1108" s="208" t="n">
        <x:f>E1108/E1107-1</x:f>
        <x:v>0.029820000385969436</x:v>
      </x:c>
      <x:c r="I1108" s="208" t="n">
        <x:f>G1108/G1107-1</x:f>
        <x:v>0.00843831937730477</x:v>
      </x:c>
      <x:c r="J1108" s="208" t="n">
        <x:f>'Beta HC3'!$E$13+'Beta HC3'!$E$12*I1108</x:f>
        <x:v>0.00952596701073805</x:v>
      </x:c>
      <x:c r="K1108" s="240" t="n">
        <x:f>H1108-J1108</x:f>
        <x:v>0.020294033375231384</x:v>
      </x:c>
      <x:c r="L1108" s="240" t="n">
        <x:f>I1108-'Beta HC3'!$E$9</x:f>
        <x:v>0.007874371759644332</x:v>
      </x:c>
      <x:c r="M1108" s="240" t="n">
        <x:f>1/'Beta HC3'!$E$8+L1108^2/'Beta HC3'!$E$11</x:f>
        <x:v>0.0012208355304525284</x:v>
      </x:c>
      <x:c r="N1108" s="240" t="n">
        <x:f>K1108^2/(1-M1108)^2</x:f>
        <x:v>0.0004128552319715523</x:v>
      </x:c>
      <x:c r="O1108" s="240" t="n">
        <x:f>N1108*L1108^2/'Beta HC3'!$E$11^2</x:f>
        <x:v>0.0000011971383528802705</x:v>
      </x:c>
      <x:c r="P1108" s="240" t="n">
        <x:f>N1108*(1/'Beta HC3'!$E$8-'Beta HC3'!$E$9*L1108/'Beta HC3'!$E$11)^2</x:f>
        <x:v>2.42526850904342e-10</x:v>
      </x:c>
      <x:c r="Q1108" s="240" t="n">
        <x:f>N1108*(1/'Beta HC3'!$E$8-'Beta HC3'!$E$9*L1108/'Beta HC3'!$E$11)*L1108/'Beta HC3'!$E$11</x:f>
        <x:v>1.7039313214471497e-8</x:v>
      </x:c>
      <x:c r="R1108" s="240" t="n">
        <x:f>K1108*L1108/'Beta HC3'!$E$11</x:f>
        <x:v>0.0010928024153845483</x:v>
      </x:c>
      <x:c r="S1108" s="240" t="n">
        <x:f>(K1108-K1107)^2</x:f>
        <x:v>0.00027949552883353013</x:v>
      </x:c>
      <x:c r="T1108" s="280" t="n">
        <x:f>E1108/$E$9*100</x:f>
        <x:v>140.9955994816525</x:v>
      </x:c>
    </x:row>
    <x:row r="1109" ht="24" customHeight="1">
      <x:c r="C1109" s="274" t="d">
        <x:v>2026-02-26T00:00:00.000Z</x:v>
      </x:c>
      <x:c r="D1109" s="191" t="n">
        <x:v>401.7200012207031</x:v>
      </x:c>
      <x:c r="E1109" s="191" t="n">
        <x:v>400.0986022949219</x:v>
      </x:c>
      <x:c r="F1109" s="191" t="n">
        <x:v>689.2999877929688</x:v>
      </x:c>
      <x:c r="G1109" s="191" t="n">
        <x:v>683.957763671875</x:v>
      </x:c>
      <x:c r="H1109" s="208" t="n">
        <x:f>E1109/E1108-1</x:f>
        <x:v>0.002795803754952919</x:v>
      </x:c>
      <x:c r="I1109" s="208" t="n">
        <x:f>G1109/G1108-1</x:f>
        <x:v>-0.005554483250070685</x:v>
      </x:c>
      <x:c r="J1109" s="208" t="n">
        <x:f>'Beta HC3'!$E$13+'Beta HC3'!$E$12*I1109</x:f>
        <x:v>-0.0062552799855080405</x:v>
      </x:c>
      <x:c r="K1109" s="240" t="n">
        <x:f>H1109-J1109</x:f>
        <x:v>0.00905108374046096</x:v>
      </x:c>
      <x:c r="L1109" s="240" t="n">
        <x:f>I1109-'Beta HC3'!$E$9</x:f>
        <x:v>-0.006118430867731125</x:v>
      </x:c>
      <x:c r="M1109" s="240" t="n">
        <x:f>1/'Beta HC3'!$E$8+L1109^2/'Beta HC3'!$E$11</x:f>
        <x:v>0.0010528112816581784</x:v>
      </x:c>
      <x:c r="N1109" s="240" t="n">
        <x:f>K1109^2/(1-M1109)^2</x:f>
        <x:v>0.00008209488672773925</x:v>
      </x:c>
      <x:c r="O1109" s="240" t="n">
        <x:f>N1109*L1109^2/'Beta HC3'!$E$11^2</x:f>
        <x:v>1.4371792736790616e-7</x:v>
      </x:c>
      <x:c r="P1109" s="240" t="n">
        <x:f>N1109*(1/'Beta HC3'!$E$8-'Beta HC3'!$E$9*L1109/'Beta HC3'!$E$11)^2</x:f>
        <x:v>5.52556316062978e-11</x:v>
      </x:c>
      <x:c r="Q1109" s="240" t="n">
        <x:f>N1109*(1/'Beta HC3'!$E$8-'Beta HC3'!$E$9*L1109/'Beta HC3'!$E$11)*L1109/'Beta HC3'!$E$11</x:f>
        <x:v>-2.8180178938150286e-9</x:v>
      </x:c>
      <x:c r="R1109" s="240" t="n">
        <x:f>K1109*L1109/'Beta HC3'!$E$11</x:f>
        <x:v>-0.00037870235140002016</x:v>
      </x:c>
      <x:c r="S1109" s="240" t="n">
        <x:f>(K1109-K1108)^2</x:f>
        <x:v>0.0001264039164899844</x:v>
      </x:c>
      <x:c r="T1109" s="280" t="n">
        <x:f>E1109/$E$9*100</x:f>
        <x:v>141.38979550811516</x:v>
      </x:c>
    </x:row>
    <x:row r="1110" ht="24" customHeight="1">
      <x:c r="C1110" s="274" t="d">
        <x:v>2026-02-27T00:00:00.000Z</x:v>
      </x:c>
      <x:c r="D1110" s="191" t="n">
        <x:v>392.739990234375</x:v>
      </x:c>
      <x:c r="E1110" s="191" t="n">
        <x:v>391.15484619140625</x:v>
      </x:c>
      <x:c r="F1110" s="191" t="n">
        <x:v>685.989990234375</x:v>
      </x:c>
      <x:c r="G1110" s="191" t="n">
        <x:v>680.6734619140625</x:v>
      </x:c>
      <x:c r="H1110" s="208" t="n">
        <x:f>E1110/E1109-1</x:f>
        <x:v>-0.022353879899142948</x:v>
      </x:c>
      <x:c r="I1110" s="208" t="n">
        <x:f>G1110/G1109-1</x:f>
        <x:v>-0.004801907270092998</x:v>
      </x:c>
      <x:c r="J1110" s="208" t="n">
        <x:f>'Beta HC3'!$E$13+'Beta HC3'!$E$12*I1110</x:f>
        <x:v>-0.005406515964479506</x:v>
      </x:c>
      <x:c r="K1110" s="240" t="n">
        <x:f>H1110-J1110</x:f>
        <x:v>-0.016947363934663444</x:v>
      </x:c>
      <x:c r="L1110" s="240" t="n">
        <x:f>I1110-'Beta HC3'!$E$9</x:f>
        <x:v>-0.005365854887753437</x:v>
      </x:c>
      <x:c r="M1110" s="240" t="n">
        <x:f>1/'Beta HC3'!$E$8+L1110^2/'Beta HC3'!$E$11</x:f>
        <x:v>0.0009937079851608422</x:v>
      </x:c>
      <x:c r="N1110" s="240" t="n">
        <x:f>K1110^2/(1-M1110)^2</x:f>
        <x:v>0.0002877848082832203</x:v>
      </x:c>
      <x:c r="O1110" s="240" t="n">
        <x:f>N1110*L1110^2/'Beta HC3'!$E$11^2</x:f>
        <x:v>3.874899423374105e-7</x:v>
      </x:c>
      <x:c r="P1110" s="240" t="n">
        <x:f>N1110*(1/'Beta HC3'!$E$8-'Beta HC3'!$E$9*L1110/'Beta HC3'!$E$11)^2</x:f>
        <x:v>1.9233135103622245e-10</x:v>
      </x:c>
      <x:c r="Q1110" s="240" t="n">
        <x:f>N1110*(1/'Beta HC3'!$E$8-'Beta HC3'!$E$9*L1110/'Beta HC3'!$E$11)*L1110/'Beta HC3'!$E$11</x:f>
        <x:v>-8.632871140165484e-9</x:v>
      </x:c>
      <x:c r="R1110" s="240" t="n">
        <x:f>K1110*L1110/'Beta HC3'!$E$11</x:f>
        <x:v>0.0006218683311335028</x:v>
      </x:c>
      <x:c r="S1110" s="240" t="n">
        <x:f>(K1110-K1109)^2</x:f>
        <x:v>0.0006759192815161814</x:v>
      </x:c>
      <x:c r="T1110" s="280" t="n">
        <x:f>E1110/$E$9*100</x:f>
        <x:v>138.22918500036238</x:v>
      </x:c>
    </x:row>
    <x:row r="1111" ht="24" customHeight="1">
      <x:c r="C1111" s="274" t="d">
        <x:v>2026-03-02T00:00:00.000Z</x:v>
      </x:c>
      <x:c r="D1111" s="191" t="n">
        <x:v>398.54998779296875</x:v>
      </x:c>
      <x:c r="E1111" s="191" t="n">
        <x:v>396.9413757324219</x:v>
      </x:c>
      <x:c r="F1111" s="191" t="n">
        <x:v>686.3800048828125</x:v>
      </x:c>
      <x:c r="G1111" s="191" t="n">
        <x:v>681.0604248046875</x:v>
      </x:c>
      <x:c r="H1111" s="208" t="n">
        <x:f>E1111/E1110-1</x:f>
        <x:v>0.014793449697371397</x:v>
      </x:c>
      <x:c r="I1111" s="208" t="n">
        <x:f>G1111/G1110-1</x:f>
        <x:v>0.0005685000404405116</x:v>
      </x:c>
      <x:c r="J1111" s="208" t="n">
        <x:f>'Beta HC3'!$E$13+'Beta HC3'!$E$12*I1111</x:f>
        <x:v>0.0006502924172929282</x:v>
      </x:c>
      <x:c r="K1111" s="240" t="n">
        <x:f>H1111-J1111</x:f>
        <x:v>0.014143157280078469</x:v>
      </x:c>
      <x:c r="L1111" s="240" t="n">
        <x:f>I1111-'Beta HC3'!$E$9</x:f>
        <x:v>0.0000045524227800722425</x:v>
      </x:c>
      <x:c r="M1111" s="240" t="n">
        <x:f>1/'Beta HC3'!$E$8+L1111^2/'Beta HC3'!$E$11</x:f>
        <x:v>0.000796812890727702</x:v>
      </x:c>
      <x:c r="N1111" s="240" t="n">
        <x:f>K1111^2/(1-M1111)^2</x:f>
        <x:v>0.00020034805046438342</x:v>
      </x:c>
      <x:c r="O1111" s="240" t="n">
        <x:f>N1111*L1111^2/'Beta HC3'!$E$11^2</x:f>
        <x:v>1.9417129152559088e-13</x:v>
      </x:c>
      <x:c r="P1111" s="240" t="n">
        <x:f>N1111*(1/'Beta HC3'!$E$8-'Beta HC3'!$E$9*L1111/'Beta HC3'!$E$11)^2</x:f>
        <x:v>1.2719748692587145e-10</x:v>
      </x:c>
      <x:c r="Q1111" s="240" t="n">
        <x:f>N1111*(1/'Beta HC3'!$E$8-'Beta HC3'!$E$9*L1111/'Beta HC3'!$E$11)*L1111/'Beta HC3'!$E$11</x:f>
        <x:v>4.9697183335885264e-12</x:v>
      </x:c>
      <x:c r="R1111" s="240" t="n">
        <x:f>K1111*L1111/'Beta HC3'!$E$11</x:f>
        <x:v>4.402976021179811e-7</x:v>
      </x:c>
      <x:c r="S1111" s="240" t="n">
        <x:f>(K1111-K1110)^2</x:f>
        <x:v>0.0009666205094043171</x:v>
      </x:c>
      <x:c r="T1111" s="280" t="n">
        <x:f>E1111/$E$9*100</x:f>
        <x:v>140.27407149537387</x:v>
      </x:c>
    </x:row>
    <x:row r="1112" ht="24" customHeight="1">
      <x:c r="C1112" s="274" t="d">
        <x:v>2026-03-03T00:00:00.000Z</x:v>
      </x:c>
      <x:c r="D1112" s="191" t="n">
        <x:v>403.92999267578125</x:v>
      </x:c>
      <x:c r="E1112" s="191" t="n">
        <x:v>402.2996826171875</x:v>
      </x:c>
      <x:c r="F1112" s="191" t="n">
        <x:v>680.3300170898438</x:v>
      </x:c>
      <x:c r="G1112" s="191" t="n">
        <x:v>675.057373046875</x:v>
      </x:c>
      <x:c r="H1112" s="208" t="n">
        <x:f>E1112/E1111-1</x:f>
        <x:v>0.013498988042953908</x:v>
      </x:c>
      <x:c r="I1112" s="208" t="n">
        <x:f>G1112/G1111-1</x:f>
        <x:v>-0.008814271890095537</x:v>
      </x:c>
      <x:c r="J1112" s="208" t="n">
        <x:f>'Beta HC3'!$E$13+'Beta HC3'!$E$12*I1112</x:f>
        <x:v>-0.009931707864448134</x:v>
      </x:c>
      <x:c r="K1112" s="240" t="n">
        <x:f>H1112-J1112</x:f>
        <x:v>0.023430695907402044</x:v>
      </x:c>
      <x:c r="L1112" s="240" t="n">
        <x:f>I1112-'Beta HC3'!$E$9</x:f>
        <x:v>-0.009378219507755976</x:v>
      </x:c>
      <x:c r="M1112" s="240" t="n">
        <x:f>1/'Beta HC3'!$E$8+L1112^2/'Beta HC3'!$E$11</x:f>
        <x:v>0.0013982608372111853</x:v>
      </x:c>
      <x:c r="N1112" s="240" t="n">
        <x:f>K1112^2/(1-M1112)^2</x:f>
        <x:v>0.0005505360202469738</x:v>
      </x:c>
      <x:c r="O1112" s="240" t="n">
        <x:f>N1112*L1112^2/'Beta HC3'!$E$11^2</x:f>
        <x:v>0.000002264337970362915</x:v>
      </x:c>
      <x:c r="P1112" s="240" t="n">
        <x:f>N1112*(1/'Beta HC3'!$E$8-'Beta HC3'!$E$9*L1112/'Beta HC3'!$E$11)^2</x:f>
        <x:v>3.819926229225359e-10</x:v>
      </x:c>
      <x:c r="Q1112" s="240" t="n">
        <x:f>N1112*(1/'Beta HC3'!$E$8-'Beta HC3'!$E$9*L1112/'Beta HC3'!$E$11)*L1112/'Beta HC3'!$E$11</x:f>
        <x:v>-2.9410209119998136e-8</x:v>
      </x:c>
      <x:c r="R1112" s="240" t="n">
        <x:f>K1112*L1112/'Beta HC3'!$E$11</x:f>
        <x:v>-0.0015026676702562353</x:v>
      </x:c>
      <x:c r="S1112" s="240" t="n">
        <x:f>(K1112-K1111)^2</x:f>
        <x:v>0.00008625837375402747</x:v>
      </x:c>
      <x:c r="T1112" s="280" t="n">
        <x:f>E1112/$E$9*100</x:f>
        <x:v>142.16762950922637</x:v>
      </x:c>
    </x:row>
    <x:row r="1113" ht="24" customHeight="1">
      <x:c r="C1113" s="274" t="d">
        <x:v>2026-03-04T00:00:00.000Z</x:v>
      </x:c>
      <x:c r="D1113" s="191" t="n">
        <x:v>405.20001220703125</x:v>
      </x:c>
      <x:c r="E1113" s="191" t="n">
        <x:v>403.5645751953125</x:v>
      </x:c>
      <x:c r="F1113" s="191" t="n">
        <x:v>685.1300048828125</x:v>
      </x:c>
      <x:c r="G1113" s="191" t="n">
        <x:v>679.8201904296875</x:v>
      </x:c>
      <x:c r="H1113" s="208" t="n">
        <x:f>E1113/E1112-1</x:f>
        <x:v>0.0031441550485353797</x:v>
      </x:c>
      <x:c r="I1113" s="208" t="n">
        <x:f>G1113/G1112-1</x:f>
        <x:v>0.007055426061514547</x:v>
      </x:c>
      <x:c r="J1113" s="208" t="n">
        <x:f>'Beta HC3'!$E$13+'Beta HC3'!$E$12*I1113</x:f>
        <x:v>0.007966323702166878</x:v>
      </x:c>
      <x:c r="K1113" s="240" t="n">
        <x:f>H1113-J1113</x:f>
        <x:v>-0.004822168653631498</x:v>
      </x:c>
      <x:c r="L1113" s="240" t="n">
        <x:f>I1113-'Beta HC3'!$E$9</x:f>
        <x:v>0.006491478443854107</x:v>
      </x:c>
      <x:c r="M1113" s="240" t="n">
        <x:f>1/'Beta HC3'!$E$8+L1113^2/'Beta HC3'!$E$11</x:f>
        <x:v>0.0010849799843659525</x:v>
      </x:c>
      <x:c r="N1113" s="240" t="n">
        <x:f>K1113^2/(1-M1113)^2</x:f>
        <x:v>0.00002330385151610901</x:v>
      </x:c>
      <x:c r="O1113" s="240" t="n">
        <x:f>N1113*L1113^2/'Beta HC3'!$E$11^2</x:f>
        <x:v>4.5922938085584434e-8</x:v>
      </x:c>
      <x:c r="P1113" s="240" t="n">
        <x:f>N1113*(1/'Beta HC3'!$E$8-'Beta HC3'!$E$9*L1113/'Beta HC3'!$E$11)^2</x:f>
        <x:v>1.3880743221827696e-11</x:v>
      </x:c>
      <x:c r="Q1113" s="240" t="n">
        <x:f>N1113*(1/'Beta HC3'!$E$8-'Beta HC3'!$E$9*L1113/'Beta HC3'!$E$11)*L1113/'Beta HC3'!$E$11</x:f>
        <x:v>7.984012221670814e-10</x:v>
      </x:c>
      <x:c r="R1113" s="240" t="n">
        <x:f>K1113*L1113/'Beta HC3'!$E$11</x:f>
        <x:v>-0.0002140638717951452</x:v>
      </x:c>
      <x:c r="S1113" s="240" t="n">
        <x:f>(K1113-K1112)^2</x:f>
        <x:v>0.0007982243559041051</x:v>
      </x:c>
      <x:c r="T1113" s="280" t="n">
        <x:f>E1113/$E$9*100</x:f>
        <x:v>142.61462657928612</x:v>
      </x:c>
    </x:row>
    <x:row r="1114" ht="24" customHeight="1">
      <x:c r="C1114" s="274" t="d">
        <x:v>2026-03-05T00:00:00.000Z</x:v>
      </x:c>
      <x:c r="D1114" s="191" t="n">
        <x:v>410.67999267578125</x:v>
      </x:c>
      <x:c r="E1114" s="191" t="n">
        <x:v>409.0224304199219</x:v>
      </x:c>
      <x:c r="F1114" s="191" t="n">
        <x:v>681.3099975585938</x:v>
      </x:c>
      <x:c r="G1114" s="191" t="n">
        <x:v>676.0297241210938</x:v>
      </x:c>
      <x:c r="H1114" s="208" t="n">
        <x:f>E1114/E1113-1</x:f>
        <x:v>0.013524118716237599</x:v>
      </x:c>
      <x:c r="I1114" s="208" t="n">
        <x:f>G1114/G1113-1</x:f>
        <x:v>-0.0055756895160732345</x:v>
      </x:c>
      <x:c r="J1114" s="208" t="n">
        <x:f>'Beta HC3'!$E$13+'Beta HC3'!$E$12*I1114</x:f>
        <x:v>-0.006279196661142384</x:v>
      </x:c>
      <x:c r="K1114" s="240" t="n">
        <x:f>H1114-J1114</x:f>
        <x:v>0.019803315377379983</x:v>
      </x:c>
      <x:c r="L1114" s="240" t="n">
        <x:f>I1114-'Beta HC3'!$E$9</x:f>
        <x:v>-0.006139637133733674</x:v>
      </x:c>
      <x:c r="M1114" s="240" t="n">
        <x:f>1/'Beta HC3'!$E$8+L1114^2/'Beta HC3'!$E$11</x:f>
        <x:v>0.0010545889207507204</x:v>
      </x:c>
      <x:c r="N1114" s="240" t="n">
        <x:f>K1114^2/(1-M1114)^2</x:f>
        <x:v>0.00039299976926326425</x:v>
      </x:c>
      <x:c r="O1114" s="240" t="n">
        <x:f>N1114*L1114^2/'Beta HC3'!$E$11^2</x:f>
        <x:v>6.927753500614897e-7</x:v>
      </x:c>
      <x:c r="P1114" s="240" t="n">
        <x:f>N1114*(1/'Beta HC3'!$E$8-'Beta HC3'!$E$9*L1114/'Beta HC3'!$E$11)^2</x:f>
        <x:v>2.645692194196934e-10</x:v>
      </x:c>
      <x:c r="Q1114" s="240" t="n">
        <x:f>N1114*(1/'Beta HC3'!$E$8-'Beta HC3'!$E$9*L1114/'Beta HC3'!$E$11)*L1114/'Beta HC3'!$E$11</x:f>
        <x:v>-1.3538354168767087e-8</x:v>
      </x:c>
      <x:c r="R1114" s="240" t="n">
        <x:f>K1114*L1114/'Beta HC3'!$E$11</x:f>
        <x:v>-0.0008314535068898954</x:v>
      </x:c>
      <x:c r="S1114" s="240" t="n">
        <x:f>(K1114-K1113)^2</x:f>
        <x:v>0.0006064144637616015</x:v>
      </x:c>
      <x:c r="T1114" s="280" t="n">
        <x:f>E1114/$E$9*100</x:f>
        <x:v>144.54336371981626</x:v>
      </x:c>
    </x:row>
    <x:row r="1115" ht="24" customHeight="1">
      <x:c r="C1115" s="274" t="d">
        <x:v>2026-03-06T00:00:00.000Z</x:v>
      </x:c>
      <x:c r="D1115" s="191" t="n">
        <x:v>408.9599914550781</x:v>
      </x:c>
      <x:c r="E1115" s="191" t="n">
        <x:v>407.30938720703125</x:v>
      </x:c>
      <x:c r="F1115" s="191" t="n">
        <x:v>672.3800048828125</x:v>
      </x:c>
      <x:c r="G1115" s="191" t="n">
        <x:v>667.1688842773438</x:v>
      </x:c>
      <x:c r="H1115" s="208" t="n">
        <x:f>E1115/E1114-1</x:f>
        <x:v>-0.004188140027264309</x:v>
      </x:c>
      <x:c r="I1115" s="208" t="n">
        <x:f>G1115/G1114-1</x:f>
        <x:v>-0.013107174917892817</x:v>
      </x:c>
      <x:c r="J1115" s="208" t="n">
        <x:f>'Beta HC3'!$E$13+'Beta HC3'!$E$12*I1115</x:f>
        <x:v>-0.014773294272596344</x:v>
      </x:c>
      <x:c r="K1115" s="240" t="n">
        <x:f>H1115-J1115</x:f>
        <x:v>0.010585154245332035</x:v>
      </x:c>
      <x:c r="L1115" s="240" t="n">
        <x:f>I1115-'Beta HC3'!$E$9</x:f>
        <x:v>-0.013671122535553255</x:v>
      </x:c>
      <x:c r="M1115" s="240" t="n">
        <x:f>1/'Beta HC3'!$E$8+L1115^2/'Beta HC3'!$E$11</x:f>
        <x:v>0.0020749153342161488</x:v>
      </x:c>
      <x:c r="N1115" s="240" t="n">
        <x:f>K1115^2/(1-M1115)^2</x:f>
        <x:v>0.00011251191138332654</x:v>
      </x:c>
      <x:c r="O1115" s="240" t="n">
        <x:f>N1115*L1115^2/'Beta HC3'!$E$11^2</x:f>
        <x:v>9.833804664725229e-7</x:v>
      </x:c>
      <x:c r="P1115" s="240" t="n">
        <x:f>N1115*(1/'Beta HC3'!$E$8-'Beta HC3'!$E$9*L1115/'Beta HC3'!$E$11)^2</x:f>
        <x:v>8.120108721956766e-11</x:v>
      </x:c>
      <x:c r="Q1115" s="240" t="n">
        <x:f>N1115*(1/'Beta HC3'!$E$8-'Beta HC3'!$E$9*L1115/'Beta HC3'!$E$11)*L1115/'Beta HC3'!$E$11</x:f>
        <x:v>-8.935970178332874e-9</x:v>
      </x:c>
      <x:c r="R1115" s="240" t="n">
        <x:f>K1115*L1115/'Beta HC3'!$E$11</x:f>
        <x:v>-0.0009895978161738347</x:v>
      </x:c>
      <x:c r="S1115" s="240" t="n">
        <x:f>(K1115-K1114)^2</x:f>
        <x:v>0.0000849744946563995</x:v>
      </x:c>
      <x:c r="T1115" s="280" t="n">
        <x:f>E1115/$E$9*100</x:f>
        <x:v>143.93799587254588</x:v>
      </x:c>
    </x:row>
    <x:row r="1116" ht="24" customHeight="1">
      <x:c r="C1116" s="274" t="d">
        <x:v>2026-03-09T00:00:00.000Z</x:v>
      </x:c>
      <x:c r="D1116" s="191" t="n">
        <x:v>409.4100036621094</x:v>
      </x:c>
      <x:c r="E1116" s="191" t="n">
        <x:v>407.757568359375</x:v>
      </x:c>
      <x:c r="F1116" s="191" t="n">
        <x:v>678.27001953125</x:v>
      </x:c>
      <x:c r="G1116" s="191" t="n">
        <x:v>673.0133056640625</x:v>
      </x:c>
      <x:c r="H1116" s="208" t="n">
        <x:f>E1116/E1115-1</x:f>
        <x:v>0.0011003457480245338</x:v>
      </x:c>
      <x:c r="I1116" s="208" t="n">
        <x:f>G1116/G1115-1</x:f>
        <x:v>0.008760032915877458</x:v>
      </x:c>
      <x:c r="J1116" s="208" t="n">
        <x:f>'Beta HC3'!$E$13+'Beta HC3'!$E$12*I1116</x:f>
        <x:v>0.009888799314562534</x:v>
      </x:c>
      <x:c r="K1116" s="240" t="n">
        <x:f>H1116-J1116</x:f>
        <x:v>-0.008788453566538</x:v>
      </x:c>
      <x:c r="L1116" s="240" t="n">
        <x:f>I1116-'Beta HC3'!$E$9</x:f>
        <x:v>0.00819608529821702</x:v>
      </x:c>
      <x:c r="M1116" s="240" t="n">
        <x:f>1/'Beta HC3'!$E$8+L1116^2/'Beta HC3'!$E$11</x:f>
        <x:v>0.0012561908630910254</x:v>
      </x:c>
      <x:c r="N1116" s="240" t="n">
        <x:f>K1116^2/(1-M1116)^2</x:f>
        <x:v>0.00007743133096430392</x:v>
      </x:c>
      <x:c r="O1116" s="240" t="n">
        <x:f>N1116*L1116^2/'Beta HC3'!$E$11^2</x:f>
        <x:v>2.4324526008591833e-7</x:v>
      </x:c>
      <x:c r="P1116" s="240" t="n">
        <x:f>N1116*(1/'Beta HC3'!$E$8-'Beta HC3'!$E$9*L1116/'Beta HC3'!$E$11)^2</x:f>
        <x:v>4.5338962380291586e-11</x:v>
      </x:c>
      <x:c r="Q1116" s="240" t="n">
        <x:f>N1116*(1/'Beta HC3'!$E$8-'Beta HC3'!$E$9*L1116/'Beta HC3'!$E$11)*L1116/'Beta HC3'!$E$11</x:f>
        <x:v>3.320916695164107e-9</x:v>
      </x:c>
      <x:c r="R1116" s="240" t="n">
        <x:f>K1116*L1116/'Beta HC3'!$E$11</x:f>
        <x:v>-0.0004925794544885983</x:v>
      </x:c>
      <x:c r="S1116" s="240" t="n">
        <x:f>(K1116-K1115)^2</x:f>
        <x:v>0.00037533667964815176</x:v>
      </x:c>
      <x:c r="T1116" s="280" t="n">
        <x:f>E1116/$E$9*100</x:f>
        <x:v>144.0963774342834</x:v>
      </x:c>
    </x:row>
    <x:row r="1117" ht="24" customHeight="1">
      <x:c r="C1117" s="274" t="d">
        <x:v>2026-03-10T00:00:00.000Z</x:v>
      </x:c>
      <x:c r="D1117" s="191" t="n">
        <x:v>405.760009765625</x:v>
      </x:c>
      <x:c r="E1117" s="191" t="n">
        <x:v>404.122314453125</x:v>
      </x:c>
      <x:c r="F1117" s="191" t="n">
        <x:v>677.1799926757812</x:v>
      </x:c>
      <x:c r="G1117" s="191" t="n">
        <x:v>671.9317626953125</x:v>
      </x:c>
      <x:c r="H1117" s="208" t="n">
        <x:f>E1117/E1116-1</x:f>
        <x:v>-0.008915233433622216</x:v>
      </x:c>
      <x:c r="I1117" s="208" t="n">
        <x:f>G1117/G1116-1</x:f>
        <x:v>-0.0016070157300721588</x:v>
      </x:c>
      <x:c r="J1117" s="208" t="n">
        <x:f>'Beta HC3'!$E$13+'Beta HC3'!$E$12*I1117</x:f>
        <x:v>-0.0018032797964336786</x:v>
      </x:c>
      <x:c r="K1117" s="240" t="n">
        <x:f>H1117-J1117</x:f>
        <x:v>-0.007111953637188537</x:v>
      </x:c>
      <x:c r="L1117" s="240" t="n">
        <x:f>I1117-'Beta HC3'!$E$9</x:f>
        <x:v>-0.002170963347732598</x:v>
      </x:c>
      <x:c r="M1117" s="240" t="n">
        <x:f>1/'Beta HC3'!$E$8+L1117^2/'Beta HC3'!$E$11</x:f>
        <x:v>0.0008290429002924703</x:v>
      </x:c>
      <x:c r="N1117" s="240" t="n">
        <x:f>K1117^2/(1-M1117)^2</x:f>
        <x:v>0.00005066385473377429</x:v>
      </x:c>
      <x:c r="O1117" s="240" t="n">
        <x:f>N1117*L1117^2/'Beta HC3'!$E$11^2</x:f>
        <x:v>1.1166522241598757e-8</x:v>
      </x:c>
      <x:c r="P1117" s="240" t="n">
        <x:f>N1117*(1/'Beta HC3'!$E$8-'Beta HC3'!$E$9*L1117/'Beta HC3'!$E$11)^2</x:f>
        <x:v>3.284654646061501e-11</x:v>
      </x:c>
      <x:c r="Q1117" s="240" t="n">
        <x:f>N1117*(1/'Beta HC3'!$E$8-'Beta HC3'!$E$9*L1117/'Beta HC3'!$E$11)*L1117/'Beta HC3'!$E$11</x:f>
        <x:v>-6.056250420946647e-10</x:v>
      </x:c>
      <x:c r="R1117" s="240" t="n">
        <x:f>K1117*L1117/'Beta HC3'!$E$11</x:f>
        <x:v>0.00010558416010232899</x:v>
      </x:c>
      <x:c r="S1117" s="240" t="n">
        <x:f>(K1117-K1116)^2</x:f>
        <x:v>0.0000028106520131087556</x:v>
      </x:c>
      <x:c r="T1117" s="280" t="n">
        <x:f>E1117/$E$9*100</x:f>
        <x:v>142.81172459251744</x:v>
      </x:c>
    </x:row>
    <x:row r="1118" ht="24" customHeight="1">
      <x:c r="C1118" s="274" t="d">
        <x:v>2026-03-11T00:00:00.000Z</x:v>
      </x:c>
      <x:c r="D1118" s="191" t="n">
        <x:v>404.8800048828125</x:v>
      </x:c>
      <x:c r="E1118" s="191" t="n">
        <x:v>403.245849609375</x:v>
      </x:c>
      <x:c r="F1118" s="191" t="n">
        <x:v>676.3300170898438</x:v>
      </x:c>
      <x:c r="G1118" s="191" t="n">
        <x:v>671.08837890625</x:v>
      </x:c>
      <x:c r="H1118" s="208" t="n">
        <x:f>E1118/E1117-1</x:f>
        <x:v>-0.002168810809014765</x:v>
      </x:c>
      <x:c r="I1118" s="208" t="n">
        <x:f>G1118/G1117-1</x:f>
        <x:v>-0.0012551628541557225</x:v>
      </x:c>
      <x:c r="J1118" s="208" t="n">
        <x:f>'Beta HC3'!$E$13+'Beta HC3'!$E$12*I1118</x:f>
        <x:v>-0.0014064559942946007</x:v>
      </x:c>
      <x:c r="K1118" s="240" t="n">
        <x:f>H1118-J1118</x:f>
        <x:v>-0.0007623548147201644</x:v>
      </x:c>
      <x:c r="L1118" s="240" t="n">
        <x:f>I1118-'Beta HC3'!$E$9</x:f>
        <x:v>-0.0018191104718161617</x:v>
      </x:c>
      <x:c r="M1118" s="240" t="n">
        <x:f>1/'Beta HC3'!$E$8+L1118^2/'Beta HC3'!$E$11</x:f>
        <x:v>0.0008194422777107317</x:v>
      </x:c>
      <x:c r="N1118" s="240" t="n">
        <x:f>K1118^2/(1-M1118)^2</x:f>
        <x:v>5.821385304760615e-7</x:v>
      </x:c>
      <x:c r="O1118" s="240" t="n">
        <x:f>N1118*L1118^2/'Beta HC3'!$E$11^2</x:f>
        <x:v>9.00863966245866e-11</x:v>
      </x:c>
      <x:c r="P1118" s="240" t="n">
        <x:f>N1118*(1/'Beta HC3'!$E$8-'Beta HC3'!$E$9*L1118/'Beta HC3'!$E$11)^2</x:f>
        <x:v>3.7614285321610915e-13</x:v>
      </x:c>
      <x:c r="Q1118" s="240" t="n">
        <x:f>N1118*(1/'Beta HC3'!$E$8-'Beta HC3'!$E$9*L1118/'Beta HC3'!$E$11)*L1118/'Beta HC3'!$E$11</x:f>
        <x:v>-5.821112802749151e-12</x:v>
      </x:c>
      <x:c r="R1118" s="240" t="n">
        <x:f>K1118*L1118/'Beta HC3'!$E$11</x:f>
        <x:v>0.000009483607747699568</x:v>
      </x:c>
      <x:c r="S1118" s="240" t="n">
        <x:f>(K1118-K1117)^2</x:f>
        <x:v>0.000040317405206291745</x:v>
      </x:c>
      <x:c r="T1118" s="280" t="n">
        <x:f>E1118/$E$9*100</x:f>
        <x:v>142.50199298056714</x:v>
      </x:c>
    </x:row>
    <x:row r="1119" ht="24" customHeight="1">
      <x:c r="C1119" s="274" t="d">
        <x:v>2026-03-12T00:00:00.000Z</x:v>
      </x:c>
      <x:c r="D1119" s="191" t="n">
        <x:v>401.8599853515625</x:v>
      </x:c>
      <x:c r="E1119" s="191" t="n">
        <x:v>400.238037109375</x:v>
      </x:c>
      <x:c r="F1119" s="191" t="n">
        <x:v>666.0599975585938</x:v>
      </x:c>
      <x:c r="G1119" s="191" t="n">
        <x:v>660.89794921875</x:v>
      </x:c>
      <x:c r="H1119" s="208" t="n">
        <x:f>E1119/E1118-1</x:f>
        <x:v>-0.0074590042350434205</x:v>
      </x:c>
      <x:c r="I1119" s="208" t="n">
        <x:f>G1119/G1118-1</x:f>
        <x:v>-0.015184929448649576</x:v>
      </x:c>
      <x:c r="J1119" s="208" t="n">
        <x:f>'Beta HC3'!$E$13+'Beta HC3'!$E$12*I1119</x:f>
        <x:v>-0.017116610212985044</x:v>
      </x:c>
      <x:c r="K1119" s="240" t="n">
        <x:f>H1119-J1119</x:f>
        <x:v>0.009657605977941623</x:v>
      </x:c>
      <x:c r="L1119" s="240" t="n">
        <x:f>I1119-'Beta HC3'!$E$9</x:f>
        <x:v>-0.015748877066310014</x:v>
      </x:c>
      <x:c r="M1119" s="240" t="n">
        <x:f>1/'Beta HC3'!$E$8+L1119^2/'Beta HC3'!$E$11</x:f>
        <x:v>0.002492932640125108</x:v>
      </x:c>
      <x:c r="N1119" s="240" t="n">
        <x:f>K1119^2/(1-M1119)^2</x:f>
        <x:v>0.00009373612638006018</x:v>
      </x:c>
      <x:c r="O1119" s="240" t="n">
        <x:f>N1119*L1119^2/'Beta HC3'!$E$11^2</x:f>
        <x:v>0.0000010872287077227874</x:v>
      </x:c>
      <x:c r="P1119" s="240" t="n">
        <x:f>N1119*(1/'Beta HC3'!$E$8-'Beta HC3'!$E$9*L1119/'Beta HC3'!$E$11)^2</x:f>
        <x:v>6.893258609689054e-11</x:v>
      </x:c>
      <x:c r="Q1119" s="240" t="n">
        <x:f>N1119*(1/'Beta HC3'!$E$8-'Beta HC3'!$E$9*L1119/'Beta HC3'!$E$11)*L1119/'Beta HC3'!$E$11</x:f>
        <x:v>-8.657106127460381e-9</x:v>
      </x:c>
      <x:c r="R1119" s="240" t="n">
        <x:f>K1119*L1119/'Beta HC3'!$E$11</x:f>
        <x:v>-0.0010401032105862408</x:v>
      </x:c>
      <x:c r="S1119" s="240" t="n">
        <x:f>(K1119-K1118)^2</x:f>
        <x:v>0.00010857558292060887</x:v>
      </x:c>
      <x:c r="T1119" s="280" t="n">
        <x:f>E1119/$E$9*100</x:f>
        <x:v>141.43907001142298</x:v>
      </x:c>
    </x:row>
    <x:row r="1120" ht="24" customHeight="1">
      <x:c r="C1120" s="274" t="d">
        <x:v>2026-03-13T00:00:00.000Z</x:v>
      </x:c>
      <x:c r="D1120" s="191" t="n">
        <x:v>395.54998779296875</x:v>
      </x:c>
      <x:c r="E1120" s="191" t="n">
        <x:v>393.9534912109375</x:v>
      </x:c>
      <x:c r="F1120" s="191" t="n">
        <x:v>662.2899780273438</x:v>
      </x:c>
      <x:c r="G1120" s="191" t="n">
        <x:v>657.1571655273438</x:v>
      </x:c>
      <x:c r="H1120" s="208" t="n">
        <x:f>E1120/E1119-1</x:f>
        <x:v>-0.015702020587114007</x:v>
      </x:c>
      <x:c r="I1120" s="208" t="n">
        <x:f>G1120/G1119-1</x:f>
        <x:v>-0.005660153274538393</x:v>
      </x:c>
      <x:c r="J1120" s="208" t="n">
        <x:f>'Beta HC3'!$E$13+'Beta HC3'!$E$12*I1120</x:f>
        <x:v>-0.0063744558790464634</x:v>
      </x:c>
      <x:c r="K1120" s="240" t="n">
        <x:f>H1120-J1120</x:f>
        <x:v>-0.009327564708067544</x:v>
      </x:c>
      <x:c r="L1120" s="240" t="n">
        <x:f>I1120-'Beta HC3'!$E$9</x:f>
        <x:v>-0.006224100892198833</x:v>
      </x:c>
      <x:c r="M1120" s="240" t="n">
        <x:f>1/'Beta HC3'!$E$8+L1120^2/'Beta HC3'!$E$11</x:f>
        <x:v>0.001061730225364901</x:v>
      </x:c>
      <x:c r="N1120" s="240" t="n">
        <x:f>K1120^2/(1-M1120)^2</x:f>
        <x:v>0.00008718850644329663</x:v>
      </x:c>
      <x:c r="O1120" s="240" t="n">
        <x:f>N1120*L1120^2/'Beta HC3'!$E$11^2</x:f>
        <x:v>1.5795275630702708e-7</x:v>
      </x:c>
      <x:c r="P1120" s="240" t="n">
        <x:f>N1120*(1/'Beta HC3'!$E$8-'Beta HC3'!$E$9*L1120/'Beta HC3'!$E$11)^2</x:f>
        <x:v>5.874231017673073e-11</x:v>
      </x:c>
      <x:c r="Q1120" s="240" t="n">
        <x:f>N1120*(1/'Beta HC3'!$E$8-'Beta HC3'!$E$9*L1120/'Beta HC3'!$E$11)*L1120/'Beta HC3'!$E$11</x:f>
        <x:v>-3.046064642166503e-9</x:v>
      </x:c>
      <x:c r="R1120" s="240" t="n">
        <x:f>K1120*L1120/'Beta HC3'!$E$11</x:f>
        <x:v>0.00039701074032259906</x:v>
      </x:c>
      <x:c r="S1120" s="240" t="n">
        <x:f>(K1120-K1119)^2</x:f>
        <x:v>0.00036043670597690183</x:v>
      </x:c>
      <x:c r="T1120" s="280" t="n">
        <x:f>E1120/$E$9*100</x:f>
        <x:v>139.21819082228134</x:v>
      </x:c>
    </x:row>
    <x:row r="1121" ht="24" customHeight="1">
      <x:c r="C1121" s="274" t="d">
        <x:v>2026-03-16T00:00:00.000Z</x:v>
      </x:c>
      <x:c r="D1121" s="191" t="n">
        <x:v>399.95001220703125</x:v>
      </x:c>
      <x:c r="E1121" s="191" t="n">
        <x:v>398.33575439453125</x:v>
      </x:c>
      <x:c r="F1121" s="191" t="n">
        <x:v>669.030029296875</x:v>
      </x:c>
      <x:c r="G1121" s="191" t="n">
        <x:v>663.844970703125</x:v>
      </x:c>
      <x:c r="H1121" s="208" t="n">
        <x:f>E1121/E1120-1</x:f>
        <x:v>0.011123808473237462</x:v>
      </x:c>
      <x:c r="I1121" s="208" t="n">
        <x:f>G1121/G1120-1</x:f>
        <x:v>0.010176873245252516</x:v>
      </x:c>
      <x:c r="J1121" s="208" t="n">
        <x:f>'Beta HC3'!$E$13+'Beta HC3'!$E$12*I1121</x:f>
        <x:v>0.011486728463392692</x:v>
      </x:c>
      <x:c r="K1121" s="240" t="n">
        <x:f>H1121-J1121</x:f>
        <x:v>-0.0003629199901552301</x:v>
      </x:c>
      <x:c r="L1121" s="240" t="n">
        <x:f>I1121-'Beta HC3'!$E$9</x:f>
        <x:v>0.009612925627592077</x:v>
      </x:c>
      <x:c r="M1121" s="240" t="n">
        <x:f>1/'Beta HC3'!$E$8+L1121^2/'Beta HC3'!$E$11</x:f>
        <x:v>0.0014287420980897865</x:v>
      </x:c>
      <x:c r="N1121" s="240" t="n">
        <x:f>K1121^2/(1-M1121)^2</x:f>
        <x:v>1.320880892498647e-7</x:v>
      </x:c>
      <x:c r="O1121" s="240" t="n">
        <x:f>N1121*L1121^2/'Beta HC3'!$E$11^2</x:f>
        <x:v>5.708073350403808e-10</x:v>
      </x:c>
      <x:c r="P1121" s="240" t="n">
        <x:f>N1121*(1/'Beta HC3'!$E$8-'Beta HC3'!$E$9*L1121/'Beta HC3'!$E$11)^2</x:f>
        <x:v>7.624194084913546e-14</x:v>
      </x:c>
      <x:c r="Q1121" s="240" t="n">
        <x:f>N1121*(1/'Beta HC3'!$E$8-'Beta HC3'!$E$9*L1121/'Beta HC3'!$E$11)*L1121/'Beta HC3'!$E$11</x:f>
        <x:v>6.59692800282081e-12</x:v>
      </x:c>
      <x:c r="R1121" s="240" t="n">
        <x:f>K1121*L1121/'Beta HC3'!$E$11</x:f>
        <x:v>-0.000023857439663399047</x:v>
      </x:c>
      <x:c r="S1121" s="240" t="n">
        <x:f>(K1121-K1120)^2</x:f>
        <x:v>0.00008036485491839315</x:v>
      </x:c>
      <x:c r="T1121" s="280" t="n">
        <x:f>E1121/$E$9*100</x:f>
        <x:v>140.76682731297905</x:v>
      </x:c>
    </x:row>
    <x:row r="1122" ht="24" customHeight="1">
      <x:c r="C1122" s="274" t="d">
        <x:v>2026-03-17T00:00:00.000Z</x:v>
      </x:c>
      <x:c r="D1122" s="191" t="n">
        <x:v>399.4100036621094</x:v>
      </x:c>
      <x:c r="E1122" s="191" t="n">
        <x:v>397.79791259765625</x:v>
      </x:c>
      <x:c r="F1122" s="191" t="n">
        <x:v>670.7899780273438</x:v>
      </x:c>
      <x:c r="G1122" s="191" t="n">
        <x:v>665.5912475585938</x:v>
      </x:c>
      <x:c r="H1122" s="208" t="n">
        <x:f>E1122/E1121-1</x:f>
        <x:v>-0.001350222245784849</x:v>
      </x:c>
      <x:c r="I1122" s="208" t="n">
        <x:f>G1122/G1121-1</x:f>
        <x:v>0.0026305491982852036</x:v>
      </x:c>
      <x:c r="J1122" s="208" t="n">
        <x:f>'Beta HC3'!$E$13+'Beta HC3'!$E$12*I1122</x:f>
        <x:v>0.0029758956538228193</x:v>
      </x:c>
      <x:c r="K1122" s="240" t="n">
        <x:f>H1122-J1122</x:f>
        <x:v>-0.004326117899607669</x:v>
      </x:c>
      <x:c r="L1122" s="240" t="n">
        <x:f>I1122-'Beta HC3'!$E$9</x:f>
        <x:v>0.0020666015806247644</x:v>
      </x:c>
      <x:c r="M1122" s="240" t="n">
        <x:f>1/'Beta HC3'!$E$8+L1122^2/'Beta HC3'!$E$11</x:f>
        <x:v>0.0008260186679671155</x:v>
      </x:c>
      <x:c r="N1122" s="240" t="n">
        <x:f>K1122^2/(1-M1122)^2</x:f>
        <x:v>0.000018746252800144065</x:v>
      </x:c>
      <x:c r="O1122" s="240" t="n">
        <x:f>N1122*L1122^2/'Beta HC3'!$E$11^2</x:f>
        <x:v>3.74405919611804e-9</x:v>
      </x:c>
      <x:c r="P1122" s="240" t="n">
        <x:f>N1122*(1/'Beta HC3'!$E$8-'Beta HC3'!$E$9*L1122/'Beta HC3'!$E$11)^2</x:f>
        <x:v>1.1665287719597751e-11</x:v>
      </x:c>
      <x:c r="Q1122" s="240" t="n">
        <x:f>N1122*(1/'Beta HC3'!$E$8-'Beta HC3'!$E$9*L1122/'Beta HC3'!$E$11)*L1122/'Beta HC3'!$E$11</x:f>
        <x:v>2.0898690811130443e-10</x:v>
      </x:c>
      <x:c r="R1122" s="240" t="n">
        <x:f>K1122*L1122/'Beta HC3'!$E$11</x:f>
        <x:v>-0.00006113817485937327</x:v>
      </x:c>
      <x:c r="S1122" s="240" t="n">
        <x:f>(K1122-K1121)^2</x:f>
        <x:v>0.00001570693766948818</x:v>
      </x:c>
      <x:c r="T1122" s="280" t="n">
        <x:f>E1122/$E$9*100</x:f>
        <x:v>140.5767608112725</x:v>
      </x:c>
    </x:row>
    <x:row r="1123" ht="24" customHeight="1">
      <x:c r="C1123" s="274" t="d">
        <x:v>2026-03-18T00:00:00.000Z</x:v>
      </x:c>
      <x:c r="D1123" s="191" t="n">
        <x:v>391.7900085449219</x:v>
      </x:c>
      <x:c r="E1123" s="191" t="n">
        <x:v>390.2087097167969</x:v>
      </x:c>
      <x:c r="F1123" s="191" t="n">
        <x:v>661.4299926757812</x:v>
      </x:c>
      <x:c r="G1123" s="191" t="n">
        <x:v>656.3037719726562</x:v>
      </x:c>
      <x:c r="H1123" s="208" t="n">
        <x:f>E1123/E1122-1</x:f>
        <x:v>-0.019078035958764117</x:v>
      </x:c>
      <x:c r="I1123" s="208" t="n">
        <x:f>G1123/G1122-1</x:f>
        <x:v>-0.01395372252866034</x:v>
      </x:c>
      <x:c r="J1123" s="208" t="n">
        <x:f>'Beta HC3'!$E$13+'Beta HC3'!$E$12*I1123</x:f>
        <x:v>-0.01572804060150315</x:v>
      </x:c>
      <x:c r="K1123" s="240" t="n">
        <x:f>H1123-J1123</x:f>
        <x:v>-0.0033499953572609653</x:v>
      </x:c>
      <x:c r="L1123" s="240" t="n">
        <x:f>I1123-'Beta HC3'!$E$9</x:f>
        <x:v>-0.014517670146320778</x:v>
      </x:c>
      <x:c r="M1123" s="240" t="n">
        <x:f>1/'Beta HC3'!$E$8+L1123^2/'Beta HC3'!$E$11</x:f>
        <x:v>0.002238102209013627</x:v>
      </x:c>
      <x:c r="N1123" s="240" t="n">
        <x:f>K1123^2/(1-M1123)^2</x:f>
        <x:v>0.000011272872106637052</x:v>
      </x:c>
      <x:c r="O1123" s="240" t="n">
        <x:f>N1123*L1123^2/'Beta HC3'!$E$11^2</x:f>
        <x:v>1.1110744274493588e-7</x:v>
      </x:c>
      <x:c r="P1123" s="240" t="n">
        <x:f>N1123*(1/'Beta HC3'!$E$8-'Beta HC3'!$E$9*L1123/'Beta HC3'!$E$11)^2</x:f>
        <x:v>8.198407035445526e-12</x:v>
      </x:c>
      <x:c r="Q1123" s="240" t="n">
        <x:f>N1123*(1/'Beta HC3'!$E$8-'Beta HC3'!$E$9*L1123/'Beta HC3'!$E$11)*L1123/'Beta HC3'!$E$11</x:f>
        <x:v>-9.544129296538491e-10</x:v>
      </x:c>
      <x:c r="R1123" s="240" t="n">
        <x:f>K1123*L1123/'Beta HC3'!$E$11</x:f>
        <x:v>0.0003325818089843508</x:v>
      </x:c>
      <x:c r="S1123" s="240" t="n">
        <x:f>(K1123-K1122)^2</x:f>
        <x:v>9.528152176773918e-7</x:v>
      </x:c>
      <x:c r="T1123" s="280" t="n">
        <x:f>E1123/$E$9*100</x:f>
        <x:v>137.89483231354848</x:v>
      </x:c>
    </x:row>
    <x:row r="1124" ht="24" customHeight="1">
      <x:c r="C1124" s="274" t="d">
        <x:v>2026-03-19T00:00:00.000Z</x:v>
      </x:c>
      <x:c r="D1124" s="191" t="n">
        <x:v>389.0199890136719</x:v>
      </x:c>
      <x:c r="E1124" s="191" t="n">
        <x:v>387.4498596191406</x:v>
      </x:c>
      <x:c r="F1124" s="191" t="n">
        <x:v>659.7999877929688</x:v>
      </x:c>
      <x:c r="G1124" s="191" t="n">
        <x:v>654.6864013671875</x:v>
      </x:c>
      <x:c r="H1124" s="208" t="n">
        <x:f>E1124/E1123-1</x:f>
        <x:v>-0.007070190974616031</x:v>
      </x:c>
      <x:c r="I1124" s="208" t="n">
        <x:f>G1124/G1123-1</x:f>
        <x:v>-0.002464362806581799</x:v>
      </x:c>
      <x:c r="J1124" s="208" t="n">
        <x:f>'Beta HC3'!$E$13+'Beta HC3'!$E$12*I1124</x:f>
        <x:v>-0.0027702058895265726</x:v>
      </x:c>
      <x:c r="K1124" s="240" t="n">
        <x:f>H1124-J1124</x:f>
        <x:v>-0.004299985085089458</x:v>
      </x:c>
      <x:c r="L1124" s="240" t="n">
        <x:f>I1124-'Beta HC3'!$E$9</x:f>
        <x:v>-0.0030283104242422383</x:v>
      </x:c>
      <x:c r="M1124" s="240" t="n">
        <x:f>1/'Beta HC3'!$E$8+L1124^2/'Beta HC3'!$E$11</x:f>
        <x:v>0.0008595258309990922</x:v>
      </x:c>
      <x:c r="N1124" s="240" t="n">
        <x:f>K1124^2/(1-M1124)^2</x:f>
        <x:v>0.000018521697803838405</x:v>
      </x:c>
      <x:c r="O1124" s="240" t="n">
        <x:f>N1124*L1124^2/'Beta HC3'!$E$11^2</x:f>
        <x:v>7.943214672481707e-9</x:v>
      </x:c>
      <x:c r="P1124" s="240" t="n">
        <x:f>N1124*(1/'Beta HC3'!$E$8-'Beta HC3'!$E$9*L1124/'Beta HC3'!$E$11)^2</x:f>
        <x:v>1.2106865404076282e-11</x:v>
      </x:c>
      <x:c r="Q1124" s="240" t="n">
        <x:f>N1124*(1/'Beta HC3'!$E$8-'Beta HC3'!$E$9*L1124/'Beta HC3'!$E$11)*L1124/'Beta HC3'!$E$11</x:f>
        <x:v>-3.1010874046924234e-10</x:v>
      </x:c>
      <x:c r="R1124" s="240" t="n">
        <x:f>K1124*L1124/'Beta HC3'!$E$11</x:f>
        <x:v>0.00008904810915691851</x:v>
      </x:c>
      <x:c r="S1124" s="240" t="n">
        <x:f>(K1124-K1123)^2</x:f>
        <x:v>9.024804829796539e-7</x:v>
      </x:c>
      <x:c r="T1124" s="280" t="n">
        <x:f>E1124/$E$9*100</x:f>
        <x:v>136.91988951467903</x:v>
      </x:c>
    </x:row>
    <x:row r="1125" ht="24" customHeight="1">
      <x:c r="C1125" s="274" t="d">
        <x:v>2026-03-20T00:00:00.000Z</x:v>
      </x:c>
      <x:c r="D1125" s="191" t="n">
        <x:v>381.8699951171875</x:v>
      </x:c>
      <x:c r="E1125" s="191" t="n">
        <x:v>380.3287353515625</x:v>
      </x:c>
      <x:c r="F1125" s="191" t="n">
        <x:v>648.5700073242188</x:v>
      </x:c>
      <x:c r="G1125" s="191" t="n">
        <x:v>645.301025390625</x:v>
      </x:c>
      <x:c r="H1125" s="208" t="n">
        <x:f>E1125/E1124-1</x:f>
        <x:v>-0.018379473087377307</x:v>
      </x:c>
      <x:c r="I1125" s="208" t="n">
        <x:f>G1125/G1124-1</x:f>
        <x:v>-0.014335681872974515</x:v>
      </x:c>
      <x:c r="J1125" s="208" t="n">
        <x:f>'Beta HC3'!$E$13+'Beta HC3'!$E$12*I1125</x:f>
        <x:v>-0.01615881883197383</x:v>
      </x:c>
      <x:c r="K1125" s="240" t="n">
        <x:f>H1125-J1125</x:f>
        <x:v>-0.0022206542554034786</x:v>
      </x:c>
      <x:c r="L1125" s="240" t="n">
        <x:f>I1125-'Beta HC3'!$E$9</x:f>
        <x:v>-0.014899629490634954</x:v>
      </x:c>
      <x:c r="M1125" s="240" t="n">
        <x:f>1/'Beta HC3'!$E$8+L1125^2/'Beta HC3'!$E$11</x:f>
        <x:v>0.002314940430614525</x:v>
      </x:c>
      <x:c r="N1125" s="240" t="n">
        <x:f>K1125^2/(1-M1125)^2</x:f>
        <x:v>0.000004954216203431288</x:v>
      </x:c>
      <x:c r="O1125" s="240" t="n">
        <x:f>N1125*L1125^2/'Beta HC3'!$E$11^2</x:f>
        <x:v>5.1432853073993606e-8</x:v>
      </x:c>
      <x:c r="P1125" s="240" t="n">
        <x:f>N1125*(1/'Beta HC3'!$E$8-'Beta HC3'!$E$9*L1125/'Beta HC3'!$E$11)^2</x:f>
        <x:v>3.6155041526137155e-12</x:v>
      </x:c>
      <x:c r="Q1125" s="240" t="n">
        <x:f>N1125*(1/'Beta HC3'!$E$8-'Beta HC3'!$E$9*L1125/'Beta HC3'!$E$11)*L1125/'Beta HC3'!$E$11</x:f>
        <x:v>-4.3122580380792954e-10</x:v>
      </x:c>
      <x:c r="R1125" s="240" t="n">
        <x:f>K1125*L1125/'Beta HC3'!$E$11</x:f>
        <x:v>0.00022626312275303418</x:v>
      </x:c>
      <x:c r="S1125" s="240" t="n">
        <x:f>(K1125-K1124)^2</x:f>
        <x:v>0.000004323616699282584</x:v>
      </x:c>
      <x:c r="T1125" s="280" t="n">
        <x:f>E1125/$E$9*100</x:f>
        <x:v>134.4033740902173</x:v>
      </x:c>
    </x:row>
    <x:row r="1126" ht="24" customHeight="1">
      <x:c r="C1126" s="274" t="d">
        <x:v>2026-03-23T00:00:00.000Z</x:v>
      </x:c>
      <x:c r="D1126" s="191" t="n">
        <x:v>383</x:v>
      </x:c>
      <x:c r="E1126" s="191" t="n">
        <x:v>381.4541931152344</x:v>
      </x:c>
      <x:c r="F1126" s="191" t="n">
        <x:v>655.3800048828125</x:v>
      </x:c>
      <x:c r="G1126" s="191" t="n">
        <x:v>652.07666015625</x:v>
      </x:c>
      <x:c r="H1126" s="208" t="n">
        <x:f>E1126/E1125-1</x:f>
        <x:v>0.0029591709988243675</x:v>
      </x:c>
      <x:c r="I1126" s="208" t="n">
        <x:f>G1126/G1125-1</x:f>
        <x:v>0.010499959707213291</x:v>
      </x:c>
      <x:c r="J1126" s="208" t="n">
        <x:f>'Beta HC3'!$E$13+'Beta HC3'!$E$12*I1126</x:f>
        <x:v>0.011851109166324295</x:v>
      </x:c>
      <x:c r="K1126" s="240" t="n">
        <x:f>H1126-J1126</x:f>
        <x:v>-0.008891938167499927</x:v>
      </x:c>
      <x:c r="L1126" s="240" t="n">
        <x:f>I1126-'Beta HC3'!$E$9</x:f>
        <x:v>0.009936012089552852</x:v>
      </x:c>
      <x:c r="M1126" s="240" t="n">
        <x:f>1/'Beta HC3'!$E$8+L1126^2/'Beta HC3'!$E$11</x:f>
        <x:v>0.001471933697334512</x:v>
      </x:c>
      <x:c r="N1126" s="240" t="n">
        <x:f>K1126^2/(1-M1126)^2</x:f>
        <x:v>0.00007929984078016954</x:v>
      </x:c>
      <x:c r="O1126" s="240" t="n">
        <x:f>N1126*L1126^2/'Beta HC3'!$E$11^2</x:f>
        <x:v>3.6610972115116423e-7</x:v>
      </x:c>
      <x:c r="P1126" s="240" t="n">
        <x:f>N1126*(1/'Beta HC3'!$E$8-'Beta HC3'!$E$9*L1126/'Beta HC3'!$E$11)^2</x:f>
        <x:v>4.562227376264603e-11</x:v>
      </x:c>
      <x:c r="Q1126" s="240" t="n">
        <x:f>N1126*(1/'Beta HC3'!$E$8-'Beta HC3'!$E$9*L1126/'Beta HC3'!$E$11)*L1126/'Beta HC3'!$E$11</x:f>
        <x:v>4.086900772654557e-9</x:v>
      </x:c>
      <x:c r="R1126" s="240" t="n">
        <x:f>K1126*L1126/'Beta HC3'!$E$11</x:f>
        <x:v>-0.0006041793904871473</x:v>
      </x:c>
      <x:c r="S1126" s="240" t="n">
        <x:f>(K1126-K1125)^2</x:f>
        <x:v>0.000044506029035796896</x:v>
      </x:c>
      <x:c r="T1126" s="280" t="n">
        <x:f>E1126/$E$9*100</x:f>
        <x:v>134.8010966569692</x:v>
      </x:c>
    </x:row>
    <x:row r="1127" ht="24" customHeight="1">
      <x:c r="C1127" s="274" t="d">
        <x:v>2026-03-24T00:00:00.000Z</x:v>
      </x:c>
      <x:c r="D1127" s="191" t="n">
        <x:v>372.739990234375</x:v>
      </x:c>
      <x:c r="E1127" s="191" t="n">
        <x:v>371.2355651855469</x:v>
      </x:c>
      <x:c r="F1127" s="191" t="n">
        <x:v>653.1799926757812</x:v>
      </x:c>
      <x:c r="G1127" s="191" t="n">
        <x:v>649.8877563476562</x:v>
      </x:c>
      <x:c r="H1127" s="208" t="n">
        <x:f>E1127/E1126-1</x:f>
        <x:v>-0.02678861083223305</x:v>
      </x:c>
      <x:c r="I1127" s="208" t="n">
        <x:f>G1127/G1126-1</x:f>
        <x:v>-0.0033568197458091475</x:v>
      </x:c>
      <x:c r="J1127" s="208" t="n">
        <x:f>'Beta HC3'!$E$13+'Beta HC3'!$E$12*I1127</x:f>
        <x:v>-0.003776729297775506</x:v>
      </x:c>
      <x:c r="K1127" s="240" t="n">
        <x:f>H1127-J1127</x:f>
        <x:v>-0.023011881534457546</x:v>
      </x:c>
      <x:c r="L1127" s="240" t="n">
        <x:f>I1127-'Beta HC3'!$E$9</x:f>
        <x:v>-0.003920767363469587</x:v>
      </x:c>
      <x:c r="M1127" s="240" t="n">
        <x:f>1/'Beta HC3'!$E$8+L1127^2/'Beta HC3'!$E$11</x:f>
        <x:v>0.0009019361759923209</x:v>
      </x:c>
      <x:c r="N1127" s="240" t="n">
        <x:f>K1127^2/(1-M1127)^2</x:f>
        <x:v>0.0005305032202891637</x:v>
      </x:c>
      <x:c r="O1127" s="240" t="n">
        <x:f>N1127*L1127^2/'Beta HC3'!$E$11^2</x:f>
        <x:v>3.8136856812894353e-7</x:v>
      </x:c>
      <x:c r="P1127" s="240" t="n">
        <x:f>N1127*(1/'Beta HC3'!$E$8-'Beta HC3'!$E$9*L1127/'Beta HC3'!$E$11)^2</x:f>
        <x:v>3.497266406576468e-10</x:v>
      </x:c>
      <x:c r="Q1127" s="240" t="n">
        <x:f>N1127*(1/'Beta HC3'!$E$8-'Beta HC3'!$E$9*L1127/'Beta HC3'!$E$11)*L1127/'Beta HC3'!$E$11</x:f>
        <x:v>-1.1548798560203236e-8</x:v>
      </x:c>
      <x:c r="R1127" s="240" t="n">
        <x:f>K1127*L1127/'Beta HC3'!$E$11</x:f>
        <x:v>0.0006169934668633564</x:v>
      </x:c>
      <x:c r="S1127" s="240" t="n">
        <x:f>(K1127-K1126)^2</x:f>
        <x:v>0.00019937280068609044</x:v>
      </x:c>
      <x:c r="T1127" s="280" t="n">
        <x:f>E1127/$E$9*100</x:f>
        <x:v>131.18996253886743</x:v>
      </x:c>
    </x:row>
    <x:row r="1128" ht="24" customHeight="1">
      <x:c r="C1128" s="274" t="d">
        <x:v>2026-03-25T00:00:00.000Z</x:v>
      </x:c>
      <x:c r="D1128" s="191" t="n">
        <x:v>371.0400085449219</x:v>
      </x:c>
      <x:c r="E1128" s="191" t="n">
        <x:v>369.5424499511719</x:v>
      </x:c>
      <x:c r="F1128" s="191" t="n">
        <x:v>656.8200073242188</x:v>
      </x:c>
      <x:c r="G1128" s="191" t="n">
        <x:v>653.5093994140625</x:v>
      </x:c>
      <x:c r="H1128" s="208" t="n">
        <x:f>E1128/E1127-1</x:f>
        <x:v>-0.00456075708567627</x:v>
      </x:c>
      <x:c r="I1128" s="208" t="n">
        <x:f>G1128/G1127-1</x:f>
        <x:v>0.005572720875308912</x:v>
      </x:c>
      <x:c r="J1128" s="208" t="n">
        <x:f>'Beta HC3'!$E$13+'Beta HC3'!$E$12*I1128</x:f>
        <x:v>0.006294111394937687</x:v>
      </x:c>
      <x:c r="K1128" s="240" t="n">
        <x:f>H1128-J1128</x:f>
        <x:v>-0.010854868480613959</x:v>
      </x:c>
      <x:c r="L1128" s="240" t="n">
        <x:f>I1128-'Beta HC3'!$E$9</x:f>
        <x:v>0.005008773257648472</x:v>
      </x:c>
      <x:c r="M1128" s="240" t="n">
        <x:f>1/'Beta HC3'!$E$8+L1128^2/'Beta HC3'!$E$11</x:f>
        <x:v>0.0009683743559696215</x:v>
      </x:c>
      <x:c r="N1128" s="240" t="n">
        <x:f>K1128^2/(1-M1128)^2</x:f>
        <x:v>0.00011805670519560513</x:v>
      </x:c>
      <x:c r="O1128" s="240" t="n">
        <x:f>N1128*L1128^2/'Beta HC3'!$E$11^2</x:f>
        <x:v>1.3850585271680005e-7</x:v>
      </x:c>
      <x:c r="P1128" s="240" t="n">
        <x:f>N1128*(1/'Beta HC3'!$E$8-'Beta HC3'!$E$9*L1128/'Beta HC3'!$E$11)^2</x:f>
        <x:v>7.136533520959845e-11</x:v>
      </x:c>
      <x:c r="Q1128" s="240" t="n">
        <x:f>N1128*(1/'Beta HC3'!$E$8-'Beta HC3'!$E$9*L1128/'Beta HC3'!$E$11)*L1128/'Beta HC3'!$E$11</x:f>
        <x:v>3.1439651091616315e-9</x:v>
      </x:c>
      <x:c r="R1128" s="240" t="n">
        <x:f>K1128*L1128/'Beta HC3'!$E$11</x:f>
        <x:v>-0.00037180335066895896</x:v>
      </x:c>
      <x:c r="S1128" s="240" t="n">
        <x:f>(K1128-K1127)^2</x:f>
        <x:v>0.00014779296639132338</x:v>
      </x:c>
      <x:c r="T1128" s="280" t="n">
        <x:f>E1128/$E$9*100</x:f>
        <x:v>130.5916369876487</x:v>
      </x:c>
    </x:row>
    <x:row r="1129" ht="24" customHeight="1">
      <x:c r="C1129" s="274" t="d">
        <x:v>2026-03-26T00:00:00.000Z</x:v>
      </x:c>
      <x:c r="D1129" s="191" t="n">
        <x:v>365.9700012207031</x:v>
      </x:c>
      <x:c r="E1129" s="191" t="n">
        <x:v>364.492919921875</x:v>
      </x:c>
      <x:c r="F1129" s="191" t="n">
        <x:v>645.0900268554688</x:v>
      </x:c>
      <x:c r="G1129" s="191" t="n">
        <x:v>641.8385620117188</x:v>
      </x:c>
      <x:c r="H1129" s="208" t="n">
        <x:f>E1129/E1128-1</x:f>
        <x:v>-0.013664275998505948</x:v>
      </x:c>
      <x:c r="I1129" s="208" t="n">
        <x:f>G1129/G1128-1</x:f>
        <x:v>-0.01785871391108962</x:v>
      </x:c>
      <x:c r="J1129" s="208" t="n">
        <x:f>'Beta HC3'!$E$13+'Beta HC3'!$E$12*I1129</x:f>
        <x:v>-0.020132135704207226</x:v>
      </x:c>
      <x:c r="K1129" s="240" t="n">
        <x:f>H1129-J1129</x:f>
        <x:v>0.006467859705701278</x:v>
      </x:c>
      <x:c r="L1129" s="240" t="n">
        <x:f>I1129-'Beta HC3'!$E$9</x:f>
        <x:v>-0.018422661528750058</x:v>
      </x:c>
      <x:c r="M1129" s="240" t="n">
        <x:f>1/'Beta HC3'!$E$8+L1129^2/'Beta HC3'!$E$11</x:f>
        <x:v>0.0031177430983790983</x:v>
      </x:c>
      <x:c r="N1129" s="240" t="n">
        <x:f>K1129^2/(1-M1129)^2</x:f>
        <x:v>0.00004209528455872702</x:v>
      </x:c>
      <x:c r="O1129" s="240" t="n">
        <x:f>N1129*L1129^2/'Beta HC3'!$E$11^2</x:f>
        <x:v>6.681176095950703e-7</x:v>
      </x:c>
      <x:c r="P1129" s="240" t="n">
        <x:f>N1129*(1/'Beta HC3'!$E$8-'Beta HC3'!$E$9*L1129/'Beta HC3'!$E$11)^2</x:f>
        <x:v>3.1705382270063655e-11</x:v>
      </x:c>
      <x:c r="Q1129" s="240" t="n">
        <x:f>N1129*(1/'Beta HC3'!$E$8-'Beta HC3'!$E$9*L1129/'Beta HC3'!$E$11)*L1129/'Beta HC3'!$E$11</x:f>
        <x:v>-4.602491087831985e-9</x:v>
      </x:c>
      <x:c r="R1129" s="240" t="n">
        <x:f>K1129*L1129/'Beta HC3'!$E$11</x:f>
        <x:v>-0.0008148362202190983</x:v>
      </x:c>
      <x:c r="S1129" s="240" t="n">
        <x:f>(K1129-K1128)^2</x:f>
        <x:v>0.00030007691181696035</x:v>
      </x:c>
      <x:c r="T1129" s="280" t="n">
        <x:f>E1129/$E$9*100</x:f>
        <x:v>128.80719681675276</x:v>
      </x:c>
    </x:row>
    <x:row r="1130" ht="24" customHeight="1">
      <x:c r="C1130" s="274" t="d">
        <x:v>2026-03-27T00:00:00.000Z</x:v>
      </x:c>
      <x:c r="D1130" s="191" t="n">
        <x:v>356.7699890136719</x:v>
      </x:c>
      <x:c r="E1130" s="191" t="n">
        <x:v>355.33001708984375</x:v>
      </x:c>
      <x:c r="F1130" s="191" t="n">
        <x:v>634.0900268554688</x:v>
      </x:c>
      <x:c r="G1130" s="191" t="n">
        <x:v>630.8939819335938</x:v>
      </x:c>
      <x:c r="H1130" s="208" t="n">
        <x:f>E1130/E1129-1</x:f>
        <x:v>-0.025138767672072238</x:v>
      </x:c>
      <x:c r="I1130" s="208" t="n">
        <x:f>G1130/G1129-1</x:f>
        <x:v>-0.017051920414101196</x:v>
      </x:c>
      <x:c r="J1130" s="208" t="n">
        <x:f>'Beta HC3'!$E$13+'Beta HC3'!$E$12*I1130</x:f>
        <x:v>-0.01922222453129965</x:v>
      </x:c>
      <x:c r="K1130" s="240" t="n">
        <x:f>H1130-J1130</x:f>
        <x:v>-0.005916543140772588</x:v>
      </x:c>
      <x:c r="L1130" s="240" t="n">
        <x:f>I1130-'Beta HC3'!$E$9</x:f>
        <x:v>-0.017615868031761635</x:v>
      </x:c>
      <x:c r="M1130" s="240" t="n">
        <x:f>1/'Beta HC3'!$E$8+L1130^2/'Beta HC3'!$E$11</x:f>
        <x:v>0.0029189108547864944</x:v>
      </x:c>
      <x:c r="N1130" s="240" t="n">
        <x:f>K1130^2/(1-M1130)^2</x:f>
        <x:v>0.000035210736743086165</x:v>
      </x:c>
      <x:c r="O1130" s="240" t="n">
        <x:f>N1130*L1130^2/'Beta HC3'!$E$11^2</x:f>
        <x:v>5.109729751963149e-7</x:v>
      </x:c>
      <x:c r="P1130" s="240" t="n">
        <x:f>N1130*(1/'Beta HC3'!$E$8-'Beta HC3'!$E$9*L1130/'Beta HC3'!$E$11)^2</x:f>
        <x:v>2.633025281274383e-11</x:v>
      </x:c>
      <x:c r="Q1130" s="240" t="n">
        <x:f>N1130*(1/'Beta HC3'!$E$8-'Beta HC3'!$E$9*L1130/'Beta HC3'!$E$11)*L1130/'Beta HC3'!$E$11</x:f>
        <x:v>-3.66797595649138e-9</x:v>
      </x:c>
      <x:c r="R1130" s="240" t="n">
        <x:f>K1130*L1130/'Beta HC3'!$E$11</x:f>
        <x:v>0.0007127372303866214</x:v>
      </x:c>
      <x:c r="S1130" s="240" t="n">
        <x:f>(K1130-K1129)^2</x:f>
        <x:v>0.00015337343386375</x:v>
      </x:c>
      <x:c r="T1130" s="280" t="n">
        <x:f>E1130/$E$9*100</x:f>
        <x:v>125.56914262148553</x:v>
      </x:c>
    </x:row>
    <x:row r="1131" ht="24" customHeight="1">
      <x:c r="C1131" s="274" t="d">
        <x:v>2026-03-30T00:00:00.000Z</x:v>
      </x:c>
      <x:c r="D1131" s="191" t="n">
        <x:v>358.9599914550781</x:v>
      </x:c>
      <x:c r="E1131" s="191" t="n">
        <x:v>357.51116943359375</x:v>
      </x:c>
      <x:c r="F1131" s="191" t="n">
        <x:v>631.969970703125</x:v>
      </x:c>
      <x:c r="G1131" s="191" t="n">
        <x:v>628.78466796875</x:v>
      </x:c>
      <x:c r="H1131" s="208" t="n">
        <x:f>E1131/E1130-1</x:f>
        <x:v>0.006138384709554412</x:v>
      </x:c>
      <x:c r="I1131" s="208" t="n">
        <x:f>G1131/G1130-1</x:f>
        <x:v>-0.003343373094761515</x:v>
      </x:c>
      <x:c r="J1131" s="208" t="n">
        <x:f>'Beta HC3'!$E$13+'Beta HC3'!$E$12*I1131</x:f>
        <x:v>-0.003761564006939497</x:v>
      </x:c>
      <x:c r="K1131" s="240" t="n">
        <x:f>H1131-J1131</x:f>
        <x:v>0.009899948716493908</x:v>
      </x:c>
      <x:c r="L1131" s="240" t="n">
        <x:f>I1131-'Beta HC3'!$E$9</x:f>
        <x:v>-0.0039073207124219545</x:v>
      </x:c>
      <x:c r="M1131" s="240" t="n">
        <x:f>1/'Beta HC3'!$E$8+L1131^2/'Beta HC3'!$E$11</x:f>
        <x:v>0.0009012163505388881</x:v>
      </x:c>
      <x:c r="N1131" s="240" t="n">
        <x:f>K1131^2/(1-M1131)^2</x:f>
        <x:v>0.0000981858782813298</x:v>
      </x:c>
      <x:c r="O1131" s="240" t="n">
        <x:f>N1131*L1131^2/'Beta HC3'!$E$11^2</x:f>
        <x:v>7.010062195024345e-8</x:v>
      </x:c>
      <x:c r="P1131" s="240" t="n">
        <x:f>N1131*(1/'Beta HC3'!$E$8-'Beta HC3'!$E$9*L1131/'Beta HC3'!$E$11)^2</x:f>
        <x:v>6.471936437919681e-11</x:v>
      </x:c>
      <x:c r="Q1131" s="240" t="n">
        <x:f>N1131*(1/'Beta HC3'!$E$8-'Beta HC3'!$E$9*L1131/'Beta HC3'!$E$11)*L1131/'Beta HC3'!$E$11</x:f>
        <x:v>-2.129992416701554e-9</x:v>
      </x:c>
      <x:c r="R1131" s="240" t="n">
        <x:f>K1131*L1131/'Beta HC3'!$E$11</x:f>
        <x:v>-0.0002645266096859868</x:v>
      </x:c>
      <x:c r="S1131" s="240" t="n">
        <x:f>(K1131-K1130)^2</x:f>
        <x:v>0.00025016141467097734</x:v>
      </x:c>
      <x:c r="T1131" s="280" t="n">
        <x:f>E1131/$E$9*100</x:f>
        <x:v>126.3399343265451</x:v>
      </x:c>
    </x:row>
    <x:row r="1132" ht="24" customHeight="1">
      <x:c r="C1132" s="274" t="d">
        <x:v>2026-03-31T00:00:00.000Z</x:v>
      </x:c>
      <x:c r="D1132" s="191" t="n">
        <x:v>370.1700134277344</x:v>
      </x:c>
      <x:c r="E1132" s="191" t="n">
        <x:v>368.67596435546875</x:v>
      </x:c>
      <x:c r="F1132" s="191" t="n">
        <x:v>650.3400268554688</x:v>
      </x:c>
      <x:c r="G1132" s="191" t="n">
        <x:v>647.0620727539062</x:v>
      </x:c>
      <x:c r="H1132" s="208" t="n">
        <x:f>E1132/E1131-1</x:f>
        <x:v>0.031229219885810622</x:v>
      </x:c>
      <x:c r="I1132" s="208" t="n">
        <x:f>G1132/G1131-1</x:f>
        <x:v>0.029067828330166412</x:v>
      </x:c>
      <x:c r="J1132" s="208" t="n">
        <x:f>'Beta HC3'!$E$13+'Beta HC3'!$E$12*I1132</x:f>
        <x:v>0.03279216927671275</x:v>
      </x:c>
      <x:c r="K1132" s="240" t="n">
        <x:f>H1132-J1132</x:f>
        <x:v>-0.001562949390902131</x:v>
      </x:c>
      <x:c r="L1132" s="240" t="n">
        <x:f>I1132-'Beta HC3'!$E$9</x:f>
        <x:v>0.028503880712505973</x:v>
      </x:c>
      <x:c r="M1132" s="240" t="n">
        <x:f>1/'Beta HC3'!$E$8+L1132^2/'Beta HC3'!$E$11</x:f>
        <x:v>0.006352852510689754</x:v>
      </x:c>
      <x:c r="N1132" s="240" t="n">
        <x:f>K1132^2/(1-M1132)^2</x:f>
        <x:v>0.0000024741467235382093</x:v>
      </x:c>
      <x:c r="O1132" s="240" t="n">
        <x:f>N1132*L1132^2/'Beta HC3'!$E$11^2</x:f>
        <x:v>9.400439471612952e-8</x:v>
      </x:c>
      <x:c r="P1132" s="240" t="n">
        <x:f>N1132*(1/'Beta HC3'!$E$8-'Beta HC3'!$E$9*L1132/'Beta HC3'!$E$11)^2</x:f>
        <x:v>1.1673358552812366e-12</x:v>
      </x:c>
      <x:c r="Q1132" s="240" t="n">
        <x:f>N1132*(1/'Beta HC3'!$E$8-'Beta HC3'!$E$9*L1132/'Beta HC3'!$E$11)*L1132/'Beta HC3'!$E$11</x:f>
        <x:v>3.312622835551129e-10</x:v>
      </x:c>
      <x:c r="R1132" s="240" t="n">
        <x:f>K1132*L1132/'Beta HC3'!$E$11</x:f>
        <x:v>-0.0003046535680155582</x:v>
      </x:c>
      <x:c r="S1132" s="240" t="n">
        <x:f>(K1132-K1131)^2</x:f>
        <x:v>0.0001313980330205437</x:v>
      </x:c>
      <x:c r="T1132" s="280" t="n">
        <x:f>E1132/$E$9*100</x:f>
        <x:v>130.28543191598766</x:v>
      </x:c>
    </x:row>
    <x:row r="1133" ht="24" customHeight="1">
      <x:c r="C1133" s="274" t="d">
        <x:v>2026-04-01T00:00:00.000Z</x:v>
      </x:c>
      <x:c r="D1133" s="191" t="n">
        <x:v>369.3699951171875</x:v>
      </x:c>
      <x:c r="E1133" s="191" t="n">
        <x:v>367.8791809082031</x:v>
      </x:c>
      <x:c r="F1133" s="191" t="n">
        <x:v>655.239990234375</x:v>
      </x:c>
      <x:c r="G1133" s="191" t="n">
        <x:v>651.9373779296875</x:v>
      </x:c>
      <x:c r="H1133" s="208" t="n">
        <x:f>E1133/E1132-1</x:f>
        <x:v>-0.002161202585198585</x:v>
      </x:c>
      <x:c r="I1133" s="208" t="n">
        <x:f>G1133/G1132-1</x:f>
        <x:v>0.007534524709556623</x:v>
      </x:c>
      <x:c r="J1133" s="208" t="n">
        <x:f>'Beta HC3'!$E$13+'Beta HC3'!$E$12*I1133</x:f>
        <x:v>0.0085066567792252</x:v>
      </x:c>
      <x:c r="K1133" s="240" t="n">
        <x:f>H1133-J1133</x:f>
        <x:v>-0.010667859364423785</x:v>
      </x:c>
      <x:c r="L1133" s="240" t="n">
        <x:f>I1133-'Beta HC3'!$E$9</x:f>
        <x:v>0.006970577091896183</x:v>
      </x:c>
      <x:c r="M1133" s="240" t="n">
        <x:f>1/'Beta HC3'!$E$8+L1133^2/'Beta HC3'!$E$11</x:f>
        <x:v>0.001129085579299714</x:v>
      </x:c>
      <x:c r="N1133" s="240" t="n">
        <x:f>K1133^2/(1-M1133)^2</x:f>
        <x:v>0.00011406064647290237</x:v>
      </x:c>
      <x:c r="O1133" s="240" t="n">
        <x:f>N1133*L1133^2/'Beta HC3'!$E$11^2</x:f>
        <x:v>2.591719646797496e-7</x:v>
      </x:c>
      <x:c r="P1133" s="240" t="n">
        <x:f>N1133*(1/'Beta HC3'!$E$8-'Beta HC3'!$E$9*L1133/'Beta HC3'!$E$11)^2</x:f>
        <x:v>6.761435794706208e-11</x:v>
      </x:c>
      <x:c r="Q1133" s="240" t="n">
        <x:f>N1133*(1/'Beta HC3'!$E$8-'Beta HC3'!$E$9*L1133/'Beta HC3'!$E$11)*L1133/'Beta HC3'!$E$11</x:f>
        <x:v>4.186137359153414e-9</x:v>
      </x:c>
      <x:c r="R1133" s="240" t="n">
        <x:f>K1133*L1133/'Beta HC3'!$E$11</x:f>
        <x:v>-0.0005085145429830776</x:v>
      </x:c>
      <x:c r="S1133" s="240" t="n">
        <x:f>(K1133-K1132)^2</x:f>
        <x:v>0.00008289938562593408</x:v>
      </x:c>
      <x:c r="T1133" s="280" t="n">
        <x:f>E1133/$E$9*100</x:f>
        <x:v>130.00385870371713</x:v>
      </x:c>
    </x:row>
    <x:row r="1134" ht="24" customHeight="1">
      <x:c r="C1134" s="274" t="d">
        <x:v>2026-04-02T00:00:00.000Z</x:v>
      </x:c>
      <x:c r="D1134" s="191" t="n">
        <x:v>373.4599914550781</x:v>
      </x:c>
      <x:c r="E1134" s="191" t="n">
        <x:v>371.9526672363281</x:v>
      </x:c>
      <x:c r="F1134" s="191" t="n">
        <x:v>655.8300170898438</x:v>
      </x:c>
      <x:c r="G1134" s="191" t="n">
        <x:v>652.5244140625</x:v>
      </x:c>
      <x:c r="H1134" s="208" t="n">
        <x:f>E1134/E1133-1</x:f>
        <x:v>0.011072891697944343</x:v>
      </x:c>
      <x:c r="I1134" s="208" t="n">
        <x:f>G1134/G1133-1</x:f>
        <x:v>0.0009004486514896382</x:v>
      </x:c>
      <x:c r="J1134" s="208" t="n">
        <x:f>'Beta HC3'!$E$13+'Beta HC3'!$E$12*I1134</x:f>
        <x:v>0.001024667955955811</x:v>
      </x:c>
      <x:c r="K1134" s="240" t="n">
        <x:f>H1134-J1134</x:f>
        <x:v>0.010048223741988532</x:v>
      </x:c>
      <x:c r="L1134" s="240" t="n">
        <x:f>I1134-'Beta HC3'!$E$9</x:f>
        <x:v>0.0003365010338291988</x:v>
      </x:c>
      <x:c r="M1134" s="240" t="n">
        <x:f>1/'Beta HC3'!$E$8+L1134^2/'Beta HC3'!$E$11</x:f>
        <x:v>0.000797587086281274</x:v>
      </x:c>
      <x:c r="N1134" s="240" t="n">
        <x:f>K1134^2/(1-M1134)^2</x:f>
        <x:v>0.00010112805289504032</x:v>
      </x:c>
      <x:c r="O1134" s="240" t="n">
        <x:f>N1134*L1134^2/'Beta HC3'!$E$11^2</x:f>
        <x:v>5.354996286244529e-10</x:v>
      </x:c>
      <x:c r="P1134" s="240" t="n">
        <x:f>N1134*(1/'Beta HC3'!$E$8-'Beta HC3'!$E$9*L1134/'Beta HC3'!$E$11)^2</x:f>
        <x:v>6.399829708855439e-11</x:v>
      </x:c>
      <x:c r="Q1134" s="240" t="n">
        <x:f>N1134*(1/'Beta HC3'!$E$8-'Beta HC3'!$E$9*L1134/'Beta HC3'!$E$11)*L1134/'Beta HC3'!$E$11</x:f>
        <x:v>1.851244563085015e-10</x:v>
      </x:c>
      <x:c r="R1134" s="240" t="n">
        <x:f>K1134*L1134/'Beta HC3'!$E$11</x:f>
        <x:v>0.000023122408051562263</x:v>
      </x:c>
      <x:c r="S1134" s="240" t="n">
        <x:f>(K1134-K1133)^2</x:f>
        <x:v>0.00042915609927178175</x:v>
      </x:c>
      <x:c r="T1134" s="280" t="n">
        <x:f>E1134/$E$9*100</x:f>
        <x:v>131.44337735145822</x:v>
      </x:c>
    </x:row>
    <x:row r="1135" ht="24" customHeight="1">
      <x:c r="C1135" s="274" t="d">
        <x:v>2026-04-06T00:00:00.000Z</x:v>
      </x:c>
      <x:c r="D1135" s="191" t="n">
        <x:v>372.8800048828125</x:v>
      </x:c>
      <x:c r="E1135" s="191" t="n">
        <x:v>371.375</x:v>
      </x:c>
      <x:c r="F1135" s="191" t="n">
        <x:v>658.9299926757812</x:v>
      </x:c>
      <x:c r="G1135" s="191" t="n">
        <x:v>655.6088256835938</x:v>
      </x:c>
      <x:c r="H1135" s="208" t="n">
        <x:f>E1135/E1134-1</x:f>
        <x:v>-0.0015530665248895126</x:v>
      </x:c>
      <x:c r="I1135" s="208" t="n">
        <x:f>G1135/G1134-1</x:f>
        <x:v>0.004726890756302504</x:v>
      </x:c>
      <x:c r="J1135" s="208" t="n">
        <x:f>'Beta HC3'!$E$13+'Beta HC3'!$E$12*I1135</x:f>
        <x:v>0.005340174261658191</x:v>
      </x:c>
      <x:c r="K1135" s="240" t="n">
        <x:f>H1135-J1135</x:f>
        <x:v>-0.006893240786547704</x:v>
      </x:c>
      <x:c r="L1135" s="240" t="n">
        <x:f>I1135-'Beta HC3'!$E$9</x:f>
        <x:v>0.0041629431386420645</x:v>
      </x:c>
      <x:c r="M1135" s="240" t="n">
        <x:f>1/'Beta HC3'!$E$8+L1135^2/'Beta HC3'!$E$11</x:f>
        <x:v>0.0009153236552789031</x:v>
      </x:c>
      <x:c r="N1135" s="240" t="n">
        <x:f>K1135^2/(1-M1135)^2</x:f>
        <x:v>0.00004760387456291141</x:v>
      </x:c>
      <x:c r="O1135" s="240" t="n">
        <x:f>N1135*L1135^2/'Beta HC3'!$E$11^2</x:f>
        <x:v>3.857962330395475e-8</x:v>
      </x:c>
      <x:c r="P1135" s="240" t="n">
        <x:f>N1135*(1/'Beta HC3'!$E$8-'Beta HC3'!$E$9*L1135/'Beta HC3'!$E$11)^2</x:f>
        <x:v>2.9018534263182525e-11</x:v>
      </x:c>
      <x:c r="Q1135" s="240" t="n">
        <x:f>N1135*(1/'Beta HC3'!$E$8-'Beta HC3'!$E$9*L1135/'Beta HC3'!$E$11)*L1135/'Beta HC3'!$E$11</x:f>
        <x:v>1.0580756687054504e-9</x:v>
      </x:c>
      <x:c r="R1135" s="240" t="n">
        <x:f>K1135*L1135/'Beta HC3'!$E$11</x:f>
        <x:v>-0.0001962371777798246</x:v>
      </x:c>
      <x:c r="S1135" s="240" t="n">
        <x:f>(K1135-K1134)^2</x:f>
        <x:v>0.0002870132203716515</x:v>
      </x:c>
      <x:c r="T1135" s="280" t="n">
        <x:f>E1135/$E$9*100</x:f>
        <x:v>131.23923704217526</x:v>
      </x:c>
    </x:row>
    <x:row r="1136" ht="24" customHeight="1">
      <x:c r="C1136" s="274" t="d">
        <x:v>2026-04-07T00:00:00.000Z</x:v>
      </x:c>
      <x:c r="D1136" s="191" t="n">
        <x:v>372.2900085449219</x:v>
      </x:c>
      <x:c r="E1136" s="191" t="n">
        <x:v>370.78741455078125</x:v>
      </x:c>
      <x:c r="F1136" s="191" t="n">
        <x:v>659.219970703125</x:v>
      </x:c>
      <x:c r="G1136" s="191" t="n">
        <x:v>655.8972778320312</x:v>
      </x:c>
      <x:c r="H1136" s="208" t="n">
        <x:f>E1136/E1135-1</x:f>
        <x:v>-0.0015821890251598303</x:v>
      </x:c>
      <x:c r="I1136" s="208" t="n">
        <x:f>G1136/G1135-1</x:f>
        <x:v>0.00043997599961653755</x:v>
      </x:c>
      <x:c r="J1136" s="208" t="n">
        <x:f>'Beta HC3'!$E$13+'Beta HC3'!$E$12*I1136</x:f>
        <x:v>0.000505341495936355</x:v>
      </x:c>
      <x:c r="K1136" s="240" t="n">
        <x:f>H1136-J1136</x:f>
        <x:v>-0.002087530521096185</x:v>
      </x:c>
      <x:c r="L1136" s="240" t="n">
        <x:f>I1136-'Beta HC3'!$E$9</x:f>
        <x:v>-0.00012397161804390182</x:v>
      </x:c>
      <x:c r="M1136" s="240" t="n">
        <x:f>1/'Beta HC3'!$E$8+L1136^2/'Beta HC3'!$E$11</x:f>
        <x:v>0.0007969178488066201</x:v>
      </x:c>
      <x:c r="N1136" s="240" t="n">
        <x:f>K1136^2/(1-M1136)^2</x:f>
        <x:v>0.000004364737579123367</x:v>
      </x:c>
      <x:c r="O1136" s="240" t="n">
        <x:f>N1136*L1136^2/'Beta HC3'!$E$11^2</x:f>
        <x:v>3.137020809809251e-12</x:v>
      </x:c>
      <x:c r="P1136" s="240" t="n">
        <x:f>N1136*(1/'Beta HC3'!$E$8-'Beta HC3'!$E$9*L1136/'Beta HC3'!$E$11)^2</x:f>
        <x:v>2.7745445099168416e-12</x:v>
      </x:c>
      <x:c r="Q1136" s="240" t="n">
        <x:f>N1136*(1/'Beta HC3'!$E$8-'Beta HC3'!$E$9*L1136/'Beta HC3'!$E$11)*L1136/'Beta HC3'!$E$11</x:f>
        <x:v>-2.9502209858502364e-12</x:v>
      </x:c>
      <x:c r="R1136" s="240" t="n">
        <x:f>K1136*L1136/'Beta HC3'!$E$11</x:f>
        <x:v>0.0000017697522160775796</x:v>
      </x:c>
      <x:c r="S1136" s="240" t="n">
        <x:f>(K1136-K1135)^2</x:f>
        <x:v>0.00002309485115546611</x:v>
      </x:c>
      <x:c r="T1136" s="280" t="n">
        <x:f>E1136/$E$9*100</x:f>
        <x:v>131.03159176165678</x:v>
      </x:c>
    </x:row>
    <x:row r="1137" ht="24" customHeight="1">
      <x:c r="C1137" s="274" t="d">
        <x:v>2026-04-08T00:00:00.000Z</x:v>
      </x:c>
      <x:c r="D1137" s="191" t="n">
        <x:v>374.3299865722656</x:v>
      </x:c>
      <x:c r="E1137" s="191" t="n">
        <x:v>372.81915283203125</x:v>
      </x:c>
      <x:c r="F1137" s="191" t="n">
        <x:v>676.010009765625</x:v>
      </x:c>
      <x:c r="G1137" s="191" t="n">
        <x:v>672.6027221679688</x:v>
      </x:c>
      <x:c r="H1137" s="208" t="n">
        <x:f>E1137/E1136-1</x:f>
        <x:v>0.005479523310443213</x:v>
      </x:c>
      <x:c r="I1137" s="208" t="n">
        <x:f>G1137/G1136-1</x:f>
        <x:v>0.0254696046172882</x:v>
      </x:c>
      <x:c r="J1137" s="208" t="n">
        <x:f>'Beta HC3'!$E$13+'Beta HC3'!$E$12*I1137</x:f>
        <x:v>0.028734050351374104</x:v>
      </x:c>
      <x:c r="K1137" s="240" t="n">
        <x:f>H1137-J1137</x:f>
        <x:v>-0.02325452704093089</x:v>
      </x:c>
      <x:c r="L1137" s="240" t="n">
        <x:f>I1137-'Beta HC3'!$E$9</x:f>
        <x:v>0.02490565699962776</x:v>
      </x:c>
      <x:c r="M1137" s="240" t="n">
        <x:f>1/'Beta HC3'!$E$8+L1137^2/'Beta HC3'!$E$11</x:f>
        <x:v>0.005038643799266657</x:v>
      </x:c>
      <x:c r="N1137" s="240" t="n">
        <x:f>K1137^2/(1-M1137)^2</x:f>
        <x:v>0.0005462640190082571</x:v>
      </x:c>
      <x:c r="O1137" s="240" t="n">
        <x:f>N1137*L1137^2/'Beta HC3'!$E$11^2</x:f>
        <x:v>0.000015845769122467356</x:v>
      </x:c>
      <x:c r="P1137" s="240" t="n">
        <x:f>N1137*(1/'Beta HC3'!$E$8-'Beta HC3'!$E$9*L1137/'Beta HC3'!$E$11)^2</x:f>
        <x:v>2.6825356278251824e-10</x:v>
      </x:c>
      <x:c r="Q1137" s="240" t="n">
        <x:f>N1137*(1/'Beta HC3'!$E$8-'Beta HC3'!$E$9*L1137/'Beta HC3'!$E$11)*L1137/'Beta HC3'!$E$11</x:f>
        <x:v>6.519727005121524e-8</x:v>
      </x:c>
      <x:c r="R1137" s="240" t="n">
        <x:f>K1137*L1137/'Beta HC3'!$E$11</x:f>
        <x:v>-0.003960617255062491</x:v>
      </x:c>
      <x:c r="S1137" s="240" t="n">
        <x:f>(K1137-K1136)^2</x:f>
        <x:v>0.0004480417416706946</x:v>
      </x:c>
      <x:c r="T1137" s="280" t="n">
        <x:f>E1137/$E$9*100</x:f>
        <x:v>131.74958242311928</x:v>
      </x:c>
    </x:row>
    <x:row r="1138" ht="24" customHeight="1">
      <x:c r="C1138" s="274" t="d">
        <x:v>2026-04-09T00:00:00.000Z</x:v>
      </x:c>
      <x:c r="D1138" s="191" t="n">
        <x:v>373.07000732421875</x:v>
      </x:c>
      <x:c r="E1138" s="191" t="n">
        <x:v>371.56427001953125</x:v>
      </x:c>
      <x:c r="F1138" s="191" t="n">
        <x:v>679.9099731445312</x:v>
      </x:c>
      <x:c r="G1138" s="191" t="n">
        <x:v>676.4829711914062</x:v>
      </x:c>
      <x:c r="H1138" s="208" t="n">
        <x:f>E1138/E1137-1</x:f>
        <x:v>-0.0033659290381612417</x:v>
      </x:c>
      <x:c r="I1138" s="208" t="n">
        <x:f>G1138/G1137-1</x:f>
        <x:v>0.005769005826991691</x:v>
      </x:c>
      <x:c r="J1138" s="208" t="n">
        <x:f>'Beta HC3'!$E$13+'Beta HC3'!$E$12*I1138</x:f>
        <x:v>0.006515483866674836</x:v>
      </x:c>
      <x:c r="K1138" s="240" t="n">
        <x:f>H1138-J1138</x:f>
        <x:v>-0.009881412904836077</x:v>
      </x:c>
      <x:c r="L1138" s="240" t="n">
        <x:f>I1138-'Beta HC3'!$E$9</x:f>
        <x:v>0.005205058209331251</x:v>
      </x:c>
      <x:c r="M1138" s="240" t="n">
        <x:f>1/'Beta HC3'!$E$8+L1138^2/'Beta HC3'!$E$11</x:f>
        <x:v>0.0009820842170544946</x:v>
      </x:c>
      <x:c r="N1138" s="240" t="n">
        <x:f>K1138^2/(1-M1138)^2</x:f>
        <x:v>0.00009783438985595344</x:v>
      </x:c>
      <x:c r="O1138" s="240" t="n">
        <x:f>N1138*L1138^2/'Beta HC3'!$E$11^2</x:f>
        <x:v>1.2395311494343182e-7</x:v>
      </x:c>
      <x:c r="P1138" s="240" t="n">
        <x:f>N1138*(1/'Beta HC3'!$E$8-'Beta HC3'!$E$9*L1138/'Beta HC3'!$E$11)^2</x:f>
        <x:v>5.902583154243695e-11</x:v>
      </x:c>
      <x:c r="Q1138" s="240" t="n">
        <x:f>N1138*(1/'Beta HC3'!$E$8-'Beta HC3'!$E$9*L1138/'Beta HC3'!$E$11)*L1138/'Beta HC3'!$E$11</x:f>
        <x:v>2.7048910665332407e-9</x:v>
      </x:c>
      <x:c r="R1138" s="240" t="n">
        <x:f>K1138*L1138/'Beta HC3'!$E$11</x:f>
        <x:v>-0.00035172399647908167</x:v>
      </x:c>
      <x:c r="S1138" s="240" t="n">
        <x:f>(K1138-K1137)^2</x:f>
        <x:v>0.00017884018169701896</x:v>
      </x:c>
      <x:c r="T1138" s="280" t="n">
        <x:f>E1138/$E$9*100</x:f>
        <x:v>131.30612267787566</x:v>
      </x:c>
    </x:row>
    <x:row r="1139" ht="24" customHeight="1">
      <x:c r="C1139" s="274" t="d">
        <x:v>2026-04-10T00:00:00.000Z</x:v>
      </x:c>
      <x:c r="D1139" s="191" t="n">
        <x:v>370.8699951171875</x:v>
      </x:c>
      <x:c r="E1139" s="191" t="n">
        <x:v>369.3731384277344</x:v>
      </x:c>
      <x:c r="F1139" s="191" t="n">
        <x:v>679.4600219726562</x:v>
      </x:c>
      <x:c r="G1139" s="191" t="n">
        <x:v>676.0353393554688</x:v>
      </x:c>
      <x:c r="H1139" s="208" t="n">
        <x:f>E1139/E1138-1</x:f>
        <x:v>-0.005897045998749295</x:v>
      </x:c>
      <x:c r="I1139" s="208" t="n">
        <x:f>G1139/G1138-1</x:f>
        <x:v>-0.0006617045143784139</x:v>
      </x:c>
      <x:c r="J1139" s="208" t="n">
        <x:f>'Beta HC3'!$E$13+'Beta HC3'!$E$12*I1139</x:f>
        <x:v>-0.0007371467149880238</x:v>
      </x:c>
      <x:c r="K1139" s="240" t="n">
        <x:f>H1139-J1139</x:f>
        <x:v>-0.005159899283761271</x:v>
      </x:c>
      <x:c r="L1139" s="240" t="n">
        <x:f>I1139-'Beta HC3'!$E$9</x:f>
        <x:v>-0.0012256521320388532</x:v>
      </x:c>
      <x:c r="M1139" s="240" t="n">
        <x:f>1/'Beta HC3'!$E$8+L1139^2/'Beta HC3'!$E$11</x:f>
        <x:v>0.0008070856194571083</x:v>
      </x:c>
      <x:c r="N1139" s="240" t="n">
        <x:f>K1139^2/(1-M1139)^2</x:f>
        <x:v>0.000026667589303298387</x:v>
      </x:c>
      <x:c r="O1139" s="240" t="n">
        <x:f>N1139*L1139^2/'Beta HC3'!$E$11^2</x:f>
        <x:v>1.8734104178283137e-9</x:v>
      </x:c>
      <x:c r="P1139" s="240" t="n">
        <x:f>N1139*(1/'Beta HC3'!$E$8-'Beta HC3'!$E$9*L1139/'Beta HC3'!$E$11)^2</x:f>
        <x:v>1.713300825626107e-11</x:v>
      </x:c>
      <x:c r="Q1139" s="240" t="n">
        <x:f>N1139*(1/'Beta HC3'!$E$8-'Beta HC3'!$E$9*L1139/'Beta HC3'!$E$11)*L1139/'Beta HC3'!$E$11</x:f>
        <x:v>-1.791567921012709e-10</x:v>
      </x:c>
      <x:c r="R1139" s="240" t="n">
        <x:f>K1139*L1139/'Beta HC3'!$E$11</x:f>
        <x:v>0.00004324797836811259</x:v>
      </x:c>
      <x:c r="S1139" s="240" t="n">
        <x:f>(K1139-K1138)^2</x:f>
        <x:v>0.00002229269087399492</x:v>
      </x:c>
      <x:c r="T1139" s="280" t="n">
        <x:f>E1139/$E$9*100</x:f>
        <x:v>130.53180443252683</x:v>
      </x:c>
    </x:row>
    <x:row r="1140" ht="24" customHeight="1">
      <x:c r="C1140" s="274" t="d">
        <x:v>2026-04-13T00:00:00.000Z</x:v>
      </x:c>
      <x:c r="D1140" s="191" t="n">
        <x:v>384.3699951171875</x:v>
      </x:c>
      <x:c r="E1140" s="191" t="n">
        <x:v>382.8186340332031</x:v>
      </x:c>
      <x:c r="F1140" s="191" t="n">
        <x:v>686.0999755859375</x:v>
      </x:c>
      <x:c r="G1140" s="191" t="n">
        <x:v>682.641845703125</x:v>
      </x:c>
      <x:c r="H1140" s="208" t="n">
        <x:f>E1140/E1139-1</x:f>
        <x:v>0.036400848374358086</x:v>
      </x:c>
      <x:c r="I1140" s="208" t="n">
        <x:f>G1140/G1139-1</x:f>
        <x:v>0.009772427509418202</x:v>
      </x:c>
      <x:c r="J1140" s="208" t="n">
        <x:f>'Beta HC3'!$E$13+'Beta HC3'!$E$12*I1140</x:f>
        <x:v>0.011030589816707802</x:v>
      </x:c>
      <x:c r="K1140" s="240" t="n">
        <x:f>H1140-J1140</x:f>
        <x:v>0.025370258557650283</x:v>
      </x:c>
      <x:c r="L1140" s="240" t="n">
        <x:f>I1140-'Beta HC3'!$E$9</x:f>
        <x:v>0.009208479891757763</x:v>
      </x:c>
      <x:c r="M1140" s="240" t="n">
        <x:f>1/'Beta HC3'!$E$8+L1140^2/'Beta HC3'!$E$11</x:f>
        <x:v>0.0013766862322709245</x:v>
      </x:c>
      <x:c r="N1140" s="240" t="n">
        <x:f>K1140^2/(1-M1140)^2</x:f>
        <x:v>0.0006454258939131348</x:v>
      </x:c>
      <x:c r="O1140" s="240" t="n">
        <x:f>N1140*L1140^2/'Beta HC3'!$E$11^2</x:f>
        <x:v>0.0000025593931066834923</x:v>
      </x:c>
      <x:c r="P1140" s="240" t="n">
        <x:f>N1140*(1/'Beta HC3'!$E$8-'Beta HC3'!$E$9*L1140/'Beta HC3'!$E$11)^2</x:f>
        <x:v>3.740744663407461e-10</x:v>
      </x:c>
      <x:c r="Q1140" s="240" t="n">
        <x:f>N1140*(1/'Beta HC3'!$E$8-'Beta HC3'!$E$9*L1140/'Beta HC3'!$E$11)*L1140/'Beta HC3'!$E$11</x:f>
        <x:v>3.0941939346763824e-8</x:v>
      </x:c>
      <x:c r="R1140" s="240" t="n">
        <x:f>K1140*L1140/'Beta HC3'!$E$11</x:f>
        <x:v>0.0015976078977351553</x:v>
      </x:c>
      <x:c r="S1140" s="240" t="n">
        <x:f>(K1140-K1139)^2</x:f>
        <x:v>0.0009320905378215034</x:v>
      </x:c>
      <x:c r="T1140" s="280" t="n">
        <x:f>E1140/$E$9*100</x:f>
        <x:v>135.2832728537066</x:v>
      </x:c>
    </x:row>
    <x:row r="1141" ht="24" customHeight="1">
      <x:c r="C1141" s="274" t="d">
        <x:v>2026-04-14T00:00:00.000Z</x:v>
      </x:c>
      <x:c r="D1141" s="191" t="n">
        <x:v>393.1099853515625</x:v>
      </x:c>
      <x:c r="E1141" s="191" t="n">
        <x:v>391.5233459472656</x:v>
      </x:c>
      <x:c r="F1141" s="191" t="n">
        <x:v>694.4600219726562</x:v>
      </x:c>
      <x:c r="G1141" s="191" t="n">
        <x:v>690.959716796875</x:v>
      </x:c>
      <x:c r="H1141" s="208" t="n">
        <x:f>E1141/E1140-1</x:f>
        <x:v>0.02273847493355685</x:v>
      </x:c>
      <x:c r="I1141" s="208" t="n">
        <x:f>G1141/G1140-1</x:f>
        <x:v>0.01218482451098879</x:v>
      </x:c>
      <x:c r="J1141" s="208" t="n">
        <x:f>'Beta HC3'!$E$13+'Beta HC3'!$E$12*I1141</x:f>
        <x:v>0.013751319462412067</x:v>
      </x:c>
      <x:c r="K1141" s="240" t="n">
        <x:f>H1141-J1141</x:f>
        <x:v>0.008987155471144785</x:v>
      </x:c>
      <x:c r="L1141" s="240" t="n">
        <x:f>I1141-'Beta HC3'!$E$9</x:f>
        <x:v>0.011620876893328351</x:v>
      </x:c>
      <x:c r="M1141" s="240" t="n">
        <x:f>1/'Beta HC3'!$E$8+L1141^2/'Beta HC3'!$E$11</x:f>
        <x:v>0.0017203090545171854</x:v>
      </x:c>
      <x:c r="N1141" s="240" t="n">
        <x:f>K1141^2/(1-M1141)^2</x:f>
        <x:v>0.00008104757736758576</x:v>
      </x:c>
      <x:c r="O1141" s="240" t="n">
        <x:f>N1141*L1141^2/'Beta HC3'!$E$11^2</x:f>
        <x:v>5.118380420786161e-7</x:v>
      </x:c>
      <x:c r="P1141" s="240" t="n">
        <x:f>N1141*(1/'Beta HC3'!$E$8-'Beta HC3'!$E$9*L1141/'Beta HC3'!$E$11)^2</x:f>
        <x:v>4.583230854849898e-11</x:v>
      </x:c>
      <x:c r="Q1141" s="240" t="n">
        <x:f>N1141*(1/'Beta HC3'!$E$8-'Beta HC3'!$E$9*L1141/'Beta HC3'!$E$11)*L1141/'Beta HC3'!$E$11</x:f>
        <x:v>4.843420183238982e-9</x:v>
      </x:c>
      <x:c r="R1141" s="240" t="n">
        <x:f>K1141*L1141/'Beta HC3'!$E$11</x:f>
        <x:v>0.0007141978140599562</x:v>
      </x:c>
      <x:c r="S1141" s="240" t="n">
        <x:f>(K1141-K1140)^2</x:f>
        <x:v>0.00026840606674306605</x:v>
      </x:c>
      <x:c r="T1141" s="280" t="n">
        <x:f>E1141/$E$9*100</x:f>
        <x:v>138.35940816242015</x:v>
      </x:c>
    </x:row>
    <x:row r="1142" ht="24" customHeight="1">
      <x:c r="C1142" s="274" t="d">
        <x:v>2026-04-15T00:00:00.000Z</x:v>
      </x:c>
      <x:c r="D1142" s="191" t="n">
        <x:v>411.2200012207031</x:v>
      </x:c>
      <x:c r="E1142" s="191" t="n">
        <x:v>409.5602722167969</x:v>
      </x:c>
      <x:c r="F1142" s="191" t="n">
        <x:v>699.9400024414062</x:v>
      </x:c>
      <x:c r="G1142" s="191" t="n">
        <x:v>696.412109375</x:v>
      </x:c>
      <x:c r="H1142" s="208" t="n">
        <x:f>E1142/E1141-1</x:f>
        <x:v>0.04606858430342653</x:v>
      </x:c>
      <x:c r="I1142" s="208" t="n">
        <x:f>G1142/G1141-1</x:f>
        <x:v>0.00789104262604634</x:v>
      </x:c>
      <x:c r="J1142" s="208" t="n">
        <x:f>'Beta HC3'!$E$13+'Beta HC3'!$E$12*I1142</x:f>
        <x:v>0.008908741868862927</x:v>
      </x:c>
      <x:c r="K1142" s="240" t="n">
        <x:f>H1142-J1142</x:f>
        <x:v>0.037159842434563606</x:v>
      </x:c>
      <x:c r="L1142" s="240" t="n">
        <x:f>I1142-'Beta HC3'!$E$9</x:f>
        <x:v>0.007327095008385901</x:v>
      </x:c>
      <x:c r="M1142" s="240" t="n">
        <x:f>1/'Beta HC3'!$E$8+L1142^2/'Beta HC3'!$E$11</x:f>
        <x:v>0.0011639437067977728</x:v>
      </x:c>
      <x:c r="N1142" s="240" t="n">
        <x:f>K1142^2/(1-M1142)^2</x:f>
        <x:v>0.0013840739830713468</x:v>
      </x:c>
      <x:c r="O1142" s="240" t="n">
        <x:f>N1142*L1142^2/'Beta HC3'!$E$11^2</x:f>
        <x:v>0.000003474862896725914</x:v>
      </x:c>
      <x:c r="P1142" s="240" t="n">
        <x:f>N1142*(1/'Beta HC3'!$E$8-'Beta HC3'!$E$9*L1142/'Beta HC3'!$E$11)^2</x:f>
        <x:v>8.175417053173507e-10</x:v>
      </x:c>
      <x:c r="Q1142" s="240" t="n">
        <x:f>N1142*(1/'Beta HC3'!$E$8-'Beta HC3'!$E$9*L1142/'Beta HC3'!$E$11)*L1142/'Beta HC3'!$E$11</x:f>
        <x:v>5.329958103337487e-8</x:v>
      </x:c>
      <x:c r="R1142" s="240" t="n">
        <x:f>K1142*L1142/'Beta HC3'!$E$11</x:f>
        <x:v>0.001861928708288028</x:v>
      </x:c>
      <x:c r="S1142" s="240" t="n">
        <x:f>(K1142-K1141)^2</x:f>
        <x:v>0.0007937002907387887</x:v>
      </x:c>
      <x:c r="T1142" s="280" t="n">
        <x:f>E1142/$E$9*100</x:f>
        <x:v>144.7334302215228</x:v>
      </x:c>
    </x:row>
    <x:row r="1143" ht="24" customHeight="1">
      <x:c r="C1143" s="274" t="d">
        <x:v>2026-04-16T00:00:00.000Z</x:v>
      </x:c>
      <x:c r="D1143" s="191" t="n">
        <x:v>420.260009765625</x:v>
      </x:c>
      <x:c r="E1143" s="191" t="n">
        <x:v>418.56378173828125</x:v>
      </x:c>
      <x:c r="F1143" s="191" t="n">
        <x:v>701.6599731445312</x:v>
      </x:c>
      <x:c r="G1143" s="191" t="n">
        <x:v>698.1234130859375</x:v>
      </x:c>
      <x:c r="H1143" s="208" t="n">
        <x:f>E1143/E1142-1</x:f>
        <x:v>0.021983356619898142</x:v>
      </x:c>
      <x:c r="I1143" s="208" t="n">
        <x:f>G1143/G1142-1</x:f>
        <x:v>0.0024573146961406334</x:v>
      </x:c>
      <x:c r="J1143" s="208" t="n">
        <x:f>'Beta HC3'!$E$13+'Beta HC3'!$E$12*I1143</x:f>
        <x:v>0.002780519749551385</x:v>
      </x:c>
      <x:c r="K1143" s="240" t="n">
        <x:f>H1143-J1143</x:f>
        <x:v>0.019202836870346757</x:v>
      </x:c>
      <x:c r="L1143" s="240" t="n">
        <x:f>I1143-'Beta HC3'!$E$9</x:f>
        <x:v>0.001893367078480194</x:v>
      </x:c>
      <x:c r="M1143" s="240" t="n">
        <x:f>1/'Beta HC3'!$E$8+L1143^2/'Beta HC3'!$E$11</x:f>
        <x:v>0.0008213274727866613</x:v>
      </x:c>
      <x:c r="N1143" s="240" t="n">
        <x:f>K1143^2/(1-M1143)^2</x:f>
        <x:v>0.00036935541821421145</x:v>
      </x:c>
      <x:c r="O1143" s="240" t="n">
        <x:f>N1143*L1143^2/'Beta HC3'!$E$11^2</x:f>
        <x:v>6.191969947979475e-8</x:v>
      </x:c>
      <x:c r="P1143" s="240" t="n">
        <x:f>N1143*(1/'Beta HC3'!$E$8-'Beta HC3'!$E$9*L1143/'Beta HC3'!$E$11)^2</x:f>
        <x:v>2.3022939374082442e-10</x:v>
      </x:c>
      <x:c r="Q1143" s="240" t="n">
        <x:f>N1143*(1/'Beta HC3'!$E$8-'Beta HC3'!$E$9*L1143/'Beta HC3'!$E$11)*L1143/'Beta HC3'!$E$11</x:f>
        <x:v>3.775676743558323e-9</x:v>
      </x:c>
      <x:c r="R1143" s="240" t="n">
        <x:f>K1143*L1143/'Beta HC3'!$E$11</x:f>
        <x:v>0.0002486323159787028</x:v>
      </x:c>
      <x:c r="S1143" s="240" t="n">
        <x:f>(K1143-K1142)^2</x:f>
        <x:v>0.00032245404883331485</x:v>
      </x:c>
      <x:c r="T1143" s="280" t="n">
        <x:f>E1143/$E$9*100</x:f>
        <x:v>147.91515683290368</x:v>
      </x:c>
    </x:row>
    <x:row r="1144" ht="24" customHeight="1">
      <x:c r="C1144" s="274" t="d">
        <x:v>2026-04-17T00:00:00.000Z</x:v>
      </x:c>
      <x:c r="D1144" s="191" t="n">
        <x:v>422.7900085449219</x:v>
      </x:c>
      <x:c r="E1144" s="191" t="n">
        <x:v>421.0835876464844</x:v>
      </x:c>
      <x:c r="F1144" s="191" t="n">
        <x:v>710.1400146484375</x:v>
      </x:c>
      <x:c r="G1144" s="191" t="n">
        <x:v>706.5607299804688</x:v>
      </x:c>
      <x:c r="H1144" s="208" t="n">
        <x:f>E1144/E1143-1</x:f>
        <x:v>0.006020124096113744</x:v>
      </x:c>
      <x:c r="I1144" s="208" t="n">
        <x:f>G1144/G1143-1</x:f>
        <x:v>0.012085709684531931</x:v>
      </x:c>
      <x:c r="J1144" s="208" t="n">
        <x:f>'Beta HC3'!$E$13+'Beta HC3'!$E$12*I1144</x:f>
        <x:v>0.013639536598109696</x:v>
      </x:c>
      <x:c r="K1144" s="240" t="n">
        <x:f>H1144-J1144</x:f>
        <x:v>-0.0076194125019959525</x:v>
      </x:c>
      <x:c r="L1144" s="240" t="n">
        <x:f>I1144-'Beta HC3'!$E$9</x:f>
        <x:v>0.011521762066871492</x:v>
      </x:c>
      <x:c r="M1144" s="240" t="n">
        <x:f>1/'Beta HC3'!$E$8+L1144^2/'Beta HC3'!$E$11</x:f>
        <x:v>0.0017046231753052679</x:v>
      </x:c>
      <x:c r="N1144" s="240" t="n">
        <x:f>K1144^2/(1-M1144)^2</x:f>
        <x:v>0.00005825387943079305</x:v>
      </x:c>
      <x:c r="O1144" s="240" t="n">
        <x:f>N1144*L1144^2/'Beta HC3'!$E$11^2</x:f>
        <x:v>3.6164076592231075e-7</x:v>
      </x:c>
      <x:c r="P1144" s="240" t="n">
        <x:f>N1144*(1/'Beta HC3'!$E$8-'Beta HC3'!$E$9*L1144/'Beta HC3'!$E$11)^2</x:f>
        <x:v>3.297599725485862e-11</x:v>
      </x:c>
      <x:c r="Q1144" s="240" t="n">
        <x:f>N1144*(1/'Beta HC3'!$E$8-'Beta HC3'!$E$9*L1144/'Beta HC3'!$E$11)*L1144/'Beta HC3'!$E$11</x:f>
        <x:v>3.453326643151367e-9</x:v>
      </x:c>
      <x:c r="R1144" s="240" t="n">
        <x:f>K1144*L1144/'Beta HC3'!$E$11</x:f>
        <x:v>-0.0006003406485446065</x:v>
      </x:c>
      <x:c r="S1144" s="240" t="n">
        <x:f>(K1144-K1143)^2</x:f>
        <x:v>0.000719433061392139</x:v>
      </x:c>
      <x:c r="T1144" s="280" t="n">
        <x:f>E1144/$E$9*100</x:f>
        <x:v>148.80562443273388</x:v>
      </x:c>
    </x:row>
    <x:row r="1145" ht="24" customHeight="1">
      <x:c r="C1145" s="274" t="d">
        <x:v>2026-04-20T00:00:00.000Z</x:v>
      </x:c>
      <x:c r="D1145" s="191" t="n">
        <x:v>418.07000732421875</x:v>
      </x:c>
      <x:c r="E1145" s="191" t="n">
        <x:v>416.38262939453125</x:v>
      </x:c>
      <x:c r="F1145" s="191" t="n">
        <x:v>708.719970703125</x:v>
      </x:c>
      <x:c r="G1145" s="191" t="n">
        <x:v>705.1477661132812</x:v>
      </x:c>
      <x:c r="H1145" s="208" t="n">
        <x:f>E1145/E1144-1</x:f>
        <x:v>-0.011163955067039488</x:v>
      </x:c>
      <x:c r="I1145" s="208" t="n">
        <x:f>G1145/G1144-1</x:f>
        <x:v>-0.0019997769579219726</x:v>
      </x:c>
      <x:c r="J1145" s="208" t="n">
        <x:f>'Beta HC3'!$E$13+'Beta HC3'!$E$12*I1145</x:f>
        <x:v>-0.0022462405179063416</x:v>
      </x:c>
      <x:c r="K1145" s="240" t="n">
        <x:f>H1145-J1145</x:f>
        <x:v>-0.008917714549133147</x:v>
      </x:c>
      <x:c r="L1145" s="240" t="n">
        <x:f>I1145-'Beta HC3'!$E$9</x:f>
        <x:v>-0.002563724575582412</x:v>
      </x:c>
      <x:c r="M1145" s="240" t="n">
        <x:f>1/'Beta HC3'!$E$8+L1145^2/'Beta HC3'!$E$11</x:f>
        <x:v>0.0008417596853023521</x:v>
      </x:c>
      <x:c r="N1145" s="240" t="n">
        <x:f>K1145^2/(1-M1145)^2</x:f>
        <x:v>0.00007965968495888954</x:v>
      </x:c>
      <x:c r="O1145" s="240" t="n">
        <x:f>N1145*L1145^2/'Beta HC3'!$E$11^2</x:f>
        <x:v>2.448477065154933e-8</x:v>
      </x:c>
      <x:c r="P1145" s="240" t="n">
        <x:f>N1145*(1/'Beta HC3'!$E$8-'Beta HC3'!$E$9*L1145/'Beta HC3'!$E$11)^2</x:f>
        <x:v>5.183970252204558e-11</x:v>
      </x:c>
      <x:c r="Q1145" s="240" t="n">
        <x:f>N1145*(1/'Beta HC3'!$E$8-'Beta HC3'!$E$9*L1145/'Beta HC3'!$E$11)*L1145/'Beta HC3'!$E$11</x:f>
        <x:v>-1.126624705435146e-9</x:v>
      </x:c>
      <x:c r="R1145" s="240" t="n">
        <x:f>K1145*L1145/'Beta HC3'!$E$11</x:f>
        <x:v>0.00015634438721868544</x:v>
      </x:c>
      <x:c r="S1145" s="240" t="n">
        <x:f>(K1145-K1144)^2</x:f>
        <x:v>0.0000016855882056006303</x:v>
      </x:c>
      <x:c r="T1145" s="280" t="n">
        <x:f>E1145/$E$9*100</x:f>
        <x:v>147.1443651278441</x:v>
      </x:c>
    </x:row>
    <x:row r="1146" ht="24" customHeight="1">
      <x:c r="C1146" s="274" t="d">
        <x:v>2026-04-21T00:00:00.000Z</x:v>
      </x:c>
      <x:c r="D1146" s="191" t="n">
        <x:v>424.1600036621094</x:v>
      </x:c>
      <x:c r="E1146" s="191" t="n">
        <x:v>422.44805908203125</x:v>
      </x:c>
      <x:c r="F1146" s="191" t="n">
        <x:v>704.0800170898438</x:v>
      </x:c>
      <x:c r="G1146" s="191" t="n">
        <x:v>700.53125</x:v>
      </x:c>
      <x:c r="H1146" s="208" t="n">
        <x:f>E1146/E1145-1</x:f>
        <x:v>0.01456696139394631</x:v>
      </x:c>
      <x:c r="I1146" s="208" t="n">
        <x:f>G1146/G1145-1</x:f>
        <x:v>-0.006546877598048839</x:v>
      </x:c>
      <x:c r="J1146" s="208" t="n">
        <x:f>'Beta HC3'!$E$13+'Beta HC3'!$E$12*I1146</x:f>
        <x:v>-0.007374513976022728</x:v>
      </x:c>
      <x:c r="K1146" s="240" t="n">
        <x:f>H1146-J1146</x:f>
        <x:v>0.021941475369969037</x:v>
      </x:c>
      <x:c r="L1146" s="240" t="n">
        <x:f>I1146-'Beta HC3'!$E$9</x:f>
        <x:v>-0.007110825215709279</x:v>
      </x:c>
      <x:c r="M1146" s="240" t="n">
        <x:f>1/'Beta HC3'!$E$8+L1146^2/'Beta HC3'!$E$11</x:f>
        <x:v>0.0011425907577801177</x:v>
      </x:c>
      <x:c r="N1146" s="240" t="n">
        <x:f>K1146^2/(1-M1146)^2</x:f>
        <x:v>0.0004825303809682488</x:v>
      </x:c>
      <x:c r="O1146" s="240" t="n">
        <x:f>N1146*L1146^2/'Beta HC3'!$E$11^2</x:f>
        <x:v>0.0000011409835758494449</x:v>
      </x:c>
      <x:c r="P1146" s="240" t="n">
        <x:f>N1146*(1/'Beta HC3'!$E$8-'Beta HC3'!$E$9*L1146/'Beta HC3'!$E$11)^2</x:f>
        <x:v>3.2781410340834337e-10</x:v>
      </x:c>
      <x:c r="Q1146" s="240" t="n">
        <x:f>N1146*(1/'Beta HC3'!$E$8-'Beta HC3'!$E$9*L1146/'Beta HC3'!$E$11)*L1146/'Beta HC3'!$E$11</x:f>
        <x:v>-1.9339868353242e-8</x:v>
      </x:c>
      <x:c r="R1146" s="240" t="n">
        <x:f>K1146*L1146/'Beta HC3'!$E$11</x:f>
        <x:v>-0.0010669478482296954</x:v>
      </x:c>
      <x:c r="S1146" s="240" t="n">
        <x:f>(K1146-K1145)^2</x:f>
        <x:v>0.0009522896024632179</x:v>
      </x:c>
      <x:c r="T1146" s="280" t="n">
        <x:f>E1146/$E$9*100</x:f>
        <x:v>149.28781141399813</x:v>
      </x:c>
    </x:row>
    <x:row r="1147" ht="24" customHeight="1">
      <x:c r="C1147" s="274" t="d">
        <x:v>2026-04-22T00:00:00.000Z</x:v>
      </x:c>
      <x:c r="D1147" s="191" t="n">
        <x:v>432.9200134277344</x:v>
      </x:c>
      <x:c r="E1147" s="191" t="n">
        <x:v>431.1726989746094</x:v>
      </x:c>
      <x:c r="F1147" s="191" t="n">
        <x:v>711.2100219726562</x:v>
      </x:c>
      <x:c r="G1147" s="191" t="n">
        <x:v>707.6253051757812</x:v>
      </x:c>
      <x:c r="H1147" s="208" t="n">
        <x:f>E1147/E1146-1</x:f>
        <x:v>0.020652574215955788</x:v>
      </x:c>
      <x:c r="I1147" s="208" t="n">
        <x:f>G1147/G1146-1</x:f>
        <x:v>0.010126679110719516</x:v>
      </x:c>
      <x:c r="J1147" s="208" t="n">
        <x:f>'Beta HC3'!$E$13+'Beta HC3'!$E$12*I1147</x:f>
        <x:v>0.011430118929482855</x:v>
      </x:c>
      <x:c r="K1147" s="240" t="n">
        <x:f>H1147-J1147</x:f>
        <x:v>0.009222455286472933</x:v>
      </x:c>
      <x:c r="L1147" s="240" t="n">
        <x:f>I1147-'Beta HC3'!$E$9</x:f>
        <x:v>0.009562731493059078</x:v>
      </x:c>
      <x:c r="M1147" s="240" t="n">
        <x:f>1/'Beta HC3'!$E$8+L1147^2/'Beta HC3'!$E$11</x:f>
        <x:v>0.001422160057028607</x:v>
      </x:c>
      <x:c r="N1147" s="240" t="n">
        <x:f>K1147^2/(1-M1147)^2</x:f>
        <x:v>0.00008529611846163843</x:v>
      </x:c>
      <x:c r="O1147" s="240" t="n">
        <x:f>N1147*L1147^2/'Beta HC3'!$E$11^2</x:f>
        <x:v>3.64760594108792e-7</x:v>
      </x:c>
      <x:c r="P1147" s="240" t="n">
        <x:f>N1147*(1/'Beta HC3'!$E$8-'Beta HC3'!$E$9*L1147/'Beta HC3'!$E$11)^2</x:f>
        <x:v>4.925846047492311e-11</x:v>
      </x:c>
      <x:c r="Q1147" s="240" t="n">
        <x:f>N1147*(1/'Beta HC3'!$E$8-'Beta HC3'!$E$9*L1147/'Beta HC3'!$E$11)*L1147/'Beta HC3'!$E$11</x:f>
        <x:v>4.238814139322152e-9</x:v>
      </x:c>
      <x:c r="R1147" s="240" t="n">
        <x:f>K1147*L1147/'Beta HC3'!$E$11</x:f>
        <x:v>0.0006030952130109833</x:v>
      </x:c>
      <x:c r="S1147" s="240" t="n">
        <x:f>(K1147-K1146)^2</x:f>
        <x:v>0.00016177347188437723</x:v>
      </x:c>
      <x:c r="T1147" s="280" t="n">
        <x:f>E1147/$E$9*100</x:f>
        <x:v>152.37098901876337</x:v>
      </x:c>
    </x:row>
    <x:row r="1148" ht="24" customHeight="1">
      <x:c r="C1148" s="274" t="d">
        <x:v>2026-04-23T00:00:00.000Z</x:v>
      </x:c>
      <x:c r="D1148" s="191" t="n">
        <x:v>415.75</x:v>
      </x:c>
      <x:c r="E1148" s="191" t="n">
        <x:v>414.07196044921875</x:v>
      </x:c>
      <x:c r="F1148" s="191" t="n">
        <x:v>708.4500122070312</x:v>
      </x:c>
      <x:c r="G1148" s="191" t="n">
        <x:v>704.8792114257812</x:v>
      </x:c>
      <x:c r="H1148" s="208" t="n">
        <x:f>E1148/E1147-1</x:f>
        <x:v>-0.03966099561975667</x:v>
      </x:c>
      <x:c r="I1148" s="208" t="n">
        <x:f>G1148/G1147-1</x:f>
        <x:v>-0.0038807172806204493</x:v>
      </x:c>
      <x:c r="J1148" s="208" t="n">
        <x:f>'Beta HC3'!$E$13+'Beta HC3'!$E$12*I1148</x:f>
        <x:v>-0.0043675870850072495</x:v>
      </x:c>
      <x:c r="K1148" s="240" t="n">
        <x:f>H1148-J1148</x:f>
        <x:v>-0.03529340853474942</x:v>
      </x:c>
      <x:c r="L1148" s="240" t="n">
        <x:f>I1148-'Beta HC3'!$E$9</x:f>
        <x:v>-0.004444664898280889</x:v>
      </x:c>
      <x:c r="M1148" s="240" t="n">
        <x:f>1/'Beta HC3'!$E$8+L1148^2/'Beta HC3'!$E$11</x:f>
        <x:v>0.0009319065458978861</x:v>
      </x:c>
      <x:c r="N1148" s="240" t="n">
        <x:f>K1148^2/(1-M1148)^2</x:f>
        <x:v>0.0012479495469226306</x:v>
      </x:c>
      <x:c r="O1148" s="240" t="n">
        <x:f>N1148*L1148^2/'Beta HC3'!$E$11^2</x:f>
        <x:v>0.0000011528951098723888</x:v>
      </x:c>
      <x:c r="P1148" s="240" t="n">
        <x:f>N1148*(1/'Beta HC3'!$E$8-'Beta HC3'!$E$9*L1148/'Beta HC3'!$E$11)^2</x:f>
        <x:v>8.267923337855443e-10</x:v>
      </x:c>
      <x:c r="Q1148" s="240" t="n">
        <x:f>N1148*(1/'Beta HC3'!$E$8-'Beta HC3'!$E$9*L1148/'Beta HC3'!$E$11)*L1148/'Beta HC3'!$E$11</x:f>
        <x:v>-3.0874015587567066e-8</x:v>
      </x:c>
      <x:c r="R1148" s="240" t="n">
        <x:f>K1148*L1148/'Beta HC3'!$E$11</x:f>
        <x:v>0.001072728917343371</x:v>
      </x:c>
      <x:c r="S1148" s="240" t="n">
        <x:f>(K1148-K1147)^2</x:f>
        <x:v>0.001981662131749613</x:v>
      </x:c>
      <x:c r="T1148" s="280" t="n">
        <x:f>E1148/$E$9*100</x:f>
        <x:v>146.32780389071218</x:v>
      </x:c>
    </x:row>
    <x:row r="1149" ht="24" customHeight="1">
      <x:c r="C1149" s="274" t="d">
        <x:v>2026-04-24T00:00:00.000Z</x:v>
      </x:c>
      <x:c r="D1149" s="191" t="n">
        <x:v>424.6199951171875</x:v>
      </x:c>
      <x:c r="E1149" s="191" t="n">
        <x:v>422.90618896484375</x:v>
      </x:c>
      <x:c r="F1149" s="191" t="n">
        <x:v>713.9400024414062</x:v>
      </x:c>
      <x:c r="G1149" s="191" t="n">
        <x:v>710.341552734375</x:v>
      </x:c>
      <x:c r="H1149" s="208" t="n">
        <x:f>E1149/E1148-1</x:f>
        <x:v>0.021335007823376717</x:v>
      </x:c>
      <x:c r="I1149" s="208" t="n">
        <x:f>G1149/G1148-1</x:f>
        <x:v>0.007749329558953688</x:v>
      </x:c>
      <x:c r="J1149" s="208" t="n">
        <x:f>'Beta HC3'!$E$13+'Beta HC3'!$E$12*I1149</x:f>
        <x:v>0.008748916208919048</x:v>
      </x:c>
      <x:c r="K1149" s="240" t="n">
        <x:f>H1149-J1149</x:f>
        <x:v>0.01258609161445767</x:v>
      </x:c>
      <x:c r="L1149" s="240" t="n">
        <x:f>I1149-'Beta HC3'!$E$9</x:f>
        <x:v>0.0071853819412932484</x:v>
      </x:c>
      <x:c r="M1149" s="240" t="n">
        <x:f>1/'Beta HC3'!$E$8+L1149^2/'Beta HC3'!$E$11</x:f>
        <x:v>0.0011498797086049238</x:v>
      </x:c>
      <x:c r="N1149" s="240" t="n">
        <x:f>K1149^2/(1-M1149)^2</x:f>
        <x:v>0.00015877463565555484</x:v>
      </x:c>
      <x:c r="O1149" s="240" t="n">
        <x:f>N1149*L1149^2/'Beta HC3'!$E$11^2</x:f>
        <x:v>3.833500850442249e-7</x:v>
      </x:c>
      <x:c r="P1149" s="240" t="n">
        <x:f>N1149*(1/'Beta HC3'!$E$8-'Beta HC3'!$E$9*L1149/'Beta HC3'!$E$11)^2</x:f>
        <x:v>9.391807240747424e-11</x:v>
      </x:c>
      <x:c r="Q1149" s="240" t="n">
        <x:f>N1149*(1/'Beta HC3'!$E$8-'Beta HC3'!$E$9*L1149/'Beta HC3'!$E$11)*L1149/'Beta HC3'!$E$11</x:f>
        <x:v>6.0002917466232365e-9</x:v>
      </x:c>
      <x:c r="R1149" s="240" t="n">
        <x:f>K1149*L1149/'Beta HC3'!$E$11</x:f>
        <x:v>0.0006184407643020371</x:v>
      </x:c>
      <x:c r="S1149" s="240" t="n">
        <x:f>(K1149-K1148)^2</x:f>
        <x:v>0.002292446534537921</x:v>
      </x:c>
      <x:c r="T1149" s="280" t="n">
        <x:f>E1149/$E$9*100</x:f>
        <x:v>149.44970873149808</x:v>
      </x:c>
    </x:row>
    <x:row r="1150" ht="24" customHeight="1">
      <x:c r="C1150" s="274" t="d">
        <x:v>2026-04-27T00:00:00.000Z</x:v>
      </x:c>
      <x:c r="D1150" s="191" t="n">
        <x:v>424.82000732421875</x:v>
      </x:c>
      <x:c r="E1150" s="191" t="n">
        <x:v>423.1053771972656</x:v>
      </x:c>
      <x:c r="F1150" s="191" t="n">
        <x:v>715.1699829101562</x:v>
      </x:c>
      <x:c r="G1150" s="191" t="n">
        <x:v>711.5653076171875</x:v>
      </x:c>
      <x:c r="H1150" s="208" t="n">
        <x:f>E1150/E1149-1</x:f>
        <x:v>0.00047099862243538126</x:v>
      </x:c>
      <x:c r="I1150" s="208" t="n">
        <x:f>G1150/G1149-1</x:f>
        <x:v>0.0017227696705925943</x:v>
      </x:c>
      <x:c r="J1150" s="208" t="n">
        <x:f>'Beta HC3'!$E$13+'Beta HC3'!$E$12*I1150</x:f>
        <x:v>0.0019520912505058192</x:v>
      </x:c>
      <x:c r="K1150" s="240" t="n">
        <x:f>H1150-J1150</x:f>
        <x:v>-0.001481092628070438</x:v>
      </x:c>
      <x:c r="L1150" s="240" t="n">
        <x:f>I1150-'Beta HC3'!$E$9</x:f>
        <x:v>0.001158822052932155</x:v>
      </x:c>
      <x:c r="M1150" s="240" t="n">
        <x:f>1/'Beta HC3'!$E$8+L1150^2/'Beta HC3'!$E$11</x:f>
        <x:v>0.0008059958817926945</x:v>
      </x:c>
      <x:c r="N1150" s="240" t="n">
        <x:f>K1150^2/(1-M1150)^2</x:f>
        <x:v>0.0000021971757748268713</x:v>
      </x:c>
      <x:c r="O1150" s="240" t="n">
        <x:f>N1150*L1150^2/'Beta HC3'!$E$11^2</x:f>
        <x:v>1.3797901100467094e-10</x:v>
      </x:c>
      <x:c r="P1150" s="240" t="n">
        <x:f>N1150*(1/'Beta HC3'!$E$8-'Beta HC3'!$E$9*L1150/'Beta HC3'!$E$11)^2</x:f>
        <x:v>1.3794057931372258e-12</x:v>
      </x:c>
      <x:c r="Q1150" s="240" t="n">
        <x:f>N1150*(1/'Beta HC3'!$E$8-'Beta HC3'!$E$9*L1150/'Beta HC3'!$E$11)*L1150/'Beta HC3'!$E$11</x:f>
        <x:v>1.3795979382094919e-11</x:v>
      </x:c>
      <x:c r="R1150" s="240" t="n">
        <x:f>K1150*L1150/'Beta HC3'!$E$11</x:f>
        <x:v>-0.000011736979151834622</x:v>
      </x:c>
      <x:c r="S1150" s="240" t="n">
        <x:f>(K1150-K1149)^2</x:f>
        <x:v>0.00019788567251323108</x:v>
      </x:c>
      <x:c r="T1150" s="280" t="n">
        <x:f>E1150/$E$9*100</x:f>
        <x:v>149.52009933843397</x:v>
      </x:c>
    </x:row>
    <x:row r="1151" ht="24" customHeight="1">
      <x:c r="C1151" s="274" t="d">
        <x:v>2026-04-28T00:00:00.000Z</x:v>
      </x:c>
      <x:c r="D1151" s="191" t="n">
        <x:v>429.25</x:v>
      </x:c>
      <x:c r="E1151" s="191" t="n">
        <x:v>427.5174865722656</x:v>
      </x:c>
      <x:c r="F1151" s="191" t="n">
        <x:v>711.6900024414062</x:v>
      </x:c>
      <x:c r="G1151" s="191" t="n">
        <x:v>708.1028442382812</x:v>
      </x:c>
      <x:c r="H1151" s="208" t="n">
        <x:f>E1151/E1150-1</x:f>
        <x:v>0.01042792082725752</x:v>
      </x:c>
      <x:c r="I1151" s="208" t="n">
        <x:f>G1151/G1150-1</x:f>
        <x:v>-0.0048659811570929135</x:v>
      </x:c>
      <x:c r="J1151" s="208" t="n">
        <x:f>'Beta HC3'!$E$13+'Beta HC3'!$E$12*I1151</x:f>
        <x:v>-0.00547877924608808</x:v>
      </x:c>
      <x:c r="K1151" s="240" t="n">
        <x:f>H1151-J1151</x:f>
        <x:v>0.0159067000733456</x:v>
      </x:c>
      <x:c r="L1151" s="240" t="n">
        <x:f>I1151-'Beta HC3'!$E$9</x:f>
        <x:v>-0.005429928774753353</x:v>
      </x:c>
      <x:c r="M1151" s="240" t="n">
        <x:f>1/'Beta HC3'!$E$8+L1151^2/'Beta HC3'!$E$11</x:f>
        <x:v>0.0009984383278631478</x:v>
      </x:c>
      <x:c r="N1151" s="240" t="n">
        <x:f>K1151^2/(1-M1151)^2</x:f>
        <x:v>0.00025352912086850163</x:v>
      </x:c>
      <x:c r="O1151" s="240" t="n">
        <x:f>N1151*L1151^2/'Beta HC3'!$E$11^2</x:f>
        <x:v>3.495673313955943e-7</x:v>
      </x:c>
      <x:c r="P1151" s="240" t="n">
        <x:f>N1151*(1/'Beta HC3'!$E$8-'Beta HC3'!$E$9*L1151/'Beta HC3'!$E$11)^2</x:f>
        <x:v>1.69540153347591e-10</x:v>
      </x:c>
      <x:c r="Q1151" s="240" t="n">
        <x:f>N1151*(1/'Beta HC3'!$E$8-'Beta HC3'!$E$9*L1151/'Beta HC3'!$E$11)*L1151/'Beta HC3'!$E$11</x:f>
        <x:v>-7.698421849321925e-9</x:v>
      </x:c>
      <x:c r="R1151" s="240" t="n">
        <x:f>K1151*L1151/'Beta HC3'!$E$11</x:f>
        <x:v>-0.0005906518746506191</x:v>
      </x:c>
      <x:c r="S1151" s="240" t="n">
        <x:f>(K1151-K1150)^2</x:f>
        <x:v>0.00030233533502741687</x:v>
      </x:c>
      <x:c r="T1151" s="280" t="n">
        <x:f>E1151/$E$9*100</x:f>
        <x:v>151.07928309641886</x:v>
      </x:c>
    </x:row>
    <x:row r="1152" ht="24" customHeight="1">
      <x:c r="C1152" s="274" t="d">
        <x:v>2026-04-29T00:00:00.000Z</x:v>
      </x:c>
      <x:c r="D1152" s="191" t="n">
        <x:v>424.4599914550781</x:v>
      </x:c>
      <x:c r="E1152" s="191" t="n">
        <x:v>422.7467956542969</x:v>
      </x:c>
      <x:c r="F1152" s="191" t="n">
        <x:v>711.5800170898438</x:v>
      </x:c>
      <x:c r="G1152" s="191" t="n">
        <x:v>707.993408203125</x:v>
      </x:c>
      <x:c r="H1152" s="208" t="n">
        <x:f>E1152/E1151-1</x:f>
        <x:v>-0.011159054466330809</x:v>
      </x:c>
      <x:c r="I1152" s="208" t="n">
        <x:f>G1152/G1151-1</x:f>
        <x:v>-0.00015454822141547364</x:v>
      </x:c>
      <x:c r="J1152" s="208" t="n">
        <x:f>'Beta HC3'!$E$13+'Beta HC3'!$E$12*I1152</x:f>
        <x:v>-0.000165169896756444</x:v>
      </x:c>
      <x:c r="K1152" s="240" t="n">
        <x:f>H1152-J1152</x:f>
        <x:v>-0.010993884569574366</x:v>
      </x:c>
      <x:c r="L1152" s="240" t="n">
        <x:f>I1152-'Beta HC3'!$E$9</x:f>
        <x:v>-0.000718495839075913</x:v>
      </x:c>
      <x:c r="M1152" s="240" t="n">
        <x:f>1/'Beta HC3'!$E$8+L1152^2/'Beta HC3'!$E$11</x:f>
        <x:v>0.0008003430023735686</x:v>
      </x:c>
      <x:c r="N1152" s="240" t="n">
        <x:f>K1152^2/(1-M1152)^2</x:f>
        <x:v>0.00012105919814900955</x:v>
      </x:c>
      <x:c r="O1152" s="240" t="n">
        <x:f>N1152*L1152^2/'Beta HC3'!$E$11^2</x:f>
        <x:v>2.922543813382476e-9</x:v>
      </x:c>
      <x:c r="P1152" s="240" t="n">
        <x:f>N1152*(1/'Beta HC3'!$E$8-'Beta HC3'!$E$9*L1152/'Beta HC3'!$E$11)^2</x:f>
        <x:v>7.739726223498059e-11</x:v>
      </x:c>
      <x:c r="Q1152" s="240" t="n">
        <x:f>N1152*(1/'Beta HC3'!$E$8-'Beta HC3'!$E$9*L1152/'Beta HC3'!$E$11)*L1152/'Beta HC3'!$E$11</x:f>
        <x:v>-4.75601608405169e-10</x:v>
      </x:c>
      <x:c r="R1152" s="240" t="n">
        <x:f>K1152*L1152/'Beta HC3'!$E$11</x:f>
        <x:v>0.00005401728992123191</x:v>
      </x:c>
      <x:c r="S1152" s="240" t="n">
        <x:f>(K1152-K1151)^2</x:f>
        <x:v>0.0007236414541309015</x:v>
      </x:c>
      <x:c r="T1152" s="280" t="n">
        <x:f>E1152/$E$9*100</x:f>
        <x:v>149.3933811476117</x:v>
      </x:c>
    </x:row>
    <x:row r="1153" ht="24" customHeight="1">
      <x:c r="C1153" s="274" t="d">
        <x:v>2026-04-30T00:00:00.000Z</x:v>
      </x:c>
      <x:c r="D1153" s="191" t="n">
        <x:v>407.7799987792969</x:v>
      </x:c>
      <x:c r="E1153" s="191" t="n">
        <x:v>406.1341552734375</x:v>
      </x:c>
      <x:c r="F1153" s="191" t="n">
        <x:v>718.6599731445312</x:v>
      </x:c>
      <x:c r="G1153" s="191" t="n">
        <x:v>715.0377197265625</x:v>
      </x:c>
      <x:c r="H1153" s="208" t="n">
        <x:f>E1153/E1152-1</x:f>
        <x:v>-0.039296904321054704</x:v>
      </x:c>
      <x:c r="I1153" s="208" t="n">
        <x:f>G1153/G1152-1</x:f>
        <x:v>0.009949685183250345</x:v>
      </x:c>
      <x:c r="J1153" s="208" t="n">
        <x:f>'Beta HC3'!$E$13+'Beta HC3'!$E$12*I1153</x:f>
        <x:v>0.011230503101216822</x:v>
      </x:c>
      <x:c r="K1153" s="240" t="n">
        <x:f>H1153-J1153</x:f>
        <x:v>-0.05052740742227153</x:v>
      </x:c>
      <x:c r="L1153" s="240" t="n">
        <x:f>I1153-'Beta HC3'!$E$9</x:f>
        <x:v>0.009385737565589906</x:v>
      </x:c>
      <x:c r="M1153" s="240" t="n">
        <x:f>1/'Beta HC3'!$E$8+L1153^2/'Beta HC3'!$E$11</x:f>
        <x:v>0.001399225526495436</x:v>
      </x:c>
      <x:c r="N1153" s="240" t="n">
        <x:f>K1153^2/(1-M1153)^2</x:f>
        <x:v>0.0025601784224188514</x:v>
      </x:c>
      <x:c r="O1153" s="240" t="n">
        <x:f>N1153*L1153^2/'Beta HC3'!$E$11^2</x:f>
        <x:v>0.000010546825711705535</x:v>
      </x:c>
      <x:c r="P1153" s="240" t="n">
        <x:f>N1153*(1/'Beta HC3'!$E$8-'Beta HC3'!$E$9*L1153/'Beta HC3'!$E$11)^2</x:f>
        <x:v>1.4811588078422214e-9</x:v>
      </x:c>
      <x:c r="Q1153" s="240" t="n">
        <x:f>N1153*(1/'Beta HC3'!$E$8-'Beta HC3'!$E$9*L1153/'Beta HC3'!$E$11)*L1153/'Beta HC3'!$E$11</x:f>
        <x:v>1.249860944172169e-7</x:v>
      </x:c>
      <x:c r="R1153" s="240" t="n">
        <x:f>K1153*L1153/'Beta HC3'!$E$11</x:f>
        <x:v>-0.003243043568177979</x:v>
      </x:c>
      <x:c r="S1153" s="240" t="n">
        <x:f>(K1153-K1152)^2</x:f>
        <x:v>0.0015628994291447288</x:v>
      </x:c>
      <x:c r="T1153" s="280" t="n">
        <x:f>E1153/$E$9*100</x:f>
        <x:v>143.52268374245514</x:v>
      </x:c>
    </x:row>
    <x:row r="1154" ht="24" customHeight="1">
      <x:c r="C1154" s="274" t="d">
        <x:v>2026-05-01T00:00:00.000Z</x:v>
      </x:c>
      <x:c r="D1154" s="191" t="n">
        <x:v>414.44000244140625</x:v>
      </x:c>
      <x:c r="E1154" s="191" t="n">
        <x:v>412.76727294921875</x:v>
      </x:c>
      <x:c r="F1154" s="191" t="n">
        <x:v>720.6500244140625</x:v>
      </x:c>
      <x:c r="G1154" s="191" t="n">
        <x:v>717.0177001953125</x:v>
      </x:c>
      <x:c r="H1154" s="208" t="n">
        <x:f>E1154/E1153-1</x:f>
        <x:v>0.016332331545263257</x:v>
      </x:c>
      <x:c r="I1154" s="208" t="n">
        <x:f>G1154/G1153-1</x:f>
        <x:v>0.00276905737155686</x:v>
      </x:c>
      <x:c r="J1154" s="208" t="n">
        <x:f>'Beta HC3'!$E$13+'Beta HC3'!$E$12*I1154</x:f>
        <x:v>0.003132106796908802</x:v>
      </x:c>
      <x:c r="K1154" s="240" t="n">
        <x:f>H1154-J1154</x:f>
        <x:v>0.013200224748354455</x:v>
      </x:c>
      <x:c r="L1154" s="240" t="n">
        <x:f>I1154-'Beta HC3'!$E$9</x:f>
        <x:v>0.002205109753896421</x:v>
      </x:c>
      <x:c r="M1154" s="240" t="n">
        <x:f>1/'Beta HC3'!$E$8+L1154^2/'Beta HC3'!$E$11</x:f>
        <x:v>0.0008300647497800265</x:v>
      </x:c>
      <x:c r="N1154" s="240" t="n">
        <x:f>K1154^2/(1-M1154)^2</x:f>
        <x:v>0.00017453556479058943</x:v>
      </x:c>
      <x:c r="O1154" s="240" t="n">
        <x:f>N1154*L1154^2/'Beta HC3'!$E$11^2</x:f>
        <x:v>3.9687987667271556e-8</x:v>
      </x:c>
      <x:c r="P1154" s="240" t="n">
        <x:f>N1154*(1/'Beta HC3'!$E$8-'Beta HC3'!$E$9*L1154/'Beta HC3'!$E$11)^2</x:f>
        <x:v>1.0846173873645263e-10</x:v>
      </x:c>
      <x:c r="Q1154" s="240" t="n">
        <x:f>N1154*(1/'Beta HC3'!$E$8-'Beta HC3'!$E$9*L1154/'Beta HC3'!$E$11)*L1154/'Beta HC3'!$E$11</x:f>
        <x:v>2.0747597811176027e-9</x:v>
      </x:c>
      <x:c r="R1154" s="240" t="n">
        <x:f>K1154*L1154/'Beta HC3'!$E$11</x:f>
        <x:v>0.00019905307787996567</x:v>
      </x:c>
      <x:c r="S1154" s="240" t="n">
        <x:f>(K1154-K1153)^2</x:f>
        <x:v>0.0040612111020746034</x:v>
      </x:c>
      <x:c r="T1154" s="280" t="n">
        <x:f>E1154/$E$9*100</x:f>
        <x:v>145.8667437976029</x:v>
      </x:c>
    </x:row>
    <x:row r="1155" ht="24" customHeight="1">
      <x:c r="C1155" s="274" t="d">
        <x:v>2026-05-04T00:00:00.000Z</x:v>
      </x:c>
      <x:c r="D1155" s="191" t="n">
        <x:v>413.6199951171875</x:v>
      </x:c>
      <x:c r="E1155" s="191" t="n">
        <x:v>411.9505615234375</x:v>
      </x:c>
      <x:c r="F1155" s="191" t="n">
        <x:v>718.010009765625</x:v>
      </x:c>
      <x:c r="G1155" s="191" t="n">
        <x:v>714.3909912109375</x:v>
      </x:c>
      <x:c r="H1155" s="208" t="n">
        <x:f>E1155/E1154-1</x:f>
        <x:v>-0.001978624467840806</x:v>
      </x:c>
      <x:c r="I1155" s="208" t="n">
        <x:f>G1155/G1154-1</x:f>
        <x:v>-0.0036633809509297732</x:v>
      </x:c>
      <x:c r="J1155" s="208" t="n">
        <x:f>'Beta HC3'!$E$13+'Beta HC3'!$E$12*I1155</x:f>
        <x:v>-0.004122472622133599</x:v>
      </x:c>
      <x:c r="K1155" s="240" t="n">
        <x:f>H1155-J1155</x:f>
        <x:v>0.0021438481542927932</x:v>
      </x:c>
      <x:c r="L1155" s="240" t="n">
        <x:f>I1155-'Beta HC3'!$E$9</x:f>
        <x:v>-0.004227328568590213</x:v>
      </x:c>
      <x:c r="M1155" s="240" t="n">
        <x:f>1/'Beta HC3'!$E$8+L1155^2/'Beta HC3'!$E$11</x:f>
        <x:v>0.0009190178602350509</x:v>
      </x:c>
      <x:c r="N1155" s="240" t="n">
        <x:f>K1155^2/(1-M1155)^2</x:f>
        <x:v>0.000004604544336662165</x:v>
      </x:c>
      <x:c r="O1155" s="240" t="n">
        <x:f>N1155*L1155^2/'Beta HC3'!$E$11^2</x:f>
        <x:v>3.847985183808182e-9</x:v>
      </x:c>
      <x:c r="P1155" s="240" t="n">
        <x:f>N1155*(1/'Beta HC3'!$E$8-'Beta HC3'!$E$9*L1155/'Beta HC3'!$E$11)^2</x:f>
        <x:v>3.0443262220622572e-12</x:v>
      </x:c>
      <x:c r="Q1155" s="240" t="n">
        <x:f>N1155*(1/'Beta HC3'!$E$8-'Beta HC3'!$E$9*L1155/'Beta HC3'!$E$11)*L1155/'Beta HC3'!$E$11</x:f>
        <x:v>-1.082336463267052e-10</x:v>
      </x:c>
      <x:c r="R1155" s="240" t="n">
        <x:f>K1155*L1155/'Beta HC3'!$E$11</x:f>
        <x:v>-0.00006197512161805765</x:v>
      </x:c>
      <x:c r="S1155" s="240" t="n">
        <x:f>(K1155-K1154)^2</x:f>
        <x:v>0.00012224346338971453</x:v>
      </x:c>
      <x:c r="T1155" s="280" t="n">
        <x:f>E1155/$E$9*100</x:f>
        <x:v>145.5781282892807</x:v>
      </x:c>
    </x:row>
    <x:row r="1156" ht="24" customHeight="1">
      <x:c r="C1156" s="274" t="d">
        <x:v>2026-05-05T00:00:00.000Z</x:v>
      </x:c>
      <x:c r="D1156" s="191" t="n">
        <x:v>411.3800048828125</x:v>
      </x:c>
      <x:c r="E1156" s="191" t="n">
        <x:v>409.7196350097656</x:v>
      </x:c>
      <x:c r="F1156" s="191" t="n">
        <x:v>723.77001953125</x:v>
      </x:c>
      <x:c r="G1156" s="191" t="n">
        <x:v>720.1220092773438</x:v>
      </x:c>
      <x:c r="H1156" s="208" t="n">
        <x:f>E1156/E1155-1</x:f>
        <x:v>-0.005415520021193054</x:v>
      </x:c>
      <x:c r="I1156" s="208" t="n">
        <x:f>G1156/G1155-1</x:f>
        <x:v>0.008022242913074518</x:v>
      </x:c>
      <x:c r="J1156" s="208" t="n">
        <x:f>'Beta HC3'!$E$13+'Beta HC3'!$E$12*I1156</x:f>
        <x:v>0.00905671109209197</x:v>
      </x:c>
      <x:c r="K1156" s="240" t="n">
        <x:f>H1156-J1156</x:f>
        <x:v>-0.014472231113285024</x:v>
      </x:c>
      <x:c r="L1156" s="240" t="n">
        <x:f>I1156-'Beta HC3'!$E$9</x:f>
        <x:v>0.007458295295414078</x:v>
      </x:c>
      <x:c r="M1156" s="240" t="n">
        <x:f>1/'Beta HC3'!$E$8+L1156^2/'Beta HC3'!$E$11</x:f>
        <x:v>0.0011772092469981435</x:v>
      </x:c>
      <x:c r="N1156" s="240" t="n">
        <x:f>K1156^2/(1-M1156)^2</x:f>
        <x:v>0.00020993946782334657</x:v>
      </x:c>
      <x:c r="O1156" s="240" t="n">
        <x:f>N1156*L1156^2/'Beta HC3'!$E$11^2</x:f>
        <x:v>5.461198515040367e-7</x:v>
      </x:c>
      <x:c r="P1156" s="240" t="n">
        <x:f>N1156*(1/'Beta HC3'!$E$8-'Beta HC3'!$E$9*L1156/'Beta HC3'!$E$11)^2</x:f>
        <x:v>1.2384334712000044e-10</x:v>
      </x:c>
      <x:c r="Q1156" s="240" t="n">
        <x:f>N1156*(1/'Beta HC3'!$E$8-'Beta HC3'!$E$9*L1156/'Beta HC3'!$E$11)*L1156/'Beta HC3'!$E$11</x:f>
        <x:v>8.223947369659992e-9</x:v>
      </x:c>
      <x:c r="R1156" s="240" t="n">
        <x:f>K1156*L1156/'Beta HC3'!$E$11</x:f>
        <x:v>-0.0007381292662199553</x:v>
      </x:c>
      <x:c r="S1156" s="240" t="n">
        <x:f>(K1156-K1155)^2</x:f>
        <x:v>0.00027609409022642936</x:v>
      </x:c>
      <x:c r="T1156" s="280" t="n">
        <x:f>E1156/$E$9*100</x:f>
        <x:v>144.7897470208823</x:v>
      </x:c>
    </x:row>
    <x:row r="1157" ht="24" customHeight="1">
      <x:c r="C1157" s="274" t="d">
        <x:v>2026-05-06T00:00:00.000Z</x:v>
      </x:c>
      <x:c r="D1157" s="191" t="n">
        <x:v>413.9599914550781</x:v>
      </x:c>
      <x:c r="E1157" s="191" t="n">
        <x:v>412.2891845703125</x:v>
      </x:c>
      <x:c r="F1157" s="191" t="n">
        <x:v>733.8300170898438</x:v>
      </x:c>
      <x:c r="G1157" s="191" t="n">
        <x:v>730.1312866210938</x:v>
      </x:c>
      <x:c r="H1157" s="208" t="n">
        <x:f>E1157/E1156-1</x:f>
        <x:v>0.006271482596838851</x:v>
      </x:c>
      <x:c r="I1157" s="208" t="n">
        <x:f>G1157/G1156-1</x:f>
        <x:v>0.013899418730159985</x:v>
      </x:c>
      <x:c r="J1157" s="208" t="n">
        <x:f>'Beta HC3'!$E$13+'Beta HC3'!$E$12*I1157</x:f>
        <x:v>0.01568505894203135</x:v>
      </x:c>
      <x:c r="K1157" s="240" t="n">
        <x:f>H1157-J1157</x:f>
        <x:v>-0.0094135763451925</x:v>
      </x:c>
      <x:c r="L1157" s="240" t="n">
        <x:f>I1157-'Beta HC3'!$E$9</x:f>
        <x:v>0.013335471112499546</x:v>
      </x:c>
      <x:c r="M1157" s="240" t="n">
        <x:f>1/'Beta HC3'!$E$8+L1157^2/'Beta HC3'!$E$11</x:f>
        <x:v>0.002012926186670745</x:v>
      </x:c>
      <x:c r="N1157" s="240" t="n">
        <x:f>K1157^2/(1-M1157)^2</x:f>
        <x:v>0.00008897325227739786</x:v>
      </x:c>
      <x:c r="O1157" s="240" t="n">
        <x:f>N1157*L1157^2/'Beta HC3'!$E$11^2</x:f>
        <x:v>7.399304747682036e-7</x:v>
      </x:c>
      <x:c r="P1157" s="240" t="n">
        <x:f>N1157*(1/'Beta HC3'!$E$8-'Beta HC3'!$E$9*L1157/'Beta HC3'!$E$11)^2</x:f>
        <x:v>4.943332248346115e-11</x:v>
      </x:c>
      <x:c r="Q1157" s="240" t="n">
        <x:f>N1157*(1/'Beta HC3'!$E$8-'Beta HC3'!$E$9*L1157/'Beta HC3'!$E$11)*L1157/'Beta HC3'!$E$11</x:f>
        <x:v>6.047910529642211e-9</x:v>
      </x:c>
      <x:c r="R1157" s="240" t="n">
        <x:f>K1157*L1157/'Beta HC3'!$E$11</x:f>
        <x:v>-0.0008584606118009722</x:v>
      </x:c>
      <x:c r="S1157" s="240" t="n">
        <x:f>(K1157-K1156)^2</x:f>
        <x:v>0.000025589988062745234</x:v>
      </x:c>
      <x:c r="T1157" s="280" t="n">
        <x:f>E1157/$E$9*100</x:f>
        <x:v>145.69779339952444</x:v>
      </x:c>
    </x:row>
    <x:row r="1158" ht="24" customHeight="1">
      <x:c r="C1158" s="274" t="d">
        <x:v>2026-05-07T00:00:00.000Z</x:v>
      </x:c>
      <x:c r="D1158" s="191" t="n">
        <x:v>420.7699890136719</x:v>
      </x:c>
      <x:c r="E1158" s="191" t="n">
        <x:v>419.07171630859375</x:v>
      </x:c>
      <x:c r="F1158" s="191" t="n">
        <x:v>731.5800170898438</x:v>
      </x:c>
      <x:c r="G1158" s="191" t="n">
        <x:v>727.8926391601562</x:v>
      </x:c>
      <x:c r="H1158" s="208" t="n">
        <x:f>E1158/E1157-1</x:f>
        <x:v>0.01645090871192756</x:v>
      </x:c>
      <x:c r="I1158" s="208" t="n">
        <x:f>G1158/G1157-1</x:f>
        <x:v>-0.0030660889376450395</x:v>
      </x:c>
      <x:c r="J1158" s="208" t="n">
        <x:f>'Beta HC3'!$E$13+'Beta HC3'!$E$12*I1158</x:f>
        <x:v>-0.0034488396808606</x:v>
      </x:c>
      <x:c r="K1158" s="240" t="n">
        <x:f>H1158-J1158</x:f>
        <x:v>0.019899748392788158</x:v>
      </x:c>
      <x:c r="L1158" s="240" t="n">
        <x:f>I1158-'Beta HC3'!$E$9</x:f>
        <x:v>-0.003630036555305479</x:v>
      </x:c>
      <x:c r="M1158" s="240" t="n">
        <x:f>1/'Beta HC3'!$E$8+L1158^2/'Beta HC3'!$E$11</x:f>
        <x:v>0.0008869240704350857</x:v>
      </x:c>
      <x:c r="N1158" s="240" t="n">
        <x:f>K1158^2/(1-M1158)^2</x:f>
        <x:v>0.0003967033655632793</x:v>
      </x:c>
      <x:c r="O1158" s="240" t="n">
        <x:f>N1158*L1158^2/'Beta HC3'!$E$11^2</x:f>
        <x:v>2.444570715101105e-7</x:v>
      </x:c>
      <x:c r="P1158" s="240" t="n">
        <x:f>N1158*(1/'Beta HC3'!$E$8-'Beta HC3'!$E$9*L1158/'Beta HC3'!$E$11)^2</x:f>
        <x:v>2.607992274206451e-10</x:v>
      </x:c>
      <x:c r="Q1158" s="240" t="n">
        <x:f>N1158*(1/'Beta HC3'!$E$8-'Beta HC3'!$E$9*L1158/'Beta HC3'!$E$11)*L1158/'Beta HC3'!$E$11</x:f>
        <x:v>-7.984623684767503e-9</x:v>
      </x:c>
      <x:c r="R1158" s="240" t="n">
        <x:f>K1158*L1158/'Beta HC3'!$E$11</x:f>
        <x:v>-0.000493987483734769</x:v>
      </x:c>
      <x:c r="S1158" s="240" t="n">
        <x:f>(K1158-K1157)^2</x:f>
        <x:v>0.0008592710071943087</x:v>
      </x:c>
      <x:c r="T1158" s="280" t="n">
        <x:f>E1158/$E$9*100</x:f>
        <x:v>148.0946544982693</x:v>
      </x:c>
    </x:row>
    <x:row r="1159" ht="24" customHeight="1">
      <x:c r="C1159" s="274" t="d">
        <x:v>2026-05-08T00:00:00.000Z</x:v>
      </x:c>
      <x:c r="D1159" s="191" t="n">
        <x:v>415.1199951171875</x:v>
      </x:c>
      <x:c r="E1159" s="191" t="n">
        <x:v>413.44451904296875</x:v>
      </x:c>
      <x:c r="F1159" s="191" t="n">
        <x:v>737.6199951171875</x:v>
      </x:c>
      <x:c r="G1159" s="191" t="n">
        <x:v>733.9021606445312</x:v>
      </x:c>
      <x:c r="H1159" s="208" t="n">
        <x:f>E1159/E1158-1</x:f>
        <x:v>-0.01342776676792301</x:v>
      </x:c>
      <x:c r="I1159" s="208" t="n">
        <x:f>G1159/G1158-1</x:f>
        <x:v>0.008256054754597786</x:v>
      </x:c>
      <x:c r="J1159" s="208" t="n">
        <x:f>'Beta HC3'!$E$13+'Beta HC3'!$E$12*I1159</x:f>
        <x:v>0.009320406830535892</x:v>
      </x:c>
      <x:c r="K1159" s="240" t="n">
        <x:f>H1159-J1159</x:f>
        <x:v>-0.022748173598458904</x:v>
      </x:c>
      <x:c r="L1159" s="240" t="n">
        <x:f>I1159-'Beta HC3'!$E$9</x:f>
        <x:v>0.007692107136937346</x:v>
      </x:c>
      <x:c r="M1159" s="240" t="n">
        <x:f>1/'Beta HC3'!$E$8+L1159^2/'Beta HC3'!$E$11</x:f>
        <x:v>0.001201433368313912</x:v>
      </x:c>
      <x:c r="N1159" s="240" t="n">
        <x:f>K1159^2/(1-M1159)^2</x:f>
        <x:v>0.0005187250805575094</x:v>
      </x:c>
      <x:c r="O1159" s="240" t="n">
        <x:f>N1159*L1159^2/'Beta HC3'!$E$11^2</x:f>
        <x:v>0.0000014352997813523085</x:v>
      </x:c>
      <x:c r="P1159" s="240" t="n">
        <x:f>N1159*(1/'Beta HC3'!$E$8-'Beta HC3'!$E$9*L1159/'Beta HC3'!$E$11)^2</x:f>
        <x:v>3.0527799538177375e-10</x:v>
      </x:c>
      <x:c r="Q1159" s="240" t="n">
        <x:f>N1159*(1/'Beta HC3'!$E$8-'Beta HC3'!$E$9*L1159/'Beta HC3'!$E$11)*L1159/'Beta HC3'!$E$11</x:f>
        <x:v>2.093240167833426e-8</x:v>
      </x:c>
      <x:c r="R1159" s="240" t="n">
        <x:f>K1159*L1159/'Beta HC3'!$E$11</x:f>
        <x:v>-0.0011966006096533605</x:v>
      </x:c>
      <x:c r="S1159" s="240" t="n">
        <x:f>(K1159-K1158)^2</x:f>
        <x:v>0.0018188452501714948</x:v>
      </x:c>
      <x:c r="T1159" s="280" t="n">
        <x:f>E1159/$E$9*100</x:f>
        <x:v>146.1060740180904</x:v>
      </x:c>
    </x:row>
    <x:row r="1160" ht="24" customHeight="1">
      <x:c r="C1160" s="274" t="d">
        <x:v>2026-05-11T00:00:00.000Z</x:v>
      </x:c>
      <x:c r="D1160" s="191" t="n">
        <x:v>412.6600036621094</x:v>
      </x:c>
      <x:c r="E1160" s="191" t="n">
        <x:v>410.99444580078125</x:v>
      </x:c>
      <x:c r="F1160" s="191" t="n">
        <x:v>739.2999877929688</x:v>
      </x:c>
      <x:c r="G1160" s="191" t="n">
        <x:v>735.5736694335938</x:v>
      </x:c>
      <x:c r="H1160" s="208" t="n">
        <x:f>E1160/E1159-1</x:f>
        <x:v>-0.005926002472735337</x:v>
      </x:c>
      <x:c r="I1160" s="208" t="n">
        <x:f>G1160/G1159-1</x:f>
        <x:v>0.0022775635209937306</x:v>
      </x:c>
      <x:c r="J1160" s="208" t="n">
        <x:f>'Beta HC3'!$E$13+'Beta HC3'!$E$12*I1160</x:f>
        <x:v>0.0025777942650005584</x:v>
      </x:c>
      <x:c r="K1160" s="240" t="n">
        <x:f>H1160-J1160</x:f>
        <x:v>-0.008503796737735894</x:v>
      </x:c>
      <x:c r="L1160" s="240" t="n">
        <x:f>I1160-'Beta HC3'!$E$9</x:f>
        <x:v>0.0017136159033332913</x:v>
      </x:c>
      <x:c r="M1160" s="240" t="n">
        <x:f>1/'Beta HC3'!$E$8+L1160^2/'Beta HC3'!$E$11</x:f>
        <x:v>0.0008168937024550166</x:v>
      </x:c>
      <x:c r="N1160" s="240" t="n">
        <x:f>K1160^2/(1-M1160)^2</x:f>
        <x:v>0.00007243285050002541</x:v>
      </x:c>
      <x:c r="O1160" s="240" t="n">
        <x:f>N1160*L1160^2/'Beta HC3'!$E$11^2</x:f>
        <x:v>9.946659873175536e-9</x:v>
      </x:c>
      <x:c r="P1160" s="240" t="n">
        <x:f>N1160*(1/'Beta HC3'!$E$8-'Beta HC3'!$E$9*L1160/'Beta HC3'!$E$11)^2</x:f>
        <x:v>4.5228708370939005e-11</x:v>
      </x:c>
      <x:c r="Q1160" s="240" t="n">
        <x:f>N1160*(1/'Beta HC3'!$E$8-'Beta HC3'!$E$9*L1160/'Beta HC3'!$E$11)*L1160/'Beta HC3'!$E$11</x:f>
        <x:v>6.707269031944205e-10</x:v>
      </x:c>
      <x:c r="R1160" s="240" t="n">
        <x:f>K1160*L1160/'Beta HC3'!$E$11</x:f>
        <x:v>-0.00009965147155517749</x:v>
      </x:c>
      <x:c r="S1160" s="240" t="n">
        <x:f>(K1160-K1159)^2</x:f>
        <x:v>0.0002029022721503011</x:v>
      </x:c>
      <x:c r="T1160" s="280" t="n">
        <x:f>E1160/$E$9*100</x:f>
        <x:v>145.24024906217755</x:v>
      </x:c>
    </x:row>
    <x:row r="1161" ht="24" customHeight="1">
      <x:c r="C1161" s="274" t="d">
        <x:v>2026-05-12T00:00:00.000Z</x:v>
      </x:c>
      <x:c r="D1161" s="191" t="n">
        <x:v>407.7699890136719</x:v>
      </x:c>
      <x:c r="E1161" s="191" t="n">
        <x:v>406.1241760253906</x:v>
      </x:c>
      <x:c r="F1161" s="191" t="n">
        <x:v>738.1799926757812</x:v>
      </x:c>
      <x:c r="G1161" s="191" t="n">
        <x:v>734.4593505859375</x:v>
      </x:c>
      <x:c r="H1161" s="208" t="n">
        <x:f>E1161/E1160-1</x:f>
        <x:v>-0.011849964945150004</x:v>
      </x:c>
      <x:c r="I1161" s="208" t="n">
        <x:f>G1161/G1160-1</x:f>
        <x:v>-0.0015148976832113359</x:v>
      </x:c>
      <x:c r="J1161" s="208" t="n">
        <x:f>'Beta HC3'!$E$13+'Beta HC3'!$E$12*I1161</x:f>
        <x:v>-0.001699387982260703</x:v>
      </x:c>
      <x:c r="K1161" s="240" t="n">
        <x:f>H1161-J1161</x:f>
        <x:v>-0.010150576962889301</x:v>
      </x:c>
      <x:c r="L1161" s="240" t="n">
        <x:f>I1161-'Beta HC3'!$E$9</x:f>
        <x:v>-0.002078845300871775</x:v>
      </x:c>
      <x:c r="M1161" s="240" t="n">
        <x:f>1/'Beta HC3'!$E$8+L1161^2/'Beta HC3'!$E$11</x:f>
        <x:v>0.0008263657579771697</x:v>
      </x:c>
      <x:c r="N1161" s="240" t="n">
        <x:f>K1161^2/(1-M1161)^2</x:f>
        <x:v>0.00010320471188299156</x:v>
      </x:c>
      <x:c r="O1161" s="240" t="n">
        <x:f>N1161*L1161^2/'Beta HC3'!$E$11^2</x:f>
        <x:v>2.0857324252300877e-8</x:v>
      </x:c>
      <x:c r="P1161" s="240" t="n">
        <x:f>N1161*(1/'Beta HC3'!$E$8-'Beta HC3'!$E$9*L1161/'Beta HC3'!$E$11)^2</x:f>
        <x:v>6.685096725091689e-11</x:v>
      </x:c>
      <x:c r="Q1161" s="240" t="n">
        <x:f>N1161*(1/'Beta HC3'!$E$8-'Beta HC3'!$E$9*L1161/'Beta HC3'!$E$11)*L1161/'Beta HC3'!$E$11</x:f>
        <x:v>-1.1808184875468035e-9</x:v>
      </x:c>
      <x:c r="R1161" s="240" t="n">
        <x:f>K1161*L1161/'Beta HC3'!$E$11</x:f>
        <x:v>0.00014430130608635475</x:v>
      </x:c>
      <x:c r="S1161" s="240" t="n">
        <x:f>(K1161-K1160)^2</x:f>
        <x:v>0.000002711885109956305</x:v>
      </x:c>
      <x:c r="T1161" s="280" t="n">
        <x:f>E1161/$E$9*100</x:f>
        <x:v>143.51915720216587</x:v>
      </x:c>
    </x:row>
    <x:row r="1162" ht="24" customHeight="1">
      <x:c r="C1162" s="274" t="d">
        <x:v>2026-05-13T00:00:00.000Z</x:v>
      </x:c>
      <x:c r="D1162" s="191" t="n">
        <x:v>405.2099914550781</x:v>
      </x:c>
      <x:c r="E1162" s="191" t="n">
        <x:v>403.57452392578125</x:v>
      </x:c>
      <x:c r="F1162" s="191" t="n">
        <x:v>742.3099975585938</x:v>
      </x:c>
      <x:c r="G1162" s="191" t="n">
        <x:v>738.5685424804688</x:v>
      </x:c>
      <x:c r="H1162" s="208" t="n">
        <x:f>E1162/E1161-1</x:f>
        <x:v>-0.006278011135810724</x:v>
      </x:c>
      <x:c r="I1162" s="208" t="n">
        <x:f>G1162/G1161-1</x:f>
        <x:v>0.005594852718878274</x:v>
      </x:c>
      <x:c r="J1162" s="208" t="n">
        <x:f>'Beta HC3'!$E$13+'Beta HC3'!$E$12*I1162</x:f>
        <x:v>0.006319071947812711</x:v>
      </x:c>
      <x:c r="K1162" s="240" t="n">
        <x:f>H1162-J1162</x:f>
        <x:v>-0.012597083083623435</x:v>
      </x:c>
      <x:c r="L1162" s="240" t="n">
        <x:f>I1162-'Beta HC3'!$E$9</x:f>
        <x:v>0.005030905101217834</x:v>
      </x:c>
      <x:c r="M1162" s="240" t="n">
        <x:f>1/'Beta HC3'!$E$8+L1162^2/'Beta HC3'!$E$11</x:f>
        <x:v>0.0009698938351465779</x:v>
      </x:c>
      <x:c r="N1162" s="240" t="n">
        <x:f>K1162^2/(1-M1162)^2</x:f>
        <x:v>0.000158994768742326</x:v>
      </x:c>
      <x:c r="O1162" s="240" t="n">
        <x:f>N1162*L1162^2/'Beta HC3'!$E$11^2</x:f>
        <x:v>1.8818708219536174e-7</x:v>
      </x:c>
      <x:c r="P1162" s="240" t="n">
        <x:f>N1162*(1/'Beta HC3'!$E$8-'Beta HC3'!$E$9*L1162/'Beta HC3'!$E$11)^2</x:f>
        <x:v>9.609131345827665e-11</x:v>
      </x:c>
      <x:c r="Q1162" s="240" t="n">
        <x:f>N1162*(1/'Beta HC3'!$E$8-'Beta HC3'!$E$9*L1162/'Beta HC3'!$E$11)*L1162/'Beta HC3'!$E$11</x:f>
        <x:v>4.2524280010404614e-9</x:v>
      </x:c>
      <x:c r="R1162" s="240" t="n">
        <x:f>K1162*L1162/'Beta HC3'!$E$11</x:f>
        <x:v>-0.0004333846054488779</x:v>
      </x:c>
      <x:c r="S1162" s="240" t="n">
        <x:f>(K1162-K1161)^2</x:f>
        <x:v>0.000005985392198789581</x:v>
      </x:c>
      <x:c r="T1162" s="280" t="n">
        <x:f>E1162/$E$9*100</x:f>
        <x:v>142.6181423350485</x:v>
      </x:c>
    </x:row>
    <x:row r="1163" ht="24" customHeight="1">
      <x:c r="C1163" s="274" t="d">
        <x:v>2026-05-14T00:00:00.000Z</x:v>
      </x:c>
      <x:c r="D1163" s="191" t="n">
        <x:v>409.42999267578125</x:v>
      </x:c>
      <x:c r="E1163" s="191" t="n">
        <x:v>407.7774963378906</x:v>
      </x:c>
      <x:c r="F1163" s="191" t="n">
        <x:v>748.1699829101562</x:v>
      </x:c>
      <x:c r="G1163" s="191" t="n">
        <x:v>744.3989868164062</x:v>
      </x:c>
      <x:c r="H1163" s="208" t="n">
        <x:f>E1163/E1162-1</x:f>
        <x:v>0.010414365037775042</x:v>
      </x:c>
      <x:c r="I1163" s="208" t="n">
        <x:f>G1163/G1162-1</x:f>
        <x:v>0.007894249484761584</x:v>
      </x:c>
      <x:c r="J1163" s="208" t="n">
        <x:f>'Beta HC3'!$E$13+'Beta HC3'!$E$12*I1163</x:f>
        <x:v>0.008912358601751613</x:v>
      </x:c>
      <x:c r="K1163" s="240" t="n">
        <x:f>H1163-J1163</x:f>
        <x:v>0.0015020064360234293</x:v>
      </x:c>
      <x:c r="L1163" s="240" t="n">
        <x:f>I1163-'Beta HC3'!$E$9</x:f>
        <x:v>0.007330301867101144</x:v>
      </x:c>
      <x:c r="M1163" s="240" t="n">
        <x:f>1/'Beta HC3'!$E$8+L1163^2/'Beta HC3'!$E$11</x:f>
        <x:v>0.0011642651424427543</x:v>
      </x:c>
      <x:c r="N1163" s="240" t="n">
        <x:f>K1163^2/(1-M1163)^2</x:f>
        <x:v>0.0000022612857409835173</x:v>
      </x:c>
      <x:c r="O1163" s="240" t="n">
        <x:f>N1163*L1163^2/'Beta HC3'!$E$11^2</x:f>
        <x:v>5.6821655946807355e-9</x:v>
      </x:c>
      <x:c r="P1163" s="240" t="n">
        <x:f>N1163*(1/'Beta HC3'!$E$8-'Beta HC3'!$E$9*L1163/'Beta HC3'!$E$11)^2</x:f>
        <x:v>1.335648185613281e-12</x:v>
      </x:c>
      <x:c r="Q1163" s="240" t="n">
        <x:f>N1163*(1/'Beta HC3'!$E$8-'Beta HC3'!$E$9*L1163/'Beta HC3'!$E$11)*L1163/'Beta HC3'!$E$11</x:f>
        <x:v>8.711701422161766e-11</x:v>
      </x:c>
      <x:c r="R1163" s="240" t="n">
        <x:f>K1163*L1163/'Beta HC3'!$E$11</x:f>
        <x:v>0.00007529237811532419</x:v>
      </x:c>
      <x:c r="S1163" s="240" t="n">
        <x:f>(K1163-K1162)^2</x:f>
        <x:v>0.00019878432528301604</x:v>
      </x:c>
      <x:c r="T1163" s="280" t="n">
        <x:f>E1163/$E$9*100</x:f>
        <x:v>144.10341973033508</x:v>
      </x:c>
    </x:row>
    <x:row r="1164" ht="24" customHeight="1">
      <x:c r="C1164" s="274" t="d">
        <x:v>2026-05-15T00:00:00.000Z</x:v>
      </x:c>
      <x:c r="D1164" s="191" t="n">
        <x:v>421.9200134277344</x:v>
      </x:c>
      <x:c r="E1164" s="191" t="n">
        <x:v>420.2170715332031</x:v>
      </x:c>
      <x:c r="F1164" s="191" t="n">
        <x:v>739.1699829101562</x:v>
      </x:c>
      <x:c r="G1164" s="191" t="n">
        <x:v>735.4443969726562</x:v>
      </x:c>
      <x:c r="H1164" s="208" t="n">
        <x:f>E1164/E1163-1</x:f>
        <x:v>0.03050579128821007</x:v>
      </x:c>
      <x:c r="I1164" s="208" t="n">
        <x:f>G1164/G1163-1</x:f>
        <x:v>-0.012029288059682064</x:v>
      </x:c>
      <x:c r="J1164" s="208" t="n">
        <x:f>'Beta HC3'!$E$13+'Beta HC3'!$E$12*I1164</x:f>
        <x:v>-0.013557640825862772</x:v>
      </x:c>
      <x:c r="K1164" s="240" t="n">
        <x:f>H1164-J1164</x:f>
        <x:v>0.04406343211407284</x:v>
      </x:c>
      <x:c r="L1164" s="240" t="n">
        <x:f>I1164-'Beta HC3'!$E$9</x:f>
        <x:v>-0.012593235677342503</x:v>
      </x:c>
      <x:c r="M1164" s="240" t="n">
        <x:f>1/'Beta HC3'!$E$8+L1164^2/'Beta HC3'!$E$11</x:f>
        <x:v>0.0018813189100595812</x:v>
      </x:c>
      <x:c r="N1164" s="240" t="n">
        <x:f>K1164^2/(1-M1164)^2</x:f>
        <x:v>0.0019489122025293016</x:v>
      </x:c>
      <x:c r="O1164" s="240" t="n">
        <x:f>N1164*L1164^2/'Beta HC3'!$E$11^2</x:f>
        <x:v>0.000014453787313139307</x:v>
      </x:c>
      <x:c r="P1164" s="240" t="n">
        <x:f>N1164*(1/'Beta HC3'!$E$8-'Beta HC3'!$E$9*L1164/'Beta HC3'!$E$11)^2</x:f>
        <x:v>1.3928201999774591e-9</x:v>
      </x:c>
      <x:c r="Q1164" s="240" t="n">
        <x:f>N1164*(1/'Beta HC3'!$E$8-'Beta HC3'!$E$9*L1164/'Beta HC3'!$E$11)*L1164/'Beta HC3'!$E$11</x:f>
        <x:v>-1.4188561215260114e-7</x:v>
      </x:c>
      <x:c r="R1164" s="240" t="n">
        <x:f>K1164*L1164/'Beta HC3'!$E$11</x:f>
        <x:v>-0.0037946612633435093</x:v>
      </x:c>
      <x:c r="S1164" s="240" t="n">
        <x:f>(K1164-K1163)^2</x:f>
        <x:v>0.0018114749557481234</x:v>
      </x:c>
      <x:c r="T1164" s="280" t="n">
        <x:f>E1164/$E$9*100</x:f>
        <x:v>148.499408576546</x:v>
      </x:c>
    </x:row>
    <x:row r="1165" ht="24" customHeight="1">
      <x:c r="C1165" s="274" t="d">
        <x:v>2026-05-18T00:00:00.000Z</x:v>
      </x:c>
      <x:c r="D1165" s="191" t="n">
        <x:v>423.5400085449219</x:v>
      </x:c>
      <x:c r="E1165" s="191" t="n">
        <x:v>421.83056640625</x:v>
      </x:c>
      <x:c r="F1165" s="191" t="n">
        <x:v>738.6500244140625</x:v>
      </x:c>
      <x:c r="G1165" s="191" t="n">
        <x:v>734.927001953125</x:v>
      </x:c>
      <x:c r="H1165" s="208" t="n">
        <x:f>E1165/E1164-1</x:f>
        <x:v>0.003839669976186011</x:v>
      </x:c>
      <x:c r="I1165" s="208" t="n">
        <x:f>G1165/G1164-1</x:f>
        <x:v>-0.0007035134425675826</x:v>
      </x:c>
      <x:c r="J1165" s="208" t="n">
        <x:f>'Beta HC3'!$E$13+'Beta HC3'!$E$12*I1165</x:f>
        <x:v>-0.000784299314790351</x:v>
      </x:c>
      <x:c r="K1165" s="240" t="n">
        <x:f>H1165-J1165</x:f>
        <x:v>0.004623969290976362</x:v>
      </x:c>
      <x:c r="L1165" s="240" t="n">
        <x:f>I1165-'Beta HC3'!$E$9</x:f>
        <x:v>-0.001267461060228022</x:v>
      </x:c>
      <x:c r="M1165" s="240" t="n">
        <x:f>1/'Beta HC3'!$E$8+L1165^2/'Beta HC3'!$E$11</x:f>
        <x:v>0.0008077984206081564</x:v>
      </x:c>
      <x:c r="N1165" s="240" t="n">
        <x:f>K1165^2/(1-M1165)^2</x:f>
        <x:v>0.000021415677129666344</x:v>
      </x:c>
      <x:c r="O1165" s="240" t="n">
        <x:f>N1165*L1165^2/'Beta HC3'!$E$11^2</x:f>
        <x:v>1.6088508508682211e-9</x:v>
      </x:c>
      <x:c r="P1165" s="240" t="n">
        <x:f>N1165*(1/'Beta HC3'!$E$8-'Beta HC3'!$E$9*L1165/'Beta HC3'!$E$11)^2</x:f>
        <x:v>1.3764371443751337e-11</x:v>
      </x:c>
      <x:c r="Q1165" s="240" t="n">
        <x:f>N1165*(1/'Beta HC3'!$E$8-'Beta HC3'!$E$9*L1165/'Beta HC3'!$E$11)*L1165/'Beta HC3'!$E$11</x:f>
        <x:v>-1.48811359475497e-10</x:v>
      </x:c>
      <x:c r="R1165" s="240" t="n">
        <x:f>K1165*L1165/'Beta HC3'!$E$11</x:f>
        <x:v>-0.00004007808186967474</x:v>
      </x:c>
      <x:c r="S1165" s="240" t="n">
        <x:f>(K1165-K1164)^2</x:f>
        <x:v>0.0015554712277744095</x:v>
      </x:c>
      <x:c r="T1165" s="280" t="n">
        <x:f>E1165/$E$9*100</x:f>
        <x:v>149.06959729713873</x:v>
      </x:c>
    </x:row>
    <x:row r="1166" ht="24" customHeight="1">
      <x:c r="C1166" s="274" t="d">
        <x:v>2026-05-19T00:00:00.000Z</x:v>
      </x:c>
      <x:c r="D1166" s="191" t="n">
        <x:v>417.4200134277344</x:v>
      </x:c>
      <x:c r="E1166" s="191" t="n">
        <x:v>415.7352600097656</x:v>
      </x:c>
      <x:c r="F1166" s="191" t="n">
        <x:v>733.72998046875</x:v>
      </x:c>
      <x:c r="G1166" s="191" t="n">
        <x:v>730.0317993164062</x:v>
      </x:c>
      <x:c r="H1166" s="208" t="n">
        <x:f>E1166/E1165-1</x:f>
        <x:v>-0.014449655577149945</x:v>
      </x:c>
      <x:c r="I1166" s="208" t="n">
        <x:f>G1166/G1165-1</x:f>
        <x:v>-0.006660801173054454</x:v>
      </x:c>
      <x:c r="J1166" s="208" t="n">
        <x:f>'Beta HC3'!$E$13+'Beta HC3'!$E$12*I1166</x:f>
        <x:v>-0.007502998320705876</x:v>
      </x:c>
      <x:c r="K1166" s="240" t="n">
        <x:f>H1166-J1166</x:f>
        <x:v>-0.006946657256444068</x:v>
      </x:c>
      <x:c r="L1166" s="240" t="n">
        <x:f>I1166-'Beta HC3'!$E$9</x:f>
        <x:v>-0.007224748790714893</x:v>
      </x:c>
      <x:c r="M1166" s="240" t="n">
        <x:f>1/'Beta HC3'!$E$8+L1166^2/'Beta HC3'!$E$11</x:f>
        <x:v>0.0011537590316049058</x:v>
      </x:c>
      <x:c r="N1166" s="240" t="n">
        <x:f>K1166^2/(1-M1166)^2</x:f>
        <x:v>0.00004836759174513415</x:v>
      </x:c>
      <x:c r="O1166" s="240" t="n">
        <x:f>N1166*L1166^2/'Beta HC3'!$E$11^2</x:f>
        <x:v>1.1806323770163547e-7</x:v>
      </x:c>
      <x:c r="P1166" s="240" t="n">
        <x:f>N1166*(1/'Beta HC3'!$E$8-'Beta HC3'!$E$9*L1166/'Beta HC3'!$E$11)^2</x:f>
        <x:v>3.2894273827999664e-11</x:v>
      </x:c>
      <x:c r="Q1166" s="240" t="n">
        <x:f>N1166*(1/'Beta HC3'!$E$8-'Beta HC3'!$E$9*L1166/'Beta HC3'!$E$11)*L1166/'Beta HC3'!$E$11</x:f>
        <x:v>-1.970686294156889e-9</x:v>
      </x:c>
      <x:c r="R1166" s="240" t="n">
        <x:f>K1166*L1166/'Beta HC3'!$E$11</x:f>
        <x:v>0.00034320687902355043</x:v>
      </x:c>
      <x:c r="S1166" s="240" t="n">
        <x:f>(K1166-K1165)^2</x:f>
        <x:v>0.00013387939869987042</x:v>
      </x:c>
      <x:c r="T1166" s="280" t="n">
        <x:f>E1166/$E$9*100</x:f>
        <x:v>146.91559295917065</x:v>
      </x:c>
    </x:row>
    <x:row r="1167" ht="24" customHeight="1">
      <x:c r="C1167" s="274" t="d">
        <x:v>2026-05-20T00:00:00.000Z</x:v>
      </x:c>
      <x:c r="D1167" s="191" t="n">
        <x:v>421.05999755859375</x:v>
      </x:c>
      <x:c r="E1167" s="191" t="n">
        <x:v>419.36053466796875</x:v>
      </x:c>
      <x:c r="F1167" s="191" t="n">
        <x:v>741.25</x:v>
      </x:c>
      <x:c r="G1167" s="191" t="n">
        <x:v>737.5138549804688</x:v>
      </x:c>
      <x:c r="H1167" s="208" t="n">
        <x:f>E1167/E1166-1</x:f>
        <x:v>0.008720151997975822</x:v>
      </x:c>
      <x:c r="I1167" s="208" t="n">
        <x:f>G1167/G1166-1</x:f>
        <x:v>0.0102489448693448</x:v>
      </x:c>
      <x:c r="J1167" s="208" t="n">
        <x:f>'Beta HC3'!$E$13+'Beta HC3'!$E$12*I1167</x:f>
        <x:v>0.01156801168674037</x:v>
      </x:c>
      <x:c r="K1167" s="240" t="n">
        <x:f>H1167-J1167</x:f>
        <x:v>-0.0028478596887645483</x:v>
      </x:c>
      <x:c r="L1167" s="240" t="n">
        <x:f>I1167-'Beta HC3'!$E$9</x:f>
        <x:v>0.009684997251684362</x:v>
      </x:c>
      <x:c r="M1167" s="240" t="n">
        <x:f>1/'Beta HC3'!$E$8+L1167^2/'Beta HC3'!$E$11</x:f>
        <x:v>0.0014382532306938295</x:v>
      </x:c>
      <x:c r="N1167" s="240" t="n">
        <x:f>K1167^2/(1-M1167)^2</x:f>
        <x:v>0.000008133684578018601</x:v>
      </x:c>
      <x:c r="O1167" s="240" t="n">
        <x:f>N1167*L1167^2/'Beta HC3'!$E$11^2</x:f>
        <x:v>3.567804533682871e-8</x:v>
      </x:c>
      <x:c r="P1167" s="240" t="n">
        <x:f>N1167*(1/'Beta HC3'!$E$8-'Beta HC3'!$E$9*L1167/'Beta HC3'!$E$11)^2</x:f>
        <x:v>4.691371080699667e-12</x:v>
      </x:c>
      <x:c r="Q1167" s="240" t="n">
        <x:f>N1167*(1/'Beta HC3'!$E$8-'Beta HC3'!$E$9*L1167/'Beta HC3'!$E$11)*L1167/'Beta HC3'!$E$11</x:f>
        <x:v>4.09119725886066e-10</x:v>
      </x:c>
      <x:c r="R1167" s="240" t="n">
        <x:f>K1167*L1167/'Beta HC3'!$E$11</x:f>
        <x:v>-0.00018861466276911222</x:v>
      </x:c>
      <x:c r="S1167" s="240" t="n">
        <x:f>(K1167-K1166)^2</x:f>
        <x:v>0.00001680014150081555</x:v>
      </x:c>
      <x:c r="T1167" s="280" t="n">
        <x:f>E1167/$E$9*100</x:f>
        <x:v>148.19671926064734</x:v>
      </x:c>
    </x:row>
    <x:row r="1168" ht="24" customHeight="1">
      <x:c r="C1168" s="274" t="d">
        <x:v>2026-05-21T00:00:00.000Z</x:v>
      </x:c>
      <x:c r="D1168" s="191" t="n">
        <x:v>419.0899963378906</x:v>
      </x:c>
      <x:c r="E1168" s="191" t="n">
        <x:v>418.3025207519531</x:v>
      </x:c>
      <x:c r="F1168" s="191" t="n">
        <x:v>742.719970703125</x:v>
      </x:c>
      <x:c r="G1168" s="191" t="n">
        <x:v>738.9764404296875</x:v>
      </x:c>
      <x:c r="H1168" s="208" t="n">
        <x:f>E1168/E1167-1</x:f>
        <x:v>-0.00252292199325177</x:v>
      </x:c>
      <x:c r="I1168" s="208" t="n">
        <x:f>G1168/G1167-1</x:f>
        <x:v>0.0019831294549137457</x:v>
      </x:c>
      <x:c r="J1168" s="208" t="n">
        <x:f>'Beta HC3'!$E$13+'Beta HC3'!$E$12*I1168</x:f>
        <x:v>0.0022457280703536892</x:v>
      </x:c>
      <x:c r="K1168" s="240" t="n">
        <x:f>H1168-J1168</x:f>
        <x:v>-0.004768650063605459</x:v>
      </x:c>
      <x:c r="L1168" s="240" t="n">
        <x:f>I1168-'Beta HC3'!$E$9</x:f>
        <x:v>0.0014191818372533064</x:v>
      </x:c>
      <x:c r="M1168" s="240" t="n">
        <x:f>1/'Beta HC3'!$E$8+L1168^2/'Beta HC3'!$E$11</x:f>
        <x:v>0.0008105859044877262</x:v>
      </x:c>
      <x:c r="N1168" s="240" t="n">
        <x:f>K1168^2/(1-M1168)^2</x:f>
        <x:v>0.000022776933786500767</x:v>
      </x:c>
      <x:c r="O1168" s="240" t="n">
        <x:f>N1168*L1168^2/'Beta HC3'!$E$11^2</x:f>
        <x:v>2.1452903090188903e-9</x:v>
      </x:c>
      <x:c r="P1168" s="240" t="n">
        <x:f>N1168*(1/'Beta HC3'!$E$8-'Beta HC3'!$E$9*L1168/'Beta HC3'!$E$11)^2</x:f>
        <x:v>1.4263335587330344e-11</x:v>
      </x:c>
      <x:c r="Q1168" s="240" t="n">
        <x:f>N1168*(1/'Beta HC3'!$E$8-'Beta HC3'!$E$9*L1168/'Beta HC3'!$E$11)*L1168/'Beta HC3'!$E$11</x:f>
        <x:v>1.7492568596345148e-10</x:v>
      </x:c>
      <x:c r="R1168" s="240" t="n">
        <x:f>K1168*L1168/'Beta HC3'!$E$11</x:f>
        <x:v>-0.000046279734597443234</x:v>
      </x:c>
      <x:c r="S1168" s="240" t="n">
        <x:f>(K1168-K1167)^2</x:f>
        <x:v>0.000003689435664081485</x:v>
      </x:c>
      <x:c r="T1168" s="280" t="n">
        <x:f>E1168/$E$9*100</x:f>
        <x:v>147.8228304982969</x:v>
      </x:c>
    </x:row>
    <x:row r="1169" ht="24" customHeight="1">
      <x:c r="C1169" s="274" t="d">
        <x:v>2026-05-22T00:00:00.000Z</x:v>
      </x:c>
      <x:c r="D1169" s="191" t="n">
        <x:v>418.57000732421875</x:v>
      </x:c>
      <x:c r="E1169" s="191" t="n">
        <x:v>417.7835388183594</x:v>
      </x:c>
      <x:c r="F1169" s="191" t="n">
        <x:v>745.6400146484375</x:v>
      </x:c>
      <x:c r="G1169" s="191" t="n">
        <x:v>741.8817749023438</x:v>
      </x:c>
      <x:c r="H1169" s="208" t="n">
        <x:f>E1169/E1168-1</x:f>
        <x:v>-0.0012406856469829863</x:v>
      </x:c>
      <x:c r="I1169" s="208" t="n">
        <x:f>G1169/G1168-1</x:f>
        <x:v>0.003931565762728351</x:v>
      </x:c>
      <x:c r="J1169" s="208" t="n">
        <x:f>'Beta HC3'!$E$13+'Beta HC3'!$E$12*I1169</x:f>
        <x:v>0.0044431974014739134</x:v>
      </x:c>
      <x:c r="K1169" s="240" t="n">
        <x:f>H1169-J1169</x:f>
        <x:v>-0.0056838830484569</x:v>
      </x:c>
      <x:c r="L1169" s="240" t="n">
        <x:f>I1169-'Beta HC3'!$E$9</x:f>
        <x:v>0.0033676181450679114</x:v>
      </x:c>
      <x:c r="M1169" s="240" t="n">
        <x:f>1/'Beta HC3'!$E$8+L1169^2/'Beta HC3'!$E$11</x:f>
        <x:v>0.0008743665420082576</x:v>
      </x:c>
      <x:c r="N1169" s="240" t="n">
        <x:f>K1169^2/(1-M1169)^2</x:f>
        <x:v>0.00003236309618340048</x:v>
      </x:c>
      <x:c r="O1169" s="240" t="n">
        <x:f>N1169*L1169^2/'Beta HC3'!$E$11^2</x:f>
        <x:v>1.7163682355143e-8</x:v>
      </x:c>
      <x:c r="P1169" s="240" t="n">
        <x:f>N1169*(1/'Beta HC3'!$E$8-'Beta HC3'!$E$9*L1169/'Beta HC3'!$E$11)^2</x:f>
        <x:v>1.988331443933063e-11</x:v>
      </x:c>
      <x:c r="Q1169" s="240" t="n">
        <x:f>N1169*(1/'Beta HC3'!$E$8-'Beta HC3'!$E$9*L1169/'Beta HC3'!$E$11)*L1169/'Beta HC3'!$E$11</x:f>
        <x:v>5.841839549355145e-10</x:v>
      </x:c>
      <x:c r="R1169" s="240" t="n">
        <x:f>K1169*L1169/'Beta HC3'!$E$11</x:f>
        <x:v>-0.00013089568662828191</x:v>
      </x:c>
      <x:c r="S1169" s="240" t="n">
        <x:f>(K1169-K1168)^2</x:f>
        <x:v>8.376514165600781e-7</x:v>
      </x:c>
      <x:c r="T1169" s="280" t="n">
        <x:f>E1169/$E$9*100</x:f>
        <x:v>147.63942883420128</x:v>
      </x:c>
    </x:row>
    <x:row r="1170" ht="24" customHeight="1">
      <x:c r="C1170" s="274" t="d">
        <x:v>2026-05-26T00:00:00.000Z</x:v>
      </x:c>
      <x:c r="D1170" s="191" t="n">
        <x:v>416.0299987792969</x:v>
      </x:c>
      <x:c r="E1170" s="191" t="n">
        <x:v>415.248291015625</x:v>
      </x:c>
      <x:c r="F1170" s="191" t="n">
        <x:v>750.5900268554688</x:v>
      </x:c>
      <x:c r="G1170" s="191" t="n">
        <x:v>746.8068237304688</x:v>
      </x:c>
      <x:c r="H1170" s="208" t="n">
        <x:f>E1170/E1169-1</x:f>
        <x:v>-0.0060683286131975045</x:v>
      </x:c>
      <x:c r="I1170" s="208" t="n">
        <x:f>G1170/G1169-1</x:f>
        <x:v>0.006638589859918387</x:v>
      </x:c>
      <x:c r="J1170" s="208" t="n">
        <x:f>'Beta HC3'!$E$13+'Beta HC3'!$E$12*I1170</x:f>
        <x:v>0.007496210942804683</x:v>
      </x:c>
      <x:c r="K1170" s="240" t="n">
        <x:f>H1170-J1170</x:f>
        <x:v>-0.013564539556002187</x:v>
      </x:c>
      <x:c r="L1170" s="240" t="n">
        <x:f>I1170-'Beta HC3'!$E$9</x:f>
        <x:v>0.006074642242257947</x:v>
      </x:c>
      <x:c r="M1170" s="240" t="n">
        <x:f>1/'Beta HC3'!$E$8+L1170^2/'Beta HC3'!$E$11</x:f>
        <x:v>0.001049160113358177</x:v>
      </x:c>
      <x:c r="N1170" s="240" t="n">
        <x:f>K1170^2/(1-M1170)^2</x:f>
        <x:v>0.00018438342588069612</x:v>
      </x:c>
      <x:c r="O1170" s="240" t="n">
        <x:f>N1170*L1170^2/'Beta HC3'!$E$11^2</x:f>
        <x:v>3.1818376357492123e-7</x:v>
      </x:c>
      <x:c r="P1170" s="240" t="n">
        <x:f>N1170*(1/'Beta HC3'!$E$8-'Beta HC3'!$E$9*L1170/'Beta HC3'!$E$11)^2</x:f>
        <x:v>1.102844294862958e-10</x:v>
      </x:c>
      <x:c r="Q1170" s="240" t="n">
        <x:f>N1170*(1/'Beta HC3'!$E$8-'Beta HC3'!$E$9*L1170/'Beta HC3'!$E$11)*L1170/'Beta HC3'!$E$11</x:f>
        <x:v>5.923741624823167e-9</x:v>
      </x:c>
      <x:c r="R1170" s="240" t="n">
        <x:f>K1170*L1170/'Beta HC3'!$E$11</x:f>
        <x:v>-0.0005634859912940362</x:v>
      </x:c>
      <x:c r="S1170" s="240" t="n">
        <x:f>(K1170-K1169)^2</x:f>
        <x:v>0.00006210474698991587</x:v>
      </x:c>
      <x:c r="T1170" s="280" t="n">
        <x:f>E1170/$E$9*100</x:f>
        <x:v>146.74350426377055</x:v>
      </x:c>
    </x:row>
    <x:row r="1171" ht="24" customHeight="1">
      <x:c r="C1171" s="274" t="d">
        <x:v>2026-05-27T00:00:00.000Z</x:v>
      </x:c>
      <x:c r="D1171" s="191" t="n">
        <x:v>412.6700134277344</x:v>
      </x:c>
      <x:c r="E1171" s="191" t="n">
        <x:v>411.8946228027344</x:v>
      </x:c>
      <x:c r="F1171" s="191" t="n">
        <x:v>750.4600219726562</x:v>
      </x:c>
      <x:c r="G1171" s="191" t="n">
        <x:v>746.677490234375</x:v>
      </x:c>
      <x:c r="H1171" s="208" t="n">
        <x:f>E1171/E1170-1</x:f>
        <x:v>-0.008076296243599512</x:v>
      </x:c>
      <x:c r="I1171" s="208" t="n">
        <x:f>G1171/G1170-1</x:f>
        <x:v>-0.0001731819956434233</x:v>
      </x:c>
      <x:c r="J1171" s="208" t="n">
        <x:f>'Beta HC3'!$E$13+'Beta HC3'!$E$12*I1171</x:f>
        <x:v>-0.0001861852859814912</x:v>
      </x:c>
      <x:c r="K1171" s="240" t="n">
        <x:f>H1171-J1171</x:f>
        <x:v>-0.007890110957618022</x:v>
      </x:c>
      <x:c r="L1171" s="240" t="n">
        <x:f>I1171-'Beta HC3'!$E$9</x:f>
        <x:v>-0.0007371296133038627</x:v>
      </x:c>
      <x:c r="M1171" s="240" t="n">
        <x:f>1/'Beta HC3'!$E$8+L1171^2/'Beta HC3'!$E$11</x:f>
        <x:v>0.0008005284869622895</x:v>
      </x:c>
      <x:c r="N1171" s="240" t="n">
        <x:f>K1171^2/(1-M1171)^2</x:f>
        <x:v>0.00006235364269894303</x:v>
      </x:c>
      <x:c r="O1171" s="240" t="n">
        <x:f>N1171*L1171^2/'Beta HC3'!$E$11^2</x:f>
        <x:v>1.584397945134241e-9</x:v>
      </x:c>
      <x:c r="P1171" s="240" t="n">
        <x:f>N1171*(1/'Beta HC3'!$E$8-'Beta HC3'!$E$9*L1171/'Beta HC3'!$E$11)^2</x:f>
        <x:v>3.987197016086798e-11</x:v>
      </x:c>
      <x:c r="Q1171" s="240" t="n">
        <x:f>N1171*(1/'Beta HC3'!$E$8-'Beta HC3'!$E$9*L1171/'Beta HC3'!$E$11)*L1171/'Beta HC3'!$E$11</x:f>
        <x:v>-2.513425304068792e-10</x:v>
      </x:c>
      <x:c r="R1171" s="240" t="n">
        <x:f>K1171*L1171/'Beta HC3'!$E$11</x:f>
        <x:v>0.00003977263191076967</x:v>
      </x:c>
      <x:c r="S1171" s="240" t="n">
        <x:f>(K1171-K1170)^2</x:f>
        <x:v>0.00003219913991816009</x:v>
      </x:c>
      <x:c r="T1171" s="280" t="n">
        <x:f>E1171/$E$9*100</x:f>
        <x:v>145.55836025151243</x:v>
      </x:c>
    </x:row>
    <x:row r="1172" ht="24" customHeight="1">
      <x:c r="C1172" s="274" t="d">
        <x:v>2026-05-28T00:00:00.000Z</x:v>
      </x:c>
      <x:c r="D1172" s="191" t="n">
        <x:v>426.989990234375</x:v>
      </x:c>
      <x:c r="E1172" s="191" t="n">
        <x:v>426.18768310546875</x:v>
      </x:c>
      <x:c r="F1172" s="191" t="n">
        <x:v>754.5999755859375</x:v>
      </x:c>
      <x:c r="G1172" s="191" t="n">
        <x:v>750.7965698242188</x:v>
      </x:c>
      <x:c r="H1172" s="208" t="n">
        <x:f>E1172/E1171-1</x:f>
        <x:v>0.0347007693508532</x:v>
      </x:c>
      <x:c r="I1172" s="208" t="n">
        <x:f>G1172/G1171-1</x:f>
        <x:v>0.005516544483684438</x:v>
      </x:c>
      <x:c r="J1172" s="208" t="n">
        <x:f>'Beta HC3'!$E$13+'Beta HC3'!$E$12*I1172</x:f>
        <x:v>0.00623075500128362</x:v>
      </x:c>
      <x:c r="K1172" s="240" t="n">
        <x:f>H1172-J1172</x:f>
        <x:v>0.02847001434956958</x:v>
      </x:c>
      <x:c r="L1172" s="240" t="n">
        <x:f>I1172-'Beta HC3'!$E$9</x:f>
        <x:v>0.004952596866023998</x:v>
      </x:c>
      <x:c r="M1172" s="240" t="n">
        <x:f>1/'Beta HC3'!$E$8+L1172^2/'Beta HC3'!$E$11</x:f>
        <x:v>0.0009645476043193931</x:v>
      </x:c>
      <x:c r="N1172" s="240" t="n">
        <x:f>K1172^2/(1-M1172)^2</x:f>
        <x:v>0.0008121075943879403</x:v>
      </x:c>
      <x:c r="O1172" s="240" t="n">
        <x:f>N1172*L1172^2/'Beta HC3'!$E$11^2</x:f>
        <x:v>9.315244353615534e-7</x:v>
      </x:c>
      <x:c r="P1172" s="240" t="n">
        <x:f>N1172*(1/'Beta HC3'!$E$8-'Beta HC3'!$E$9*L1172/'Beta HC3'!$E$11)^2</x:f>
        <x:v>4.91193055201093e-10</x:v>
      </x:c>
      <x:c r="Q1172" s="240" t="n">
        <x:f>N1172*(1/'Beta HC3'!$E$8-'Beta HC3'!$E$9*L1172/'Beta HC3'!$E$11)*L1172/'Beta HC3'!$E$11</x:f>
        <x:v>2.1390613207659903e-8</x:v>
      </x:c>
      <x:c r="R1172" s="240" t="n">
        <x:f>K1172*L1172/'Beta HC3'!$E$11</x:f>
        <x:v>0.0009642241973121523</x:v>
      </x:c>
      <x:c r="S1172" s="240" t="n">
        <x:f>(K1172-K1171)^2</x:f>
        <x:v>0.0013220587123543843</x:v>
      </x:c>
      <x:c r="T1172" s="280" t="n">
        <x:f>E1172/$E$9*100</x:f>
        <x:v>150.60934733768855</x:v>
      </x:c>
    </x:row>
    <x:row r="1173" ht="24" customHeight="1">
      <x:c r="C1173" s="274" t="d">
        <x:v>2026-05-29T00:00:00.000Z</x:v>
      </x:c>
      <x:c r="D1173" s="191" t="n">
        <x:v>450.239990234375</x:v>
      </x:c>
      <x:c r="E1173" s="191" t="n">
        <x:v>449.3940124511719</x:v>
      </x:c>
      <x:c r="F1173" s="191" t="n">
        <x:v>756.47998046875</x:v>
      </x:c>
      <x:c r="G1173" s="191" t="n">
        <x:v>752.6671142578125</x:v>
      </x:c>
      <x:c r="H1173" s="208" t="n">
        <x:f>E1173/E1172-1</x:f>
        <x:v>0.054450962018909976</x:v>
      </x:c>
      <x:c r="I1173" s="208" t="n">
        <x:f>G1173/G1172-1</x:f>
        <x:v>0.002491413132097442</x:v>
      </x:c>
      <x:c r="J1173" s="208" t="n">
        <x:f>'Beta HC3'!$E$13+'Beta HC3'!$E$12*I1173</x:f>
        <x:v>0.0028189763657382886</x:v>
      </x:c>
      <x:c r="K1173" s="240" t="n">
        <x:f>H1173-J1173</x:f>
        <x:v>0.05163198565317169</x:v>
      </x:c>
      <x:c r="L1173" s="240" t="n">
        <x:f>I1173-'Beta HC3'!$E$9</x:f>
        <x:v>0.0019274655144370027</x:v>
      </x:c>
      <x:c r="M1173" s="240" t="n">
        <x:f>1/'Beta HC3'!$E$8+L1173^2/'Beta HC3'!$E$11</x:f>
        <x:v>0.0008222184156025087</x:v>
      </x:c>
      <x:c r="N1173" s="240" t="n">
        <x:f>K1173^2/(1-M1173)^2</x:f>
        <x:v>0.0026702511967007926</x:v>
      </x:c>
      <x:c r="O1173" s="240" t="n">
        <x:f>N1173*L1173^2/'Beta HC3'!$E$11^2</x:f>
        <x:v>4.639167724363619e-7</x:v>
      </x:c>
      <x:c r="P1173" s="240" t="n">
        <x:f>N1173*(1/'Beta HC3'!$E$8-'Beta HC3'!$E$9*L1173/'Beta HC3'!$E$11)^2</x:f>
        <x:v>1.6638866192281393e-9</x:v>
      </x:c>
      <x:c r="Q1173" s="240" t="n">
        <x:f>N1173*(1/'Beta HC3'!$E$8-'Beta HC3'!$E$9*L1173/'Beta HC3'!$E$11)*L1173/'Beta HC3'!$E$11</x:f>
        <x:v>2.77831767458721e-8</x:v>
      </x:c>
      <x:c r="R1173" s="240" t="n">
        <x:f>K1173*L1173/'Beta HC3'!$E$11</x:f>
        <x:v>0.0006805543359915486</x:v>
      </x:c>
      <x:c r="S1173" s="240" t="n">
        <x:f>(K1173-K1172)^2</x:f>
        <x:v>0.0005364769146688875</x:v>
      </x:c>
      <x:c r="T1173" s="280" t="n">
        <x:f>E1173/$E$9*100</x:f>
        <x:v>158.81017118926587</x:v>
      </x:c>
    </x:row>
    <x:row r="1174" ht="24" customHeight="1">
      <x:c r="C1174" s="274" t="d">
        <x:v>2026-06-01T00:00:00.000Z</x:v>
      </x:c>
      <x:c r="D1174" s="191" t="n">
        <x:v>460.5199890136719</x:v>
      </x:c>
      <x:c r="E1174" s="191" t="n">
        <x:v>459.6546936035156</x:v>
      </x:c>
      <x:c r="F1174" s="191" t="n">
        <x:v>758.5399780273438</x:v>
      </x:c>
      <x:c r="G1174" s="191" t="n">
        <x:v>754.7167358398438</x:v>
      </x:c>
      <x:c r="H1174" s="208" t="n">
        <x:f>E1174/E1173-1</x:f>
        <x:v>0.022832260484241695</x:v>
      </x:c>
      <x:c r="I1174" s="208" t="n">
        <x:f>G1174/G1173-1</x:f>
        <x:v>0.002723144858072235</x:v>
      </x:c>
      <x:c r="J1174" s="208" t="n">
        <x:f>'Beta HC3'!$E$13+'Beta HC3'!$E$12*I1174</x:f>
        <x:v>0.003080326125458336</x:v>
      </x:c>
      <x:c r="K1174" s="240" t="n">
        <x:f>H1174-J1174</x:f>
        <x:v>0.01975193435878336</x:v>
      </x:c>
      <x:c r="L1174" s="240" t="n">
        <x:f>I1174-'Beta HC3'!$E$9</x:f>
        <x:v>0.002159197240411796</x:v>
      </x:c>
      <x:c r="M1174" s="240" t="n">
        <x:f>1/'Beta HC3'!$E$8+L1174^2/'Beta HC3'!$E$11</x:f>
        <x:v>0.0008286944874380108</x:v>
      </x:c>
      <x:c r="N1174" s="240" t="n">
        <x:f>K1174^2/(1-M1174)^2</x:f>
        <x:v>0.00039078632749793985</x:v>
      </x:c>
      <x:c r="O1174" s="240" t="n">
        <x:f>N1174*L1174^2/'Beta HC3'!$E$11^2</x:f>
        <x:v>8.519982768004644e-8</x:v>
      </x:c>
      <x:c r="P1174" s="240" t="n">
        <x:f>N1174*(1/'Beta HC3'!$E$8-'Beta HC3'!$E$9*L1174/'Beta HC3'!$E$11)^2</x:f>
        <x:v>2.429556817045698e-10</x:v>
      </x:c>
      <x:c r="Q1174" s="240" t="n">
        <x:f>N1174*(1/'Beta HC3'!$E$8-'Beta HC3'!$E$9*L1174/'Beta HC3'!$E$11)*L1174/'Beta HC3'!$E$11</x:f>
        <x:v>4.549701332518164e-9</x:v>
      </x:c>
      <x:c r="R1174" s="240" t="n">
        <x:f>K1174*L1174/'Beta HC3'!$E$11</x:f>
        <x:v>0.00029164820749432666</x:v>
      </x:c>
      <x:c r="S1174" s="240" t="n">
        <x:f>(K1174-K1173)^2</x:f>
        <x:v>0.0010163376705328308</x:v>
      </x:c>
      <x:c r="T1174" s="280" t="n">
        <x:f>E1174/$E$9*100</x:f>
        <x:v>162.4361663854062</x:v>
      </x:c>
    </x:row>
    <x:row r="1175" ht="24" customHeight="1">
      <x:c r="C1175" s="274" t="d">
        <x:v>2026-06-02T00:00:00.000Z</x:v>
      </x:c>
      <x:c r="D1175" s="191" t="n">
        <x:v>441.30999755859375</x:v>
      </x:c>
      <x:c r="E1175" s="191" t="n">
        <x:v>440.48077392578125</x:v>
      </x:c>
      <x:c r="F1175" s="191" t="n">
        <x:v>759.5700073242188</x:v>
      </x:c>
      <x:c r="G1175" s="191" t="n">
        <x:v>755.7415771484375</x:v>
      </x:c>
      <x:c r="H1175" s="208" t="n">
        <x:f>E1175/E1174-1</x:f>
        <x:v>-0.04171374717707821</x:v>
      </x:c>
      <x:c r="I1175" s="208" t="n">
        <x:f>G1175/G1174-1</x:f>
        <x:v>0.0013579151752256546</x:v>
      </x:c>
      <x:c r="J1175" s="208" t="n">
        <x:f>'Beta HC3'!$E$13+'Beta HC3'!$E$12*I1175</x:f>
        <x:v>0.001540604069388024</x:v>
      </x:c>
      <x:c r="K1175" s="240" t="n">
        <x:f>H1175-J1175</x:f>
        <x:v>-0.04325435124646623</x:v>
      </x:c>
      <x:c r="L1175" s="240" t="n">
        <x:f>I1175-'Beta HC3'!$E$9</x:f>
        <x:v>0.0007939675575652153</x:v>
      </x:c>
      <x:c r="M1175" s="240" t="n">
        <x:f>1/'Beta HC3'!$E$8+L1175^2/'Beta HC3'!$E$11</x:f>
        <x:v>0.0008011235986466154</x:v>
      </x:c>
      <x:c r="N1175" s="240" t="n">
        <x:f>K1175^2/(1-M1175)^2</x:f>
        <x:v>0.0018739402145162849</x:v>
      </x:c>
      <x:c r="O1175" s="240" t="n">
        <x:f>N1175*L1175^2/'Beta HC3'!$E$11^2</x:f>
        <x:v>5.524283628091877e-8</x:v>
      </x:c>
      <x:c r="P1175" s="240" t="n">
        <x:f>N1175*(1/'Beta HC3'!$E$8-'Beta HC3'!$E$9*L1175/'Beta HC3'!$E$11)^2</x:f>
        <x:v>1.1806578963041528e-9</x:v>
      </x:c>
      <x:c r="Q1175" s="240" t="n">
        <x:f>N1175*(1/'Beta HC3'!$E$8-'Beta HC3'!$E$9*L1175/'Beta HC3'!$E$11)*L1175/'Beta HC3'!$E$11</x:f>
        <x:v>8.076069023312287e-9</x:v>
      </x:c>
      <x:c r="R1175" s="240" t="n">
        <x:f>K1175*L1175/'Beta HC3'!$E$11</x:f>
        <x:v>-0.0002348496520246844</x:v>
      </x:c>
      <x:c r="S1175" s="240" t="n">
        <x:f>(K1175-K1174)^2</x:f>
        <x:v>0.003969792025770282</x:v>
      </x:c>
      <x:c r="T1175" s="280" t="n">
        <x:f>E1175/$E$9*100</x:f>
        <x:v>155.66034520839156</x:v>
      </x:c>
    </x:row>
    <x:row r="1176" ht="24" customHeight="1">
      <x:c r="C1176" s="274" t="d">
        <x:v>2026-06-03T00:00:00.000Z</x:v>
      </x:c>
      <x:c r="D1176" s="191" t="n">
        <x:v>427.3399963378906</x:v>
      </x:c>
      <x:c r="E1176" s="191" t="n">
        <x:v>426.53704833984375</x:v>
      </x:c>
      <x:c r="F1176" s="191" t="n">
        <x:v>754.239990234375</x:v>
      </x:c>
      <x:c r="G1176" s="191" t="n">
        <x:v>750.4384155273438</x:v>
      </x:c>
      <x:c r="H1176" s="208" t="n">
        <x:f>E1176/E1175-1</x:f>
        <x:v>-0.03165569625585285</x:v>
      </x:c>
      <x:c r="I1176" s="208" t="n">
        <x:f>G1176/G1175-1</x:f>
        <x:v>-0.00701716271996522</x:v>
      </x:c>
      <x:c r="J1176" s="208" t="n">
        <x:f>'Beta HC3'!$E$13+'Beta HC3'!$E$12*I1176</x:f>
        <x:v>-0.007904907054897603</x:v>
      </x:c>
      <x:c r="K1176" s="240" t="n">
        <x:f>H1176-J1176</x:f>
        <x:v>-0.023750789200955247</x:v>
      </x:c>
      <x:c r="L1176" s="240" t="n">
        <x:f>I1176-'Beta HC3'!$E$9</x:f>
        <x:v>-0.0075811103376256595</x:v>
      </x:c>
      <x:c r="M1176" s="240" t="n">
        <x:f>1/'Beta HC3'!$E$8+L1176^2/'Beta HC3'!$E$11</x:f>
        <x:v>0.0011898403011264581</x:v>
      </x:c>
      <x:c r="N1176" s="240" t="n">
        <x:f>K1176^2/(1-M1176)^2</x:f>
        <x:v>0.0005654447650959265</x:v>
      </x:c>
      <x:c r="O1176" s="240" t="n">
        <x:f>N1176*L1176^2/'Beta HC3'!$E$11^2</x:f>
        <x:v>0.0000015197443784268274</x:v>
      </x:c>
      <x:c r="P1176" s="240" t="n">
        <x:f>N1176*(1/'Beta HC3'!$E$8-'Beta HC3'!$E$9*L1176/'Beta HC3'!$E$11)^2</x:f>
        <x:v>3.8583562232465376e-10</x:v>
      </x:c>
      <x:c r="Q1176" s="240" t="n">
        <x:f>N1176*(1/'Beta HC3'!$E$8-'Beta HC3'!$E$9*L1176/'Beta HC3'!$E$11)*L1176/'Beta HC3'!$E$11</x:f>
        <x:v>-2.421510929202487e-8</x:v>
      </x:c>
      <x:c r="R1176" s="240" t="n">
        <x:f>K1176*L1176/'Beta HC3'!$E$11</x:f>
        <x:v>0.001231312317708844</x:v>
      </x:c>
      <x:c r="S1176" s="240" t="n">
        <x:f>(K1176-K1175)^2</x:f>
        <x:v>0.00038038893246309665</x:v>
      </x:c>
      <x:c r="T1176" s="280" t="n">
        <x:f>E1176/$E$9*100</x:f>
        <x:v>150.73280860139354</x:v>
      </x:c>
    </x:row>
    <x:row r="1177" ht="24" customHeight="1">
      <x:c r="C1177" s="274" t="d">
        <x:v>2026-06-04T00:00:00.000Z</x:v>
      </x:c>
      <x:c r="D1177" s="191" t="n">
        <x:v>428.04998779296875</x:v>
      </x:c>
      <x:c r="E1177" s="191" t="n">
        <x:v>427.2456970214844</x:v>
      </x:c>
      <x:c r="F1177" s="191" t="n">
        <x:v>757.0900268554688</x:v>
      </x:c>
      <x:c r="G1177" s="191" t="n">
        <x:v>753.2740478515625</x:v>
      </x:c>
      <x:c r="H1177" s="208" t="n">
        <x:f>E1177/E1176-1</x:f>
        <x:v>0.001661400069229213</x:v>
      </x:c>
      <x:c r="I1177" s="208" t="n">
        <x:f>G1177/G1176-1</x:f>
        <x:v>0.003778634283035931</x:v>
      </x:c>
      <x:c r="J1177" s="208" t="n">
        <x:f>'Beta HC3'!$E$13+'Beta HC3'!$E$12*I1177</x:f>
        <x:v>0.0042707194841619224</x:v>
      </x:c>
      <x:c r="K1177" s="240" t="n">
        <x:f>H1177-J1177</x:f>
        <x:v>-0.0026093194149327094</x:v>
      </x:c>
      <x:c r="L1177" s="240" t="n">
        <x:f>I1177-'Beta HC3'!$E$9</x:f>
        <x:v>0.0032146866653754917</x:v>
      </x:c>
      <x:c r="M1177" s="240" t="n">
        <x:f>1/'Beta HC3'!$E$8+L1177^2/'Beta HC3'!$E$11</x:f>
        <x:v>0.0008674826786445476</x:v>
      </x:c>
      <x:c r="N1177" s="240" t="n">
        <x:f>K1177^2/(1-M1177)^2</x:f>
        <x:v>0.000006820375792356747</x:v>
      </x:c>
      <x:c r="O1177" s="240" t="n">
        <x:f>N1177*L1177^2/'Beta HC3'!$E$11^2</x:f>
        <x:v>3.2960995854999065e-9</x:v>
      </x:c>
      <x:c r="P1177" s="240" t="n">
        <x:f>N1177*(1/'Beta HC3'!$E$8-'Beta HC3'!$E$9*L1177/'Beta HC3'!$E$11)^2</x:f>
        <x:v>4.19662669548434e-12</x:v>
      </x:c>
      <x:c r="Q1177" s="240" t="n">
        <x:f>N1177*(1/'Beta HC3'!$E$8-'Beta HC3'!$E$9*L1177/'Beta HC3'!$E$11)*L1177/'Beta HC3'!$E$11</x:f>
        <x:v>1.1761164700608427e-10</x:v>
      </x:c>
      <x:c r="R1177" s="240" t="n">
        <x:f>K1177*L1177/'Beta HC3'!$E$11</x:f>
        <x:v>-0.000057361864050135066</x:v>
      </x:c>
      <x:c r="S1177" s="240" t="n">
        <x:f>(K1177-K1176)^2</x:f>
        <x:v>0.0004469617447133039</x:v>
      </x:c>
      <x:c r="T1177" s="280" t="n">
        <x:f>E1177/$E$9*100</x:f>
        <x:v>150.983236100039</x:v>
      </x:c>
    </x:row>
    <x:row r="1178" ht="24" customHeight="1">
      <x:c r="C1178" s="274" t="d">
        <x:v>2026-06-05T00:00:00.000Z</x:v>
      </x:c>
      <x:c r="D1178" s="191" t="n">
        <x:v>416.6700134277344</x:v>
      </x:c>
      <x:c r="E1178" s="191" t="n">
        <x:v>415.8870849609375</x:v>
      </x:c>
      <x:c r="F1178" s="191" t="n">
        <x:v>737.5499877929688</x:v>
      </x:c>
      <x:c r="G1178" s="191" t="n">
        <x:v>733.83251953125</x:v>
      </x:c>
      <x:c r="H1178" s="208" t="n">
        <x:f>E1178/E1177-1</x:f>
        <x:v>-0.02658566754383418</x:v>
      </x:c>
      <x:c r="I1178" s="208" t="n">
        <x:f>G1178/G1177-1</x:f>
        <x:v>-0.025809369612244448</x:v>
      </x:c>
      <x:c r="J1178" s="208" t="n">
        <x:f>'Beta HC3'!$E$13+'Beta HC3'!$E$12*I1178</x:f>
        <x:v>-0.029098978497842085</x:v>
      </x:c>
      <x:c r="K1178" s="240" t="n">
        <x:f>H1178-J1178</x:f>
        <x:v>0.002513310954007905</x:v>
      </x:c>
      <x:c r="L1178" s="240" t="n">
        <x:f>I1178-'Beta HC3'!$E$9</x:f>
        <x:v>-0.026373317229904887</x:v>
      </x:c>
      <x:c r="M1178" s="240" t="n">
        <x:f>1/'Beta HC3'!$E$8+L1178^2/'Beta HC3'!$E$11</x:f>
        <x:v>0.005553305933529716</x:v>
      </x:c>
      <x:c r="N1178" s="240" t="n">
        <x:f>K1178^2/(1-M1178)^2</x:f>
        <x:v>0.000006387478208040803</x:v>
      </x:c>
      <x:c r="O1178" s="240" t="n">
        <x:f>N1178*L1178^2/'Beta HC3'!$E$11^2</x:f>
        <x:v>2.0776561395203598e-7</x:v>
      </x:c>
      <x:c r="P1178" s="240" t="n">
        <x:f>N1178*(1/'Beta HC3'!$E$8-'Beta HC3'!$E$9*L1178/'Beta HC3'!$E$11)^2</x:f>
        <x:v>5.156879211728293e-12</x:v>
      </x:c>
      <x:c r="Q1178" s="240" t="n">
        <x:f>N1178*(1/'Beta HC3'!$E$8-'Beta HC3'!$E$9*L1178/'Beta HC3'!$E$11)*L1178/'Beta HC3'!$E$11</x:f>
        <x:v>-1.035095249482491e-9</x:v>
      </x:c>
      <x:c r="R1178" s="240" t="n">
        <x:f>K1178*L1178/'Beta HC3'!$E$11</x:f>
        <x:v>-0.00045328186511847375</x:v>
      </x:c>
      <x:c r="S1178" s="240" t="n">
        <x:f>(K1178-K1177)^2</x:f>
        <x:v>0.000026241341896792658</x:v>
      </x:c>
      <x:c r="T1178" s="280" t="n">
        <x:f>E1178/$E$9*100</x:f>
        <x:v>146.96924598039115</x:v>
      </x:c>
    </x:row>
    <x:row r="1179" ht="24" customHeight="1">
      <x:c r="C1179" s="274" t="d">
        <x:v>2026-06-08T00:00:00.000Z</x:v>
      </x:c>
      <x:c r="D1179" s="191" t="n">
        <x:v>411.739990234375</x:v>
      </x:c>
      <x:c r="E1179" s="191" t="n">
        <x:v>410.9663391113281</x:v>
      </x:c>
      <x:c r="F1179" s="191" t="n">
        <x:v>739.219970703125</x:v>
      </x:c>
      <x:c r="G1179" s="191" t="n">
        <x:v>735.4940795898438</x:v>
      </x:c>
      <x:c r="H1179" s="208" t="n">
        <x:f>E1179/E1178-1</x:f>
        <x:v>-0.011831927529251218</x:v>
      </x:c>
      <x:c r="I1179" s="208" t="n">
        <x:f>G1179/G1178-1</x:f>
        <x:v>0.002264222440912178</x:v>
      </x:c>
      <x:c r="J1179" s="208" t="n">
        <x:f>'Beta HC3'!$E$13+'Beta HC3'!$E$12*I1179</x:f>
        <x:v>0.002562748038338876</x:v>
      </x:c>
      <x:c r="K1179" s="240" t="n">
        <x:f>H1179-J1179</x:f>
        <x:v>-0.014394675567590094</x:v>
      </x:c>
      <x:c r="L1179" s="240" t="n">
        <x:f>I1179-'Beta HC3'!$E$9</x:f>
        <x:v>0.0017002748232517388</x:v>
      </x:c>
      <x:c r="M1179" s="240" t="n">
        <x:f>1/'Beta HC3'!$E$8+L1179^2/'Beta HC3'!$E$11</x:f>
        <x:v>0.0008165822455465971</x:v>
      </x:c>
      <x:c r="N1179" s="240" t="n">
        <x:f>K1179^2/(1-M1179)^2</x:f>
        <x:v>0.0002075455022480296</x:v>
      </x:c>
      <x:c r="O1179" s="240" t="n">
        <x:f>N1179*L1179^2/'Beta HC3'!$E$11^2</x:f>
        <x:v>2.805861933372964e-8</x:v>
      </x:c>
      <x:c r="P1179" s="240" t="n">
        <x:f>N1179*(1/'Beta HC3'!$E$8-'Beta HC3'!$E$9*L1179/'Beta HC3'!$E$11)^2</x:f>
        <x:v>1.2961297736163583e-10</x:v>
      </x:c>
      <x:c r="Q1179" s="240" t="n">
        <x:f>N1179*(1/'Beta HC3'!$E$8-'Beta HC3'!$E$9*L1179/'Beta HC3'!$E$11)*L1179/'Beta HC3'!$E$11</x:f>
        <x:v>1.9070294157409997e-9</x:v>
      </x:c>
      <x:c r="R1179" s="240" t="n">
        <x:f>K1179*L1179/'Beta HC3'!$E$11</x:f>
        <x:v>-0.00016737028918728747</x:v>
      </x:c>
      <x:c r="S1179" s="240" t="n">
        <x:f>(K1179-K1178)^2</x:f>
        <x:v>0.00028588000821453964</x:v>
      </x:c>
      <x:c r="T1179" s="280" t="n">
        <x:f>E1179/$E$9*100</x:f>
        <x:v>145.23031651292243</x:v>
      </x:c>
    </x:row>
    <x:row r="1180" ht="24" customHeight="1">
      <x:c r="C1180" s="274" t="d">
        <x:v>2026-06-09T00:00:00.000Z</x:v>
      </x:c>
      <x:c r="D1180" s="191" t="n">
        <x:v>403.4100036621094</x:v>
      </x:c>
      <x:c r="E1180" s="191" t="n">
        <x:v>402.6520080566406</x:v>
      </x:c>
      <x:c r="F1180" s="191" t="n">
        <x:v>737.0499877929688</x:v>
      </x:c>
      <x:c r="G1180" s="191" t="n">
        <x:v>733.3350219726562</x:v>
      </x:c>
      <x:c r="H1180" s="208" t="n">
        <x:f>E1180/E1179-1</x:f>
        <x:v>-0.02023117288064602</x:v>
      </x:c>
      <x:c r="I1180" s="208" t="n">
        <x:f>G1180/G1179-1</x:f>
        <x:v>-0.002935520049857532</x:v>
      </x:c>
      <x:c r="J1180" s="208" t="n">
        <x:f>'Beta HC3'!$E$13+'Beta HC3'!$E$12*I1180</x:f>
        <x:v>-0.0033015825571040933</x:v>
      </x:c>
      <x:c r="K1180" s="240" t="n">
        <x:f>H1180-J1180</x:f>
        <x:v>-0.016929590323541927</x:v>
      </x:c>
      <x:c r="L1180" s="240" t="n">
        <x:f>I1180-'Beta HC3'!$E$9</x:f>
        <x:v>-0.003499467667517971</x:v>
      </x:c>
      <x:c r="M1180" s="240" t="n">
        <x:f>1/'Beta HC3'!$E$8+L1180^2/'Beta HC3'!$E$11</x:f>
        <x:v>0.0008805582204982718</x:v>
      </x:c>
      <x:c r="N1180" s="240" t="n">
        <x:f>K1180^2/(1-M1180)^2</x:f>
        <x:v>0.0002871164514008549</x:v>
      </x:c>
      <x:c r="O1180" s="240" t="n">
        <x:f>N1180*L1180^2/'Beta HC3'!$E$11^2</x:f>
        <x:v>1.6442837740719662e-7</x:v>
      </x:c>
      <x:c r="P1180" s="240" t="n">
        <x:f>N1180*(1/'Beta HC3'!$E$8-'Beta HC3'!$E$9*L1180/'Beta HC3'!$E$11)^2</x:f>
        <x:v>1.8852063855347547e-10</x:v>
      </x:c>
      <x:c r="Q1180" s="240" t="n">
        <x:f>N1180*(1/'Beta HC3'!$E$8-'Beta HC3'!$E$9*L1180/'Beta HC3'!$E$11)*L1180/'Beta HC3'!$E$11</x:f>
        <x:v>-5.567597570327489e-9</x:v>
      </x:c>
      <x:c r="R1180" s="240" t="n">
        <x:f>K1180*L1180/'Beta HC3'!$E$11</x:f>
        <x:v>0.0004051406266758627</x:v>
      </x:c>
      <x:c r="S1180" s="240" t="n">
        <x:f>(K1180-K1179)^2</x:f>
        <x:v>0.000006425792819942343</x:v>
      </x:c>
      <x:c r="T1180" s="280" t="n">
        <x:f>E1180/$E$9*100</x:f>
        <x:v>142.29213687203855</x:v>
      </x:c>
    </x:row>
    <x:row r="1181" ht="24" customHeight="1">
      <x:c r="C1181" s="274" t="d">
        <x:v>2026-06-10T00:00:00.000Z</x:v>
      </x:c>
      <x:c r="D1181" s="191" t="n">
        <x:v>397.3599853515625</x:v>
      </x:c>
      <x:c r="E1181" s="191" t="n">
        <x:v>396.61334228515625</x:v>
      </x:c>
      <x:c r="F1181" s="191" t="n">
        <x:v>725.4299926757812</x:v>
      </x:c>
      <x:c r="G1181" s="191" t="n">
        <x:v>721.7736206054688</x:v>
      </x:c>
      <x:c r="H1181" s="208" t="n">
        <x:f>E1181/E1180-1</x:f>
        <x:v>-0.014997232475331246</x:v>
      </x:c>
      <x:c r="I1181" s="208" t="n">
        <x:f>G1181/G1180-1</x:f>
        <x:v>-0.0157655110158077</x:v>
      </x:c>
      <x:c r="J1181" s="208" t="n">
        <x:f>'Beta HC3'!$E$13+'Beta HC3'!$E$12*I1181</x:f>
        <x:v>-0.01777139691703423</x:v>
      </x:c>
      <x:c r="K1181" s="240" t="n">
        <x:f>H1181-J1181</x:f>
        <x:v>0.002774164441702986</x:v>
      </x:c>
      <x:c r="L1181" s="240" t="n">
        <x:f>I1181-'Beta HC3'!$E$9</x:f>
        <x:v>-0.016329458633468137</x:v>
      </x:c>
      <x:c r="M1181" s="240" t="n">
        <x:f>1/'Beta HC3'!$E$8+L1181^2/'Beta HC3'!$E$11</x:f>
        <x:v>0.002620292458984475</x:v>
      </x:c>
      <x:c r="N1181" s="240" t="n">
        <x:f>K1181^2/(1-M1181)^2</x:f>
        <x:v>0.000007736478906140439</x:v>
      </x:c>
      <x:c r="O1181" s="240" t="n">
        <x:f>N1181*L1181^2/'Beta HC3'!$E$11^2</x:f>
        <x:v>9.647208002477385e-8</x:v>
      </x:c>
      <x:c r="P1181" s="240" t="n">
        <x:f>N1181*(1/'Beta HC3'!$E$8-'Beta HC3'!$E$9*L1181/'Beta HC3'!$E$11)^2</x:f>
        <x:v>5.71907527349225e-12</x:v>
      </x:c>
      <x:c r="Q1181" s="240" t="n">
        <x:f>N1181*(1/'Beta HC3'!$E$8-'Beta HC3'!$E$9*L1181/'Beta HC3'!$E$11)*L1181/'Beta HC3'!$E$11</x:f>
        <x:v>-7.427860307329761e-10</x:v>
      </x:c>
      <x:c r="R1181" s="240" t="n">
        <x:f>K1181*L1181/'Beta HC3'!$E$11</x:f>
        <x:v>-0.00030978568764225914</x:v>
      </x:c>
      <x:c r="S1181" s="240" t="n">
        <x:f>(K1181-K1180)^2</x:f>
        <x:v>0.00038823795184891164</x:v>
      </x:c>
      <x:c r="T1181" s="280" t="n">
        <x:f>E1181/$E$9*100</x:f>
        <x:v>140.15814861595697</x:v>
      </x:c>
    </x:row>
    <x:row r="1182" ht="24" customHeight="1">
      <x:c r="C1182" s="274" t="d">
        <x:v>2026-06-11T00:00:00.000Z</x:v>
      </x:c>
      <x:c r="D1182" s="191" t="n">
        <x:v>390.3399963378906</x:v>
      </x:c>
      <x:c r="E1182" s="191" t="n">
        <x:v>389.6065673828125</x:v>
      </x:c>
      <x:c r="F1182" s="191" t="n">
        <x:v>737.760009765625</x:v>
      </x:c>
      <x:c r="G1182" s="191" t="n">
        <x:v>734.04150390625</x:v>
      </x:c>
      <x:c r="H1182" s="208" t="n">
        <x:f>E1182/E1181-1</x:f>
        <x:v>-0.017666513340103496</x:v>
      </x:c>
      <x:c r="I1182" s="208" t="n">
        <x:f>G1182/G1181-1</x:f>
        <x:v>0.016996857394830034</x:v>
      </x:c>
      <x:c r="J1182" s="208" t="n">
        <x:f>'Beta HC3'!$E$13+'Beta HC3'!$E$12*I1182</x:f>
        <x:v>0.01917838661373375</x:v>
      </x:c>
      <x:c r="K1182" s="240" t="n">
        <x:f>H1182-J1182</x:f>
        <x:v>-0.036844899953837246</x:v>
      </x:c>
      <x:c r="L1182" s="240" t="n">
        <x:f>I1182-'Beta HC3'!$E$9</x:f>
        <x:v>0.016432909777169595</x:v>
      </x:c>
      <x:c r="M1182" s="240" t="n">
        <x:f>1/'Beta HC3'!$E$8+L1182^2/'Beta HC3'!$E$11</x:f>
        <x:v>0.0026434700314395846</x:v>
      </x:c>
      <x:c r="N1182" s="240" t="n">
        <x:f>K1182^2/(1-M1182)^2</x:f>
        <x:v>0.001364752480372676</x:v>
      </x:c>
      <x:c r="O1182" s="240" t="n">
        <x:f>N1182*L1182^2/'Beta HC3'!$E$11^2</x:f>
        <x:v>0.000017234455093015018</x:v>
      </x:c>
      <x:c r="P1182" s="240" t="n">
        <x:f>N1182*(1/'Beta HC3'!$E$8-'Beta HC3'!$E$9*L1182/'Beta HC3'!$E$11)^2</x:f>
        <x:v>7.341447273580372e-10</x:v>
      </x:c>
      <x:c r="Q1182" s="240" t="n">
        <x:f>N1182*(1/'Beta HC3'!$E$8-'Beta HC3'!$E$9*L1182/'Beta HC3'!$E$11)*L1182/'Beta HC3'!$E$11</x:f>
        <x:v>1.1248370697761453e-7</x:v>
      </x:c>
      <x:c r="R1182" s="240" t="n">
        <x:f>K1182*L1182/'Beta HC3'!$E$11</x:f>
        <x:v>-0.004140465915226601</x:v>
      </x:c>
      <x:c r="S1182" s="240" t="n">
        <x:f>(K1182-K1181)^2</x:f>
        <x:v>0.001569670263577964</x:v>
      </x:c>
      <x:c r="T1182" s="280" t="n">
        <x:f>E1182/$E$9*100</x:f>
        <x:v>137.68204281370896</x:v>
      </x:c>
    </x:row>
    <x:row r="1183" ht="24" customHeight="1">
      <x:c r="C1183" s="274" t="d">
        <x:v>2026-06-12T00:00:00.000Z</x:v>
      </x:c>
      <x:c r="D1183" s="191" t="n">
        <x:v>390.739990234375</x:v>
      </x:c>
      <x:c r="E1183" s="191" t="n">
        <x:v>390.00579833984375</x:v>
      </x:c>
      <x:c r="F1183" s="191" t="n">
        <x:v>741.75</x:v>
      </x:c>
      <x:c r="G1183" s="191" t="n">
        <x:v>738.0113525390625</x:v>
      </x:c>
      <x:c r="H1183" s="208" t="n">
        <x:f>E1183/E1182-1</x:f>
        <x:v>0.001024702842441938</x:v>
      </x:c>
      <x:c r="I1183" s="208" t="n">
        <x:f>G1183/G1182-1</x:f>
        <x:v>0.005408207317551872</x:v>
      </x:c>
      <x:c r="J1183" s="208" t="n">
        <x:f>'Beta HC3'!$E$13+'Beta HC3'!$E$12*I1183</x:f>
        <x:v>0.006108571074079035</x:v>
      </x:c>
      <x:c r="K1183" s="240" t="n">
        <x:f>H1183-J1183</x:f>
        <x:v>-0.005083868231637097</x:v>
      </x:c>
      <x:c r="L1183" s="240" t="n">
        <x:f>I1183-'Beta HC3'!$E$9</x:f>
        <x:v>0.004844259699891432</x:v>
      </x:c>
      <x:c r="M1183" s="240" t="n">
        <x:f>1/'Beta HC3'!$E$8+L1183^2/'Beta HC3'!$E$11</x:f>
        <x:v>0.0009572895271355388</x:v>
      </x:c>
      <x:c r="N1183" s="240" t="n">
        <x:f>K1183^2/(1-M1183)^2</x:f>
        <x:v>0.00002589527100961837</x:v>
      </x:c>
      <x:c r="O1183" s="240" t="n">
        <x:f>N1183*L1183^2/'Beta HC3'!$E$11^2</x:f>
        <x:v>2.8417771536295403e-8</x:v>
      </x:c>
      <x:c r="P1183" s="240" t="n">
        <x:f>N1183*(1/'Beta HC3'!$E$8-'Beta HC3'!$E$9*L1183/'Beta HC3'!$E$11)^2</x:f>
        <x:v>1.56792616277046e-11</x:v>
      </x:c>
      <x:c r="Q1183" s="240" t="n">
        <x:f>N1183*(1/'Beta HC3'!$E$8-'Beta HC3'!$E$9*L1183/'Beta HC3'!$E$11)*L1183/'Beta HC3'!$E$11</x:f>
        <x:v>6.675100559496558e-10</x:v>
      </x:c>
      <x:c r="R1183" s="240" t="n">
        <x:f>K1183*L1183/'Beta HC3'!$E$11</x:f>
        <x:v>-0.00016841433878467957</x:v>
      </x:c>
      <x:c r="S1183" s="240" t="n">
        <x:f>(K1183-K1182)^2</x:f>
        <x:v>0.0010087631360586042</x:v>
      </x:c>
      <x:c r="T1183" s="280" t="n">
        <x:f>E1183/$E$9*100</x:f>
        <x:v>137.82312599433337</x:v>
      </x:c>
    </x:row>
    <x:row r="1184" ht="24" customHeight="1">
      <x:c r="C1184" s="274" t="d">
        <x:v>2026-06-15T00:00:00.000Z</x:v>
      </x:c>
      <x:c r="D1184" s="191" t="n">
        <x:v>399.760009765625</x:v>
      </x:c>
      <x:c r="E1184" s="191" t="n">
        <x:v>399.0088806152344</x:v>
      </x:c>
      <x:c r="F1184" s="191" t="n">
        <x:v>754.8300170898438</x:v>
      </x:c>
      <x:c r="G1184" s="191" t="n">
        <x:v>751.0254516601562</x:v>
      </x:c>
      <x:c r="H1184" s="208" t="n">
        <x:f>E1184/E1183-1</x:f>
        <x:v>0.02308448313772371</x:v>
      </x:c>
      <x:c r="I1184" s="208" t="n">
        <x:f>G1184/G1183-1</x:f>
        <x:v>0.017634009390668393</x:v>
      </x:c>
      <x:c r="J1184" s="208" t="n">
        <x:f>'Beta HC3'!$E$13+'Beta HC3'!$E$12*I1184</x:f>
        <x:v>0.019896974111052165</x:v>
      </x:c>
      <x:c r="K1184" s="240" t="n">
        <x:f>H1184-J1184</x:f>
        <x:v>0.003187509026671545</x:v>
      </x:c>
      <x:c r="L1184" s="240" t="n">
        <x:f>I1184-'Beta HC3'!$E$9</x:f>
        <x:v>0.017070061773007954</x:v>
      </x:c>
      <x:c r="M1184" s="240" t="n">
        <x:f>1/'Beta HC3'!$E$8+L1184^2/'Beta HC3'!$E$11</x:f>
        <x:v>0.0027894467973833036</x:v>
      </x:c>
      <x:c r="N1184" s="240" t="n">
        <x:f>K1184^2/(1-M1184)^2</x:f>
        <x:v>0.000010217134602240277</x:v>
      </x:c>
      <x:c r="O1184" s="240" t="n">
        <x:f>N1184*L1184^2/'Beta HC3'!$E$11^2</x:f>
        <x:v>1.3922397307333792e-7</x:v>
      </x:c>
      <x:c r="P1184" s="240" t="n">
        <x:f>N1184*(1/'Beta HC3'!$E$8-'Beta HC3'!$E$9*L1184/'Beta HC3'!$E$11)^2</x:f>
        <x:v>5.459363903756738e-12</x:v>
      </x:c>
      <x:c r="Q1184" s="240" t="n">
        <x:f>N1184*(1/'Beta HC3'!$E$8-'Beta HC3'!$E$9*L1184/'Beta HC3'!$E$11)*L1184/'Beta HC3'!$E$11</x:f>
        <x:v>8.718224206420601e-10</x:v>
      </x:c>
      <x:c r="R1184" s="240" t="n">
        <x:f>K1184*L1184/'Beta HC3'!$E$11</x:f>
        <x:v>0.0003720864693123443</x:v>
      </x:c>
      <x:c r="S1184" s="240" t="n">
        <x:f>(K1184-K1183)^2</x:f>
        <x:v>0.00006841568174926539</x:v>
      </x:c>
      <x:c r="T1184" s="280" t="n">
        <x:f>E1184/$E$9*100</x:f>
        <x:v>141.00470162233796</x:v>
      </x:c>
    </x:row>
    <x:row r="1185" ht="24" customHeight="1">
      <x:c r="C1185" s="274" t="d">
        <x:v>2026-06-16T00:00:00.000Z</x:v>
      </x:c>
      <x:c r="D1185" s="191" t="n">
        <x:v>393.8299865722656</x:v>
      </x:c>
      <x:c r="E1185" s="191" t="n">
        <x:v>393.0899963378906</x:v>
      </x:c>
      <x:c r="F1185" s="191" t="n">
        <x:v>750.3300170898438</x:v>
      </x:c>
      <x:c r="G1185" s="191" t="n">
        <x:v>746.5481567382812</x:v>
      </x:c>
      <x:c r="H1185" s="208" t="n">
        <x:f>E1185/E1184-1</x:f>
        <x:v>-0.014833966272172594</x:v>
      </x:c>
      <x:c r="I1185" s="208" t="n">
        <x:f>G1185/G1184-1</x:f>
        <x:v>-0.005961575485861181</x:v>
      </x:c>
      <x:c r="J1185" s="208" t="n">
        <x:f>'Beta HC3'!$E$13+'Beta HC3'!$E$12*I1185</x:f>
        <x:v>-0.006714403385897835</x:v>
      </x:c>
      <x:c r="K1185" s="240" t="n">
        <x:f>H1185-J1185</x:f>
        <x:v>-0.008119562886274759</x:v>
      </x:c>
      <x:c r="L1185" s="240" t="n">
        <x:f>I1185-'Beta HC3'!$E$9</x:f>
        <x:v>-0.006525523103521621</x:v>
      </x:c>
      <x:c r="M1185" s="240" t="n">
        <x:f>1/'Beta HC3'!$E$8+L1185^2/'Beta HC3'!$E$11</x:f>
        <x:v>0.0010880105054854915</x:v>
      </x:c>
      <x:c r="N1185" s="240" t="n">
        <x:f>K1185^2/(1-M1185)^2</x:f>
        <x:v>0.00006607099512512408</x:v>
      </x:c>
      <x:c r="O1185" s="240" t="n">
        <x:f>N1185*L1185^2/'Beta HC3'!$E$11^2</x:f>
        <x:v>1.3156980591035204e-7</x:v>
      </x:c>
      <x:c r="P1185" s="240" t="n">
        <x:f>N1185*(1/'Beta HC3'!$E$8-'Beta HC3'!$E$9*L1185/'Beta HC3'!$E$11)^2</x:f>
        <x:v>4.4640788800736634e-11</x:v>
      </x:c>
      <x:c r="Q1185" s="240" t="n">
        <x:f>N1185*(1/'Beta HC3'!$E$8-'Beta HC3'!$E$9*L1185/'Beta HC3'!$E$11)*L1185/'Beta HC3'!$E$11</x:f>
        <x:v>-2.4235057083072726e-9</x:v>
      </x:c>
      <x:c r="R1185" s="240" t="n">
        <x:f>K1185*L1185/'Beta HC3'!$E$11</x:f>
        <x:v>0.0003623308750248283</x:v>
      </x:c>
      <x:c r="S1185" s="240" t="n">
        <x:f>(K1185-K1184)^2</x:f>
        <x:v>0.00012784987524453917</x:v>
      </x:c>
      <x:c r="T1185" s="280" t="n">
        <x:f>E1185/$E$9*100</x:f>
        <x:v>138.91304263425442</x:v>
      </x:c>
    </x:row>
    <x:row r="1186" ht="24" customHeight="1">
      <x:c r="C1186" s="274" t="d">
        <x:v>2026-06-17T00:00:00.000Z</x:v>
      </x:c>
      <x:c r="D1186" s="191" t="n">
        <x:v>378.9100036621094</x:v>
      </x:c>
      <x:c r="E1186" s="191" t="n">
        <x:v>378.1980285644531</x:v>
      </x:c>
      <x:c r="F1186" s="191" t="n">
        <x:v>740.9600219726562</x:v>
      </x:c>
      <x:c r="G1186" s="191" t="n">
        <x:v>737.225341796875</x:v>
      </x:c>
      <x:c r="H1186" s="208" t="n">
        <x:f>E1186/E1185-1</x:f>
        <x:v>-0.03788437231212749</x:v>
      </x:c>
      <x:c r="I1186" s="208" t="n">
        <x:f>G1186/G1185-1</x:f>
        <x:v>-0.01248789492983049</x:v>
      </x:c>
      <x:c r="J1186" s="208" t="n">
        <x:f>'Beta HC3'!$E$13+'Beta HC3'!$E$12*I1186</x:f>
        <x:v>-0.01407486303535985</x:v>
      </x:c>
      <x:c r="K1186" s="240" t="n">
        <x:f>H1186-J1186</x:f>
        <x:v>-0.02380950927676764</x:v>
      </x:c>
      <x:c r="L1186" s="240" t="n">
        <x:f>I1186-'Beta HC3'!$E$9</x:f>
        <x:v>-0.013051842547490929</x:v>
      </x:c>
      <x:c r="M1186" s="240" t="n">
        <x:f>1/'Beta HC3'!$E$8+L1186^2/'Beta HC3'!$E$11</x:f>
        <x:v>0.001961745924224603</x:v>
      </x:c>
      <x:c r="N1186" s="240" t="n">
        <x:f>K1186^2/(1-M1186)^2</x:f>
        <x:v>0.000569123493144959</x:v>
      </x:c>
      <x:c r="O1186" s="240" t="n">
        <x:f>N1186*L1186^2/'Beta HC3'!$E$11^2</x:f>
        <x:v>0.000004533826412914897</x:v>
      </x:c>
      <x:c r="P1186" s="240" t="n">
        <x:f>N1186*(1/'Beta HC3'!$E$8-'Beta HC3'!$E$9*L1186/'Beta HC3'!$E$11)^2</x:f>
        <x:v>4.084365357850845e-10</x:v>
      </x:c>
      <x:c r="Q1186" s="240" t="n">
        <x:f>N1186*(1/'Beta HC3'!$E$8-'Beta HC3'!$E$9*L1186/'Beta HC3'!$E$11)*L1186/'Beta HC3'!$E$11</x:f>
        <x:v>-4.30323175525311e-8</x:v>
      </x:c>
      <x:c r="R1186" s="240" t="n">
        <x:f>K1186*L1186/'Beta HC3'!$E$11</x:f>
        <x:v>0.002125101275264904</x:v>
      </x:c>
      <x:c r="S1186" s="240" t="n">
        <x:f>(K1186-K1185)^2</x:f>
        <x:v>0.00024617441773654055</x:v>
      </x:c>
      <x:c r="T1186" s="280" t="n">
        <x:f>E1186/$E$9*100</x:f>
        <x:v>133.6504092080879</x:v>
      </x:c>
    </x:row>
    <x:row r="1187" ht="24" customHeight="1">
      <x:c r="C1187" s="274" t="d">
        <x:v>2026-06-18T00:00:00.000Z</x:v>
      </x:c>
      <x:c r="D1187" s="191" t="n">
        <x:v>379.3999938964844</x:v>
      </x:c>
      <x:c r="E1187" s="191" t="n">
        <x:v>378.6871032714844</x:v>
      </x:c>
      <x:c r="F1187" s="191" t="n">
        <x:v>746.739990234375</x:v>
      </x:c>
      <x:c r="G1187" s="191" t="n">
        <x:v>744.8902587890625</x:v>
      </x:c>
      <x:c r="H1187" s="208" t="n">
        <x:f>E1187/E1186-1</x:f>
        <x:v>0.0012931709583141604</x:v>
      </x:c>
      <x:c r="I1187" s="208" t="n">
        <x:f>G1187/G1186-1</x:f>
        <x:v>0.010396979807429707</x:v>
      </x:c>
      <x:c r="J1187" s="208" t="n">
        <x:f>'Beta HC3'!$E$13+'Beta HC3'!$E$12*I1187</x:f>
        <x:v>0.011734967226970847</x:v>
      </x:c>
      <x:c r="K1187" s="240" t="n">
        <x:f>H1187-J1187</x:f>
        <x:v>-0.010441796268656687</x:v>
      </x:c>
      <x:c r="L1187" s="240" t="n">
        <x:f>I1187-'Beta HC3'!$E$9</x:f>
        <x:v>0.009833032189769268</x:v>
      </x:c>
      <x:c r="M1187" s="240" t="n">
        <x:f>1/'Beta HC3'!$E$8+L1187^2/'Beta HC3'!$E$11</x:f>
        <x:v>0.0014580118938081858</x:v>
      </x:c>
      <x:c r="N1187" s="240" t="n">
        <x:f>K1187^2/(1-M1187)^2</x:f>
        <x:v>0.00010934974331326367</x:v>
      </x:c>
      <x:c r="O1187" s="240" t="n">
        <x:f>N1187*L1187^2/'Beta HC3'!$E$11^2</x:f>
        <x:v>4.944329582087151e-7</x:v>
      </x:c>
      <x:c r="P1187" s="240" t="n">
        <x:f>N1187*(1/'Beta HC3'!$E$8-'Beta HC3'!$E$9*L1187/'Beta HC3'!$E$11)^2</x:f>
        <x:v>6.297628668720547e-11</x:v>
      </x:c>
      <x:c r="Q1187" s="240" t="n">
        <x:f>N1187*(1/'Beta HC3'!$E$8-'Beta HC3'!$E$9*L1187/'Beta HC3'!$E$11)*L1187/'Beta HC3'!$E$11</x:f>
        <x:v>5.580103200099002e-9</x:v>
      </x:c>
      <x:c r="R1187" s="240" t="n">
        <x:f>K1187*L1187/'Beta HC3'!$E$11</x:f>
        <x:v>-0.000702134054868533</x:v>
      </x:c>
      <x:c r="S1187" s="240" t="n">
        <x:f>(K1187-K1186)^2</x:f>
        <x:v>0.00017869575106721876</x:v>
      </x:c>
      <x:c r="T1187" s="280" t="n">
        <x:f>E1187/$E$9*100</x:f>
        <x:v>133.82324203584258</x:v>
      </x:c>
    </x:row>
    <x:row r="1188" ht="24" customHeight="1">
      <x:c r="C1188" s="274" t="d">
        <x:v>2026-06-22T00:00:00.000Z</x:v>
      </x:c>
      <x:c r="D1188" s="191" t="n">
        <x:v>367.3399963378906</x:v>
      </x:c>
      <x:c r="E1188" s="191" t="n">
        <x:v>366.6497802734375</x:v>
      </x:c>
      <x:c r="F1188" s="191" t="n">
        <x:v>744.3900146484375</x:v>
      </x:c>
      <x:c r="G1188" s="191" t="n">
        <x:v>742.546142578125</x:v>
      </x:c>
      <x:c r="H1188" s="208" t="n">
        <x:f>E1188/E1187-1</x:f>
        <x:v>-0.031786989559602685</x:v>
      </x:c>
      <x:c r="I1188" s="208" t="n">
        <x:f>G1188/G1187-1</x:f>
        <x:v>-0.0031469282666526377</x:v>
      </x:c>
      <x:c r="J1188" s="208" t="n">
        <x:f>'Beta HC3'!$E$13+'Beta HC3'!$E$12*I1188</x:f>
        <x:v>-0.0035400112246929873</x:v>
      </x:c>
      <x:c r="K1188" s="240" t="n">
        <x:f>H1188-J1188</x:f>
        <x:v>-0.028246978334909696</x:v>
      </x:c>
      <x:c r="L1188" s="240" t="n">
        <x:f>I1188-'Beta HC3'!$E$9</x:f>
        <x:v>-0.003710875884313077</x:v>
      </x:c>
      <x:c r="M1188" s="240" t="n">
        <x:f>1/'Beta HC3'!$E$8+L1188^2/'Beta HC3'!$E$11</x:f>
        <x:v>0.0008909822392148962</x:v>
      </x:c>
      <x:c r="N1188" s="240" t="n">
        <x:f>K1188^2/(1-M1188)^2</x:f>
        <x:v>0.0007993155023490096</x:v>
      </x:c>
      <x:c r="O1188" s="240" t="n">
        <x:f>N1188*L1188^2/'Beta HC3'!$E$11^2</x:f>
        <x:v>5.147375092989104e-7</x:v>
      </x:c>
      <x:c r="P1188" s="240" t="n">
        <x:f>N1188*(1/'Beta HC3'!$E$8-'Beta HC3'!$E$9*L1188/'Beta HC3'!$E$11)^2</x:f>
        <x:v>5.2588715310398e-10</x:v>
      </x:c>
      <x:c r="Q1188" s="240" t="n">
        <x:f>N1188*(1/'Beta HC3'!$E$8-'Beta HC3'!$E$9*L1188/'Beta HC3'!$E$11)*L1188/'Beta HC3'!$E$11</x:f>
        <x:v>-1.6452776159695284e-8</x:v>
      </x:c>
      <x:c r="R1188" s="240" t="n">
        <x:f>K1188*L1188/'Beta HC3'!$E$11</x:f>
        <x:v>0.0007168128583986631</x:v>
      </x:c>
      <x:c r="S1188" s="240" t="n">
        <x:f>(K1188-K1187)^2</x:f>
        <x:v>0.0003170245084124178</x:v>
      </x:c>
      <x:c r="T1188" s="280" t="n">
        <x:f>E1188/$E$9*100</x:f>
        <x:v>129.56940403841708</x:v>
      </x:c>
    </x:row>
    <x:row r="1189" ht="24" customHeight="1">
      <x:c r="C1189" s="274" t="d">
        <x:v>2026-06-23T00:00:00.000Z</x:v>
      </x:c>
      <x:c r="D1189" s="191" t="n">
        <x:v>373.94000244140625</x:v>
      </x:c>
      <x:c r="E1189" s="191" t="n">
        <x:v>373.23736572265625</x:v>
      </x:c>
      <x:c r="F1189" s="191" t="n">
        <x:v>733.5800170898438</x:v>
      </x:c>
      <x:c r="G1189" s="191" t="n">
        <x:v>731.7628784179688</x:v>
      </x:c>
      <x:c r="H1189" s="208" t="n">
        <x:f>E1189/E1188-1</x:f>
        <x:v>0.017966969581451497</x:v>
      </x:c>
      <x:c r="I1189" s="208" t="n">
        <x:f>G1189/G1188-1</x:f>
        <x:v>-0.014522012225013592</x:v>
      </x:c>
      <x:c r="J1189" s="208" t="n">
        <x:f>'Beta HC3'!$E$13+'Beta HC3'!$E$12*I1189</x:f>
        <x:v>-0.016368964389424437</x:v>
      </x:c>
      <x:c r="K1189" s="240" t="n">
        <x:f>H1189-J1189</x:f>
        <x:v>0.034335933970875934</x:v>
      </x:c>
      <x:c r="L1189" s="240" t="n">
        <x:f>I1189-'Beta HC3'!$E$9</x:f>
        <x:v>-0.01508595984267403</x:v>
      </x:c>
      <x:c r="M1189" s="240" t="n">
        <x:f>1/'Beta HC3'!$E$8+L1189^2/'Beta HC3'!$E$11</x:f>
        <x:v>0.0023531483645981123</x:v>
      </x:c>
      <x:c r="N1189" s="240" t="n">
        <x:f>K1189^2/(1-M1189)^2</x:f>
        <x:v>0.0011845245264807615</x:v>
      </x:c>
      <x:c r="O1189" s="240" t="n">
        <x:f>N1189*L1189^2/'Beta HC3'!$E$11^2</x:f>
        <x:v>0.000012606794542415406</x:v>
      </x:c>
      <x:c r="P1189" s="240" t="n">
        <x:f>N1189*(1/'Beta HC3'!$E$8-'Beta HC3'!$E$9*L1189/'Beta HC3'!$E$11)^2</x:f>
        <x:v>8.659010953373891e-10</x:v>
      </x:c>
      <x:c r="Q1189" s="240" t="n">
        <x:f>N1189*(1/'Beta HC3'!$E$8-'Beta HC3'!$E$9*L1189/'Beta HC3'!$E$11)*L1189/'Beta HC3'!$E$11</x:f>
        <x:v>-1.0448079825006565e-7</x:v>
      </x:c>
      <x:c r="R1189" s="240" t="n">
        <x:f>K1189*L1189/'Beta HC3'!$E$11</x:f>
        <x:v>-0.0035422497136973984</x:v>
      </x:c>
      <x:c r="S1189" s="240" t="n">
        <x:f>(K1189-K1188)^2</x:f>
        <x:v>0.003916620912673655</x:v>
      </x:c>
      <x:c r="T1189" s="280" t="n">
        <x:f>E1189/$E$9*100</x:f>
        <x:v>131.8973735794621</x:v>
      </x:c>
    </x:row>
    <x:row r="1190" ht="24" customHeight="1">
      <x:c r="C1190" s="274" t="d">
        <x:v>2026-06-24T00:00:00.000Z</x:v>
      </x:c>
      <x:c r="D1190" s="191" t="n">
        <x:v>365.4599914550781</x:v>
      </x:c>
      <x:c r="E1190" s="191" t="n">
        <x:v>364.7733154296875</x:v>
      </x:c>
      <x:c r="F1190" s="191" t="n">
        <x:v>733.239990234375</x:v>
      </x:c>
      <x:c r="G1190" s="191" t="n">
        <x:v>731.4237060546875</x:v>
      </x:c>
      <x:c r="H1190" s="208" t="n">
        <x:f>E1190/E1189-1</x:f>
        <x:v>-0.022677392646850314</x:v>
      </x:c>
      <x:c r="I1190" s="208" t="n">
        <x:f>G1190/G1189-1</x:f>
        <x:v>-0.0004635003677893046</x:v>
      </x:c>
      <x:c r="J1190" s="208" t="n">
        <x:f>'Beta HC3'!$E$13+'Beta HC3'!$E$12*I1190</x:f>
        <x:v>-0.0005136097527154713</x:v>
      </x:c>
      <x:c r="K1190" s="240" t="n">
        <x:f>H1190-J1190</x:f>
        <x:v>-0.022163782894134842</x:v>
      </x:c>
      <x:c r="L1190" s="240" t="n">
        <x:f>I1190-'Beta HC3'!$E$9</x:f>
        <x:v>-0.0010274479854497439</x:v>
      </x:c>
      <x:c r="M1190" s="240" t="n">
        <x:f>1/'Beta HC3'!$E$8+L1190^2/'Beta HC3'!$E$11</x:f>
        <x:v>0.0008040317491617738</x:v>
      </x:c>
      <x:c r="N1190" s="240" t="n">
        <x:f>K1190^2/(1-M1190)^2</x:f>
        <x:v>0.0004920241601932352</x:v>
      </x:c>
      <x:c r="O1190" s="240" t="n">
        <x:f>N1190*L1190^2/'Beta HC3'!$E$11^2</x:f>
        <x:v>2.428962676409522e-8</x:v>
      </x:c>
      <x:c r="P1190" s="240" t="n">
        <x:f>N1190*(1/'Beta HC3'!$E$8-'Beta HC3'!$E$9*L1190/'Beta HC3'!$E$11)^2</x:f>
        <x:v>3.155059685799921e-10</x:v>
      </x:c>
      <x:c r="Q1190" s="240" t="n">
        <x:f>N1190*(1/'Beta HC3'!$E$8-'Beta HC3'!$E$9*L1190/'Beta HC3'!$E$11)*L1190/'Beta HC3'!$E$11</x:f>
        <x:v>-2.7683067421534707e-9</x:v>
      </x:c>
      <x:c r="R1190" s="240" t="n">
        <x:f>K1190*L1190/'Beta HC3'!$E$11</x:f>
        <x:v>0.00015572598756903559</x:v>
      </x:c>
      <x:c r="S1190" s="240" t="n">
        <x:f>(K1190-K1189)^2</x:f>
        <x:v>0.0031922180058263834</x:v>
      </x:c>
      <x:c r="T1190" s="280" t="n">
        <x:f>E1190/$E$9*100</x:f>
        <x:v>128.90628504971235</x:v>
      </x:c>
    </x:row>
    <x:row r="1191" ht="24" customHeight="1">
      <x:c r="C1191" s="274" t="d">
        <x:v>2026-06-25T00:00:00.000Z</x:v>
      </x:c>
      <x:c r="D1191" s="191" t="n">
        <x:v>352.8299865722656</x:v>
      </x:c>
      <x:c r="E1191" s="191" t="n">
        <x:v>352.1670227050781</x:v>
      </x:c>
      <x:c r="F1191" s="191" t="n">
        <x:v>734.2999877929688</x:v>
      </x:c>
      <x:c r="G1191" s="191" t="n">
        <x:v>732.4810791015625</x:v>
      </x:c>
      <x:c r="H1191" s="208" t="n">
        <x:f>E1191/E1190-1</x:f>
        <x:v>-0.0345592514347155</x:v>
      </x:c>
      <x:c r="I1191" s="208" t="n">
        <x:f>G1191/G1190-1</x:f>
        <x:v>0.0014456368287247834</x:v>
      </x:c>
      <x:c r="J1191" s="208" t="n">
        <x:f>'Beta HC3'!$E$13+'Beta HC3'!$E$12*I1191</x:f>
        <x:v>0.001639537579539916</x:v>
      </x:c>
      <x:c r="K1191" s="240" t="n">
        <x:f>H1191-J1191</x:f>
        <x:v>-0.03619878901425541</x:v>
      </x:c>
      <x:c r="L1191" s="240" t="n">
        <x:f>I1191-'Beta HC3'!$E$9</x:f>
        <x:v>0.000881689211064344</x:v>
      </x:c>
      <x:c r="M1191" s="240" t="n">
        <x:f>1/'Beta HC3'!$E$8+L1191^2/'Beta HC3'!$E$11</x:f>
        <x:v>0.00080212879113801</x:v>
      </x:c>
      <x:c r="N1191" s="240" t="n">
        <x:f>K1191^2/(1-M1191)^2</x:f>
        <x:v>0.0013124570007446911</x:v>
      </x:c>
      <x:c r="O1191" s="240" t="n">
        <x:f>N1191*L1191^2/'Beta HC3'!$E$11^2</x:f>
        <x:v>4.771235571352929e-8</x:v>
      </x:c>
      <x:c r="P1191" s="240" t="n">
        <x:f>N1191*(1/'Beta HC3'!$E$8-'Beta HC3'!$E$9*L1191/'Beta HC3'!$E$11)^2</x:f>
        <x:v>8.261961227649611e-10</x:v>
      </x:c>
      <x:c r="Q1191" s="240" t="n">
        <x:f>N1191*(1/'Beta HC3'!$E$8-'Beta HC3'!$E$9*L1191/'Beta HC3'!$E$11)*L1191/'Beta HC3'!$E$11</x:f>
        <x:v>6.27851601085006e-9</x:v>
      </x:c>
      <x:c r="R1191" s="240" t="n">
        <x:f>K1191*L1191/'Beta HC3'!$E$11</x:f>
        <x:v>-0.00021825637104960516</x:v>
      </x:c>
      <x:c r="S1191" s="240" t="n">
        <x:f>(K1191-K1190)^2</x:f>
        <x:v>0.00019698139679182183</x:v>
      </x:c>
      <x:c r="T1191" s="280" t="n">
        <x:f>E1191/$E$9*100</x:f>
        <x:v>124.45138033316422</x:v>
      </x:c>
    </x:row>
    <x:row r="1192" ht="24" customHeight="1">
      <x:c r="C1192" s="274" t="d">
        <x:v>2026-06-26T00:00:00.000Z</x:v>
      </x:c>
      <x:c r="D1192" s="191" t="n">
        <x:v>372.9700012207031</x:v>
      </x:c>
      <x:c r="E1192" s="191" t="n">
        <x:v>372.2691955566406</x:v>
      </x:c>
      <x:c r="F1192" s="191" t="n">
        <x:v>728.989990234375</x:v>
      </x:c>
      <x:c r="G1192" s="191" t="n">
        <x:v>727.1842651367188</x:v>
      </x:c>
      <x:c r="H1192" s="208" t="n">
        <x:f>E1192/E1191-1</x:f>
        <x:v>0.057081360705363515</x:v>
      </x:c>
      <x:c r="I1192" s="208" t="n">
        <x:f>G1192/G1191-1</x:f>
        <x:v>-0.007231332133985857</x:v>
      </x:c>
      <x:c r="J1192" s="208" t="n">
        <x:f>'Beta HC3'!$E$13+'Beta HC3'!$E$12*I1192</x:f>
        <x:v>-0.008146449833117644</x:v>
      </x:c>
      <x:c r="K1192" s="240" t="n">
        <x:f>H1192-J1192</x:f>
        <x:v>0.06522781053848116</x:v>
      </x:c>
      <x:c r="L1192" s="240" t="n">
        <x:f>I1192-'Beta HC3'!$E$9</x:f>
        <x:v>-0.007795279751646297</x:v>
      </x:c>
      <x:c r="M1192" s="240" t="n">
        <x:f>1/'Beta HC3'!$E$8+L1192^2/'Beta HC3'!$E$11</x:f>
        <x:v>0.0012123603432267539</x:v>
      </x:c>
      <x:c r="N1192" s="240" t="n">
        <x:f>K1192^2/(1-M1192)^2</x:f>
        <x:v>0.004265002438508765</x:v>
      </x:c>
      <x:c r="O1192" s="240" t="n">
        <x:f>N1192*L1192^2/'Beta HC3'!$E$11^2</x:f>
        <x:v>0.000012119854819484493</x:v>
      </x:c>
      <x:c r="P1192" s="240" t="n">
        <x:f>N1192*(1/'Beta HC3'!$E$8-'Beta HC3'!$E$9*L1192/'Beta HC3'!$E$11)^2</x:f>
        <x:v>2.9160802239788433e-9</x:v>
      </x:c>
      <x:c r="Q1192" s="240" t="n">
        <x:f>N1192*(1/'Beta HC3'!$E$8-'Beta HC3'!$E$9*L1192/'Beta HC3'!$E$11)*L1192/'Beta HC3'!$E$11</x:f>
        <x:v>-1.8799592803194809e-7</x:v>
      </x:c>
      <x:c r="R1192" s="240" t="n">
        <x:f>K1192*L1192/'Beta HC3'!$E$11</x:f>
        <x:v>-0.003477137525431346</x:v>
      </x:c>
      <x:c r="S1192" s="240" t="n">
        <x:f>(K1192-K1191)^2</x:f>
        <x:v>0.010287355096831182</x:v>
      </x:c>
      <x:c r="T1192" s="280" t="n">
        <x:f>E1192/$E$9*100</x:f>
        <x:v>131.55523446424195</x:v>
      </x:c>
    </x:row>
    <x:row r="1193" ht="24" customHeight="1">
      <x:c r="C1193" s="274" t="d">
        <x:v>2026-06-29T00:00:00.000Z</x:v>
      </x:c>
      <x:c r="D1193" s="191" t="n">
        <x:v>368.57000732421875</x:v>
      </x:c>
      <x:c r="E1193" s="191" t="n">
        <x:v>367.8774719238281</x:v>
      </x:c>
      <x:c r="F1193" s="191" t="n">
        <x:v>741</x:v>
      </x:c>
      <x:c r="G1193" s="191" t="n">
        <x:v>739.1644897460938</x:v>
      </x:c>
      <x:c r="H1193" s="208" t="n">
        <x:f>E1193/E1192-1</x:f>
        <x:v>-0.011797171738171075</x:v>
      </x:c>
      <x:c r="I1193" s="208" t="n">
        <x:f>G1193/G1192-1</x:f>
        <x:v>0.01647481275894025</x:v>
      </x:c>
      <x:c r="J1193" s="208" t="n">
        <x:f>'Beta HC3'!$E$13+'Beta HC3'!$E$12*I1193</x:f>
        <x:v>0.018589618547647815</x:v>
      </x:c>
      <x:c r="K1193" s="240" t="n">
        <x:f>H1193-J1193</x:f>
        <x:v>-0.03038679028581889</x:v>
      </x:c>
      <x:c r="L1193" s="240" t="n">
        <x:f>I1193-'Beta HC3'!$E$9</x:f>
        <x:v>0.01591086514127981</x:v>
      </x:c>
      <x:c r="M1193" s="240" t="n">
        <x:f>1/'Beta HC3'!$E$8+L1193^2/'Beta HC3'!$E$11</x:f>
        <x:v>0.0025280036103027745</x:v>
      </x:c>
      <x:c r="N1193" s="240" t="n">
        <x:f>K1193^2/(1-M1193)^2</x:f>
        <x:v>0.0009280432864907422</x:v>
      </x:c>
      <x:c r="O1193" s="240" t="n">
        <x:f>N1193*L1193^2/'Beta HC3'!$E$11^2</x:f>
        <x:v>0.000010986782969579706</x:v>
      </x:c>
      <x:c r="P1193" s="240" t="n">
        <x:f>N1193*(1/'Beta HC3'!$E$8-'Beta HC3'!$E$9*L1193/'Beta HC3'!$E$11)^2</x:f>
        <x:v>5.019691438679534e-10</x:v>
      </x:c>
      <x:c r="Q1193" s="240" t="n">
        <x:f>N1193*(1/'Beta HC3'!$E$8-'Beta HC3'!$E$9*L1193/'Beta HC3'!$E$11)*L1193/'Beta HC3'!$E$11</x:f>
        <x:v>7.426322132188271e-8</x:v>
      </x:c>
      <x:c r="R1193" s="240" t="n">
        <x:f>K1193*L1193/'Beta HC3'!$E$11</x:f>
        <x:v>-0.003306252248379069</x:v>
      </x:c>
      <x:c r="S1193" s="240" t="n">
        <x:f>(K1193-K1192)^2</x:f>
        <x:v>0.00914215189079024</x:v>
      </x:c>
      <x:c r="T1193" s="280" t="n">
        <x:f>E1193/$E$9*100</x:f>
        <x:v>130.00325477021192</x:v>
      </x:c>
    </x:row>
    <x:row r="1194" ht="24" customHeight="1">
      <x:c r="C1194" s="274" t="d">
        <x:v>2026-06-30T00:00:00.000Z</x:v>
      </x:c>
      <x:c r="D1194" s="191" t="n">
        <x:v>373.0199890136719</x:v>
      </x:c>
      <x:c r="E1194" s="191" t="n">
        <x:v>372.319091796875</x:v>
      </x:c>
      <x:c r="F1194" s="191" t="n">
        <x:v>746.77001953125</x:v>
      </x:c>
      <x:c r="G1194" s="191" t="n">
        <x:v>744.9202270507812</x:v>
      </x:c>
      <x:c r="H1194" s="208" t="n">
        <x:f>E1194/E1193-1</x:f>
        <x:v>0.012073639219654542</x:v>
      </x:c>
      <x:c r="I1194" s="208" t="n">
        <x:f>G1194/G1193-1</x:f>
        <x:v>0.007786815227913024</x:v>
      </x:c>
      <x:c r="J1194" s="208" t="n">
        <x:f>'Beta HC3'!$E$13+'Beta HC3'!$E$12*I1194</x:f>
        <x:v>0.008791192986232368</x:v>
      </x:c>
      <x:c r="K1194" s="240" t="n">
        <x:f>H1194-J1194</x:f>
        <x:v>0.0032824462334221736</x:v>
      </x:c>
      <x:c r="L1194" s="240" t="n">
        <x:f>I1194-'Beta HC3'!$E$9</x:f>
        <x:v>0.007222867610252585</x:v>
      </x:c>
      <x:c r="M1194" s="240" t="n">
        <x:f>1/'Beta HC3'!$E$8+L1194^2/'Beta HC3'!$E$11</x:f>
        <x:v>0.0011535731724221648</x:v>
      </x:c>
      <x:c r="N1194" s="240" t="n">
        <x:f>K1194^2/(1-M1194)^2</x:f>
        <x:v>0.00001079935459575305</x:v>
      </x:c>
      <x:c r="O1194" s="240" t="n">
        <x:f>N1194*L1194^2/'Beta HC3'!$E$11^2</x:f>
        <x:v>2.6347040166151075e-8</x:v>
      </x:c>
      <x:c r="P1194" s="240" t="n">
        <x:f>N1194*(1/'Beta HC3'!$E$8-'Beta HC3'!$E$9*L1194/'Beta HC3'!$E$11)^2</x:f>
        <x:v>6.385612597831467e-12</x:v>
      </x:c>
      <x:c r="Q1194" s="240" t="n">
        <x:f>N1194*(1/'Beta HC3'!$E$8-'Beta HC3'!$E$9*L1194/'Beta HC3'!$E$11)*L1194/'Beta HC3'!$E$11</x:f>
        <x:v>4.1017312393737587e-10</x:v>
      </x:c>
      <x:c r="R1194" s="240" t="n">
        <x:f>K1194*L1194/'Beta HC3'!$E$11</x:f>
        <x:v>0.00016213046829500948</x:v>
      </x:c>
      <x:c r="S1194" s="240" t="n">
        <x:f>(K1194-K1193)^2</x:f>
        <x:v>0.0011336174877885961</x:v>
      </x:c>
      <x:c r="T1194" s="280" t="n">
        <x:f>E1194/$E$9*100</x:f>
        <x:v>131.5728671656883</x:v>
      </x:c>
    </x:row>
    <x:row r="1195" ht="24" customHeight="1">
      <x:c r="C1195" s="274" t="d">
        <x:v>2026-07-01T00:00:00.000Z</x:v>
      </x:c>
      <x:c r="D1195" s="191" t="n">
        <x:v>384.2799987792969</x:v>
      </x:c>
      <x:c r="E1195" s="191" t="n">
        <x:v>383.5579528808594</x:v>
      </x:c>
      <x:c r="F1195" s="191" t="n">
        <x:v>745.760009765625</x:v>
      </x:c>
      <x:c r="G1195" s="191" t="n">
        <x:v>743.9127197265625</x:v>
      </x:c>
      <x:c r="H1195" s="208" t="n">
        <x:f>E1195/E1194-1</x:f>
        <x:v>0.030186099320729687</x:v>
      </x:c>
      <x:c r="I1195" s="208" t="n">
        <x:f>G1195/G1194-1</x:f>
        <x:v>-0.0013525036475483532</x:v>
      </x:c>
      <x:c r="J1195" s="208" t="n">
        <x:f>'Beta HC3'!$E$13+'Beta HC3'!$E$12*I1195</x:f>
        <x:v>-0.001516238083290434</x:v>
      </x:c>
      <x:c r="K1195" s="240" t="n">
        <x:f>H1195-J1195</x:f>
        <x:v>0.03170233740402012</x:v>
      </x:c>
      <x:c r="L1195" s="240" t="n">
        <x:f>I1195-'Beta HC3'!$E$9</x:f>
        <x:v>-0.0019164512652087924</x:v>
      </x:c>
      <x:c r="M1195" s="240" t="n">
        <x:f>1/'Beta HC3'!$E$8+L1195^2/'Beta HC3'!$E$11</x:f>
        <x:v>0.0008219288904910561</x:v>
      </x:c>
      <x:c r="N1195" s="240" t="n">
        <x:f>K1195^2/(1-M1195)^2</x:f>
        <x:v>0.0010066923758852374</x:v>
      </x:c>
      <x:c r="O1195" s="240" t="n">
        <x:f>N1195*L1195^2/'Beta HC3'!$E$11^2</x:f>
        <x:v>1.7290480476926265e-7</x:v>
      </x:c>
      <x:c r="P1195" s="240" t="n">
        <x:f>N1195*(1/'Beta HC3'!$E$8-'Beta HC3'!$E$9*L1195/'Beta HC3'!$E$11)^2</x:f>
        <x:v>6.510716655316075e-10</x:v>
      </x:c>
      <x:c r="Q1195" s="240" t="n">
        <x:f>N1195*(1/'Beta HC3'!$E$8-'Beta HC3'!$E$9*L1195/'Beta HC3'!$E$11)*L1195/'Beta HC3'!$E$11</x:f>
        <x:v>-1.0610062168505011e-8</x:v>
      </x:c>
      <x:c r="R1195" s="240" t="n">
        <x:f>K1195*L1195/'Beta HC3'!$E$11</x:f>
        <x:v>-0.0004154764622326651</x:v>
      </x:c>
      <x:c r="S1195" s="240" t="n">
        <x:f>(K1195-K1194)^2</x:f>
        <x:v>0.0008076902141486312</x:v>
      </x:c>
      <x:c r="T1195" s="280" t="n">
        <x:f>E1195/$E$9*100</x:f>
        <x:v>135.54453880186495</x:v>
      </x:c>
    </x:row>
    <x:row r="1196" ht="24" customHeight="1">
      <x:c r="C1196" s="274" t="d">
        <x:v>2026-07-02T00:00:00.000Z</x:v>
      </x:c>
      <x:c r="D1196" s="191" t="n">
        <x:v>390.489990234375</x:v>
      </x:c>
      <x:c r="E1196" s="191" t="n">
        <x:v>389.7562561035156</x:v>
      </x:c>
      <x:c r="F1196" s="191" t="n">
        <x:v>744.780029296875</x:v>
      </x:c>
      <x:c r="G1196" s="191" t="n">
        <x:v>742.9351806640625</x:v>
      </x:c>
      <x:c r="H1196" s="208" t="n">
        <x:f>E1196/E1195-1</x:f>
        <x:v>0.016160017478718647</x:v>
      </x:c>
      <x:c r="I1196" s="208" t="n">
        <x:f>G1196/G1195-1</x:f>
        <x:v>-0.0013140507435593918</x:v>
      </x:c>
      <x:c r="J1196" s="208" t="n">
        <x:f>'Beta HC3'!$E$13+'Beta HC3'!$E$12*I1196</x:f>
        <x:v>-0.0014728704469610596</x:v>
      </x:c>
      <x:c r="K1196" s="240" t="n">
        <x:f>H1196-J1196</x:f>
        <x:v>0.017632887925679706</x:v>
      </x:c>
      <x:c r="L1196" s="240" t="n">
        <x:f>I1196-'Beta HC3'!$E$9</x:f>
        <x:v>-0.001877998361219831</x:v>
      </x:c>
      <x:c r="M1196" s="240" t="n">
        <x:f>1/'Beta HC3'!$E$8+L1196^2/'Beta HC3'!$E$11</x:f>
        <x:v>0.0008209311093372572</x:v>
      </x:c>
      <x:c r="N1196" s="240" t="n">
        <x:f>K1196^2/(1-M1196)^2</x:f>
        <x:v>0.0003114298516254708</x:v>
      </x:c>
      <x:c r="O1196" s="240" t="n">
        <x:f>N1196*L1196^2/'Beta HC3'!$E$11^2</x:f>
        <x:v>5.1364773761277526e-8</x:v>
      </x:c>
      <x:c r="P1196" s="240" t="n">
        <x:f>N1196*(1/'Beta HC3'!$E$8-'Beta HC3'!$E$9*L1196/'Beta HC3'!$E$11)^2</x:f>
        <x:v>2.0134093113056457e-10</x:v>
      </x:c>
      <x:c r="Q1196" s="240" t="n">
        <x:f>N1196*(1/'Beta HC3'!$E$8-'Beta HC3'!$E$9*L1196/'Beta HC3'!$E$11)*L1196/'Beta HC3'!$E$11</x:f>
        <x:v>-3.2158717910399363e-9</x:v>
      </x:c>
      <x:c r="R1196" s="240" t="n">
        <x:f>K1196*L1196/'Beta HC3'!$E$11</x:f>
        <x:v>-0.00022645192535286938</x:v>
      </x:c>
      <x:c r="S1196" s="240" t="n">
        <x:f>(K1196-K1195)^2</x:f>
        <x:v>0.00019794940862357334</x:v>
      </x:c>
      <x:c r="T1196" s="280" t="n">
        <x:f>E1196/$E$9*100</x:f>
        <x:v>137.73494091804795</x:v>
      </x:c>
    </x:row>
    <x:row r="1197" ht="24" customHeight="1">
      <x:c r="C1197" s="274" t="d">
        <x:v>2026-07-06T00:00:00.000Z</x:v>
      </x:c>
      <x:c r="D1197" s="191" t="n">
        <x:v>386.739990234375</x:v>
      </x:c>
      <x:c r="E1197" s="191" t="n">
        <x:v>386.0133056640625</x:v>
      </x:c>
      <x:c r="F1197" s="191" t="n">
        <x:v>751.280029296875</x:v>
      </x:c>
      <x:c r="G1197" s="191" t="n">
        <x:v>749.4190673828125</x:v>
      </x:c>
      <x:c r="H1197" s="208" t="n">
        <x:f>E1197/E1196-1</x:f>
        <x:v>-0.009603310738029669</x:v>
      </x:c>
      <x:c r="I1197" s="208" t="n">
        <x:f>G1197/G1196-1</x:f>
        <x:v>0.008727392224116226</x:v>
      </x:c>
      <x:c r="J1197" s="208" t="n">
        <x:f>'Beta HC3'!$E$13+'Beta HC3'!$E$12*I1197</x:f>
        <x:v>0.009851986759384734</x:v>
      </x:c>
      <x:c r="K1197" s="240" t="n">
        <x:f>H1197-J1197</x:f>
        <x:v>-0.019455297497414405</x:v>
      </x:c>
      <x:c r="L1197" s="240" t="n">
        <x:f>I1197-'Beta HC3'!$E$9</x:f>
        <x:v>0.008163444606455787</x:v>
      </x:c>
      <x:c r="M1197" s="240" t="n">
        <x:f>1/'Beta HC3'!$E$8+L1197^2/'Beta HC3'!$E$11</x:f>
        <x:v>0.0012525392266228925</x:v>
      </x:c>
      <x:c r="N1197" s="240" t="n">
        <x:f>K1197^2/(1-M1197)^2</x:f>
        <x:v>0.00037945857890751524</x:v>
      </x:c>
      <x:c r="O1197" s="240" t="n">
        <x:f>N1197*L1197^2/'Beta HC3'!$E$11^2</x:f>
        <x:v>0.0000011825676627773665</x:v>
      </x:c>
      <x:c r="P1197" s="240" t="n">
        <x:f>N1197*(1/'Beta HC3'!$E$8-'Beta HC3'!$E$9*L1197/'Beta HC3'!$E$11)^2</x:f>
        <x:v>2.222604060214131e-10</x:v>
      </x:c>
      <x:c r="Q1197" s="240" t="n">
        <x:f>N1197*(1/'Beta HC3'!$E$8-'Beta HC3'!$E$9*L1197/'Beta HC3'!$E$11)*L1197/'Beta HC3'!$E$11</x:f>
        <x:v>1.6212278337010225e-8</x:v>
      </x:c>
      <x:c r="R1197" s="240" t="n">
        <x:f>K1197*L1197/'Beta HC3'!$E$11</x:f>
        <x:v>-0.0010860971840873422</x:v>
      </x:c>
      <x:c r="S1197" s="240" t="n">
        <x:f>(K1197-K1196)^2</x:f>
        <x:v>0.0013755334979778104</x:v>
      </x:c>
      <x:c r="T1197" s="280" t="n">
        <x:f>E1197/$E$9*100</x:f>
        <x:v>136.41222948092778</x:v>
      </x:c>
    </x:row>
    <x:row r="1198" ht="24" customHeight="1">
      <x:c r="C1198" s="274" t="d">
        <x:v>2026-07-07T00:00:00.000Z</x:v>
      </x:c>
      <x:c r="D1198" s="191" t="n">
        <x:v>388.8399963378906</x:v>
      </x:c>
      <x:c r="E1198" s="191" t="n">
        <x:v>388.109375</x:v>
      </x:c>
      <x:c r="F1198" s="191" t="n">
        <x:v>747.7100219726562</x:v>
      </x:c>
      <x:c r="G1198" s="191" t="n">
        <x:v>745.85791015625</x:v>
      </x:c>
      <x:c r="H1198" s="208" t="n">
        <x:f>E1198/E1197-1</x:f>
        <x:v>0.005430044263193601</x:v>
      </x:c>
      <x:c r="I1198" s="208" t="n">
        <x:f>G1198/G1197-1</x:f>
        <x:v>-0.004751890339538711</x:v>
      </x:c>
      <x:c r="J1198" s="208" t="n">
        <x:f>'Beta HC3'!$E$13+'Beta HC3'!$E$12*I1198</x:f>
        <x:v>-0.005350106283296192</x:v>
      </x:c>
      <x:c r="K1198" s="240" t="n">
        <x:f>H1198-J1198</x:f>
        <x:v>0.010780150546489793</x:v>
      </x:c>
      <x:c r="L1198" s="240" t="n">
        <x:f>I1198-'Beta HC3'!$E$9</x:f>
        <x:v>-0.005315837957199151</x:v>
      </x:c>
      <x:c r="M1198" s="240" t="n">
        <x:f>1/'Beta HC3'!$E$8+L1198^2/'Beta HC3'!$E$11</x:f>
        <x:v>0.0009900544399715637</x:v>
      </x:c>
      <x:c r="N1198" s="240" t="n">
        <x:f>K1198^2/(1-M1198)^2</x:f>
        <x:v>0.00011644209970315192</x:v>
      </x:c>
      <x:c r="O1198" s="240" t="n">
        <x:f>N1198*L1198^2/'Beta HC3'!$E$11^2</x:f>
        <x:v>1.5387505410893585e-7</x:v>
      </x:c>
      <x:c r="P1198" s="240" t="n">
        <x:f>N1198*(1/'Beta HC3'!$E$8-'Beta HC3'!$E$9*L1198/'Beta HC3'!$E$11)^2</x:f>
        <x:v>7.778346349388277e-11</x:v>
      </x:c>
      <x:c r="Q1198" s="240" t="n">
        <x:f>N1198*(1/'Beta HC3'!$E$8-'Beta HC3'!$E$9*L1198/'Beta HC3'!$E$11)*L1198/'Beta HC3'!$E$11</x:f>
        <x:v>-3.4596148129382336e-9</x:v>
      </x:c>
      <x:c r="R1198" s="240" t="n">
        <x:f>K1198*L1198/'Beta HC3'!$E$11</x:f>
        <x:v>-0.0003918807415240259</x:v>
      </x:c>
      <x:c r="S1198" s="240" t="n">
        <x:f>(K1198-K1197)^2</x:f>
        <x:v>0.0009141823184156302</x:v>
      </x:c>
      <x:c r="T1198" s="280" t="n">
        <x:f>E1198/$E$9*100</x:f>
        <x:v>137.15295392505013</x:v>
      </x:c>
    </x:row>
    <x:row r="1199" ht="24" customHeight="1">
      <x:c r="C1199" s="274" t="d">
        <x:v>2026-07-08T00:00:00.000Z</x:v>
      </x:c>
      <x:c r="D1199" s="191" t="n">
        <x:v>383.3399963378906</x:v>
      </x:c>
      <x:c r="E1199" s="191" t="n">
        <x:v>382.6197204589844</x:v>
      </x:c>
      <x:c r="F1199" s="191" t="n">
        <x:v>745.4000244140625</x:v>
      </x:c>
      <x:c r="G1199" s="191" t="n">
        <x:v>743.5536499023438</x:v>
      </x:c>
      <x:c r="H1199" s="208" t="n">
        <x:f>E1199/E1198-1</x:f>
        <x:v>-0.014144606893393474</x:v>
      </x:c>
      <x:c r="I1199" s="208" t="n">
        <x:f>G1199/G1198-1</x:f>
        <x:v>-0.0030894091522385425</x:v>
      </x:c>
      <x:c r="J1199" s="208" t="n">
        <x:f>'Beta HC3'!$E$13+'Beta HC3'!$E$12*I1199</x:f>
        <x:v>-0.0034751404925211274</x:v>
      </x:c>
      <x:c r="K1199" s="240" t="n">
        <x:f>H1199-J1199</x:f>
        <x:v>-0.010669466400872346</x:v>
      </x:c>
      <x:c r="L1199" s="240" t="n">
        <x:f>I1199-'Beta HC3'!$E$9</x:f>
        <x:v>-0.0036533567698989818</x:v>
      </x:c>
      <x:c r="M1199" s="240" t="n">
        <x:f>1/'Beta HC3'!$E$8+L1199^2/'Beta HC3'!$E$11</x:f>
        <x:v>0.0008880855823460151</x:v>
      </x:c>
      <x:c r="N1199" s="240" t="n">
        <x:f>K1199^2/(1-M1199)^2</x:f>
        <x:v>0.00011403997785676064</x:v>
      </x:c>
      <x:c r="O1199" s="240" t="n">
        <x:f>N1199*L1199^2/'Beta HC3'!$E$11^2</x:f>
        <x:v>7.117967784314185e-8</x:v>
      </x:c>
      <x:c r="P1199" s="240" t="n">
        <x:f>N1199*(1/'Beta HC3'!$E$8-'Beta HC3'!$E$9*L1199/'Beta HC3'!$E$11)^2</x:f>
        <x:v>7.498836387575913e-11</x:v>
      </x:c>
      <x:c r="Q1199" s="240" t="n">
        <x:f>N1199*(1/'Beta HC3'!$E$8-'Beta HC3'!$E$9*L1199/'Beta HC3'!$E$11)*L1199/'Beta HC3'!$E$11</x:f>
        <x:v>-2.3103349503179907e-9</x:v>
      </x:c>
      <x:c r="R1199" s="240" t="n">
        <x:f>K1199*L1199/'Beta HC3'!$E$11</x:f>
        <x:v>0.00026655826134444247</x:v>
      </x:c>
      <x:c r="S1199" s="240" t="n">
        <x:f>(K1199-K1198)^2</x:f>
        <x:v>0.00046008606718856505</x:v>
      </x:c>
      <x:c r="T1199" s="280" t="n">
        <x:f>E1199/$E$9*100</x:f>
        <x:v>135.2129793075126</x:v>
      </x:c>
    </x:row>
    <x:row r="1200" ht="24" customHeight="1">
      <x:c r="C1200" s="274" t="d">
        <x:v>2026-07-09T00:00:00.000Z</x:v>
      </x:c>
      <x:c r="D1200" s="191" t="n">
        <x:v>384.3599853515625</x:v>
      </x:c>
      <x:c r="E1200" s="191" t="n">
        <x:v>383.6377868652344</x:v>
      </x:c>
      <x:c r="F1200" s="191" t="n">
        <x:v>751.7100219726562</x:v>
      </x:c>
      <x:c r="G1200" s="191" t="n">
        <x:v>749.8480224609375</x:v>
      </x:c>
      <x:c r="H1200" s="208" t="n">
        <x:f>E1200/E1199-1</x:f>
        <x:v>0.0026607787100694225</x:v>
      </x:c>
      <x:c r="I1200" s="208" t="n">
        <x:f>G1200/G1199-1</x:f>
        <x:v>0.008465256756416295</x:v>
      </x:c>
      <x:c r="J1200" s="208" t="n">
        <x:f>'Beta HC3'!$E$13+'Beta HC3'!$E$12*I1200</x:f>
        <x:v>0.00955634730298621</x:v>
      </x:c>
      <x:c r="K1200" s="240" t="n">
        <x:f>H1200-J1200</x:f>
        <x:v>-0.006895568592916788</x:v>
      </x:c>
      <x:c r="L1200" s="240" t="n">
        <x:f>I1200-'Beta HC3'!$E$9</x:f>
        <x:v>0.007901309138755856</x:v>
      </x:c>
      <x:c r="M1200" s="240" t="n">
        <x:f>1/'Beta HC3'!$E$8+L1200^2/'Beta HC3'!$E$11</x:f>
        <x:v>0.0012237415652674283</x:v>
      </x:c>
      <x:c r="N1200" s="240" t="n">
        <x:f>K1200^2/(1-M1200)^2</x:f>
        <x:v>0.00004766545523613132</x:v>
      </x:c>
      <x:c r="O1200" s="240" t="n">
        <x:f>N1200*L1200^2/'Beta HC3'!$E$11^2</x:f>
        <x:v>1.391606907547104e-7</x:v>
      </x:c>
      <x:c r="P1200" s="240" t="n">
        <x:f>N1200*(1/'Beta HC3'!$E$8-'Beta HC3'!$E$9*L1200/'Beta HC3'!$E$11)^2</x:f>
        <x:v>2.7992909681453752e-11</x:v>
      </x:c>
      <x:c r="Q1200" s="240" t="n">
        <x:f>N1200*(1/'Beta HC3'!$E$8-'Beta HC3'!$E$9*L1200/'Beta HC3'!$E$11)*L1200/'Beta HC3'!$E$11</x:f>
        <x:v>1.973705309185068e-9</x:v>
      </x:c>
      <x:c r="R1200" s="240" t="n">
        <x:f>K1200*L1200/'Beta HC3'!$E$11</x:f>
        <x:v>-0.00037258597089910844</x:v>
      </x:c>
      <x:c r="S1200" s="240" t="n">
        <x:f>(K1200-K1199)^2</x:f>
        <x:v>0.000014242304664891768</x:v>
      </x:c>
      <x:c r="T1200" s="280" t="n">
        <x:f>E1200/$E$9*100</x:f>
        <x:v>135.5727511241791</x:v>
      </x:c>
    </x:row>
    <x:row r="1201" ht="24" customHeight="1">
      <x:c r="C1201" s="274" t="d">
        <x:v>2026-07-10T00:00:00.000Z</x:v>
      </x:c>
      <x:c r="D1201" s="191" t="n">
        <x:v>385.1000061035156</x:v>
      </x:c>
      <x:c r="E1201" s="191" t="n">
        <x:v>384.37640380859375</x:v>
      </x:c>
      <x:c r="F1201" s="191" t="n">
        <x:v>754.9500122070312</x:v>
      </x:c>
      <x:c r="G1201" s="191" t="n">
        <x:v>753.0799560546875</x:v>
      </x:c>
      <x:c r="H1201" s="208" t="n">
        <x:f>E1201/E1200-1</x:f>
        <x:v>0.001925297686118821</x:v>
      </x:c>
      <x:c r="I1201" s="208" t="n">
        <x:f>G1201/G1200-1</x:f>
        <x:v>0.004310118179872147</x:v>
      </x:c>
      <x:c r="J1201" s="208" t="n">
        <x:f>'Beta HC3'!$E$13+'Beta HC3'!$E$12*I1201</x:f>
        <x:v>0.0048701332595045745</x:v>
      </x:c>
      <x:c r="K1201" s="240" t="n">
        <x:f>H1201-J1201</x:f>
        <x:v>-0.0029448355733857536</x:v>
      </x:c>
      <x:c r="L1201" s="240" t="n">
        <x:f>I1201-'Beta HC3'!$E$9</x:f>
        <x:v>0.0037461705622117074</x:v>
      </x:c>
      <x:c r="M1201" s="240" t="n">
        <x:f>1/'Beta HC3'!$E$8+L1201^2/'Beta HC3'!$E$11</x:f>
        <x:v>0.0008927820772793028</x:v>
      </x:c>
      <x:c r="N1201" s="240" t="n">
        <x:f>K1201^2/(1-M1201)^2</x:f>
        <x:v>0.000008687561828763532</x:v>
      </x:c>
      <x:c r="O1201" s="240" t="n">
        <x:f>N1201*L1201^2/'Beta HC3'!$E$11^2</x:f>
        <x:v>5.701481571078648e-9</x:v>
      </x:c>
      <x:c r="P1201" s="240" t="n">
        <x:f>N1201*(1/'Beta HC3'!$E$8-'Beta HC3'!$E$9*L1201/'Beta HC3'!$E$11)^2</x:f>
        <x:v>5.317620566417195e-12</x:v>
      </x:c>
      <x:c r="Q1201" s="240" t="n">
        <x:f>N1201*(1/'Beta HC3'!$E$8-'Beta HC3'!$E$9*L1201/'Beta HC3'!$E$11)*L1201/'Beta HC3'!$E$11</x:f>
        <x:v>1.7412155427004562e-10</x:v>
      </x:c>
      <x:c r="R1201" s="240" t="n">
        <x:f>K1201*L1201/'Beta HC3'!$E$11</x:f>
        <x:v>-0.00007544074333130228</x:v>
      </x:c>
      <x:c r="S1201" s="240" t="n">
        <x:f>(K1201-K1200)^2</x:f>
        <x:v>0.000015608291391612805</x:v>
      </x:c>
      <x:c r="T1201" s="280" t="n">
        <x:f>E1201/$E$9*100</x:f>
        <x:v>135.83376902821922</x:v>
      </x:c>
    </x:row>
    <x:row r="1202" ht="24" customHeight="1">
      <x:c r="C1202" s="274" t="d">
        <x:v>2026-07-13T00:00:00.000Z</x:v>
      </x:c>
      <x:c r="D1202" s="191" t="n">
        <x:v>390.989990234375</x:v>
      </x:c>
      <x:c r="E1202" s="191" t="n">
        <x:v>390.2553405761719</x:v>
      </x:c>
      <x:c r="F1202" s="191" t="n">
        <x:v>749.1699829101562</x:v>
      </x:c>
      <x:c r="G1202" s="191" t="n">
        <x:v>747.3142700195312</x:v>
      </x:c>
      <x:c r="H1202" s="208" t="n">
        <x:f>E1202/E1201-1</x:f>
        <x:v>0.015294738983264056</x:v>
      </x:c>
      <x:c r="I1202" s="208" t="n">
        <x:f>G1202/G1201-1</x:f>
        <x:v>-0.007656140611366324</x:v>
      </x:c>
      <x:c r="J1202" s="208" t="n">
        <x:f>'Beta HC3'!$E$13+'Beta HC3'!$E$12*I1202</x:f>
        <x:v>-0.008625553818656945</x:v>
      </x:c>
      <x:c r="K1202" s="240" t="n">
        <x:f>H1202-J1202</x:f>
        <x:v>0.023920292801921</x:v>
      </x:c>
      <x:c r="L1202" s="240" t="n">
        <x:f>I1202-'Beta HC3'!$E$9</x:f>
        <x:v>-0.008220088229026763</x:v>
      </x:c>
      <x:c r="M1202" s="240" t="n">
        <x:f>1/'Beta HC3'!$E$8+L1202^2/'Beta HC3'!$E$11</x:f>
        <x:v>0.00125888545852061</x:v>
      </x:c>
      <x:c r="N1202" s="240" t="n">
        <x:f>K1202^2/(1-M1202)^2</x:f>
        <x:v>0.0005736237518547016</x:v>
      </x:c>
      <x:c r="O1202" s="240" t="n">
        <x:f>N1202*L1202^2/'Beta HC3'!$E$11^2</x:f>
        <x:v>0.000001812570078737123</x:v>
      </x:c>
      <x:c r="P1202" s="240" t="n">
        <x:f>N1202*(1/'Beta HC3'!$E$8-'Beta HC3'!$E$9*L1202/'Beta HC3'!$E$11)^2</x:f>
        <x:v>3.9375541396950195e-10</x:v>
      </x:c>
      <x:c r="Q1202" s="240" t="n">
        <x:f>N1202*(1/'Beta HC3'!$E$8-'Beta HC3'!$E$9*L1202/'Beta HC3'!$E$11)*L1202/'Beta HC3'!$E$11</x:f>
        <x:v>-2.6715337948486983e-8</x:v>
      </x:c>
      <x:c r="R1202" s="240" t="n">
        <x:f>K1202*L1202/'Beta HC3'!$E$11</x:f>
        <x:v>-0.001344622368940597</x:v>
      </x:c>
      <x:c r="S1202" s="240" t="n">
        <x:f>(K1202-K1201)^2</x:f>
        <x:v>0.0007217351226217121</x:v>
      </x:c>
      <x:c r="T1202" s="280" t="n">
        <x:f>E1202/$E$9*100</x:f>
        <x:v>137.9113110706188</x:v>
      </x:c>
    </x:row>
    <x:row r="1203" ht="24" customHeight="1">
      <x:c r="C1203" s="274" t="d">
        <x:v>2026-07-14T00:00:00.000Z</x:v>
      </x:c>
      <x:c r="D1203" s="191" t="n">
        <x:v>384.92999267578125</x:v>
      </x:c>
      <x:c r="E1203" s="191" t="n">
        <x:v>384.20672607421875</x:v>
      </x:c>
      <x:c r="F1203" s="191" t="n">
        <x:v>751.8300170898438</x:v>
      </x:c>
      <x:c r="G1203" s="191" t="n">
        <x:v>749.9677124023438</x:v>
      </x:c>
      <x:c r="H1203" s="208" t="n">
        <x:f>E1203/E1202-1</x:f>
        <x:v>-0.015499120378526965</x:v>
      </x:c>
      <x:c r="I1203" s="208" t="n">
        <x:f>G1203/G1202-1</x:f>
        <x:v>0.0035506379166867497</x:v>
      </x:c>
      <x:c r="J1203" s="208" t="n">
        <x:f>'Beta HC3'!$E$13+'Beta HC3'!$E$12*I1203</x:f>
        <x:v>0.004013582506858762</x:v>
      </x:c>
      <x:c r="K1203" s="240" t="n">
        <x:f>H1203-J1203</x:f>
        <x:v>-0.019512702885385726</x:v>
      </x:c>
      <x:c r="L1203" s="240" t="n">
        <x:f>I1203-'Beta HC3'!$E$9</x:f>
        <x:v>0.0029866902990263104</x:v>
      </x:c>
      <x:c r="M1203" s="240" t="n">
        <x:f>1/'Beta HC3'!$E$8+L1203^2/'Beta HC3'!$E$11</x:f>
        <x:v>0.0008578138599040005</x:v>
      </x:c>
      <x:c r="N1203" s="240" t="n">
        <x:f>K1203^2/(1-M1203)^2</x:f>
        <x:v>0.0003813996330252158</x:v>
      </x:c>
      <x:c r="O1203" s="240" t="n">
        <x:f>N1203*L1203^2/'Beta HC3'!$E$11^2</x:f>
        <x:v>1.5910190377213807e-7</x:v>
      </x:c>
      <x:c r="P1203" s="240" t="n">
        <x:f>N1203*(1/'Beta HC3'!$E$8-'Beta HC3'!$E$9*L1203/'Beta HC3'!$E$11)^2</x:f>
        <x:v>2.3520437006665075e-10</x:v>
      </x:c>
      <x:c r="Q1203" s="240" t="n">
        <x:f>N1203*(1/'Beta HC3'!$E$8-'Beta HC3'!$E$9*L1203/'Beta HC3'!$E$11)*L1203/'Beta HC3'!$E$11</x:f>
        <x:v>6.1173084811157456e-9</x:v>
      </x:c>
      <x:c r="R1203" s="240" t="n">
        <x:f>K1203*L1203/'Beta HC3'!$E$11</x:f>
        <x:v>-0.00039853363874337136</x:v>
      </x:c>
      <x:c r="S1203" s="240" t="n">
        <x:f>(K1203-K1202)^2</x:f>
        <x:v>0.0018864251143736047</x:v>
      </x:c>
      <x:c r="T1203" s="280" t="n">
        <x:f>E1203/$E$9*100</x:f>
        <x:v>135.7738070587748</x:v>
      </x:c>
    </x:row>
    <x:row r="1204" ht="24" customHeight="1">
      <x:c r="C1204" s="274" t="d">
        <x:v>2026-07-15T00:00:00.000Z</x:v>
      </x:c>
      <x:c r="D1204" s="191" t="n">
        <x:v>395.6300048828125</x:v>
      </x:c>
      <x:c r="E1204" s="191" t="n">
        <x:v>394.8866271972656</x:v>
      </x:c>
      <x:c r="F1204" s="191" t="n">
        <x:v>754.8099975585938</x:v>
      </x:c>
      <x:c r="G1204" s="191" t="n">
        <x:v>752.9403076171875</x:v>
      </x:c>
      <x:c r="H1204" s="208" t="n">
        <x:f>E1204/E1203-1</x:f>
        <x:v>0.02779727786697772</x:v>
      </x:c>
      <x:c r="I1204" s="208" t="n">
        <x:f>G1204/G1203-1</x:f>
        <x:v>0.003963630921285599</x:v>
      </x:c>
      <x:c r="J1204" s="208" t="n">
        <x:f>'Beta HC3'!$E$13+'Beta HC3'!$E$12*I1204</x:f>
        <x:v>0.004479360863550891</x:v>
      </x:c>
      <x:c r="K1204" s="240" t="n">
        <x:f>H1204-J1204</x:f>
        <x:v>0.02331791700342683</x:v>
      </x:c>
      <x:c r="L1204" s="240" t="n">
        <x:f>I1204-'Beta HC3'!$E$9</x:f>
        <x:v>0.00339968330362516</x:v>
      </x:c>
      <x:c r="M1204" s="240" t="n">
        <x:f>1/'Beta HC3'!$E$8+L1204^2/'Beta HC3'!$E$11</x:f>
        <x:v>0.0008758504476148062</x:v>
      </x:c>
      <x:c r="N1204" s="240" t="n">
        <x:f>K1204^2/(1-M1204)^2</x:f>
        <x:v>0.0005446789501524452</x:v>
      </x:c>
      <x:c r="O1204" s="240" t="n">
        <x:f>N1204*L1204^2/'Beta HC3'!$E$11^2</x:f>
        <x:v>2.943962266632963e-7</x:v>
      </x:c>
      <x:c r="P1204" s="240" t="n">
        <x:f>N1204*(1/'Beta HC3'!$E$8-'Beta HC3'!$E$9*L1204/'Beta HC3'!$E$11)^2</x:f>
        <x:v>3.3453554163673416e-10</x:v>
      </x:c>
      <x:c r="Q1204" s="240" t="n">
        <x:f>N1204*(1/'Beta HC3'!$E$8-'Beta HC3'!$E$9*L1204/'Beta HC3'!$E$11)*L1204/'Beta HC3'!$E$11</x:f>
        <x:v>9.924011343333733e-9</x:v>
      </x:c>
      <x:c r="R1204" s="240" t="n">
        <x:f>K1204*L1204/'Beta HC3'!$E$11</x:f>
        <x:v>0.000542107699968343</x:v>
      </x:c>
      <x:c r="S1204" s="240" t="n">
        <x:f>(K1204-K1203)^2</x:f>
        <x:v>0.0018344620000599453</x:v>
      </x:c>
      <x:c r="T1204" s="280" t="n">
        <x:f>E1204/$E$9*100</x:f>
        <x:v>139.547949300645</x:v>
      </x:c>
    </x:row>
    <x:row r="1205" ht="24" customHeight="1">
      <x:c r="C1205" s="274" t="d">
        <x:v>2026-07-16T00:00:00.000Z</x:v>
      </x:c>
      <x:c r="D1205" s="191" t="n">
        <x:v>401.1000061035156</x:v>
      </x:c>
      <x:c r="E1205" s="191" t="n">
        <x:v>400.3463439941406</x:v>
      </x:c>
      <x:c r="F1205" s="191" t="n">
        <x:v>750.719970703125</x:v>
      </x:c>
      <x:c r="G1205" s="191" t="n">
        <x:v>748.8604125976562</x:v>
      </x:c>
      <x:c r="H1205" s="208" t="n">
        <x:f>E1205/E1204-1</x:f>
        <x:v>0.013826036185691448</x:v>
      </x:c>
      <x:c r="I1205" s="208" t="n">
        <x:f>G1205/G1204-1</x:f>
        <x:v>-0.005418616825605738</x:v>
      </x:c>
      <x:c r="J1205" s="208" t="n">
        <x:f>'Beta HC3'!$E$13+'Beta HC3'!$E$12*I1205</x:f>
        <x:v>-0.006102048237724836</x:v>
      </x:c>
      <x:c r="K1205" s="240" t="n">
        <x:f>H1205-J1205</x:f>
        <x:v>0.019928084423416283</x:v>
      </x:c>
      <x:c r="L1205" s="240" t="n">
        <x:f>I1205-'Beta HC3'!$E$9</x:f>
        <x:v>-0.005982564443266177</x:v>
      </x:c>
      <x:c r="M1205" s="240" t="n">
        <x:f>1/'Beta HC3'!$E$8+L1205^2/'Beta HC3'!$E$11</x:f>
        <x:v>0.0010415680644606485</x:v>
      </x:c>
      <x:c r="N1205" s="240" t="n">
        <x:f>K1205^2/(1-M1205)^2</x:f>
        <x:v>0.0003979571159033446</x:v>
      </x:c>
      <x:c r="O1205" s="240" t="n">
        <x:f>N1205*L1205^2/'Beta HC3'!$E$11^2</x:f>
        <x:v>6.660790413840863e-7</x:v>
      </x:c>
      <x:c r="P1205" s="240" t="n">
        <x:f>N1205*(1/'Beta HC3'!$E$8-'Beta HC3'!$E$9*L1205/'Beta HC3'!$E$11)^2</x:f>
        <x:v>2.675110915274271e-10</x:v>
      </x:c>
      <x:c r="Q1205" s="240" t="n">
        <x:f>N1205*(1/'Beta HC3'!$E$8-'Beta HC3'!$E$9*L1205/'Beta HC3'!$E$11)*L1205/'Beta HC3'!$E$11</x:f>
        <x:v>-1.3348540422240898e-8</x:v>
      </x:c>
      <x:c r="R1205" s="240" t="n">
        <x:f>K1205*L1205/'Beta HC3'!$E$11</x:f>
        <x:v>-0.0008152865941946163</x:v>
      </x:c>
      <x:c r="S1205" s="240" t="n">
        <x:f>(K1205-K1204)^2</x:f>
        <x:v>0.00001149096492050095</x:v>
      </x:c>
      <x:c r="T1205" s="280" t="n">
        <x:f>E1205/$E$9*100</x:f>
        <x:v>141.47734429731474</x:v>
      </x:c>
    </x:row>
    <x:row r="1206" ht="24" customHeight="1">
      <x:c r="C1206" s="274" t="d">
        <x:v>2026-07-17T00:00:00.000Z</x:v>
      </x:c>
      <x:c r="D1206" s="191" t="n">
        <x:v>393.82000732421875</x:v>
      </x:c>
      <x:c r="E1206" s="191" t="n">
        <x:v>393.08001708984375</x:v>
      </x:c>
      <x:c r="F1206" s="191" t="n">
        <x:v>743.2899780273438</x:v>
      </x:c>
      <x:c r="G1206" s="191" t="n">
        <x:v>741.4487915039062</x:v>
      </x:c>
      <x:c r="H1206" s="208" t="n">
        <x:f>E1206/E1205-1</x:f>
        <x:v>-0.01815010181385157</x:v>
      </x:c>
      <x:c r="I1206" s="208" t="n">
        <x:f>G1206/G1205-1</x:f>
        <x:v>-0.009897199757215702</x:v>
      </x:c>
      <x:c r="J1206" s="208" t="n">
        <x:f>'Beta HC3'!$E$13+'Beta HC3'!$E$12*I1206</x:f>
        <x:v>-0.0111530466201815</x:v>
      </x:c>
      <x:c r="K1206" s="240" t="n">
        <x:f>H1206-J1206</x:f>
        <x:v>-0.006997055193670072</x:v>
      </x:c>
      <x:c r="L1206" s="240" t="n">
        <x:f>I1206-'Beta HC3'!$E$9</x:f>
        <x:v>-0.010461147374876141</x:v>
      </x:c>
      <x:c r="M1206" s="240" t="n">
        <x:f>1/'Beta HC3'!$E$8+L1206^2/'Beta HC3'!$E$11</x:f>
        <x:v>0.001545182116010789</x:v>
      </x:c>
      <x:c r="N1206" s="240" t="n">
        <x:f>K1206^2/(1-M1206)^2</x:f>
        <x:v>0.00004911043325414311</x:v>
      </x:c>
      <x:c r="O1206" s="240" t="n">
        <x:f>N1206*L1206^2/'Beta HC3'!$E$11^2</x:f>
        <x:v>2.5133161917683937e-7</x:v>
      </x:c>
      <x:c r="P1206" s="240" t="n">
        <x:f>N1206*(1/'Beta HC3'!$E$8-'Beta HC3'!$E$9*L1206/'Beta HC3'!$E$11)^2</x:f>
        <x:v>3.4418108004612407e-11</x:v>
      </x:c>
      <x:c r="Q1206" s="240" t="n">
        <x:f>N1206*(1/'Beta HC3'!$E$8-'Beta HC3'!$E$9*L1206/'Beta HC3'!$E$11)*L1206/'Beta HC3'!$E$11</x:f>
        <x:v>-2.9411492335144394e-9</x:v>
      </x:c>
      <x:c r="R1206" s="240" t="n">
        <x:f>K1206*L1206/'Beta HC3'!$E$11</x:f>
        <x:v>0.0005005552047545403</x:v>
      </x:c>
      <x:c r="S1206" s="240" t="n">
        <x:f>(K1206-K1205)^2</x:f>
        <x:v>0.0007249631433995931</x:v>
      </x:c>
      <x:c r="T1206" s="280" t="n">
        <x:f>E1206/$E$9*100</x:f>
        <x:v>138.90951609396515</x:v>
      </x:c>
    </x:row>
    <x:row r="1207" ht="24" customHeight="1">
      <x:c r="C1207" s="274" t="d">
        <x:v>2026-07-20T00:00:00.000Z</x:v>
      </x:c>
      <x:c r="D1207" s="191" t="n">
        <x:v>402.2900085449219</x:v>
      </x:c>
      <x:c r="E1207" s="191" t="n">
        <x:v>401.53411865234375</x:v>
      </x:c>
      <x:c r="F1207" s="191" t="n">
        <x:v>742.0900268554688</x:v>
      </x:c>
      <x:c r="G1207" s="191" t="n">
        <x:v>740.2518310546875</x:v>
      </x:c>
      <x:c r="H1207" s="208" t="n">
        <x:f>E1207/E1206-1</x:f>
        <x:v>0.02150732979277281</x:v>
      </x:c>
      <x:c r="I1207" s="208" t="n">
        <x:f>G1207/G1206-1</x:f>
        <x:v>-0.0016143534967409945</x:v>
      </x:c>
      <x:c r="J1207" s="208" t="n">
        <x:f>'Beta HC3'!$E$13+'Beta HC3'!$E$12*I1207</x:f>
        <x:v>-0.0018115554157849567</x:v>
      </x:c>
      <x:c r="K1207" s="240" t="n">
        <x:f>H1207-J1207</x:f>
        <x:v>0.02331888520855777</x:v>
      </x:c>
      <x:c r="L1207" s="240" t="n">
        <x:f>I1207-'Beta HC3'!$E$9</x:f>
        <x:v>-0.0021783011144014337</x:v>
      </x:c>
      <x:c r="M1207" s="240" t="n">
        <x:f>1/'Beta HC3'!$E$8+L1207^2/'Beta HC3'!$E$11</x:f>
        <x:v>0.0008292611416604962</x:v>
      </x:c>
      <x:c r="N1207" s="240" t="n">
        <x:f>K1207^2/(1-M1207)^2</x:f>
        <x:v>0.0005446733857595601</x:v>
      </x:c>
      <x:c r="O1207" s="240" t="n">
        <x:f>N1207*L1207^2/'Beta HC3'!$E$11^2</x:f>
        <x:v>1.2086114522398106e-7</x:v>
      </x:c>
      <x:c r="P1207" s="240" t="n">
        <x:f>N1207*(1/'Beta HC3'!$E$8-'Beta HC3'!$E$9*L1207/'Beta HC3'!$E$11)^2</x:f>
        <x:v>3.531491498726302e-10</x:v>
      </x:c>
      <x:c r="Q1207" s="240" t="n">
        <x:f>N1207*(1/'Beta HC3'!$E$8-'Beta HC3'!$E$9*L1207/'Beta HC3'!$E$11)*L1207/'Beta HC3'!$E$11</x:f>
        <x:v>-6.533147073844382e-9</x:v>
      </x:c>
      <x:c r="R1207" s="240" t="n">
        <x:f>K1207*L1207/'Beta HC3'!$E$11</x:f>
        <x:v>-0.00034736260223937684</x:v>
      </x:c>
      <x:c r="S1207" s="240" t="n">
        <x:f>(K1207-K1206)^2</x:f>
        <x:v>0.0009190562424714303</x:v>
      </x:c>
      <x:c r="T1207" s="280" t="n">
        <x:f>E1207/$E$9*100</x:f>
        <x:v>141.89708886795253</x:v>
      </x:c>
    </x:row>
    <x:row r="1208" ht="24" customHeight="1">
      <x:c r="C1208" s="274" t="d">
        <x:v>2026-07-21T00:00:00.000Z</x:v>
      </x:c>
      <x:c r="D1208" s="191" t="n">
        <x:v>397.75</x:v>
      </x:c>
      <x:c r="E1208" s="191" t="n">
        <x:v>397.00262451171875</x:v>
      </x:c>
      <x:c r="F1208" s="191" t="n">
        <x:v>748.280029296875</x:v>
      </x:c>
      <x:c r="G1208" s="191" t="n">
        <x:v>746.426513671875</x:v>
      </x:c>
      <x:c r="H1208" s="208" t="n">
        <x:f>E1208/E1207-1</x:f>
        <x:v>-0.011285452294400034</x:v>
      </x:c>
      <x:c r="I1208" s="208" t="n">
        <x:f>G1208/G1207-1</x:f>
        <x:v>0.008341327043244195</x:v>
      </x:c>
      <x:c r="J1208" s="208" t="n">
        <x:f>'Beta HC3'!$E$13+'Beta HC3'!$E$12*I1208</x:f>
        <x:v>0.00941657791826577</x:v>
      </x:c>
      <x:c r="K1208" s="240" t="n">
        <x:f>H1208-J1208</x:f>
        <x:v>-0.020702030212665805</x:v>
      </x:c>
      <x:c r="L1208" s="240" t="n">
        <x:f>I1208-'Beta HC3'!$E$9</x:f>
        <x:v>0.007777379425583756</x:v>
      </x:c>
      <x:c r="M1208" s="240" t="n">
        <x:f>1/'Beta HC3'!$E$8+L1208^2/'Beta HC3'!$E$11</x:f>
        <x:v>0.0012104540878481505</x:v>
      </x:c>
      <x:c r="N1208" s="240" t="n">
        <x:f>K1208^2/(1-M1208)^2</x:f>
        <x:v>0.0004296134802435547</x:v>
      </x:c>
      <x:c r="O1208" s="240" t="n">
        <x:f>N1208*L1208^2/'Beta HC3'!$E$11^2</x:f>
        <x:v>0.0000012152319987618708</x:v>
      </x:c>
      <x:c r="P1208" s="240" t="n">
        <x:f>N1208*(1/'Beta HC3'!$E$8-'Beta HC3'!$E$9*L1208/'Beta HC3'!$E$11)^2</x:f>
        <x:v>2.526176757458524e-10</x:v>
      </x:c>
      <x:c r="Q1208" s="240" t="n">
        <x:f>N1208*(1/'Beta HC3'!$E$8-'Beta HC3'!$E$9*L1208/'Beta HC3'!$E$11)*L1208/'Beta HC3'!$E$11</x:f>
        <x:v>1.7521103932663903e-8</x:v>
      </x:c>
      <x:c r="R1208" s="240" t="n">
        <x:f>K1208*L1208/'Beta HC3'!$E$11</x:f>
        <x:v>-0.0011010412409340213</x:v>
      </x:c>
      <x:c r="S1208" s="240" t="n">
        <x:f>(K1208-K1207)^2</x:f>
        <x:v>0.0019378409945225198</x:v>
      </x:c>
      <x:c r="T1208" s="280" t="n">
        <x:f>E1208/$E$9*100</x:f>
        <x:v>140.295716040819</x:v>
      </x:c>
    </x:row>
    <x:row r="1209" ht="24" customHeight="1">
      <x:c r="C1209" s="274" t="d">
        <x:v>2026-07-22T00:00:00.000Z</x:v>
      </x:c>
      <x:c r="D1209" s="191" t="n">
        <x:v>390.3399963378906</x:v>
      </x:c>
      <x:c r="E1209" s="191" t="n">
        <x:v>389.6065673828125</x:v>
      </x:c>
      <x:c r="F1209" s="191" t="n">
        <x:v>747.4099731445312</x:v>
      </x:c>
      <x:c r="G1209" s="191" t="n">
        <x:v>745.55859375</x:v>
      </x:c>
      <x:c r="H1209" s="208" t="n">
        <x:f>E1209/E1208-1</x:f>
        <x:v>-0.01862974366480019</x:v>
      </x:c>
      <x:c r="I1209" s="208" t="n">
        <x:f>G1209/G1208-1</x:f>
        <x:v>-0.001162766737217713</x:v>
      </x:c>
      <x:c r="J1209" s="208" t="n">
        <x:f>'Beta HC3'!$E$13+'Beta HC3'!$E$12*I1209</x:f>
        <x:v>-0.001302250569425669</x:v>
      </x:c>
      <x:c r="K1209" s="240" t="n">
        <x:f>H1209-J1209</x:f>
        <x:v>-0.017327493095374524</x:v>
      </x:c>
      <x:c r="L1209" s="240" t="n">
        <x:f>I1209-'Beta HC3'!$E$9</x:f>
        <x:v>-0.0017267143548781523</x:v>
      </x:c>
      <x:c r="M1209" s="240" t="n">
        <x:f>1/'Beta HC3'!$E$8+L1209^2/'Beta HC3'!$E$11</x:f>
        <x:v>0.0008172018632986573</x:v>
      </x:c>
      <x:c r="N1209" s="240" t="n">
        <x:f>K1209^2/(1-M1209)^2</x:f>
        <x:v>0.0003007333358196263</x:v>
      </x:c>
      <x:c r="O1209" s="240" t="n">
        <x:f>N1209*L1209^2/'Beta HC3'!$E$11^2</x:f>
        <x:v>4.1931200200454706e-8</x:v>
      </x:c>
      <x:c r="P1209" s="240" t="n">
        <x:f>N1209*(1/'Beta HC3'!$E$8-'Beta HC3'!$E$9*L1209/'Beta HC3'!$E$11)^2</x:f>
        <x:v>1.941435291370771e-10</x:v>
      </x:c>
      <x:c r="Q1209" s="240" t="n">
        <x:f>N1209*(1/'Beta HC3'!$E$8-'Beta HC3'!$E$9*L1209/'Beta HC3'!$E$11)*L1209/'Beta HC3'!$E$11</x:f>
        <x:v>-2.853186146726076e-9</x:v>
      </x:c>
      <x:c r="R1209" s="240" t="n">
        <x:f>K1209*L1209/'Beta HC3'!$E$11</x:f>
        <x:v>0.00020460375288110865</x:v>
      </x:c>
      <x:c r="S1209" s="240" t="n">
        <x:f>(K1209-K1208)^2</x:f>
        <x:v>0.00001138750075597655</x:v>
      </x:c>
      <x:c r="T1209" s="280" t="n">
        <x:f>E1209/$E$9*100</x:f>
        <x:v>137.68204281370896</x:v>
      </x:c>
    </x:row>
    <x:row r="1210" ht="24" customHeight="1">
      <x:c r="C1210" s="274" t="d">
        <x:v>2026-07-23T00:00:00.000Z</x:v>
      </x:c>
      <x:c r="D1210" s="191" t="n">
        <x:v>381.5799865722656</x:v>
      </x:c>
      <x:c r="E1210" s="191" t="n">
        <x:v>380.8630065917969</x:v>
      </x:c>
      <x:c r="F1210" s="191" t="n">
        <x:v>738.1799926757812</x:v>
      </x:c>
      <x:c r="G1210" s="191" t="n">
        <x:v>736.3515014648438</x:v>
      </x:c>
      <x:c r="H1210" s="208" t="n">
        <x:f>E1210/E1209-1</x:f>
        <x:v>-0.022442026195170772</x:v>
      </x:c>
      <x:c r="I1210" s="208" t="n">
        <x:f>G1210/G1209-1</x:f>
        <x:v>-0.012349253784127878</x:v>
      </x:c>
      <x:c r="J1210" s="208" t="n">
        <x:f>'Beta HC3'!$E$13+'Beta HC3'!$E$12*I1210</x:f>
        <x:v>-0.013918501924405923</x:v>
      </x:c>
      <x:c r="K1210" s="240" t="n">
        <x:f>H1210-J1210</x:f>
        <x:v>-0.008523524270764849</x:v>
      </x:c>
      <x:c r="L1210" s="240" t="n">
        <x:f>I1210-'Beta HC3'!$E$9</x:f>
        <x:v>-0.012913201401788317</x:v>
      </x:c>
      <x:c r="M1210" s="240" t="n">
        <x:f>1/'Beta HC3'!$E$8+L1210^2/'Beta HC3'!$E$11</x:f>
        <x:v>0.0019371287294374507</x:v>
      </x:c>
      <x:c r="N1210" s="240" t="n">
        <x:f>K1210^2/(1-M1210)^2</x:f>
        <x:v>0.00007293275257718652</x:v>
      </x:c>
      <x:c r="O1210" s="240" t="n">
        <x:f>N1210*L1210^2/'Beta HC3'!$E$11^2</x:f>
        <x:v>5.687287417927655e-7</x:v>
      </x:c>
      <x:c r="P1210" s="240" t="n">
        <x:f>N1210*(1/'Beta HC3'!$E$8-'Beta HC3'!$E$9*L1210/'Beta HC3'!$E$11)^2</x:f>
        <x:v>5.227478996114951e-11</x:v>
      </x:c>
      <x:c r="Q1210" s="240" t="n">
        <x:f>N1210*(1/'Beta HC3'!$E$8-'Beta HC3'!$E$9*L1210/'Beta HC3'!$E$11)*L1210/'Beta HC3'!$E$11</x:f>
        <x:v>-5.4525384475568495e-9</x:v>
      </x:c>
      <x:c r="R1210" s="240" t="n">
        <x:f>K1210*L1210/'Beta HC3'!$E$11</x:f>
        <x:v>0.0007526801939463002</x:v>
      </x:c>
      <x:c r="S1210" s="240" t="n">
        <x:f>(K1210-K1209)^2</x:f>
        <x:v>0.00007750986706469906</x:v>
      </x:c>
      <x:c r="T1210" s="280" t="n">
        <x:f>E1210/$E$9*100</x:f>
        <x:v>134.59217880227908</x:v>
      </x:c>
    </x:row>
    <x:row r="1211" ht="24" customHeight="1">
      <x:c r="C1211" s="274" t="d">
        <x:v>2026-07-24T00:00:00.000Z</x:v>
      </x:c>
      <x:c r="D1211" s="191" t="n">
        <x:v>381.70001220703125</x:v>
      </x:c>
      <x:c r="E1211" s="191" t="n">
        <x:v>380.9828186035156</x:v>
      </x:c>
      <x:c r="F1211" s="191" t="n">
        <x:v>738.9299926757812</x:v>
      </x:c>
      <x:c r="G1211" s="191" t="n">
        <x:v>737.099609375</x:v>
      </x:c>
      <x:c r="H1211" s="208" t="n">
        <x:f>E1211/E1210-1</x:f>
        <x:v>0.0003145803337292197</x:v>
      </x:c>
      <x:c r="I1211" s="208" t="n">
        <x:f>G1211/G1210-1</x:f>
        <x:v>0.0010159657563921787</x:v>
      </x:c>
      <x:c r="J1211" s="208" t="n">
        <x:f>'Beta HC3'!$E$13+'Beta HC3'!$E$12*I1211</x:f>
        <x:v>0.0011549495023553684</x:v>
      </x:c>
      <x:c r="K1211" s="240" t="n">
        <x:f>H1211-J1211</x:f>
        <x:v>-0.0008403691686261487</x:v>
      </x:c>
      <x:c r="L1211" s="240" t="n">
        <x:f>I1211-'Beta HC3'!$E$9</x:f>
        <x:v>0.0004520181387317393</x:v>
      </x:c>
      <x:c r="M1211" s="240" t="n">
        <x:f>1/'Beta HC3'!$E$8+L1211^2/'Beta HC3'!$E$11</x:f>
        <x:v>0.0007982099828161885</x:v>
      </x:c>
      <x:c r="N1211" s="240" t="n">
        <x:f>K1211^2/(1-M1211)^2</x:f>
        <x:v>7.073491151476656e-7</x:v>
      </x:c>
      <x:c r="O1211" s="240" t="n">
        <x:f>N1211*L1211^2/'Beta HC3'!$E$11^2</x:f>
        <x:v>6.758654760203536e-12</x:v>
      </x:c>
      <x:c r="P1211" s="240" t="n">
        <x:f>N1211*(1/'Beta HC3'!$E$8-'Beta HC3'!$E$9*L1211/'Beta HC3'!$E$11)^2</x:f>
        <x:v>4.471405271008537e-13</x:v>
      </x:c>
      <x:c r="Q1211" s="240" t="n">
        <x:f>N1211*(1/'Beta HC3'!$E$8-'Beta HC3'!$E$9*L1211/'Beta HC3'!$E$11)*L1211/'Beta HC3'!$E$11</x:f>
        <x:v>1.738409748008249e-12</x:v>
      </x:c>
      <x:c r="R1211" s="240" t="n">
        <x:f>K1211*L1211/'Beta HC3'!$E$11</x:f>
        <x:v>-0.0000025976661477193832</x:v>
      </x:c>
      <x:c r="S1211" s="240" t="n">
        <x:f>(K1211-K1210)^2</x:f>
        <x:v>0.00005903087232351995</x:v>
      </x:c>
      <x:c r="T1211" s="280" t="n">
        <x:f>E1211/$E$9*100</x:f>
        <x:v>134.63451885480404</x:v>
      </x:c>
    </x:row>
    <x:row r="1212" ht="24" customHeight="1">
      <x:c r="C1212" s="274" t="d">
        <x:v>2026-07-27T00:00:00.000Z</x:v>
      </x:c>
      <x:c r="D1212" s="191" t="n">
        <x:v>389.1000061035156</x:v>
      </x:c>
      <x:c r="E1212" s="191" t="n">
        <x:v>388.368896484375</x:v>
      </x:c>
      <x:c r="F1212" s="191" t="n">
        <x:v>739.0900268554688</x:v>
      </x:c>
      <x:c r="G1212" s="191" t="n">
        <x:v>737.25927734375</x:v>
      </x:c>
      <x:c r="H1212" s="208" t="n">
        <x:f>E1212/E1211-1</x:f>
        <x:v>0.019386905446111324</x:v>
      </x:c>
      <x:c r="I1212" s="208" t="n">
        <x:f>G1212/G1211-1</x:f>
        <x:v>0.00021661654234961247</x:v>
      </x:c>
      <x:c r="J1212" s="208" t="n">
        <x:f>'Beta HC3'!$E$13+'Beta HC3'!$E$12*I1212</x:f>
        <x:v>0.000253434079106167</x:v>
      </x:c>
      <x:c r="K1212" s="240" t="n">
        <x:f>H1212-J1212</x:f>
        <x:v>0.019133471367005158</x:v>
      </x:c>
      <x:c r="L1212" s="240" t="n">
        <x:f>I1212-'Beta HC3'!$E$9</x:f>
        <x:v>-0.0003473310753108269</x:v>
      </x:c>
      <x:c r="M1212" s="240" t="n">
        <x:f>1/'Beta HC3'!$E$8+L1212^2/'Beta HC3'!$E$11</x:f>
        <x:v>0.0007976377313273521</x:v>
      </x:c>
      <x:c r="N1212" s="240" t="n">
        <x:f>K1212^2/(1-M1212)^2</x:f>
        <x:v>0.00036667444000112857</x:v>
      </x:c>
      <x:c r="O1212" s="240" t="n">
        <x:f>N1212*L1212^2/'Beta HC3'!$E$11^2</x:f>
        <x:v>2.0686291582040773e-9</x:v>
      </x:c>
      <x:c r="P1212" s="240" t="n">
        <x:f>N1212*(1/'Beta HC3'!$E$8-'Beta HC3'!$E$9*L1212/'Beta HC3'!$E$11)^2</x:f>
        <x:v>2.335888512714624e-10</x:v>
      </x:c>
      <x:c r="Q1212" s="240" t="n">
        <x:f>N1212*(1/'Beta HC3'!$E$8-'Beta HC3'!$E$9*L1212/'Beta HC3'!$E$11)*L1212/'Beta HC3'!$E$11</x:f>
        <x:v>-6.951321520197024e-10</x:v>
      </x:c>
      <x:c r="R1212" s="240" t="n">
        <x:f>K1212*L1212/'Beta HC3'!$E$11</x:f>
        <x:v>-0.00004544590675717908</x:v>
      </x:c>
      <x:c r="S1212" s="240" t="n">
        <x:f>(K1212-K1211)^2</x:f>
        <x:v>0.00039895430574282833</x:v>
      </x:c>
      <x:c r="T1212" s="280" t="n">
        <x:f>E1212/$E$9*100</x:f>
        <x:v>137.2446655416248</x:v>
      </x:c>
    </x:row>
    <x:row r="1213" ht="24" customHeight="1">
      <x:c r="C1213" s="274" t="d">
        <x:v>2026-07-28T00:00:00.000Z</x:v>
      </x:c>
      <x:c r="D1213" s="191" t="n">
        <x:v>393.3500061035156</x:v>
      </x:c>
      <x:c r="E1213" s="191" t="n">
        <x:v>392.61090087890625</x:v>
      </x:c>
      <x:c r="F1213" s="191" t="n">
        <x:v>740.8599853515625</x:v>
      </x:c>
      <x:c r="G1213" s="191" t="n">
        <x:v>739.0248413085938</x:v>
      </x:c>
      <x:c r="H1213" s="208" t="n">
        <x:f>E1213/E1212-1</x:f>
        <x:v>0.01092261618510415</x:v>
      </x:c>
      <x:c r="I1213" s="208" t="n">
        <x:f>G1213/G1212-1</x:f>
        <x:v>0.0023947666975516757</x:v>
      </x:c>
      <x:c r="J1213" s="208" t="n">
        <x:f>'Beta HC3'!$E$13+'Beta HC3'!$E$12*I1213</x:f>
        <x:v>0.0027099773827976323</x:v>
      </x:c>
      <x:c r="K1213" s="240" t="n">
        <x:f>H1213-J1213</x:f>
        <x:v>0.008212638802306518</x:v>
      </x:c>
      <x:c r="L1213" s="240" t="n">
        <x:f>I1213-'Beta HC3'!$E$9</x:f>
        <x:v>0.0018308190798912364</x:v>
      </x:c>
      <x:c r="M1213" s="240" t="n">
        <x:f>1/'Beta HC3'!$E$8+L1213^2/'Beta HC3'!$E$11</x:f>
        <x:v>0.0008197345227261636</x:v>
      </x:c>
      <x:c r="N1213" s="240" t="n">
        <x:f>K1213^2/(1-M1213)^2</x:f>
        <x:v>0.00006755815019647447</x:v>
      </x:c>
      <x:c r="O1213" s="240" t="n">
        <x:f>N1213*L1213^2/'Beta HC3'!$E$11^2</x:f>
        <x:v>1.0589692077563674e-8</x:v>
      </x:c>
      <x:c r="P1213" s="240" t="n">
        <x:f>N1213*(1/'Beta HC3'!$E$8-'Beta HC3'!$E$9*L1213/'Beta HC3'!$E$11)^2</x:f>
        <x:v>4.213658969526071e-11</x:v>
      </x:c>
      <x:c r="Q1213" s="240" t="n">
        <x:f>N1213*(1/'Beta HC3'!$E$8-'Beta HC3'!$E$9*L1213/'Beta HC3'!$E$11)*L1213/'Beta HC3'!$E$11</x:f>
        <x:v>6.679921482109304e-10</x:v>
      </x:c>
      <x:c r="R1213" s="240" t="n">
        <x:f>K1213*L1213/'Beta HC3'!$E$11</x:f>
        <x:v>0.00010282187374824857</x:v>
      </x:c>
      <x:c r="S1213" s="240" t="n">
        <x:f>(K1213-K1212)^2</x:f>
        <x:v>0.00011926458390618228</x:v>
      </x:c>
      <x:c r="T1213" s="280" t="n">
        <x:f>E1213/$E$9*100</x:f>
        <x:v>138.74373634678898</x:v>
      </x:c>
    </x:row>
    <x:row r="1214" ht="24" customHeight="1">
      <x:c r="C1214" s="274" t="d">
        <x:v>2026-07-29T00:00:00.000Z</x:v>
      </x:c>
      <x:c r="D1214" s="191" t="n">
        <x:v>390.5400085449219</x:v>
      </x:c>
      <x:c r="E1214" s="191" t="n">
        <x:v>389.8061828613281</x:v>
      </x:c>
      <x:c r="F1214" s="191" t="n">
        <x:v>729.4600219726562</x:v>
      </x:c>
      <x:c r="G1214" s="191" t="n">
        <x:v>727.6531372070312</x:v>
      </x:c>
      <x:c r="H1214" s="208" t="n">
        <x:f>E1214/E1213-1</x:f>
        <x:v>-0.007143759919297832</x:v>
      </x:c>
      <x:c r="I1214" s="208" t="n">
        <x:f>G1214/G1213-1</x:f>
        <x:v>-0.015387445003102407</x:v>
      </x:c>
      <x:c r="J1214" s="208" t="n">
        <x:f>'Beta HC3'!$E$13+'Beta HC3'!$E$12*I1214</x:f>
        <x:v>-0.017345009631636838</x:v>
      </x:c>
      <x:c r="K1214" s="240" t="n">
        <x:f>H1214-J1214</x:f>
        <x:v>0.010201249712339006</x:v>
      </x:c>
      <x:c r="L1214" s="240" t="n">
        <x:f>I1214-'Beta HC3'!$E$9</x:f>
        <x:v>-0.015951392620762846</x:v>
      </x:c>
      <x:c r="M1214" s="240" t="n">
        <x:f>1/'Beta HC3'!$E$8+L1214^2/'Beta HC3'!$E$11</x:f>
        <x:v>0.0025368340738627874</x:v>
      </x:c>
      <x:c r="N1214" s="240" t="n">
        <x:f>K1214^2/(1-M1214)^2</x:f>
        <x:v>0.00010459550545068526</x:v>
      </x:c>
      <x:c r="O1214" s="240" t="n">
        <x:f>N1214*L1214^2/'Beta HC3'!$E$11^2</x:f>
        <x:v>0.0000012445861254440681</x:v>
      </x:c>
      <x:c r="P1214" s="240" t="n">
        <x:f>N1214*(1/'Beta HC3'!$E$8-'Beta HC3'!$E$9*L1214/'Beta HC3'!$E$11)^2</x:f>
        <x:v>7.705863177036226e-11</x:v>
      </x:c>
      <x:c r="Q1214" s="240" t="n">
        <x:f>N1214*(1/'Beta HC3'!$E$8-'Beta HC3'!$E$9*L1214/'Beta HC3'!$E$11)*L1214/'Beta HC3'!$E$11</x:f>
        <x:v>-9.793166186024637e-9</x:v>
      </x:c>
      <x:c r="R1214" s="240" t="n">
        <x:f>K1214*L1214/'Beta HC3'!$E$11</x:f>
        <x:v>-0.0011127800852055462</x:v>
      </x:c>
      <x:c r="S1214" s="240" t="n">
        <x:f>(K1214-K1213)^2</x:f>
        <x:v>0.000003954573351500242</x:v>
      </x:c>
      <x:c r="T1214" s="280" t="n">
        <x:f>E1214/$E$9*100</x:f>
        <x:v>137.75258440402115</x:v>
      </x:c>
    </x:row>
    <x:row r="1215" ht="24" customHeight="1">
      <x:c r="C1215" s="274" t="d">
        <x:v>2026-07-30T00:00:00.000Z</x:v>
      </x:c>
      <x:c r="D1215" s="191" t="n">
        <x:v>451.1000061035156</x:v>
      </x:c>
      <x:c r="E1215" s="191" t="n">
        <x:v>450.2524108886719</x:v>
      </x:c>
      <x:c r="F1215" s="191" t="n">
        <x:v>741.6900024414062</x:v>
      </x:c>
      <x:c r="G1215" s="191" t="n">
        <x:v>739.852783203125</x:v>
      </x:c>
      <x:c r="H1215" s="208" t="n">
        <x:f>E1215/E1214-1</x:f>
        <x:v>0.15506739165511707</x:v>
      </x:c>
      <x:c r="I1215" s="208" t="n">
        <x:f>G1215/G1214-1</x:f>
        <x:v>0.01676574369337569</x:v>
      </x:c>
      <x:c r="J1215" s="208" t="n">
        <x:f>'Beta HC3'!$E$13+'Beta HC3'!$E$12*I1215</x:f>
        <x:v>0.01891773386931983</x:v>
      </x:c>
      <x:c r="K1215" s="240" t="n">
        <x:f>H1215-J1215</x:f>
        <x:v>0.13614965778579724</x:v>
      </x:c>
      <x:c r="L1215" s="240" t="n">
        <x:f>I1215-'Beta HC3'!$E$9</x:f>
        <x:v>0.01620179607571525</x:v>
      </x:c>
      <x:c r="M1215" s="240" t="n">
        <x:f>1/'Beta HC3'!$E$8+L1215^2/'Beta HC3'!$E$11</x:f>
        <x:v>0.002591892238162725</x:v>
      </x:c>
      <x:c r="N1215" s="240" t="n">
        <x:f>K1215^2/(1-M1215)^2</x:f>
        <x:v>0.018633194604084535</x:v>
      </x:c>
      <x:c r="O1215" s="240" t="n">
        <x:f>N1215*L1215^2/'Beta HC3'!$E$11^2</x:f>
        <x:v>0.00022873275755988618</x:v>
      </x:c>
      <x:c r="P1215" s="240" t="n">
        <x:f>N1215*(1/'Beta HC3'!$E$8-'Beta HC3'!$E$9*L1215/'Beta HC3'!$E$11)^2</x:f>
        <x:v>1.0047777390193038e-8</x:v>
      </x:c>
      <x:c r="Q1215" s="240" t="n">
        <x:f>N1215*(1/'Beta HC3'!$E$8-'Beta HC3'!$E$9*L1215/'Beta HC3'!$E$11)*L1215/'Beta HC3'!$E$11</x:f>
        <x:v>0.000001515999943867654</x:v>
      </x:c>
      <x:c r="R1215" s="240" t="n">
        <x:f>K1215*L1215/'Beta HC3'!$E$11</x:f>
        <x:v>0.015084713880184846</x:v>
      </x:c>
      <x:c r="S1215" s="240" t="n">
        <x:f>(K1215-K1214)^2</x:f>
        <x:v>0.015863001496238358</x:v>
      </x:c>
      <x:c r="T1215" s="280" t="n">
        <x:f>E1215/$E$9*100</x:f>
        <x:v>159.11351836130407</x:v>
      </x:c>
    </x:row>
    <x:row r="1216" ht="24" customHeight="1">
      <x:c r="C1216" s="274" t="d">
        <x:v>2026-07-31T00:00:00.000Z</x:v>
      </x:c>
      <x:c r="D1216" s="191" t="n">
        <x:v>464.7200012207031</x:v>
      </x:c>
      <x:c r="E1216" s="191" t="n">
        <x:v>463.8468017578125</x:v>
      </x:c>
      <x:c r="F1216" s="191" t="n">
        <x:v>747.030029296875</x:v>
      </x:c>
      <x:c r="G1216" s="191" t="n">
        <x:v>745.1796264648438</x:v>
      </x:c>
      <x:c r="H1216" s="208" t="n">
        <x:f>E1216/E1215-1</x:f>
        <x:v>0.030192821938052727</x:v>
      </x:c>
      <x:c r="I1216" s="208" t="n">
        <x:f>G1216/G1215-1</x:f>
        <x:v>0.007199869193782904</x:v>
      </x:c>
      <x:c r="J1216" s="208" t="n">
        <x:f>'Beta HC3'!$E$13+'Beta HC3'!$E$12*I1216</x:f>
        <x:v>0.008129228361650804</x:v>
      </x:c>
      <x:c r="K1216" s="240" t="n">
        <x:f>H1216-J1216</x:f>
        <x:v>0.022063593576401926</x:v>
      </x:c>
      <x:c r="L1216" s="240" t="n">
        <x:f>I1216-'Beta HC3'!$E$9</x:f>
        <x:v>0.006635921576122464</x:v>
      </x:c>
      <x:c r="M1216" s="240" t="n">
        <x:f>1/'Beta HC3'!$E$8+L1216^2/'Beta HC3'!$E$11</x:f>
        <x:v>0.0010979467893219642</x:v>
      </x:c>
      <x:c r="N1216" s="240" t="n">
        <x:f>K1216^2/(1-M1216)^2</x:f>
        <x:v>0.0004878728903272071</x:v>
      </x:c>
      <x:c r="O1216" s="240" t="n">
        <x:f>N1216*L1216^2/'Beta HC3'!$E$11^2</x:f>
        <x:v>0.0000010046710748991727</x:v>
      </x:c>
      <x:c r="P1216" s="240" t="n">
        <x:f>N1216*(1/'Beta HC3'!$E$8-'Beta HC3'!$E$9*L1216/'Beta HC3'!$E$11)^2</x:f>
        <x:v>2.9017804599977283e-10</x:v>
      </x:c>
      <x:c r="Q1216" s="240" t="n">
        <x:f>N1216*(1/'Beta HC3'!$E$8-'Beta HC3'!$E$9*L1216/'Beta HC3'!$E$11)*L1216/'Beta HC3'!$E$11</x:f>
        <x:v>1.707435179989956e-8</x:v>
      </x:c>
      <x:c r="R1216" s="240" t="n">
        <x:f>K1216*L1216/'Beta HC3'!$E$11</x:f>
        <x:v>0.0010012323083356956</x:v>
      </x:c>
      <x:c r="S1216" s="240" t="n">
        <x:f>(K1216-K1215)^2</x:f>
        <x:v>0.013015630046790272</x:v>
      </x:c>
      <x:c r="T1216" s="280" t="n">
        <x:f>E1216/$E$9*100</x:f>
        <x:v>163.91760448912402</x:v>
      </x:c>
    </x:row>
    <x:row r="1217" ht="24" customHeight="1">
      <x:c r="C1217" s="274" t="d">
        <x:v>2026-08-03T00:00:00.000Z</x:v>
      </x:c>
      <x:c r="D1217" s="191" t="n">
        <x:v>487.6499938964844</x:v>
      </x:c>
      <x:c r="E1217" s="191" t="n">
        <x:v>486.73370361328125</x:v>
      </x:c>
      <x:c r="F1217" s="191" t="n">
        <x:v>757.6699829101562</x:v>
      </x:c>
      <x:c r="G1217" s="191" t="n">
        <x:v>755.793212890625</x:v>
      </x:c>
      <x:c r="H1217" s="208" t="n">
        <x:f>E1217/E1216-1</x:f>
        <x:v>0.04934151053480518</x:v>
      </x:c>
      <x:c r="I1217" s="208" t="n">
        <x:f>G1217/G1216-1</x:f>
        <x:v>0.014242990614400597</x:v>
      </x:c>
      <x:c r="J1217" s="208" t="n">
        <x:f>'Beta HC3'!$E$13+'Beta HC3'!$E$12*I1217</x:f>
        <x:v>0.016072543344588363</x:v>
      </x:c>
      <x:c r="K1217" s="240" t="n">
        <x:f>H1217-J1217</x:f>
        <x:v>0.03326896719021681</x:v>
      </x:c>
      <x:c r="L1217" s="240" t="n">
        <x:f>I1217-'Beta HC3'!$E$9</x:f>
        <x:v>0.013679042996740158</x:v>
      </x:c>
      <x:c r="M1217" s="240" t="n">
        <x:f>1/'Beta HC3'!$E$8+L1217^2/'Beta HC3'!$E$11</x:f>
        <x:v>0.0020763967186972435</x:v>
      </x:c>
      <x:c r="N1217" s="240" t="n">
        <x:f>K1217^2/(1-M1217)^2</x:f>
        <x:v>0.0011114349457861151</x:v>
      </x:c>
      <x:c r="O1217" s="240" t="n">
        <x:f>N1217*L1217^2/'Beta HC3'!$E$11^2</x:f>
        <x:v>0.000009725461073056993</x:v>
      </x:c>
      <x:c r="P1217" s="240" t="n">
        <x:f>N1217*(1/'Beta HC3'!$E$8-'Beta HC3'!$E$9*L1217/'Beta HC3'!$E$11)^2</x:f>
        <x:v>6.153171317132262e-10</x:v>
      </x:c>
      <x:c r="Q1217" s="240" t="n">
        <x:f>N1217*(1/'Beta HC3'!$E$8-'Beta HC3'!$E$9*L1217/'Beta HC3'!$E$11)*L1217/'Beta HC3'!$E$11</x:f>
        <x:v>7.735788784643789e-8</x:v>
      </x:c>
      <x:c r="R1217" s="240" t="n">
        <x:f>K1217*L1217/'Beta HC3'!$E$11</x:f>
        <x:v>0.0031120917680423515</x:v>
      </x:c>
      <x:c r="S1217" s="240" t="n">
        <x:f>(K1217-K1216)^2</x:f>
        <x:v>0.00012556039782517887</x:v>
      </x:c>
      <x:c r="T1217" s="280" t="n">
        <x:f>E1217/$E$9*100</x:f>
        <x:v>172.00554669786413</x:v>
      </x:c>
    </x:row>
    <x:row r="1218" ht="24" customHeight="1">
      <x:c r="C1218" s="274" t="d">
        <x:v>2026-08-04T00:00:00.000Z</x:v>
      </x:c>
      <x:c r="D1218" s="191" t="n">
        <x:v>492.80999755859375</x:v>
      </x:c>
      <x:c r="E1218" s="191" t="n">
        <x:v>491.884033203125</x:v>
      </x:c>
      <x:c r="F1218" s="191" t="n">
        <x:v>771.3300170898438</x:v>
      </x:c>
      <x:c r="G1218" s="191" t="n">
        <x:v>769.4193725585938</x:v>
      </x:c>
      <x:c r="H1218" s="208" t="n">
        <x:f>E1218/E1217-1</x:f>
        <x:v>0.010581411460949042</x:v>
      </x:c>
      <x:c r="I1218" s="208" t="n">
        <x:f>G1218/G1217-1</x:f>
        <x:v>0.01802895214665101</x:v>
      </x:c>
      <x:c r="J1218" s="208" t="n">
        <x:f>'Beta HC3'!$E$13+'Beta HC3'!$E$12*I1218</x:f>
        <x:v>0.0203423951855513</x:v>
      </x:c>
      <x:c r="K1218" s="240" t="n">
        <x:f>H1218-J1218</x:f>
        <x:v>-0.009760983724602258</x:v>
      </x:c>
      <x:c r="L1218" s="240" t="n">
        <x:f>I1218-'Beta HC3'!$E$9</x:f>
        <x:v>0.017465004528990573</x:v>
      </x:c>
      <x:c r="M1218" s="240" t="n">
        <x:f>1/'Beta HC3'!$E$8+L1218^2/'Beta HC3'!$E$11</x:f>
        <x:v>0.002882718908776144</x:v>
      </x:c>
      <x:c r="N1218" s="240" t="n">
        <x:f>K1218^2/(1-M1218)^2</x:f>
        <x:v>0.00009582850018956002</x:v>
      </x:c>
      <x:c r="O1218" s="240" t="n">
        <x:f>N1218*L1218^2/'Beta HC3'!$E$11^2</x:f>
        <x:v>0.0000013669317122303301</x:v>
      </x:c>
      <x:c r="P1218" s="240" t="n">
        <x:f>N1218*(1/'Beta HC3'!$E$8-'Beta HC3'!$E$9*L1218/'Beta HC3'!$E$11)^2</x:f>
        <x:v>5.099127843380922e-11</x:v>
      </x:c>
      <x:c r="Q1218" s="240" t="n">
        <x:f>N1218*(1/'Beta HC3'!$E$8-'Beta HC3'!$E$9*L1218/'Beta HC3'!$E$11)*L1218/'Beta HC3'!$E$11</x:f>
        <x:v>8.348748141987536e-9</x:v>
      </x:c>
      <x:c r="R1218" s="240" t="n">
        <x:f>K1218*L1218/'Beta HC3'!$E$11</x:f>
        <x:v>-0.0011657881933432532</x:v>
      </x:c>
      <x:c r="S1218" s="240" t="n">
        <x:f>(K1218-K1217)^2</x:f>
        <x:v>0.001851576675731738</x:v>
      </x:c>
      <x:c r="T1218" s="280" t="n">
        <x:f>E1218/$E$9*100</x:f>
        <x:v>173.82560816103972</x:v>
      </x:c>
    </x:row>
    <x:row r="1219" ht="24" customHeight="1">
      <x:c r="C1219" s="274" t="d">
        <x:v>2026-08-05T00:00:00.000Z</x:v>
      </x:c>
      <x:c r="D1219" s="191" t="n">
        <x:v>487.4599914550781</x:v>
      </x:c>
      <x:c r="E1219" s="191" t="n">
        <x:v>486.5440673828125</x:v>
      </x:c>
      <x:c r="F1219" s="191" t="n">
        <x:v>769.7899780273438</x:v>
      </x:c>
      <x:c r="G1219" s="191" t="n">
        <x:v>767.8831787109375</x:v>
      </x:c>
      <x:c r="H1219" s="208" t="n">
        <x:f>E1219/E1218-1</x:f>
        <x:v>-0.010856147912626679</x:v>
      </x:c>
      <x:c r="I1219" s="208" t="n">
        <x:f>G1219/G1218-1</x:f>
        <x:v>-0.0019965624761277834</x:v>
      </x:c>
      <x:c r="J1219" s="208" t="n">
        <x:f>'Beta HC3'!$E$13+'Beta HC3'!$E$12*I1219</x:f>
        <x:v>-0.0022426151876197703</x:v>
      </x:c>
      <x:c r="K1219" s="240" t="n">
        <x:f>H1219-J1219</x:f>
        <x:v>-0.008613532725006909</x:v>
      </x:c>
      <x:c r="L1219" s="240" t="n">
        <x:f>I1219-'Beta HC3'!$E$9</x:f>
        <x:v>-0.0025605100937882226</x:v>
      </x:c>
      <x:c r="M1219" s="240" t="n">
        <x:f>1/'Beta HC3'!$E$8+L1219^2/'Beta HC3'!$E$11</x:f>
        <x:v>0.0008416470440832138</x:v>
      </x:c>
      <x:c r="N1219" s="240" t="n">
        <x:f>K1219^2/(1-M1219)^2</x:f>
        <x:v>0.0000743179923973944</x:v>
      </x:c>
      <x:c r="O1219" s="240" t="n">
        <x:f>N1219*L1219^2/'Beta HC3'!$E$11^2</x:f>
        <x:v>2.2785663346696983e-8</x:v>
      </x:c>
      <x:c r="P1219" s="240" t="n">
        <x:f>N1219*(1/'Beta HC3'!$E$8-'Beta HC3'!$E$9*L1219/'Beta HC3'!$E$11)^2</x:f>
        <x:v>4.8362031718577043e-11</x:v>
      </x:c>
      <x:c r="Q1219" s="240" t="n">
        <x:f>N1219*(1/'Beta HC3'!$E$8-'Beta HC3'!$E$9*L1219/'Beta HC3'!$E$11)*L1219/'Beta HC3'!$E$11</x:f>
        <x:v>-1.049743289334006e-9</x:v>
      </x:c>
      <x:c r="R1219" s="240" t="n">
        <x:f>K1219*L1219/'Beta HC3'!$E$11</x:f>
        <x:v>0.0001508221618826793</x:v>
      </x:c>
      <x:c r="S1219" s="240" t="n">
        <x:f>(K1219-K1218)^2</x:f>
        <x:v>0.000001316643796472365</x:v>
      </x:c>
      <x:c r="T1219" s="280" t="n">
        <x:f>E1219/$E$9*100</x:f>
        <x:v>171.9385316478412</x:v>
      </x:c>
    </x:row>
    <x:row r="1220" ht="24" customHeight="1">
      <x:c r="C1220" s="274" t="d">
        <x:v>2026-08-06T00:00:00.000Z</x:v>
      </x:c>
      <x:c r="D1220" s="191" t="n">
        <x:v>499.8599853515625</x:v>
      </x:c>
      <x:c r="E1220" s="191" t="n">
        <x:v>498.9207458496094</x:v>
      </x:c>
      <x:c r="F1220" s="191" t="n">
        <x:v>768.5599975585938</x:v>
      </x:c>
      <x:c r="G1220" s="191" t="n">
        <x:v>766.65625</x:v>
      </x:c>
      <x:c r="H1220" s="208" t="n">
        <x:f>E1220/E1219-1</x:f>
        <x:v>0.025437939328646575</x:v>
      </x:c>
      <x:c r="I1220" s="208" t="n">
        <x:f>G1220/G1219-1</x:f>
        <x:v>-0.0015978064697251826</x:v>
      </x:c>
      <x:c r="J1220" s="208" t="n">
        <x:f>'Beta HC3'!$E$13+'Beta HC3'!$E$12*I1220</x:f>
        <x:v>-0.0017928934845518807</x:v>
      </x:c>
      <x:c r="K1220" s="240" t="n">
        <x:f>H1220-J1220</x:f>
        <x:v>0.027230832813198456</x:v>
      </x:c>
      <x:c r="L1220" s="240" t="n">
        <x:f>I1220-'Beta HC3'!$E$9</x:f>
        <x:v>-0.002161754087385622</x:v>
      </x:c>
      <x:c r="M1220" s="240" t="n">
        <x:f>1/'Beta HC3'!$E$8+L1220^2/'Beta HC3'!$E$11</x:f>
        <x:v>0.0008287700386563601</x:v>
      </x:c>
      <x:c r="N1220" s="240" t="n">
        <x:f>K1220^2/(1-M1220)^2</x:f>
        <x:v>0.0007427488815746237</x:v>
      </x:c>
      <x:c r="O1220" s="240" t="n">
        <x:f>N1220*L1220^2/'Beta HC3'!$E$11^2</x:f>
        <x:v>1.6231898073956775e-7</x:v>
      </x:c>
      <x:c r="P1220" s="240" t="n">
        <x:f>N1220*(1/'Beta HC3'!$E$8-'Beta HC3'!$E$9*L1220/'Beta HC3'!$E$11)^2</x:f>
        <x:v>4.814987647885117e-10</x:v>
      </x:c>
      <x:c r="Q1220" s="240" t="n">
        <x:f>N1220*(1/'Beta HC3'!$E$8-'Beta HC3'!$E$9*L1220/'Beta HC3'!$E$11)*L1220/'Beta HC3'!$E$11</x:f>
        <x:v>-8.84061020110219e-9</x:v>
      </x:c>
      <x:c r="R1220" s="240" t="n">
        <x:f>K1220*L1220/'Beta HC3'!$E$11</x:f>
        <x:v>-0.0004025543963417395</x:v>
      </x:c>
      <x:c r="S1220" s="240" t="n">
        <x:f>(K1220-K1219)^2</x:f>
        <x:v>0.0012848185408364844</x:v>
      </x:c>
      <x:c r="T1220" s="280" t="n">
        <x:f>E1220/$E$9*100</x:f>
        <x:v>176.31229358415555</x:v>
      </x:c>
    </x:row>
    <x:row r="1221" ht="24" customHeight="1">
      <x:c r="C1221" s="274" t="d">
        <x:v>2026-08-07T00:00:00.000Z</x:v>
      </x:c>
      <x:c r="D1221" s="191" t="n">
        <x:v>499.989990234375</x:v>
      </x:c>
      <x:c r="E1221" s="191" t="n">
        <x:v>499.0505065917969</x:v>
      </x:c>
      <x:c r="F1221" s="191" t="n">
        <x:v>773.260009765625</x:v>
      </x:c>
      <x:c r="G1221" s="191" t="n">
        <x:v>771.3446044921875</x:v>
      </x:c>
      <x:c r="H1221" s="208" t="n">
        <x:f>E1221/E1220-1</x:f>
        <x:v>0.00026008287542045316</x:v>
      </x:c>
      <x:c r="I1221" s="208" t="n">
        <x:f>G1221/G1220-1</x:f>
        <x:v>0.0061153280785064545</x:v>
      </x:c>
      <x:c r="J1221" s="208" t="n">
        <x:f>'Beta HC3'!$E$13+'Beta HC3'!$E$12*I1221</x:f>
        <x:v>0.00690607016571675</x:v>
      </x:c>
      <x:c r="K1221" s="240" t="n">
        <x:f>H1221-J1221</x:f>
        <x:v>-0.0066459872902962965</x:v>
      </x:c>
      <x:c r="L1221" s="240" t="n">
        <x:f>I1221-'Beta HC3'!$E$9</x:f>
        <x:v>0.005551380460846015</x:v>
      </x:c>
      <x:c r="M1221" s="240" t="n">
        <x:f>1/'Beta HC3'!$E$8+L1221^2/'Beta HC3'!$E$11</x:f>
        <x:v>0.0010075587519179662</x:v>
      </x:c>
      <x:c r="N1221" s="240" t="n">
        <x:f>K1221^2/(1-M1221)^2</x:f>
        <x:v>0.00004425828778329051</x:v>
      </x:c>
      <x:c r="O1221" s="240" t="n">
        <x:f>N1221*L1221^2/'Beta HC3'!$E$11^2</x:f>
        <x:v>6.37839361289157e-8</x:v>
      </x:c>
      <x:c r="P1221" s="240" t="n">
        <x:f>N1221*(1/'Beta HC3'!$E$8-'Beta HC3'!$E$9*L1221/'Beta HC3'!$E$11)^2</x:f>
        <x:v>2.6610336138579613e-11</x:v>
      </x:c>
      <x:c r="Q1221" s="240" t="n">
        <x:f>N1221*(1/'Beta HC3'!$E$8-'Beta HC3'!$E$9*L1221/'Beta HC3'!$E$11)*L1221/'Beta HC3'!$E$11</x:f>
        <x:v>1.3028092648703952e-9</x:v>
      </x:c>
      <x:c r="R1221" s="240" t="n">
        <x:f>K1221*L1221/'Beta HC3'!$E$11</x:f>
        <x:v>-0.0002523003542498367</x:v>
      </x:c>
      <x:c r="S1221" s="240" t="n">
        <x:f>(K1221-K1220)^2</x:f>
        <x:v>0.0011476389403245464</x:v>
      </x:c>
      <x:c r="T1221" s="280" t="n">
        <x:f>E1221/$E$9*100</x:f>
        <x:v>176.3581493924429</x:v>
      </x:c>
    </x:row>
    <x:row r="1222" ht="24" customHeight="1">
      <x:c r="C1222" s="274" t="d">
        <x:v>2026-08-10T00:00:00.000Z</x:v>
      </x:c>
      <x:c r="D1222" s="191" t="n">
        <x:v>506.05999755859375</x:v>
      </x:c>
      <x:c r="E1222" s="191" t="n">
        <x:v>505.109130859375</x:v>
      </x:c>
      <x:c r="F1222" s="191" t="n">
        <x:v>773.030029296875</x:v>
      </x:c>
      <x:c r="G1222" s="191" t="n">
        <x:v>771.1151733398438</x:v>
      </x:c>
      <x:c r="H1222" s="208" t="n">
        <x:f>E1222/E1221-1</x:f>
        <x:v>0.012140302810139891</x:v>
      </x:c>
      <x:c r="I1222" s="208" t="n">
        <x:f>G1222/G1221-1</x:f>
        <x:v>-0.0002974431285415191</x:v>
      </x:c>
      <x:c r="J1222" s="208" t="n">
        <x:f>'Beta HC3'!$E$13+'Beta HC3'!$E$12*I1222</x:f>
        <x:v>-0.00032632844975782633</x:v>
      </x:c>
      <x:c r="K1222" s="240" t="n">
        <x:f>H1222-J1222</x:f>
        <x:v>0.012466631259897717</x:v>
      </x:c>
      <x:c r="L1222" s="240" t="n">
        <x:f>I1222-'Beta HC3'!$E$9</x:f>
        <x:v>-0.0008613907462019585</x:v>
      </x:c>
      <x:c r="M1222" s="240" t="n">
        <x:f>1/'Beta HC3'!$E$8+L1222^2/'Beta HC3'!$E$11</x:f>
        <x:v>0.0008018868343197823</x:v>
      </x:c>
      <x:c r="N1222" s="240" t="n">
        <x:f>K1222^2/(1-M1222)^2</x:f>
        <x:v>0.00015566644862462556</x:v>
      </x:c>
      <x:c r="O1222" s="240" t="n">
        <x:f>N1222*L1222^2/'Beta HC3'!$E$11^2</x:f>
        <x:v>5.401447311625201e-9</x:v>
      </x:c>
      <x:c r="P1222" s="240" t="n">
        <x:f>N1222*(1/'Beta HC3'!$E$8-'Beta HC3'!$E$9*L1222/'Beta HC3'!$E$11)^2</x:f>
        <x:v>9.966008509939023e-11</x:v>
      </x:c>
      <x:c r="Q1222" s="240" t="n">
        <x:f>N1222*(1/'Beta HC3'!$E$8-'Beta HC3'!$E$9*L1222/'Beta HC3'!$E$11)*L1222/'Beta HC3'!$E$11</x:f>
        <x:v>-7.33695235596116e-10</x:v>
      </x:c>
      <x:c r="R1222" s="240" t="n">
        <x:f>K1222*L1222/'Beta HC3'!$E$11</x:f>
        <x:v>-0.00007343560502853094</x:v>
      </x:c>
      <x:c r="S1222" s="240" t="n">
        <x:f>(K1222-K1221)^2</x:f>
        <x:v>0.0003652921878452203</x:v>
      </x:c>
      <x:c r="T1222" s="280" t="n">
        <x:f>E1222/$E$9*100</x:f>
        <x:v>178.49919072910302</x:v>
      </x:c>
    </x:row>
    <x:row r="1223" ht="24" customHeight="1">
      <x:c r="C1223" s="274" t="d">
        <x:v>2026-08-11T00:00:00.000Z</x:v>
      </x:c>
      <x:c r="D1223" s="191" t="n">
        <x:v>503.80999755859375</x:v>
      </x:c>
      <x:c r="E1223" s="191" t="n">
        <x:v>502.86334228515625</x:v>
      </x:c>
      <x:c r="F1223" s="191" t="n">
        <x:v>770.5599975585938</x:v>
      </x:c>
      <x:c r="G1223" s="191" t="n">
        <x:v>768.6513061523438</x:v>
      </x:c>
      <x:c r="H1223" s="208" t="n">
        <x:f>E1223/E1222-1</x:f>
        <x:v>-0.0044461452724045</x:v>
      </x:c>
      <x:c r="I1223" s="208" t="n">
        <x:f>G1223/G1222-1</x:f>
        <x:v>-0.003195199981383512</x:v>
      </x:c>
      <x:c r="J1223" s="208" t="n">
        <x:f>'Beta HC3'!$E$13+'Beta HC3'!$E$12*I1223</x:f>
        <x:v>-0.0035944526309921016</x:v>
      </x:c>
      <x:c r="K1223" s="240" t="n">
        <x:f>H1223-J1223</x:f>
        <x:v>-0.0008516926414123987</x:v>
      </x:c>
      <x:c r="L1223" s="240" t="n">
        <x:f>I1223-'Beta HC3'!$E$9</x:f>
        <x:v>-0.003759147599043951</x:v>
      </x:c>
      <x:c r="M1223" s="240" t="n">
        <x:f>1/'Beta HC3'!$E$8+L1223^2/'Beta HC3'!$E$11</x:f>
        <x:v>0.0008934481198770757</x:v>
      </x:c>
      <x:c r="N1223" s="240" t="n">
        <x:f>K1223^2/(1-M1223)^2</x:f>
        <x:v>7.266782740408234e-7</x:v>
      </x:c>
      <x:c r="O1223" s="240" t="n">
        <x:f>N1223*L1223^2/'Beta HC3'!$E$11^2</x:f>
        <x:v>4.802149265967805e-10</x:v>
      </x:c>
      <x:c r="P1223" s="240" t="n">
        <x:f>N1223*(1/'Beta HC3'!$E$8-'Beta HC3'!$E$9*L1223/'Beta HC3'!$E$11)^2</x:f>
        <x:v>4.783170132964029e-13</x:v>
      </x:c>
      <x:c r="Q1223" s="240" t="n">
        <x:f>N1223*(1/'Beta HC3'!$E$8-'Beta HC3'!$E$9*L1223/'Beta HC3'!$E$11)*L1223/'Beta HC3'!$E$11</x:f>
        <x:v>-1.515569099150954e-11</x:v>
      </x:c>
      <x:c r="R1223" s="240" t="n">
        <x:f>K1223*L1223/'Beta HC3'!$E$11</x:f>
        <x:v>0.00002189422790786459</x:v>
      </x:c>
      <x:c r="S1223" s="240" t="n">
        <x:f>(K1223-K1222)^2</x:f>
        <x:v>0.0001773777515402083</x:v>
      </x:c>
      <x:c r="T1223" s="280" t="n">
        <x:f>E1223/$E$9*100</x:f>
        <x:v>177.7055573961148</x:v>
      </x:c>
    </x:row>
    <x:row r="1224" ht="24" customHeight="1">
      <x:c r="C1224" s="274" t="d">
        <x:v>2026-08-12T00:00:00.000Z</x:v>
      </x:c>
      <x:c r="D1224" s="191" t="n">
        <x:v>492.42999267578125</x:v>
      </x:c>
      <x:c r="E1224" s="191" t="n">
        <x:v>491.5047302246094</x:v>
      </x:c>
      <x:c r="F1224" s="191" t="n">
        <x:v>772.489990234375</x:v>
      </x:c>
      <x:c r="G1224" s="191" t="n">
        <x:v>770.5764770507812</x:v>
      </x:c>
      <x:c r="H1224" s="208" t="n">
        <x:f>E1224/E1223-1</x:f>
        <x:v>-0.022587870511558972</x:v>
      </x:c>
      <x:c r="I1224" s="208" t="n">
        <x:f>G1224/G1223-1</x:f>
        <x:v>0.0025046088948632583</x:v>
      </x:c>
      <x:c r="J1224" s="208" t="n">
        <x:f>'Beta HC3'!$E$13+'Beta HC3'!$E$12*I1224</x:f>
        <x:v>0.0028338587018261144</x:v>
      </x:c>
      <x:c r="K1224" s="240" t="n">
        <x:f>H1224-J1224</x:f>
        <x:v>-0.025421729213385084</x:v>
      </x:c>
      <x:c r="L1224" s="240" t="n">
        <x:f>I1224-'Beta HC3'!$E$9</x:f>
        <x:v>0.001940661277202819</x:v>
      </x:c>
      <x:c r="M1224" s="240" t="n">
        <x:f>1/'Beta HC3'!$E$8+L1224^2/'Beta HC3'!$E$11</x:f>
        <x:v>0.0008225674695563646</x:v>
      </x:c>
      <x:c r="N1224" s="240" t="n">
        <x:f>K1224^2/(1-M1224)^2</x:f>
        <x:v>0.0006473288214661233</x:v>
      </x:c>
      <x:c r="O1224" s="240" t="n">
        <x:f>N1224*L1224^2/'Beta HC3'!$E$11^2</x:f>
        <x:v>1.1400900285016968e-7</x:v>
      </x:c>
      <x:c r="P1224" s="240" t="n">
        <x:f>N1224*(1/'Beta HC3'!$E$8-'Beta HC3'!$E$9*L1224/'Beta HC3'!$E$11)^2</x:f>
        <x:v>4.033114544696477e-10</x:v>
      </x:c>
      <x:c r="Q1224" s="240" t="n">
        <x:f>N1224*(1/'Beta HC3'!$E$8-'Beta HC3'!$E$9*L1224/'Beta HC3'!$E$11)*L1224/'Beta HC3'!$E$11</x:f>
        <x:v>6.7809392241883535e-9</x:v>
      </x:c>
      <x:c r="R1224" s="240" t="n">
        <x:f>K1224*L1224/'Beta HC3'!$E$11</x:f>
        <x:v>-0.0003373744504206929</x:v>
      </x:c>
      <x:c r="S1224" s="240" t="n">
        <x:f>(K1224-K1223)^2</x:f>
        <x:v>0.0006036866971480753</x:v>
      </x:c>
      <x:c r="T1224" s="280" t="n">
        <x:f>E1224/$E$9*100</x:f>
        <x:v>173.69156727646694</x:v>
      </x:c>
    </x:row>
    <x:row r="1225" ht="24" customHeight="1">
      <x:c r="C1225" s="274" t="d">
        <x:v>2026-08-13T00:00:00.000Z</x:v>
      </x:c>
      <x:c r="D1225" s="191" t="n">
        <x:v>496.8800048828125</x:v>
      </x:c>
      <x:c r="E1225" s="191" t="n">
        <x:v>495.9463806152344</x:v>
      </x:c>
      <x:c r="F1225" s="191" t="n">
        <x:v>777.8800048828125</x:v>
      </x:c>
      <x:c r="G1225" s="191" t="n">
        <x:v>775.9531860351562</x:v>
      </x:c>
      <x:c r="H1225" s="208" t="n">
        <x:f>E1225/E1224-1</x:f>
        <x:v>0.00903684159579754</x:v>
      </x:c>
      <x:c r="I1225" s="208" t="n">
        <x:f>G1225/G1224-1</x:f>
        <x:v>0.006977515074108265</x:v>
      </x:c>
      <x:c r="J1225" s="208" t="n">
        <x:f>'Beta HC3'!$E$13+'Beta HC3'!$E$12*I1225</x:f>
        <x:v>0.007878454776353938</x:v>
      </x:c>
      <x:c r="K1225" s="240" t="n">
        <x:f>H1225-J1225</x:f>
        <x:v>0.0011583868194436023</x:v>
      </x:c>
      <x:c r="L1225" s="240" t="n">
        <x:f>I1225-'Beta HC3'!$E$9</x:f>
        <x:v>0.006413567456447825</x:v>
      </x:c>
      <x:c r="M1225" s="240" t="n">
        <x:f>1/'Beta HC3'!$E$8+L1225^2/'Beta HC3'!$E$11</x:f>
        <x:v>0.0010781043048828495</x:v>
      </x:c>
      <x:c r="N1225" s="240" t="n">
        <x:f>K1225^2/(1-M1225)^2</x:f>
        <x:v>0.0000013447580392988258</x:v>
      </x:c>
      <x:c r="O1225" s="240" t="n">
        <x:f>N1225*L1225^2/'Beta HC3'!$E$11^2</x:f>
        <x:v>2.5867723249408943e-9</x:v>
      </x:c>
      <x:c r="P1225" s="240" t="n">
        <x:f>N1225*(1/'Beta HC3'!$E$8-'Beta HC3'!$E$9*L1225/'Beta HC3'!$E$11)^2</x:f>
        <x:v>8.016176206063236e-13</x:v>
      </x:c>
      <x:c r="Q1225" s="240" t="n">
        <x:f>N1225*(1/'Beta HC3'!$E$8-'Beta HC3'!$E$9*L1225/'Beta HC3'!$E$11)*L1225/'Beta HC3'!$E$11</x:f>
        <x:v>4.553682329905554e-11</x:v>
      </x:c>
      <x:c r="R1225" s="240" t="n">
        <x:f>K1225*L1225/'Beta HC3'!$E$11</x:f>
        <x:v>0.000050805488983089506</x:v>
      </x:c>
      <x:c r="S1225" s="240" t="n">
        <x:f>(K1225-K1224)^2</x:f>
        <x:v>0.0007065025683186365</x:v>
      </x:c>
      <x:c r="T1225" s="280" t="n">
        <x:f>E1225/$E$9*100</x:f>
        <x:v>175.2611904564702</x:v>
      </x:c>
    </x:row>
    <x:row r="1226" ht="24" customHeight="1">
      <x:c r="C1226" s="274" t="d">
        <x:v>2026-08-14T00:00:00.000Z</x:v>
      </x:c>
      <x:c r="D1226" s="191" t="n">
        <x:v>495.3999938964844</x:v>
      </x:c>
      <x:c r="E1226" s="191" t="n">
        <x:v>494.4691467285156</x:v>
      </x:c>
      <x:c r="F1226" s="191" t="n">
        <x:v>776.3400268554688</x:v>
      </x:c>
      <x:c r="G1226" s="191" t="n">
        <x:v>774.4169921875</x:v>
      </x:c>
      <x:c r="H1226" s="208" t="n">
        <x:f>E1226/E1225-1</x:f>
        <x:v>-0.002978616125570266</x:v>
      </x:c>
      <x:c r="I1226" s="208" t="n">
        <x:f>G1226/G1225-1</x:f>
        <x:v>-0.0019797506799419384</x:v>
      </x:c>
      <x:c r="J1226" s="208" t="n">
        <x:f>'Beta HC3'!$E$13+'Beta HC3'!$E$12*I1226</x:f>
        <x:v>-0.0022236546466099004</x:v>
      </x:c>
      <x:c r="K1226" s="240" t="n">
        <x:f>H1226-J1226</x:f>
        <x:v>-0.0007549614789603655</x:v>
      </x:c>
      <x:c r="L1226" s="240" t="n">
        <x:f>I1226-'Beta HC3'!$E$9</x:f>
        <x:v>-0.0025436982976023777</x:v>
      </x:c>
      <x:c r="M1226" s="240" t="n">
        <x:f>1/'Beta HC3'!$E$8+L1226^2/'Beta HC3'!$E$11</x:f>
        <x:v>0.0008410602308826615</x:v>
      </x:c>
      <x:c r="N1226" s="240" t="n">
        <x:f>K1226^2/(1-M1226)^2</x:f>
        <x:v>5.709267985004314e-7</x:v>
      </x:c>
      <x:c r="O1226" s="240" t="n">
        <x:f>N1226*L1226^2/'Beta HC3'!$E$11^2</x:f>
        <x:v>1.7275329918340147e-10</x:v>
      </x:c>
      <x:c r="P1226" s="240" t="n">
        <x:f>N1226*(1/'Beta HC3'!$E$8-'Beta HC3'!$E$9*L1226/'Beta HC3'!$E$11)^2</x:f>
        <x:v>3.7146780870251895e-13</x:v>
      </x:c>
      <x:c r="Q1226" s="240" t="n">
        <x:f>N1226*(1/'Beta HC3'!$E$8-'Beta HC3'!$E$9*L1226/'Beta HC3'!$E$11)*L1226/'Beta HC3'!$E$11</x:f>
        <x:v>-8.010760856110286e-12</x:v>
      </x:c>
      <x:c r="R1226" s="240" t="n">
        <x:f>K1226*L1226/'Beta HC3'!$E$11</x:f>
        <x:v>0.000013132510404588901</x:v>
      </x:c>
      <x:c r="S1226" s="240" t="n">
        <x:f>(K1226-K1225)^2</x:f>
        <x:v>0.000003660901711005359</x:v>
      </x:c>
      <x:c r="T1226" s="280" t="n">
        <x:f>E1226/$E$9*100</x:f>
        <x:v>174.73915464838993</x:v>
      </x:c>
    </x:row>
    <x:row r="1227" ht="24" customHeight="1">
      <x:c r="C1227" s="274" t="d">
        <x:v>2026-08-17T00:00:00.000Z</x:v>
      </x:c>
      <x:c r="D1227" s="191" t="n">
        <x:v>480.3500061035156</x:v>
      </x:c>
      <x:c r="E1227" s="191" t="n">
        <x:v>479.44744873046875</x:v>
      </x:c>
      <x:c r="F1227" s="191" t="n">
        <x:v>772.6699829101562</x:v>
      </x:c>
      <x:c r="G1227" s="191" t="n">
        <x:v>770.7560424804688</x:v>
      </x:c>
      <x:c r="H1227" s="208" t="n">
        <x:f>E1227/E1226-1</x:f>
        <x:v>-0.03037944449604746</x:v>
      </x:c>
      <x:c r="I1227" s="208" t="n">
        <x:f>G1227/G1226-1</x:f>
        <x:v>-0.004727362317670902</x:v>
      </x:c>
      <x:c r="J1227" s="208" t="n">
        <x:f>'Beta HC3'!$E$13+'Beta HC3'!$E$12*I1227</x:f>
        <x:v>-0.005322443292419158</x:v>
      </x:c>
      <x:c r="K1227" s="240" t="n">
        <x:f>H1227-J1227</x:f>
        <x:v>-0.0250570012036283</x:v>
      </x:c>
      <x:c r="L1227" s="240" t="n">
        <x:f>I1227-'Beta HC3'!$E$9</x:f>
        <x:v>-0.005291309935331342</x:v>
      </x:c>
      <x:c r="M1227" s="240" t="n">
        <x:f>1/'Beta HC3'!$E$8+L1227^2/'Beta HC3'!$E$11</x:f>
        <x:v>0.0009882752656156487</x:v>
      </x:c>
      <x:c r="N1227" s="240" t="n">
        <x:f>K1227^2/(1-M1227)^2</x:f>
        <x:v>0.0006290961351881854</x:v>
      </x:c>
      <x:c r="O1227" s="240" t="n">
        <x:f>N1227*L1227^2/'Beta HC3'!$E$11^2</x:f>
        <x:v>8.236792806222373e-7</x:v>
      </x:c>
      <x:c r="P1227" s="240" t="n">
        <x:f>N1227*(1/'Beta HC3'!$E$8-'Beta HC3'!$E$9*L1227/'Beta HC3'!$E$11)^2</x:f>
        <x:v>4.201397116827366e-10</x:v>
      </x:c>
      <x:c r="Q1227" s="240" t="n">
        <x:f>N1227*(1/'Beta HC3'!$E$8-'Beta HC3'!$E$9*L1227/'Beta HC3'!$E$11)*L1227/'Beta HC3'!$E$11</x:f>
        <x:v>-1.8602698069894877e-8</x:v>
      </x:c>
      <x:c r="R1227" s="240" t="n">
        <x:f>K1227*L1227/'Beta HC3'!$E$11</x:f>
        <x:v>0.0009066708561436334</x:v>
      </x:c>
      <x:c r="S1227" s="240" t="n">
        <x:f>(K1227-K1226)^2</x:f>
        <x:v>0.0005905891347793383</x:v>
      </x:c>
      <x:c r="T1227" s="280" t="n">
        <x:f>E1227/$E$9*100</x:f>
        <x:v>169.4306761984629</x:v>
      </x:c>
    </x:row>
    <x:row r="1228" ht="24" customHeight="1">
      <x:c r="C1228" s="274" t="d">
        <x:v>2026-08-18T00:00:00.000Z</x:v>
      </x:c>
      <x:c r="D1228" s="191" t="n">
        <x:v>481.6300048828125</x:v>
      </x:c>
      <x:c r="E1228" s="191" t="n">
        <x:v>480.72503662109375</x:v>
      </x:c>
      <x:c r="F1228" s="191" t="n">
        <x:v>767.4500122070312</x:v>
      </x:c>
      <x:c r="G1228" s="191" t="n">
        <x:v>765.5490112304688</x:v>
      </x:c>
      <x:c r="H1228" s="208" t="n">
        <x:f>E1228/E1227-1</x:f>
        <x:v>0.002664708914413838</x:v>
      </x:c>
      <x:c r="I1228" s="208" t="n">
        <x:f>G1228/G1227-1</x:f>
        <x:v>-0.00675574496080833</x:v>
      </x:c>
      <x:c r="J1228" s="208" t="n">
        <x:f>'Beta HC3'!$E$13+'Beta HC3'!$E$12*I1228</x:f>
        <x:v>-0.007610077038615593</x:v>
      </x:c>
      <x:c r="K1228" s="240" t="n">
        <x:f>H1228-J1228</x:f>
        <x:v>0.010274785953029431</x:v>
      </x:c>
      <x:c r="L1228" s="240" t="n">
        <x:f>I1228-'Beta HC3'!$E$9</x:f>
        <x:v>-0.0073196925784687695</x:v>
      </x:c>
      <x:c r="M1228" s="240" t="n">
        <x:f>1/'Beta HC3'!$E$8+L1228^2/'Beta HC3'!$E$11</x:f>
        <x:v>0.0011632022701490866</x:v>
      </x:c>
      <x:c r="N1228" s="240" t="n">
        <x:f>K1228^2/(1-M1228)^2</x:f>
        <x:v>0.00010581725695265678</x:v>
      </x:c>
      <x:c r="O1228" s="240" t="n">
        <x:f>N1228*L1228^2/'Beta HC3'!$E$11^2</x:f>
        <x:v>2.651287992720202e-7</x:v>
      </x:c>
      <x:c r="P1228" s="240" t="n">
        <x:f>N1228*(1/'Beta HC3'!$E$8-'Beta HC3'!$E$9*L1228/'Beta HC3'!$E$11)^2</x:f>
        <x:v>7.20290859609431e-11</x:v>
      </x:c>
      <x:c r="Q1228" s="240" t="n">
        <x:f>N1228*(1/'Beta HC3'!$E$8-'Beta HC3'!$E$9*L1228/'Beta HC3'!$E$11)*L1228/'Beta HC3'!$E$11</x:f>
        <x:v>-4.370009733797623e-9</x:v>
      </x:c>
      <x:c r="R1228" s="240" t="n">
        <x:f>K1228*L1228/'Beta HC3'!$E$11</x:f>
        <x:v>-0.0005143076522465651</x:v>
      </x:c>
      <x:c r="S1228" s="240" t="n">
        <x:f>(K1228-K1227)^2</x:f>
        <x:v>0.0012483351836833642</x:v>
      </x:c>
      <x:c r="T1228" s="280" t="n">
        <x:f>E1228/$E$9*100</x:f>
        <x:v>169.8821596317041</x:v>
      </x:c>
    </x:row>
    <x:row r="1229" ht="24" customHeight="1">
      <x:c r="C1229" s="274" t="d">
        <x:v>2026-08-19T00:00:00.000Z</x:v>
      </x:c>
      <x:c r="D1229" s="191" t="n">
        <x:v>484.30999755859375</x:v>
      </x:c>
      <x:c r="E1229" s="191" t="n">
        <x:v>483.3999938964844</x:v>
      </x:c>
      <x:c r="F1229" s="191" t="n">
        <x:v>769.0599975585938</x:v>
      </x:c>
      <x:c r="G1229" s="191" t="n">
        <x:v>767.1549682617188</x:v>
      </x:c>
      <x:c r="H1229" s="208" t="n">
        <x:f>E1229/E1228-1</x:f>
        <x:v>0.0055644226358424476</x:v>
      </x:c>
      <x:c r="I1229" s="208" t="n">
        <x:f>G1229/G1228-1</x:f>
        <x:v>0.0020977847370853286</x:v>
      </x:c>
      <x:c r="J1229" s="208" t="n">
        <x:f>'Beta HC3'!$E$13+'Beta HC3'!$E$12*I1229</x:f>
        <x:v>0.002375037642964549</x:v>
      </x:c>
      <x:c r="K1229" s="240" t="n">
        <x:f>H1229-J1229</x:f>
        <x:v>0.0031893849928778984</x:v>
      </x:c>
      <x:c r="L1229" s="240" t="n">
        <x:f>I1229-'Beta HC3'!$E$9</x:f>
        <x:v>0.0015338371194248894</x:v>
      </x:c>
      <x:c r="M1229" s="240" t="n">
        <x:f>1/'Beta HC3'!$E$8+L1229^2/'Beta HC3'!$E$11</x:f>
        <x:v>0.0008129012598900564</x:v>
      </x:c>
      <x:c r="N1229" s="240" t="n">
        <x:f>K1229^2/(1-M1229)^2</x:f>
        <x:v>0.000010188734770656141</x:v>
      </x:c>
      <x:c r="O1229" s="240" t="n">
        <x:f>N1229*L1229^2/'Beta HC3'!$E$11^2</x:f>
        <x:v>1.1209686505393645e-9</x:v>
      </x:c>
      <x:c r="P1229" s="240" t="n">
        <x:f>N1229*(1/'Beta HC3'!$E$8-'Beta HC3'!$E$9*L1229/'Beta HC3'!$E$11)^2</x:f>
        <x:v>6.3732451990645595e-12</x:v>
      </x:c>
      <x:c r="Q1229" s="240" t="n">
        <x:f>N1229*(1/'Beta HC3'!$E$8-'Beta HC3'!$E$9*L1229/'Beta HC3'!$E$11)*L1229/'Beta HC3'!$E$11</x:f>
        <x:v>8.45234172898368e-11</x:v>
      </x:c>
      <x:c r="R1229" s="240" t="n">
        <x:f>K1229*L1229/'Beta HC3'!$E$11</x:f>
        <x:v>0.00003345365327775561</x:v>
      </x:c>
      <x:c r="S1229" s="240" t="n">
        <x:f>(K1229-K1228)^2</x:f>
        <x:v>0.00005020290676611627</x:v>
      </x:c>
      <x:c r="T1229" s="280" t="n">
        <x:f>E1229/$E$9*100</x:f>
        <x:v>170.82745576618456</x:v>
      </x:c>
    </x:row>
    <x:row r="1230" ht="24" customHeight="1">
      <x:c r="C1230" s="274" t="d">
        <x:v>2026-08-20T00:00:00.000Z</x:v>
      </x:c>
      <x:c r="D1230" s="191" t="n">
        <x:v>481.1499938964844</x:v>
      </x:c>
      <x:c r="E1230" s="191" t="n">
        <x:v>481.1499938964844</x:v>
      </x:c>
      <x:c r="F1230" s="191" t="n">
        <x:v>762.5999755859375</x:v>
      </x:c>
      <x:c r="G1230" s="191" t="n">
        <x:v>760.7109985351562</x:v>
      </x:c>
      <x:c r="H1230" s="208" t="n">
        <x:f>E1230/E1229-1</x:f>
        <x:v>-0.004654530468367835</x:v>
      </x:c>
      <x:c r="I1230" s="208" t="n">
        <x:f>G1230/G1229-1</x:f>
        <x:v>-0.008399827926766523</x:v>
      </x:c>
      <x:c r="J1230" s="208" t="n">
        <x:f>'Beta HC3'!$E$13+'Beta HC3'!$E$12*I1230</x:f>
        <x:v>-0.009464293099474417</x:v>
      </x:c>
      <x:c r="K1230" s="240" t="n">
        <x:f>H1230-J1230</x:f>
        <x:v>0.004809762631106582</x:v>
      </x:c>
      <x:c r="L1230" s="240" t="n">
        <x:f>I1230-'Beta HC3'!$E$9</x:f>
        <x:v>-0.008963775544426962</x:v>
      </x:c>
      <x:c r="M1230" s="240" t="n">
        <x:f>1/'Beta HC3'!$E$8+L1230^2/'Beta HC3'!$E$11</x:f>
        <x:v>0.00134627683031943</x:v>
      </x:c>
      <x:c r="N1230" s="240" t="n">
        <x:f>K1230^2/(1-M1230)^2</x:f>
        <x:v>0.00002319623162368849</x:v>
      </x:c>
      <x:c r="O1230" s="240" t="n">
        <x:f>N1230*L1230^2/'Beta HC3'!$E$11^2</x:f>
        <x:v>8.71593746866691e-8</x:v>
      </x:c>
      <x:c r="P1230" s="240" t="n">
        <x:f>N1230*(1/'Beta HC3'!$E$8-'Beta HC3'!$E$9*L1230/'Beta HC3'!$E$11)^2</x:f>
        <x:v>1.603313439945709e-11</x:v>
      </x:c>
      <x:c r="Q1230" s="240" t="n">
        <x:f>N1230*(1/'Beta HC3'!$E$8-'Beta HC3'!$E$9*L1230/'Beta HC3'!$E$11)*L1230/'Beta HC3'!$E$11</x:f>
        <x:v>-1.1821328049436764e-9</x:v>
      </x:c>
      <x:c r="R1230" s="240" t="n">
        <x:f>K1230*L1230/'Beta HC3'!$E$11</x:f>
        <x:v>-0.0002948302076895979</x:v>
      </x:c>
      <x:c r="S1230" s="240" t="n">
        <x:f>(K1230-K1229)^2</x:f>
        <x:v>0.000002625623690471568</x:v>
      </x:c>
      <x:c r="T1230" s="280" t="n">
        <x:f>E1230/$E$9*100</x:f>
        <x:v>170.0323341684871</x:v>
      </x:c>
    </x:row>
    <x:row r="1231" ht="24" customHeight="1">
      <x:c r="C1231" s="274" t="d">
        <x:v>2026-08-21T00:00:00.000Z</x:v>
      </x:c>
      <x:c r="D1231" s="191" t="n">
        <x:v>483.239990234375</x:v>
      </x:c>
      <x:c r="E1231" s="191" t="n">
        <x:v>483.239990234375</x:v>
      </x:c>
      <x:c r="F1231" s="191" t="n">
        <x:v>765.719970703125</x:v>
      </x:c>
      <x:c r="G1231" s="191" t="n">
        <x:v>763.8232421875</x:v>
      </x:c>
      <x:c r="H1231" s="208" t="n">
        <x:f>E1231/E1230-1</x:f>
        <x:v>0.004343752186226402</x:v>
      </x:c>
      <x:c r="I1231" s="208" t="n">
        <x:f>G1231/G1230-1</x:f>
        <x:v>0.004091229991858514</x:v>
      </x:c>
      <x:c r="J1231" s="208" t="n">
        <x:f>'Beta HC3'!$E$13+'Beta HC3'!$E$12*I1231</x:f>
        <x:v>0.004623268592604616</x:v>
      </x:c>
      <x:c r="K1231" s="240" t="n">
        <x:f>H1231-J1231</x:f>
        <x:v>-0.00027951640637821455</x:v>
      </x:c>
      <x:c r="L1231" s="240" t="n">
        <x:f>I1231-'Beta HC3'!$E$9</x:f>
        <x:v>0.0035272823741980745</x:v>
      </x:c>
      <x:c r="M1231" s="240" t="n">
        <x:f>1/'Beta HC3'!$E$8+L1231^2/'Beta HC3'!$E$11</x:f>
        <x:v>0.0008818947740082973</x:v>
      </x:c>
      <x:c r="N1231" s="240" t="n">
        <x:f>K1231^2/(1-M1231)^2</x:f>
        <x:v>7.826740779884923e-8</x:v>
      </x:c>
      <x:c r="O1231" s="240" t="n">
        <x:f>N1231*L1231^2/'Beta HC3'!$E$11^2</x:f>
        <x:v>4.5538228247916495e-11</x:v>
      </x:c>
      <x:c r="P1231" s="240" t="n">
        <x:f>N1231*(1/'Beta HC3'!$E$8-'Beta HC3'!$E$9*L1231/'Beta HC3'!$E$11)^2</x:f>
        <x:v>4.801059211273651e-14</x:v>
      </x:c>
      <x:c r="Q1231" s="240" t="n">
        <x:f>N1231*(1/'Beta HC3'!$E$8-'Beta HC3'!$E$9*L1231/'Beta HC3'!$E$11)*L1231/'Beta HC3'!$E$11</x:f>
        <x:v>1.4786200668012776e-12</x:v>
      </x:c>
      <x:c r="R1231" s="240" t="n">
        <x:f>K1231*L1231/'Beta HC3'!$E$11</x:f>
        <x:v>-0.000006742250648984066</x:v>
      </x:c>
      <x:c r="S1231" s="240" t="n">
        <x:f>(K1231-K1230)^2</x:f>
        <x:v>0.00002590076112138218</x:v>
      </x:c>
      <x:c r="T1231" s="280" t="n">
        <x:f>E1231/$E$9*100</x:f>
        <x:v>170.7709124917606</x:v>
      </x:c>
    </x:row>
    <x:row r="1232" ht="24" customHeight="1">
      <x:c r="C1232" s="274" t="d">
        <x:v>2026-08-24T00:00:00.000Z</x:v>
      </x:c>
      <x:c r="D1232" s="191" t="n">
        <x:v>487.30999755859375</x:v>
      </x:c>
      <x:c r="E1232" s="191" t="n">
        <x:v>487.30999755859375</x:v>
      </x:c>
      <x:c r="F1232" s="191" t="n">
        <x:v>763.469970703125</x:v>
      </x:c>
      <x:c r="G1232" s="191" t="n">
        <x:v>761.5787963867188</x:v>
      </x:c>
      <x:c r="H1232" s="208" t="n">
        <x:f>E1232/E1231-1</x:f>
        <x:v>0.00842233136012771</x:v>
      </x:c>
      <x:c r="I1232" s="208" t="n">
        <x:f>G1232/G1231-1</x:f>
        <x:v>-0.0029384361156037375</x:v>
      </x:c>
      <x:c r="J1232" s="208" t="n">
        <x:f>'Beta HC3'!$E$13+'Beta HC3'!$E$12*I1232</x:f>
        <x:v>-0.0033048713302701017</x:v>
      </x:c>
      <x:c r="K1232" s="240" t="n">
        <x:f>H1232-J1232</x:f>
        <x:v>0.011727202690397813</x:v>
      </x:c>
      <x:c r="L1232" s="240" t="n">
        <x:f>I1232-'Beta HC3'!$E$9</x:f>
        <x:v>-0.0035023837332641768</x:v>
      </x:c>
      <x:c r="M1232" s="240" t="n">
        <x:f>1/'Beta HC3'!$E$8+L1232^2/'Beta HC3'!$E$11</x:f>
        <x:v>0.000880697846905251</x:v>
      </x:c>
      <x:c r="N1232" s="240" t="n">
        <x:f>K1232^2/(1-M1232)^2</x:f>
        <x:v>0.00013776984329214132</x:v>
      </x:c>
      <x:c r="O1232" s="240" t="n">
        <x:f>N1232*L1232^2/'Beta HC3'!$E$11^2</x:f>
        <x:v>7.903079333676718e-8</x:v>
      </x:c>
      <x:c r="P1232" s="240" t="n">
        <x:f>N1232*(1/'Beta HC3'!$E$8-'Beta HC3'!$E$9*L1232/'Beta HC3'!$E$11)^2</x:f>
        <x:v>9.046217876924229e-11</x:v>
      </x:c>
      <x:c r="Q1232" s="240" t="n">
        <x:f>N1232*(1/'Beta HC3'!$E$8-'Beta HC3'!$E$9*L1232/'Beta HC3'!$E$11)*L1232/'Beta HC3'!$E$11</x:f>
        <x:v>-2.6738170758497437e-9</x:v>
      </x:c>
      <x:c r="R1232" s="240" t="n">
        <x:f>K1232*L1232/'Beta HC3'!$E$11</x:f>
        <x:v>-0.00028087657455946137</x:v>
      </x:c>
      <x:c r="S1232" s="240" t="n">
        <x:f>(K1232-K1231)^2</x:f>
        <x:v>0.00014416130346888613</x:v>
      </x:c>
      <x:c r="T1232" s="280" t="n">
        <x:f>E1232/$E$9*100</x:f>
        <x:v>172.2092017034376</x:v>
      </x:c>
    </x:row>
    <x:row r="1233" ht="24" customHeight="1">
      <x:c r="C1233" s="274" t="d">
        <x:v>2026-08-25T00:00:00.000Z</x:v>
      </x:c>
      <x:c r="D1233" s="191" t="n">
        <x:v>491.7099914550781</x:v>
      </x:c>
      <x:c r="E1233" s="191" t="n">
        <x:v>491.7099914550781</x:v>
      </x:c>
      <x:c r="F1233" s="191" t="n">
        <x:v>765.9099731445312</x:v>
      </x:c>
      <x:c r="G1233" s="191" t="n">
        <x:v>764.0127563476562</x:v>
      </x:c>
      <x:c r="H1233" s="208" t="n">
        <x:f>E1233/E1232-1</x:f>
        <x:v>0.009029147603226262</x:v>
      </x:c>
      <x:c r="I1233" s="208" t="n">
        <x:f>G1233/G1232-1</x:f>
        <x:v>0.003195939766817757</x:v>
      </x:c>
      <x:c r="J1233" s="208" t="n">
        <x:f>'Beta HC3'!$E$13+'Beta HC3'!$E$12*I1233</x:f>
        <x:v>0.0036135497713692326</x:v>
      </x:c>
      <x:c r="K1233" s="240" t="n">
        <x:f>H1233-J1233</x:f>
        <x:v>0.005415597831857029</x:v>
      </x:c>
      <x:c r="L1233" s="240" t="n">
        <x:f>I1233-'Beta HC3'!$E$9</x:f>
        <x:v>0.0026319921491573177</x:v>
      </x:c>
      <x:c r="M1233" s="240" t="n">
        <x:f>1/'Beta HC3'!$E$8+L1233^2/'Beta HC3'!$E$11</x:f>
        <x:v>0.0008441852747432308</x:v>
      </x:c>
      <x:c r="N1233" s="240" t="n">
        <x:f>K1233^2/(1-M1233)^2</x:f>
        <x:v>0.000029378280363379037</x:v>
      </x:c>
      <x:c r="O1233" s="240" t="n">
        <x:f>N1233*L1233^2/'Beta HC3'!$E$11^2</x:f>
        <x:v>9.517223601384203e-9</x:v>
      </x:c>
      <x:c r="P1233" s="240" t="n">
        <x:f>N1233*(1/'Beta HC3'!$E$8-'Beta HC3'!$E$9*L1233/'Beta HC3'!$E$11)^2</x:f>
        <x:v>1.8180388656074193e-11</x:v>
      </x:c>
      <x:c r="Q1233" s="240" t="n">
        <x:f>N1233*(1/'Beta HC3'!$E$8-'Beta HC3'!$E$9*L1233/'Beta HC3'!$E$11)*L1233/'Beta HC3'!$E$11</x:f>
        <x:v>4.1596493121407115e-10</x:v>
      </x:c>
      <x:c r="R1233" s="240" t="n">
        <x:f>K1233*L1233/'Beta HC3'!$E$11</x:f>
        <x:v>0.0000974739030909326</x:v>
      </x:c>
      <x:c r="S1233" s="240" t="n">
        <x:f>(K1233-K1232)^2</x:f>
        <x:v>0.00003983635589035563</x:v>
      </x:c>
      <x:c r="T1233" s="280" t="n">
        <x:f>E1233/$E$9*100</x:f>
        <x:v>173.7641040042517</x:v>
      </x:c>
    </x:row>
    <x:row r="1234" ht="24" customHeight="1">
      <x:c r="C1234" s="274" t="d">
        <x:v>2026-08-26T00:00:00.000Z</x:v>
      </x:c>
      <x:c r="D1234" s="191" t="n">
        <x:v>496.3699951171875</x:v>
      </x:c>
      <x:c r="E1234" s="191" t="n">
        <x:v>496.3699951171875</x:v>
      </x:c>
      <x:c r="F1234" s="191" t="n">
        <x:v>766.0800170898438</x:v>
      </x:c>
      <x:c r="G1234" s="191" t="n">
        <x:v>764.182373046875</x:v>
      </x:c>
      <x:c r="H1234" s="208" t="n">
        <x:f>E1234/E1233-1</x:f>
        <x:v>0.00947713844154241</x:v>
      </x:c>
      <x:c r="I1234" s="208" t="n">
        <x:f>G1234/G1233-1</x:f>
        <x:v>0.00022200767959623668</x:v>
      </x:c>
      <x:c r="J1234" s="208" t="n">
        <x:f>'Beta HC3'!$E$13+'Beta HC3'!$E$12*I1234</x:f>
        <x:v>0.00025951426695310987</x:v>
      </x:c>
      <x:c r="K1234" s="240" t="n">
        <x:f>H1234-J1234</x:f>
        <x:v>0.0092176241745893</x:v>
      </x:c>
      <x:c r="L1234" s="240" t="n">
        <x:f>I1234-'Beta HC3'!$E$9</x:f>
        <x:v>-0.0003419399380642027</x:v>
      </x:c>
      <x:c r="M1234" s="240" t="n">
        <x:f>1/'Beta HC3'!$E$8+L1234^2/'Beta HC3'!$E$11</x:f>
        <x:v>0.0007976123199757908</x:v>
      </x:c>
      <x:c r="N1234" s="240" t="n">
        <x:f>K1234^2/(1-M1234)^2</x:f>
        <x:v>0.00008510029537245181</x:v>
      </x:c>
      <x:c r="O1234" s="240" t="n">
        <x:f>N1234*L1234^2/'Beta HC3'!$E$11^2</x:f>
        <x:v>4.65313280255723e-10</x:v>
      </x:c>
      <x:c r="P1234" s="240" t="n">
        <x:f>N1234*(1/'Beta HC3'!$E$8-'Beta HC3'!$E$9*L1234/'Beta HC3'!$E$11)^2</x:f>
        <x:v>5.421006335739291e-11</x:v>
      </x:c>
      <x:c r="Q1234" s="240" t="n">
        <x:f>N1234*(1/'Beta HC3'!$E$8-'Beta HC3'!$E$9*L1234/'Beta HC3'!$E$11)*L1234/'Beta HC3'!$E$11</x:f>
        <x:v>-1.5882273893778267e-10</x:v>
      </x:c>
      <x:c r="R1234" s="240" t="n">
        <x:f>K1234*L1234/'Beta HC3'!$E$11</x:f>
        <x:v>-0.000021553916049555443</x:v>
      </x:c>
      <x:c r="S1234" s="240" t="n">
        <x:f>(K1234-K1233)^2</x:f>
        <x:v>0.00001445540431083013</x:v>
      </x:c>
      <x:c r="T1234" s="280" t="n">
        <x:f>E1234/$E$9*100</x:f>
        <x:v>175.41089047407056</x:v>
      </x:c>
    </x:row>
    <x:row r="1235" ht="24" customHeight="1">
      <x:c r="C1235" s="274" t="d">
        <x:v>2026-08-27T00:00:00.000Z</x:v>
      </x:c>
      <x:c r="D1235" s="191" t="n">
        <x:v>505.05999755859375</x:v>
      </x:c>
      <x:c r="E1235" s="191" t="n">
        <x:v>505.05999755859375</x:v>
      </x:c>
      <x:c r="F1235" s="191" t="n">
        <x:v>771.0999755859375</x:v>
      </x:c>
      <x:c r="G1235" s="191" t="n">
        <x:v>769.18994140625</x:v>
      </x:c>
      <x:c r="H1235" s="208" t="n">
        <x:f>E1235/E1234-1</x:f>
        <x:v>0.017507106648045223</x:v>
      </x:c>
      <x:c r="I1235" s="208" t="n">
        <x:f>G1235/G1234-1</x:f>
        <x:v>0.006552844629756693</x:v>
      </x:c>
      <x:c r="J1235" s="208" t="n">
        <x:f>'Beta HC3'!$E$13+'Beta HC3'!$E$12*I1235</x:f>
        <x:v>0.007399506466084321</x:v>
      </x:c>
      <x:c r="K1235" s="240" t="n">
        <x:f>H1235-J1235</x:f>
        <x:v>0.010107600181960903</x:v>
      </x:c>
      <x:c r="L1235" s="240" t="n">
        <x:f>I1235-'Beta HC3'!$E$9</x:f>
        <x:v>0.005988897012096254</x:v>
      </x:c>
      <x:c r="M1235" s="240" t="n">
        <x:f>1/'Beta HC3'!$E$8+L1235^2/'Beta HC3'!$E$11</x:f>
        <x:v>0.00104208648768865</x:v>
      </x:c>
      <x:c r="N1235" s="240" t="n">
        <x:f>K1235^2/(1-M1235)^2</x:f>
        <x:v>0.00010237684130879442</x:v>
      </x:c>
      <x:c r="O1235" s="240" t="n">
        <x:f>N1235*L1235^2/'Beta HC3'!$E$11^2</x:f>
        <x:v>1.717157528751944e-7</x:v>
      </x:c>
      <x:c r="P1235" s="240" t="n">
        <x:f>N1235*(1/'Beta HC3'!$E$8-'Beta HC3'!$E$9*L1235/'Beta HC3'!$E$11)^2</x:f>
        <x:v>6.128657511451418e-11</x:v>
      </x:c>
      <x:c r="Q1235" s="240" t="n">
        <x:f>N1235*(1/'Beta HC3'!$E$8-'Beta HC3'!$E$9*L1235/'Beta HC3'!$E$11)*L1235/'Beta HC3'!$E$11</x:f>
        <x:v>3.244051538883277e-9</x:v>
      </x:c>
      <x:c r="R1235" s="240" t="n">
        <x:f>K1235*L1235/'Beta HC3'!$E$11</x:f>
        <x:v>0.0004139541689817116</x:v>
      </x:c>
      <x:c r="S1235" s="240" t="n">
        <x:f>(K1235-K1234)^2</x:f>
        <x:v>7.920572936970983e-7</x:v>
      </x:c>
      <x:c r="T1235" s="280" t="n">
        <x:f>E1235/$E$9*100</x:f>
        <x:v>178.48182764082867</x:v>
      </x:c>
    </x:row>
    <x:row r="1236" ht="24" customHeight="1">
      <x:c r="C1236" s="274" t="d">
        <x:v>2026-08-28T00:00:00.000Z</x:v>
      </x:c>
      <x:c r="D1236" s="191" t="n">
        <x:v>513.530029296875</x:v>
      </x:c>
      <x:c r="E1236" s="191" t="n">
        <x:v>513.530029296875</x:v>
      </x:c>
      <x:c r="F1236" s="191" t="n">
        <x:v>769.3499755859375</x:v>
      </x:c>
      <x:c r="G1236" s="191" t="n">
        <x:v>767.4442749023438</x:v>
      </x:c>
      <x:c r="H1236" s="208" t="n">
        <x:f>E1236/E1235-1</x:f>
        <x:v>0.01677034764032892</x:v>
      </x:c>
      <x:c r="I1236" s="208" t="n">
        <x:f>G1236/G1235-1</x:f>
        <x:v>-0.0022694869107554583</x:v>
      </x:c>
      <x:c r="J1236" s="208" t="n">
        <x:f>'Beta HC3'!$E$13+'Beta HC3'!$E$12*I1236</x:f>
        <x:v>-0.0025504225675183328</x:v>
      </x:c>
      <x:c r="K1236" s="240" t="n">
        <x:f>H1236-J1236</x:f>
        <x:v>0.019320770207847254</x:v>
      </x:c>
      <x:c r="L1236" s="240" t="n">
        <x:f>I1236-'Beta HC3'!$E$9</x:f>
        <x:v>-0.0028334345284158975</x:v>
      </x:c>
      <x:c r="M1236" s="240" t="n">
        <x:f>1/'Beta HC3'!$E$8+L1236^2/'Beta HC3'!$E$11</x:f>
        <x:v>0.0008517141876968631</x:v>
      </x:c>
      <x:c r="N1236" s="240" t="n">
        <x:f>K1236^2/(1-M1236)^2</x:f>
        <x:v>0.000373928851185559</x:v>
      </x:c>
      <x:c r="O1236" s="240" t="n">
        <x:f>N1236*L1236^2/'Beta HC3'!$E$11^2</x:f>
        <x:v>1.4038802422372563e-7</x:v>
      </x:c>
      <x:c r="P1236" s="240" t="n">
        <x:f>N1236*(1/'Beta HC3'!$E$8-'Beta HC3'!$E$9*L1236/'Beta HC3'!$E$11)^2</x:f>
        <x:v>2.439675763750304e-10</x:v>
      </x:c>
      <x:c r="Q1236" s="240" t="n">
        <x:f>N1236*(1/'Beta HC3'!$E$8-'Beta HC3'!$E$9*L1236/'Beta HC3'!$E$11)*L1236/'Beta HC3'!$E$11</x:f>
        <x:v>-5.852360722130977e-9</x:v>
      </x:c>
      <x:c r="R1236" s="240" t="n">
        <x:f>K1236*L1236/'Beta HC3'!$E$11</x:f>
        <x:v>-0.00037436477547916403</x:v>
      </x:c>
      <x:c r="S1236" s="240" t="n">
        <x:f>(K1236-K1235)^2</x:f>
        <x:v>0.00008488250192589072</x:v>
      </x:c>
      <x:c r="T1236" s="280" t="n">
        <x:f>E1236/$E$9*100</x:f>
        <x:v>181.4750299378466</x:v>
      </x:c>
    </x:row>
    <x:row r="1237" ht="24" customHeight="1">
      <x:c r="C1237" s="274" t="d">
        <x:v>2026-08-31T00:00:00.000Z</x:v>
      </x:c>
      <x:c r="D1237" s="191" t="n">
        <x:v>507.2900085449219</x:v>
      </x:c>
      <x:c r="E1237" s="191" t="n">
        <x:v>507.2900085449219</x:v>
      </x:c>
      <x:c r="F1237" s="191" t="n">
        <x:v>767.0499877929688</x:v>
      </x:c>
      <x:c r="G1237" s="191" t="n">
        <x:v>765.1499633789062</x:v>
      </x:c>
      <x:c r="H1237" s="208" t="n">
        <x:f>E1237/E1236-1</x:f>
        <x:v>-0.012151228547426784</x:v>
      </x:c>
      <x:c r="I1237" s="208" t="n">
        <x:f>G1237/G1236-1</x:f>
        <x:v>-0.002989548034258882</x:v>
      </x:c>
      <x:c r="J1237" s="208" t="n">
        <x:f>'Beta HC3'!$E$13+'Beta HC3'!$E$12*I1237</x:f>
        <x:v>-0.0033625159518822743</x:v>
      </x:c>
      <x:c r="K1237" s="240" t="n">
        <x:f>H1237-J1237</x:f>
        <x:v>-0.00878871259554451</x:v>
      </x:c>
      <x:c r="L1237" s="240" t="n">
        <x:f>I1237-'Beta HC3'!$E$9</x:f>
        <x:v>-0.0035534956519193213</x:v>
      </x:c>
      <x:c r="M1237" s="240" t="n">
        <x:f>1/'Beta HC3'!$E$8+L1237^2/'Beta HC3'!$E$11</x:f>
        <x:v>0.0008831640605351116</x:v>
      </x:c>
      <x:c r="N1237" s="240" t="n">
        <x:f>K1237^2/(1-M1237)^2</x:f>
        <x:v>0.00007737808381922545</x:v>
      </x:c>
      <x:c r="O1237" s="240" t="n">
        <x:f>N1237*L1237^2/'Beta HC3'!$E$11^2</x:f>
        <x:v>4.569243158804036e-8</x:v>
      </x:c>
      <x:c r="P1237" s="240" t="n">
        <x:f>N1237*(1/'Beta HC3'!$E$8-'Beta HC3'!$E$9*L1237/'Beta HC3'!$E$11)^2</x:f>
        <x:v>5.083257530632882e-11</x:v>
      </x:c>
      <x:c r="Q1237" s="240" t="n">
        <x:f>N1237*(1/'Beta HC3'!$E$8-'Beta HC3'!$E$9*L1237/'Beta HC3'!$E$11)*L1237/'Beta HC3'!$E$11</x:f>
        <x:v>-1.5240288611533376e-9</x:v>
      </x:c>
      <x:c r="R1237" s="240" t="n">
        <x:f>K1237*L1237/'Beta HC3'!$E$11</x:f>
        <x:v>0.00021356909748447306</x:v>
      </x:c>
      <x:c r="S1237" s="240" t="n">
        <x:f>(K1237-K1236)^2</x:f>
        <x:v>0.0007901430234741773</x:v>
      </x:c>
      <x:c r="T1237" s="280" t="n">
        <x:f>E1237/$E$9*100</x:f>
        <x:v>179.26988537342072</x:v>
      </x:c>
    </x:row>
    <x:row r="1238" ht="24" customHeight="1">
      <x:c r="C1238" s="274" t="d">
        <x:v>2026-09-01T00:00:00.000Z</x:v>
      </x:c>
      <x:c r="D1238" s="191" t="n">
        <x:v>501.0199890136719</x:v>
      </x:c>
      <x:c r="E1238" s="191" t="n">
        <x:v>501.0199890136719</x:v>
      </x:c>
      <x:c r="F1238" s="191" t="n">
        <x:v>761.780029296875</x:v>
      </x:c>
      <x:c r="G1238" s="191" t="n">
        <x:v>759.89306640625</x:v>
      </x:c>
      <x:c r="H1238" s="208" t="n">
        <x:f>E1238/E1237-1</x:f>
        <x:v>-0.012359832493516909</x:v>
      </x:c>
      <x:c r="I1238" s="208" t="n">
        <x:f>G1238/G1237-1</x:f>
        <x:v>-0.006870413937474118</x:v>
      </x:c>
      <x:c r="J1238" s="208" t="n">
        <x:f>'Beta HC3'!$E$13+'Beta HC3'!$E$12*I1238</x:f>
        <x:v>-0.007739402056037711</x:v>
      </x:c>
      <x:c r="K1238" s="240" t="n">
        <x:f>H1238-J1238</x:f>
        <x:v>-0.004620430437479198</x:v>
      </x:c>
      <x:c r="L1238" s="240" t="n">
        <x:f>I1238-'Beta HC3'!$E$9</x:f>
        <x:v>-0.007434361555134558</x:v>
      </x:c>
      <x:c r="M1238" s="240" t="n">
        <x:f>1/'Beta HC3'!$E$8+L1238^2/'Beta HC3'!$E$11</x:f>
        <x:v>0.001174771772289491</x:v>
      </x:c>
      <x:c r="N1238" s="240" t="n">
        <x:f>K1238^2/(1-M1238)^2</x:f>
        <x:v>0.000021398624896572043</x:v>
      </x:c>
      <x:c r="O1238" s="240" t="n">
        <x:f>N1238*L1238^2/'Beta HC3'!$E$11^2</x:f>
        <x:v>5.5307998876667924e-8</x:v>
      </x:c>
      <x:c r="P1238" s="240" t="n">
        <x:f>N1238*(1/'Beta HC3'!$E$8-'Beta HC3'!$E$9*L1238/'Beta HC3'!$E$11)^2</x:f>
        <x:v>1.458151707987014e-11</x:v>
      </x:c>
      <x:c r="Q1238" s="240" t="n">
        <x:f>N1238*(1/'Beta HC3'!$E$8-'Beta HC3'!$E$9*L1238/'Beta HC3'!$E$11)*L1238/'Beta HC3'!$E$11</x:f>
        <x:v>-8.980392698950152e-10</x:v>
      </x:c>
      <x:c r="R1238" s="240" t="n">
        <x:f>K1238*L1238/'Beta HC3'!$E$11</x:f>
        <x:v>0.0002349002483074228</x:v>
      </x:c>
      <x:c r="S1238" s="240" t="n">
        <x:f>(K1238-K1237)^2</x:f>
        <x:v>0.00001737457614924562</x:v>
      </x:c>
      <x:c r="T1238" s="280" t="n">
        <x:f>E1238/$E$9*100</x:f>
        <x:v>177.05413961907325</x:v>
      </x:c>
    </x:row>
    <x:row r="1239" ht="24" customHeight="1">
      <x:c r="C1239" s="274" t="d">
        <x:v>2026-09-02T00:00:00.000Z</x:v>
      </x:c>
      <x:c r="D1239" s="191" t="n">
        <x:v>496.82000732421875</x:v>
      </x:c>
      <x:c r="E1239" s="191" t="n">
        <x:v>496.82000732421875</x:v>
      </x:c>
      <x:c r="F1239" s="191" t="n">
        <x:v>765.1599731445312</x:v>
      </x:c>
      <x:c r="G1239" s="191" t="n">
        <x:v>763.2646484375</x:v>
      </x:c>
      <x:c r="H1239" s="208" t="n">
        <x:f>E1239/E1238-1</x:f>
        <x:v>-0.008382862523551915</x:v>
      </x:c>
      <x:c r="I1239" s="208" t="n">
        <x:f>G1239/G1238-1</x:f>
        <x:v>0.004436916429827686</x:v>
      </x:c>
      <x:c r="J1239" s="208" t="n">
        <x:f>'Beta HC3'!$E$13+'Beta HC3'!$E$12*I1239</x:f>
        <x:v>0.005013137813669107</x:v>
      </x:c>
      <x:c r="K1239" s="240" t="n">
        <x:f>H1239-J1239</x:f>
        <x:v>-0.013396000337221022</x:v>
      </x:c>
      <x:c r="L1239" s="240" t="n">
        <x:f>I1239-'Beta HC3'!$E$9</x:f>
        <x:v>0.003872968812167247</x:v>
      </x:c>
      <x:c r="M1239" s="240" t="n">
        <x:f>1/'Beta HC3'!$E$8+L1239^2/'Beta HC3'!$E$11</x:f>
        <x:v>0.0008993886548561468</x:v>
      </x:c>
      <x:c r="N1239" s="240" t="n">
        <x:f>K1239^2/(1-M1239)^2</x:f>
        <x:v>0.00017977605670561363</x:v>
      </x:c>
      <x:c r="O1239" s="240" t="n">
        <x:f>N1239*L1239^2/'Beta HC3'!$E$11^2</x:f>
        <x:v>1.261056579854437e-7</x:v>
      </x:c>
      <x:c r="P1239" s="240" t="n">
        <x:f>N1239*(1/'Beta HC3'!$E$8-'Beta HC3'!$E$9*L1239/'Beta HC3'!$E$11)^2</x:f>
        <x:v>1.0990266528478162e-10</x:v>
      </x:c>
      <x:c r="Q1239" s="240" t="n">
        <x:f>N1239*(1/'Beta HC3'!$E$8-'Beta HC3'!$E$9*L1239/'Beta HC3'!$E$11)*L1239/'Beta HC3'!$E$11</x:f>
        <x:v>3.7228145159397035e-9</x:v>
      </x:c>
      <x:c r="R1239" s="240" t="n">
        <x:f>K1239*L1239/'Beta HC3'!$E$11</x:f>
        <x:v>-0.00035479419949612184</x:v>
      </x:c>
      <x:c r="S1239" s="240" t="n">
        <x:f>(K1239-K1238)^2</x:f>
        <x:v>0.00007701062706525471</x:v>
      </x:c>
      <x:c r="T1239" s="280" t="n">
        <x:f>E1239/$E$9*100</x:f>
        <x:v>175.5699191074208</x:v>
      </x:c>
    </x:row>
    <x:row r="1240" ht="24" customHeight="1">
      <x:c r="C1240" s="274" t="d">
        <x:v>2026-09-03T00:00:00.000Z</x:v>
      </x:c>
      <x:c r="D1240" s="191" t="n">
        <x:v>510.1199951171875</x:v>
      </x:c>
      <x:c r="E1240" s="191" t="n">
        <x:v>510.1199951171875</x:v>
      </x:c>
      <x:c r="F1240" s="191" t="n">
        <x:v>773.1699829101562</x:v>
      </x:c>
      <x:c r="G1240" s="191" t="n">
        <x:v>771.2548217773438</x:v>
      </x:c>
      <x:c r="H1240" s="208" t="n">
        <x:f>E1240/E1239-1</x:f>
        <x:v>0.026770233881280303</x:v>
      </x:c>
      <x:c r="I1240" s="208" t="n">
        <x:f>G1240/G1239-1</x:f>
        <x:v>0.010468417941536634</x:v>
      </x:c>
      <x:c r="J1240" s="208" t="n">
        <x:f>'Beta HC3'!$E$13+'Beta HC3'!$E$12*I1240</x:f>
        <x:v>0.011815535992879598</x:v>
      </x:c>
      <x:c r="K1240" s="240" t="n">
        <x:f>H1240-J1240</x:f>
        <x:v>0.014954697888400705</x:v>
      </x:c>
      <x:c r="L1240" s="240" t="n">
        <x:f>I1240-'Beta HC3'!$E$9</x:f>
        <x:v>0.009904470323876195</x:v>
      </x:c>
      <x:c r="M1240" s="240" t="n">
        <x:f>1/'Beta HC3'!$E$8+L1240^2/'Beta HC3'!$E$11</x:f>
        <x:v>0.00146765417211446</x:v>
      </x:c>
      <x:c r="N1240" s="240" t="n">
        <x:f>K1240^2/(1-M1240)^2</x:f>
        <x:v>0.00022430089808500212</x:v>
      </x:c>
      <x:c r="O1240" s="240" t="n">
        <x:f>N1240*L1240^2/'Beta HC3'!$E$11^2</x:f>
        <x:v>0.0000010289831082414196</x:v>
      </x:c>
      <x:c r="P1240" s="240" t="n">
        <x:f>N1240*(1/'Beta HC3'!$E$8-'Beta HC3'!$E$9*L1240/'Beta HC3'!$E$11)^2</x:f>
        <x:v>1.2908474166723513e-10</x:v>
      </x:c>
      <x:c r="Q1240" s="240" t="n">
        <x:f>N1240*(1/'Beta HC3'!$E$8-'Beta HC3'!$E$9*L1240/'Beta HC3'!$E$11)*L1240/'Beta HC3'!$E$11</x:f>
        <x:v>1.1525017080564015e-8</x:v>
      </x:c>
      <x:c r="R1240" s="240" t="n">
        <x:f>K1240*L1240/'Beta HC3'!$E$11</x:f>
        <x:v>0.0010128992753360851</x:v>
      </x:c>
      <x:c r="S1240" s="240" t="n">
        <x:f>(K1240-K1239)^2</x:f>
        <x:v>0.0008037620898802709</x:v>
      </x:c>
      <x:c r="T1240" s="280" t="n">
        <x:f>E1240/$E$9*100</x:f>
        <x:v>180.26996690444392</x:v>
      </x:c>
    </x:row>
    <x:row r="1241" ht="24" customHeight="1">
      <x:c r="C1241" s="274" t="d">
        <x:v>2026-09-04T00:00:00.000Z</x:v>
      </x:c>
      <x:c r="D1241" s="191" t="n">
        <x:v>499.70001220703125</x:v>
      </x:c>
      <x:c r="E1241" s="191" t="n">
        <x:v>499.70001220703125</x:v>
      </x:c>
      <x:c r="F1241" s="191" t="n">
        <x:v>770.1900024414062</x:v>
      </x:c>
      <x:c r="G1241" s="191" t="n">
        <x:v>768.2822265625</x:v>
      </x:c>
      <x:c r="H1241" s="208" t="n">
        <x:f>E1241/E1240-1</x:f>
        <x:v>-0.020426532992031676</x:v>
      </x:c>
      <x:c r="I1241" s="208" t="n">
        <x:f>G1241/G1240-1</x:f>
        <x:v>-0.0038542322600894074</x:v>
      </x:c>
      <x:c r="J1241" s="208" t="n">
        <x:f>'Beta HC3'!$E$13+'Beta HC3'!$E$12*I1241</x:f>
        <x:v>-0.0043377169680741835</x:v>
      </x:c>
      <x:c r="K1241" s="240" t="n">
        <x:f>H1241-J1241</x:f>
        <x:v>-0.016088816023957495</x:v>
      </x:c>
      <x:c r="L1241" s="240" t="n">
        <x:f>I1241-'Beta HC3'!$E$9</x:f>
        <x:v>-0.004418179877749847</x:v>
      </x:c>
      <x:c r="M1241" s="240" t="n">
        <x:f>1/'Beta HC3'!$E$8+L1241^2/'Beta HC3'!$E$11</x:f>
        <x:v>0.0009303013397349276</x:v>
      </x:c>
      <x:c r="N1241" s="240" t="n">
        <x:f>K1241^2/(1-M1241)^2</x:f>
        <x:v>0.0002593322909663208</x:v>
      </x:c>
      <x:c r="O1241" s="240" t="n">
        <x:f>N1241*L1241^2/'Beta HC3'!$E$11^2</x:f>
        <x:v>2.3673262087009684e-7</x:v>
      </x:c>
      <x:c r="P1241" s="240" t="n">
        <x:f>N1241*(1/'Beta HC3'!$E$8-'Beta HC3'!$E$9*L1241/'Beta HC3'!$E$11)^2</x:f>
        <x:v>1.71769877957221e-10</x:v>
      </x:c>
      <x:c r="Q1241" s="240" t="n">
        <x:f>N1241*(1/'Beta HC3'!$E$8-'Beta HC3'!$E$9*L1241/'Beta HC3'!$E$11)*L1241/'Beta HC3'!$E$11</x:f>
        <x:v>-6.376796483764367e-9</x:v>
      </x:c>
      <x:c r="R1241" s="240" t="n">
        <x:f>K1241*L1241/'Beta HC3'!$E$11</x:f>
        <x:v>0.00048609912610921246</x:v>
      </x:c>
      <x:c r="S1241" s="240" t="n">
        <x:f>(K1241-K1240)^2</x:f>
        <x:v>0.0009636997560267769</x:v>
      </x:c>
      <x:c r="T1241" s="280" t="n">
        <x:f>E1241/$E$9*100</x:f>
        <x:v>176.58767647799783</x:v>
      </x:c>
    </x:row>
    <x:row r="1242" ht="24" customHeight="1">
      <x:c r="C1242" s="274" t="d">
        <x:v>2026-09-08T00:00:00.000Z</x:v>
      </x:c>
      <x:c r="D1242" s="191" t="n">
        <x:v>493.95001220703125</x:v>
      </x:c>
      <x:c r="E1242" s="191" t="n">
        <x:v>493.95001220703125</x:v>
      </x:c>
      <x:c r="F1242" s="191" t="n">
        <x:v>765.9600219726562</x:v>
      </x:c>
      <x:c r="G1242" s="191" t="n">
        <x:v>764.0626831054688</x:v>
      </x:c>
      <x:c r="H1242" s="208" t="n">
        <x:f>E1242/E1241-1</x:f>
        <x:v>-0.01150690386138653</x:v>
      </x:c>
      <x:c r="I1242" s="208" t="n">
        <x:f>G1242/G1241-1</x:f>
        <x:v>-0.005492178930014524</x:v>
      </x:c>
      <x:c r="J1242" s="208" t="n">
        <x:f>'Beta HC3'!$E$13+'Beta HC3'!$E$12*I1242</x:f>
        <x:v>-0.006185012442262926</x:v>
      </x:c>
      <x:c r="K1242" s="240" t="n">
        <x:f>H1242-J1242</x:f>
        <x:v>-0.005321891419123604</x:v>
      </x:c>
      <x:c r="L1242" s="240" t="n">
        <x:f>I1242-'Beta HC3'!$E$9</x:f>
        <x:v>-0.006056126547674964</x:v>
      </x:c>
      <x:c r="M1242" s="240" t="n">
        <x:f>1/'Beta HC3'!$E$8+L1242^2/'Beta HC3'!$E$11</x:f>
        <x:v>0.001047624132883074</x:v>
      </x:c>
      <x:c r="N1242" s="240" t="n">
        <x:f>K1242^2/(1-M1242)^2</x:f>
        <x:v>0.00002838196438893719</x:v>
      </x:c>
      <x:c r="O1242" s="240" t="n">
        <x:f>N1242*L1242^2/'Beta HC3'!$E$11^2</x:f>
        <x:v>4.867960624211085e-8</x:v>
      </x:c>
      <x:c r="P1242" s="240" t="n">
        <x:f>N1242*(1/'Beta HC3'!$E$8-'Beta HC3'!$E$9*L1242/'Beta HC3'!$E$11)^2</x:f>
        <x:v>1.9091869804877922e-11</x:v>
      </x:c>
      <x:c r="Q1242" s="240" t="n">
        <x:f>N1242*(1/'Beta HC3'!$E$8-'Beta HC3'!$E$9*L1242/'Beta HC3'!$E$11)*L1242/'Beta HC3'!$E$11</x:f>
        <x:v>-9.640460074742818e-10</x:v>
      </x:c>
      <x:c r="R1242" s="240" t="n">
        <x:f>K1242*L1242/'Beta HC3'!$E$11</x:f>
        <x:v>0.0002204034115167376</x:v>
      </x:c>
      <x:c r="S1242" s="240" t="n">
        <x:f>(K1242-K1241)^2</x:f>
        <x:v>0.00011592666544617742</x:v>
      </x:c>
      <x:c r="T1242" s="280" t="n">
        <x:f>E1242/$E$9*100</x:f>
        <x:v>174.55569906165988</x:v>
      </x:c>
    </x:row>
    <x:row r="1243" ht="24" customHeight="1">
      <x:c r="C1243" s="274" t="d">
        <x:v>2026-09-09T00:00:00.000Z</x:v>
      </x:c>
      <x:c r="D1243" s="191" t="n">
        <x:v>491.6499938964844</x:v>
      </x:c>
      <x:c r="E1243" s="191" t="n">
        <x:v>491.6499938964844</x:v>
      </x:c>
      <x:c r="F1243" s="191" t="n">
        <x:v>762.4000244140625</x:v>
      </x:c>
      <x:c r="G1243" s="191" t="n">
        <x:v>760.5115356445312</x:v>
      </x:c>
      <x:c r="H1243" s="208" t="n">
        <x:f>E1243/E1242-1</x:f>
        <x:v>-0.004656378689556262</x:v>
      </x:c>
      <x:c r="I1243" s="208" t="n">
        <x:f>G1243/G1242-1</x:f>
        <x:v>-0.004647717444469568</x:v>
      </x:c>
      <x:c r="J1243" s="208" t="n">
        <x:f>'Beta HC3'!$E$13+'Beta HC3'!$E$12*I1243</x:f>
        <x:v>-0.005232618869860951</x:v>
      </x:c>
      <x:c r="K1243" s="240" t="n">
        <x:f>H1243-J1243</x:f>
        <x:v>0.0005762401803046891</x:v>
      </x:c>
      <x:c r="L1243" s="240" t="n">
        <x:f>I1243-'Beta HC3'!$E$9</x:f>
        <x:v>-0.005211665062130008</x:v>
      </x:c>
      <x:c r="M1243" s="240" t="n">
        <x:f>1/'Beta HC3'!$E$8+L1243^2/'Beta HC3'!$E$11</x:f>
        <x:v>0.000982554850859916</x:v>
      </x:c>
      <x:c r="N1243" s="240" t="n">
        <x:f>K1243^2/(1-M1243)^2</x:f>
        <x:v>3.3270622843563973e-7</x:v>
      </x:c>
      <x:c r="O1243" s="240" t="n">
        <x:f>N1243*L1243^2/'Beta HC3'!$E$11^2</x:f>
        <x:v>4.2259917831085856e-10</x:v>
      </x:c>
      <x:c r="P1243" s="240" t="n">
        <x:f>N1243*(1/'Beta HC3'!$E$8-'Beta HC3'!$E$9*L1243/'Beta HC3'!$E$11)^2</x:f>
        <x:v>2.220297274396186e-13</x:v>
      </x:c>
      <x:c r="Q1243" s="240" t="n">
        <x:f>N1243*(1/'Beta HC3'!$E$8-'Beta HC3'!$E$9*L1243/'Beta HC3'!$E$11)*L1243/'Beta HC3'!$E$11</x:f>
        <x:v>-9.686567006765954e-12</x:v>
      </x:c>
      <x:c r="R1243" s="240" t="n">
        <x:f>K1243*L1243/'Beta HC3'!$E$11</x:f>
        <x:v>-0.000020537018589581084</x:v>
      </x:c>
      <x:c r="S1243" s="240" t="n">
        <x:f>(K1243-K1242)^2</x:f>
        <x:v>0.00003478795636417456</x:v>
      </x:c>
      <x:c r="T1243" s="280" t="n">
        <x:f>E1243/$E$9*100</x:f>
        <x:v>173.74290162440857</x:v>
      </x:c>
    </x:row>
    <x:row r="1244" ht="24" customHeight="1">
      <x:c r="C1244" s="274" t="d">
        <x:v>2026-09-10T00:00:00.000Z</x:v>
      </x:c>
      <x:c r="D1244" s="191" t="n">
        <x:v>492.44000244140625</x:v>
      </x:c>
      <x:c r="E1244" s="191" t="n">
        <x:v>492.44000244140625</x:v>
      </x:c>
      <x:c r="F1244" s="191" t="n">
        <x:v>757.8300170898438</x:v>
      </x:c>
      <x:c r="G1244" s="191" t="n">
        <x:v>755.9528198242188</x:v>
      </x:c>
      <x:c r="H1244" s="208" t="n">
        <x:f>E1244/E1243-1</x:f>
        <x:v>0.001606851530009834</x:v>
      </x:c>
      <x:c r="I1244" s="208" t="n">
        <x:f>G1244/G1243-1</x:f>
        <x:v>-0.005994275703456675</x:v>
      </x:c>
      <x:c r="J1244" s="208" t="n">
        <x:f>'Beta HC3'!$E$13+'Beta HC3'!$E$12*I1244</x:f>
        <x:v>-0.006751283075009999</x:v>
      </x:c>
      <x:c r="K1244" s="240" t="n">
        <x:f>H1244-J1244</x:f>
        <x:v>0.008358134605019833</x:v>
      </x:c>
      <x:c r="L1244" s="240" t="n">
        <x:f>I1244-'Beta HC3'!$E$9</x:f>
        <x:v>-0.006558223321117115</x:v>
      </x:c>
      <x:c r="M1244" s="240" t="n">
        <x:f>1/'Beta HC3'!$E$8+L1244^2/'Beta HC3'!$E$11</x:f>
        <x:v>0.0010909362750813813</x:v>
      </x:c>
      <x:c r="N1244" s="240" t="n">
        <x:f>K1244^2/(1-M1244)^2</x:f>
        <x:v>0.00007001108601929174</x:v>
      </x:c>
      <x:c r="O1244" s="240" t="n">
        <x:f>N1244*L1244^2/'Beta HC3'!$E$11^2</x:f>
        <x:v>1.4081662777198946e-7</x:v>
      </x:c>
      <x:c r="P1244" s="240" t="n">
        <x:f>N1244*(1/'Beta HC3'!$E$8-'Beta HC3'!$E$9*L1244/'Beta HC3'!$E$11)^2</x:f>
        <x:v>4.731742217945972e-11</x:v>
      </x:c>
      <x:c r="Q1244" s="240" t="n">
        <x:f>N1244*(1/'Beta HC3'!$E$8-'Beta HC3'!$E$9*L1244/'Beta HC3'!$E$11)*L1244/'Beta HC3'!$E$11</x:f>
        <x:v>-2.58129421534529e-9</x:v>
      </x:c>
      <x:c r="R1244" s="240" t="n">
        <x:f>K1244*L1244/'Beta HC3'!$E$11</x:f>
        <x:v>-0.00037484603696587765</x:v>
      </x:c>
      <x:c r="S1244" s="240" t="n">
        <x:f>(K1244-K1243)^2</x:f>
        <x:v>0.000060557880837412635</x:v>
      </x:c>
      <x:c r="T1244" s="280" t="n">
        <x:f>E1244/$E$9*100</x:f>
        <x:v>174.0220806717121</x:v>
      </x:c>
    </x:row>
    <x:row r="1245" ht="24" customHeight="1">
      <x:c r="C1245" s="274" t="d">
        <x:v>2026-09-11T00:00:00.000Z</x:v>
      </x:c>
      <x:c r="D1245" s="191" t="n">
        <x:v>495.6300048828125</x:v>
      </x:c>
      <x:c r="E1245" s="191" t="n">
        <x:v>495.6300048828125</x:v>
      </x:c>
      <x:c r="F1245" s="191" t="n">
        <x:v>764.2899780273438</x:v>
      </x:c>
      <x:c r="G1245" s="191" t="n">
        <x:v>762.3967895507812</x:v>
      </x:c>
      <x:c r="H1245" s="208" t="n">
        <x:f>E1245/E1244-1</x:f>
        <x:v>0.006477951477521948</x:v>
      </x:c>
      <x:c r="I1245" s="208" t="n">
        <x:f>G1245/G1244-1</x:f>
        <x:v>0.008524301461116268</x:v>
      </x:c>
      <x:c r="J1245" s="208" t="n">
        <x:f>'Beta HC3'!$E$13+'Beta HC3'!$E$12*I1245</x:f>
        <x:v>0.00962293861378393</x:v>
      </x:c>
      <x:c r="K1245" s="240" t="n">
        <x:f>H1245-J1245</x:f>
        <x:v>-0.003144987136261981</x:v>
      </x:c>
      <x:c r="L1245" s="240" t="n">
        <x:f>I1245-'Beta HC3'!$E$9</x:f>
        <x:v>0.00796035384345583</x:v>
      </x:c>
      <x:c r="M1245" s="240" t="n">
        <x:f>1/'Beta HC3'!$E$8+L1245^2/'Beta HC3'!$E$11</x:f>
        <x:v>0.0012301460918764892</x:v>
      </x:c>
      <x:c r="N1245" s="240" t="n">
        <x:f>K1245^2/(1-M1245)^2</x:f>
        <x:v>0.000009915323676136284</x:v>
      </x:c>
      <x:c r="O1245" s="240" t="n">
        <x:f>N1245*L1245^2/'Beta HC3'!$E$11^2</x:f>
        <x:v>2.9382338954704202e-8</x:v>
      </x:c>
      <x:c r="P1245" s="240" t="n">
        <x:f>N1245*(1/'Beta HC3'!$E$8-'Beta HC3'!$E$9*L1245/'Beta HC3'!$E$11)^2</x:f>
        <x:v>5.819599078389889e-12</x:v>
      </x:c>
      <x:c r="Q1245" s="240" t="n">
        <x:f>N1245*(1/'Beta HC3'!$E$8-'Beta HC3'!$E$9*L1245/'Beta HC3'!$E$11)*L1245/'Beta HC3'!$E$11</x:f>
        <x:v>4.1351352178826746e-10</x:v>
      </x:c>
      <x:c r="R1245" s="240" t="n">
        <x:f>K1245*L1245/'Beta HC3'!$E$11</x:f>
        <x:v>-0.00017120191085070986</x:v>
      </x:c>
      <x:c r="S1245" s="240" t="n">
        <x:f>(K1245-K1244)^2</x:f>
        <x:v>0.00013232180979475035</x:v>
      </x:c>
      <x:c r="T1245" s="280" t="n">
        <x:f>E1245/$E$9*100</x:f>
        <x:v>175.14938726632087</x:v>
      </x:c>
    </x:row>
    <x:row r="1246" ht="24" customHeight="1">
      <x:c r="C1246" s="274" t="d">
        <x:v>2026-09-14T00:00:00.000Z</x:v>
      </x:c>
      <x:c r="D1246" s="191" t="n">
        <x:v>505.4100036621094</x:v>
      </x:c>
      <x:c r="E1246" s="191" t="n">
        <x:v>505.4100036621094</x:v>
      </x:c>
      <x:c r="F1246" s="191" t="n">
        <x:v>760.8800048828125</x:v>
      </x:c>
      <x:c r="G1246" s="191" t="n">
        <x:v>758.9952392578125</x:v>
      </x:c>
      <x:c r="H1246" s="208" t="n">
        <x:f>E1246/E1245-1</x:f>
        <x:v>0.019732459058061425</x:v>
      </x:c>
      <x:c r="I1246" s="208" t="n">
        <x:f>G1246/G1245-1</x:f>
        <x:v>-0.004461653484890693</x:v>
      </x:c>
      <x:c r="J1246" s="208" t="n">
        <x:f>'Beta HC3'!$E$13+'Beta HC3'!$E$12*I1246</x:f>
        <x:v>-0.005022773752952837</x:v>
      </x:c>
      <x:c r="K1246" s="240" t="n">
        <x:f>H1246-J1246</x:f>
        <x:v>0.02475523281101426</x:v>
      </x:c>
      <x:c r="L1246" s="240" t="n">
        <x:f>I1246-'Beta HC3'!$E$9</x:f>
        <x:v>-0.005025601102551133</x:v>
      </x:c>
      <x:c r="M1246" s="240" t="n">
        <x:f>1/'Beta HC3'!$E$8+L1246^2/'Beta HC3'!$E$11</x:f>
        <x:v>0.0009695290745700333</x:v>
      </x:c>
      <x:c r="N1246" s="240" t="n">
        <x:f>K1246^2/(1-M1246)^2</x:f>
        <x:v>0.00061401157851984</x:v>
      </x:c>
      <x:c r="O1246" s="240" t="n">
        <x:f>N1246*L1246^2/'Beta HC3'!$E$11^2</x:f>
        <x:v>7.252158917311953e-7</x:v>
      </x:c>
      <x:c r="P1246" s="240" t="n">
        <x:f>N1246*(1/'Beta HC3'!$E$8-'Beta HC3'!$E$9*L1246/'Beta HC3'!$E$11)^2</x:f>
        <x:v>4.0903782221213746e-10</x:v>
      </x:c>
      <x:c r="Q1246" s="240" t="n">
        <x:f>N1246*(1/'Beta HC3'!$E$8-'Beta HC3'!$E$9*L1246/'Beta HC3'!$E$11)*L1246/'Beta HC3'!$E$11</x:f>
        <x:v>-1.722326127617419e-8</x:v>
      </x:c>
      <x:c r="R1246" s="240" t="n">
        <x:f>K1246*L1246/'Beta HC3'!$E$11</x:f>
        <x:v>-0.000850770437685565</x:v>
      </x:c>
      <x:c r="S1246" s="240" t="n">
        <x:f>(K1246-K1245)^2</x:f>
        <x:v>0.000778422273106391</x:v>
      </x:c>
      <x:c r="T1246" s="280" t="n">
        <x:f>E1246/$E$9*100</x:f>
        <x:v>178.6055153795981</x:v>
      </x:c>
    </x:row>
    <x:row r="1247" ht="24" customHeight="1">
      <x:c r="C1247" s="274" t="d">
        <x:v>2026-09-15T00:00:00.000Z</x:v>
      </x:c>
      <x:c r="D1247" s="191" t="n">
        <x:v>497.1199951171875</x:v>
      </x:c>
      <x:c r="E1247" s="191" t="n">
        <x:v>497.1199951171875</x:v>
      </x:c>
      <x:c r="F1247" s="191" t="n">
        <x:v>757.3900146484375</x:v>
      </x:c>
      <x:c r="G1247" s="191" t="n">
        <x:v>755.513916015625</x:v>
      </x:c>
      <x:c r="H1247" s="208" t="n">
        <x:f>E1247/E1246-1</x:f>
        <x:v>-0.01640254147099185</x:v>
      </x:c>
      <x:c r="I1247" s="208" t="n">
        <x:f>G1247/G1246-1</x:f>
        <x:v>-0.004586752409134642</x:v>
      </x:c>
      <x:c r="J1247" s="208" t="n">
        <x:f>'Beta HC3'!$E$13+'Beta HC3'!$E$12*I1247</x:f>
        <x:v>-0.005163861787639762</x:v>
      </x:c>
      <x:c r="K1247" s="240" t="n">
        <x:f>H1247-J1247</x:f>
        <x:v>-0.011238679683352088</x:v>
      </x:c>
      <x:c r="L1247" s="240" t="n">
        <x:f>I1247-'Beta HC3'!$E$9</x:f>
        <x:v>-0.005150700026795082</x:v>
      </x:c>
      <x:c r="M1247" s="240" t="n">
        <x:f>1/'Beta HC3'!$E$8+L1247^2/'Beta HC3'!$E$11</x:f>
        <x:v>0.0009782347182241652</x:v>
      </x:c>
      <x:c r="N1247" s="240" t="n">
        <x:f>K1247^2/(1-M1247)^2</x:f>
        <x:v>0.0001265554016940964</x:v>
      </x:c>
      <x:c r="O1247" s="240" t="n">
        <x:f>N1247*L1247^2/'Beta HC3'!$E$11^2</x:f>
        <x:v>1.5701022092204116e-7</x:v>
      </x:c>
      <x:c r="P1247" s="240" t="n">
        <x:f>N1247*(1/'Beta HC3'!$E$8-'Beta HC3'!$E$9*L1247/'Beta HC3'!$E$11)^2</x:f>
        <x:v>8.440746532375072e-11</x:v>
      </x:c>
      <x:c r="Q1247" s="240" t="n">
        <x:f>N1247*(1/'Beta HC3'!$E$8-'Beta HC3'!$E$9*L1247/'Beta HC3'!$E$11)*L1247/'Beta HC3'!$E$11</x:f>
        <x:v>-3.6404443105137092e-9</x:v>
      </x:c>
      <x:c r="R1247" s="240" t="n">
        <x:f>K1247*L1247/'Beta HC3'!$E$11</x:f>
        <x:v>0.0003958575317882114</x:v>
      </x:c>
      <x:c r="S1247" s="240" t="n">
        <x:f>(K1247-K1246)^2</x:f>
        <x:v>0.001295561736652102</x:v>
      </x:c>
      <x:c r="T1247" s="280" t="n">
        <x:f>E1247/$E$9*100</x:f>
        <x:v>175.67593100663638</x:v>
      </x:c>
    </x:row>
    <x:row r="1248" ht="24" customHeight="1">
      <x:c r="C1248" s="274" t="d">
        <x:v>2026-09-16T00:00:00.000Z</x:v>
      </x:c>
      <x:c r="D1248" s="191" t="n">
        <x:v>490.29998779296875</x:v>
      </x:c>
      <x:c r="E1248" s="191" t="n">
        <x:v>490.29998779296875</x:v>
      </x:c>
      <x:c r="F1248" s="191" t="n">
        <x:v>754.0499877929688</x:v>
      </x:c>
      <x:c r="G1248" s="191" t="n">
        <x:v>752.1821899414062</x:v>
      </x:c>
      <x:c r="H1248" s="208" t="n">
        <x:f>E1248/E1247-1</x:f>
        <x:v>-0.013719036432262244</x:v>
      </x:c>
      <x:c r="I1248" s="208" t="n">
        <x:f>G1248/G1247-1</x:f>
        <x:v>-0.0044098804847823025</x:v>
      </x:c>
      <x:c r="J1248" s="208" t="n">
        <x:f>'Beta HC3'!$E$13+'Beta HC3'!$E$12*I1248</x:f>
        <x:v>-0.004964383555920491</x:v>
      </x:c>
      <x:c r="K1248" s="240" t="n">
        <x:f>H1248-J1248</x:f>
        <x:v>-0.008754652876341753</x:v>
      </x:c>
      <x:c r="L1248" s="240" t="n">
        <x:f>I1248-'Beta HC3'!$E$9</x:f>
        <x:v>-0.004973828102442742</x:v>
      </x:c>
      <x:c r="M1248" s="240" t="n">
        <x:f>1/'Beta HC3'!$E$8+L1248^2/'Beta HC3'!$E$11</x:f>
        <x:v>0.0009659888084959309</x:v>
      </x:c>
      <x:c r="N1248" s="240" t="n">
        <x:f>K1248^2/(1-M1248)^2</x:f>
        <x:v>0.00007679223620927843</x:v>
      </x:c>
      <x:c r="O1248" s="240" t="n">
        <x:f>N1248*L1248^2/'Beta HC3'!$E$11^2</x:f>
        <x:v>8.884102917066981e-8</x:v>
      </x:c>
      <x:c r="P1248" s="240" t="n">
        <x:f>N1248*(1/'Beta HC3'!$E$8-'Beta HC3'!$E$9*L1248/'Beta HC3'!$E$11)^2</x:f>
        <x:v>5.1131874479204836e-11</x:v>
      </x:c>
      <x:c r="Q1248" s="240" t="n">
        <x:f>N1248*(1/'Beta HC3'!$E$8-'Beta HC3'!$E$9*L1248/'Beta HC3'!$E$11)*L1248/'Beta HC3'!$E$11</x:f>
        <x:v>-2.1313395675391717e-9</x:v>
      </x:c>
      <x:c r="R1248" s="240" t="n">
        <x:f>K1248*L1248/'Beta HC3'!$E$11</x:f>
        <x:v>0.0002977741983306479</x:v>
      </x:c>
      <x:c r="S1248" s="240" t="n">
        <x:f>(K1248-K1247)^2</x:f>
        <x:v>0.000006170389177945963</x:v>
      </x:c>
      <x:c r="T1248" s="280" t="n">
        <x:f>E1248/$E$9*100</x:f>
        <x:v>173.26582650888474</x:v>
      </x:c>
    </x:row>
    <x:row r="1249" ht="24" customHeight="1">
      <x:c r="C1249" s="274" t="d">
        <x:v>2026-09-17T00:00:00.000Z</x:v>
      </x:c>
      <x:c r="D1249" s="191" t="n">
        <x:v>497.75</x:v>
      </x:c>
      <x:c r="E1249" s="191" t="n">
        <x:v>497.75</x:v>
      </x:c>
      <x:c r="F1249" s="191" t="n">
        <x:v>762.5999755859375</x:v>
      </x:c>
      <x:c r="G1249" s="191" t="n">
        <x:v>760.7109985351562</x:v>
      </x:c>
      <x:c r="H1249" s="208" t="n">
        <x:f>E1249/E1248-1</x:f>
        <x:v>0.015194803982285787</x:v>
      </x:c>
      <x:c r="I1249" s="208" t="n">
        <x:f>G1249/G1248-1</x:f>
        <x:v>0.011338753705953053</x:v>
      </x:c>
      <x:c r="J1249" s="208" t="n">
        <x:f>'Beta HC3'!$E$13+'Beta HC3'!$E$12*I1249</x:f>
        <x:v>0.012797110880604456</x:v>
      </x:c>
      <x:c r="K1249" s="240" t="n">
        <x:f>H1249-J1249</x:f>
        <x:v>0.002397693101681331</x:v>
      </x:c>
      <x:c r="L1249" s="240" t="n">
        <x:f>I1249-'Beta HC3'!$E$9</x:f>
        <x:v>0.010774806088292614</x:v>
      </x:c>
      <x:c r="M1249" s="240" t="n">
        <x:f>1/'Beta HC3'!$E$8+L1249^2/'Beta HC3'!$E$11</x:f>
        <x:v>0.0015907319169186757</x:v>
      </x:c>
      <x:c r="N1249" s="240" t="n">
        <x:f>K1249^2/(1-M1249)^2</x:f>
        <x:v>0.000005767265964284272</x:v>
      </x:c>
      <x:c r="O1249" s="240" t="n">
        <x:f>N1249*L1249^2/'Beta HC3'!$E$11^2</x:f>
        <x:v>3.1311482364963895e-8</x:v>
      </x:c>
      <x:c r="P1249" s="240" t="n">
        <x:f>N1249*(1/'Beta HC3'!$E$8-'Beta HC3'!$E$9*L1249/'Beta HC3'!$E$11)^2</x:f>
        <x:v>3.2897455402855958e-12</x:v>
      </x:c>
      <x:c r="Q1249" s="240" t="n">
        <x:f>N1249*(1/'Beta HC3'!$E$8-'Beta HC3'!$E$9*L1249/'Beta HC3'!$E$11)*L1249/'Beta HC3'!$E$11</x:f>
        <x:v>3.20946739304002e-10</x:v>
      </x:c>
      <x:c r="R1249" s="240" t="n">
        <x:f>K1249*L1249/'Beta HC3'!$E$11</x:f>
        <x:v>0.00017666902741479224</x:v>
      </x:c>
      <x:c r="S1249" s="240" t="n">
        <x:f>(K1249-K1248)^2</x:f>
        <x:v>0.00012437482081352765</x:v>
      </x:c>
      <x:c r="T1249" s="280" t="n">
        <x:f>E1249/$E$9*100</x:f>
        <x:v>175.89856677951596</x:v>
      </x:c>
    </x:row>
    <x:row r="1250" ht="24" customHeight="1">
      <x:c r="C1250" s="274" t="d">
        <x:v>2026-09-18T00:00:00.000Z</x:v>
      </x:c>
      <x:c r="D1250" s="191" t="n">
        <x:v>493.7799987792969</x:v>
      </x:c>
      <x:c r="E1250" s="191" t="n">
        <x:v>493.7799987792969</x:v>
      </x:c>
      <x:c r="F1250" s="191" t="n">
        <x:v>761.6900024414062</x:v>
      </x:c>
      <x:c r="G1250" s="191" t="n">
        <x:v>761.6900024414062</x:v>
      </x:c>
      <x:c r="H1250" s="208" t="n">
        <x:f>E1250/E1249-1</x:f>
        <x:v>-0.007975893964245362</x:v>
      </x:c>
      <x:c r="I1250" s="208" t="n">
        <x:f>G1250/G1249-1</x:f>
        <x:v>0.0012869590529585029</x:v>
      </x:c>
      <x:c r="J1250" s="208" t="n">
        <x:f>'Beta HC3'!$E$13+'Beta HC3'!$E$12*I1250</x:f>
        <x:v>0.001460578922088152</x:v>
      </x:c>
      <x:c r="K1250" s="240" t="n">
        <x:f>H1250-J1250</x:f>
        <x:v>-0.009436472886333515</x:v>
      </x:c>
      <x:c r="L1250" s="240" t="n">
        <x:f>I1250-'Beta HC3'!$E$9</x:f>
        <x:v>0.0007230114352980635</x:v>
      </x:c>
      <x:c r="M1250" s="240" t="n">
        <x:f>1/'Beta HC3'!$E$8+L1250^2/'Beta HC3'!$E$11</x:f>
        <x:v>0.0008003875156232242</x:v>
      </x:c>
      <x:c r="N1250" s="240" t="n">
        <x:f>K1250^2/(1-M1250)^2</x:f>
        <x:v>0.00008918973610035613</x:v>
      </x:c>
      <x:c r="O1250" s="240" t="n">
        <x:f>N1250*L1250^2/'Beta HC3'!$E$11^2</x:f>
        <x:v>2.1803184719787022e-9</x:v>
      </x:c>
      <x:c r="P1250" s="240" t="n">
        <x:f>N1250*(1/'Beta HC3'!$E$8-'Beta HC3'!$E$9*L1250/'Beta HC3'!$E$11)^2</x:f>
        <x:v>5.623188168207294e-11</x:v>
      </x:c>
      <x:c r="Q1250" s="240" t="n">
        <x:f>N1250*(1/'Beta HC3'!$E$8-'Beta HC3'!$E$9*L1250/'Beta HC3'!$E$11)*L1250/'Beta HC3'!$E$11</x:f>
        <x:v>3.5014769790124914e-10</x:v>
      </x:c>
      <x:c r="R1250" s="240" t="n">
        <x:f>K1250*L1250/'Beta HC3'!$E$11</x:f>
        <x:v>-0.00004665650725637952</x:v>
      </x:c>
      <x:c r="S1250" s="240" t="n">
        <x:f>(K1250-K1249)^2</x:f>
        <x:v>0.0001400474846318874</x:v>
      </x:c>
      <x:c r="T1250" s="280" t="n">
        <x:f>E1250/$E$9*100</x:f>
        <x:v>174.4956184624198</x:v>
      </x:c>
    </x:row>
    <x:row r="1251" ht="24" customHeight="1">
      <x:c r="C1251" s="274" t="d">
        <x:v>2026-09-21T00:00:00.000Z</x:v>
      </x:c>
      <x:c r="D1251" s="191" t="n">
        <x:v>501.6099853515625</x:v>
      </x:c>
      <x:c r="E1251" s="191" t="n">
        <x:v>501.6099853515625</x:v>
      </x:c>
      <x:c r="F1251" s="191" t="n">
        <x:v>773.5</x:v>
      </x:c>
      <x:c r="G1251" s="191" t="n">
        <x:v>773.5</x:v>
      </x:c>
      <x:c r="H1251" s="208" t="n">
        <x:f>E1251/E1250-1</x:f>
        <x:v>0.015857237214189634</x:v>
      </x:c>
      <x:c r="I1251" s="208" t="n">
        <x:f>G1251/G1250-1</x:f>
        <x:v>0.015504992215651825</x:v>
      </x:c>
      <x:c r="J1251" s="208" t="n">
        <x:f>'Beta HC3'!$E$13+'Beta HC3'!$E$12*I1251</x:f>
        <x:v>0.01749584355894572</x:v>
      </x:c>
      <x:c r="K1251" s="240" t="n">
        <x:f>H1251-J1251</x:f>
        <x:v>-0.0016386063447560856</x:v>
      </x:c>
      <x:c r="L1251" s="240" t="n">
        <x:f>I1251-'Beta HC3'!$E$9</x:f>
        <x:v>0.014941044597991386</x:v>
      </x:c>
      <x:c r="M1251" s="240" t="n">
        <x:f>1/'Beta HC3'!$E$8+L1251^2/'Beta HC3'!$E$11</x:f>
        <x:v>0.0023233917552115246</x:v>
      </x:c>
      <x:c r="N1251" s="240" t="n">
        <x:f>K1251^2/(1-M1251)^2</x:f>
        <x:v>0.000002697551127388582</x:v>
      </x:c>
      <x:c r="O1251" s="240" t="n">
        <x:f>N1251*L1251^2/'Beta HC3'!$E$11^2</x:f>
        <x:v>2.8160887117681504e-8</x:v>
      </x:c>
      <x:c r="P1251" s="240" t="n">
        <x:f>N1251*(1/'Beta HC3'!$E$8-'Beta HC3'!$E$9*L1251/'Beta HC3'!$E$11)^2</x:f>
        <x:v>1.4739558763605432e-12</x:v>
      </x:c>
      <x:c r="Q1251" s="240" t="n">
        <x:f>N1251*(1/'Beta HC3'!$E$8-'Beta HC3'!$E$9*L1251/'Beta HC3'!$E$11)*L1251/'Beta HC3'!$E$11</x:f>
        <x:v>2.0373488913446457e-10</x:v>
      </x:c>
      <x:c r="R1251" s="240" t="n">
        <x:f>K1251*L1251/'Beta HC3'!$E$11</x:f>
        <x:v>-0.00016742216576205135</x:v>
      </x:c>
      <x:c r="S1251" s="240" t="n">
        <x:f>(K1251-K1250)^2</x:f>
        <x:v>0.00006080672260025274</x:v>
      </x:c>
      <x:c r="T1251" s="280" t="n">
        <x:f>E1251/$E$9*100</x:f>
        <x:v>177.26263687721516</x:v>
      </x:c>
    </x:row>
    <x:row r="1252" ht="24" customHeight="1">
      <x:c r="C1252" s="274" t="d">
        <x:v>2026-09-22T00:00:00.000Z</x:v>
      </x:c>
      <x:c r="D1252" s="191" t="n">
        <x:v>498</x:v>
      </x:c>
      <x:c r="E1252" s="191" t="n">
        <x:v>498</x:v>
      </x:c>
      <x:c r="F1252" s="191" t="n">
        <x:v>773.3800048828125</x:v>
      </x:c>
      <x:c r="G1252" s="191" t="n">
        <x:v>773.3800048828125</x:v>
      </x:c>
      <x:c r="H1252" s="208" t="n">
        <x:f>E1252/E1251-1</x:f>
        <x:v>-0.007196797226898033</x:v>
      </x:c>
      <x:c r="I1252" s="208" t="n">
        <x:f>G1252/G1251-1</x:f>
        <x:v>-0.00015513266604716414</x:v>
      </x:c>
      <x:c r="J1252" s="208" t="n">
        <x:f>'Beta HC3'!$E$13+'Beta HC3'!$E$12*I1252</x:f>
        <x:v>-0.00016582904027000243</x:v>
      </x:c>
      <x:c r="K1252" s="240" t="n">
        <x:f>H1252-J1252</x:f>
        <x:v>-0.00703096818662803</x:v>
      </x:c>
      <x:c r="L1252" s="240" t="n">
        <x:f>I1252-'Beta HC3'!$E$9</x:f>
        <x:v>-0.0007190802837076035</x:v>
      </x:c>
      <x:c r="M1252" s="240" t="n">
        <x:f>1/'Beta HC3'!$E$8+L1252^2/'Beta HC3'!$E$11</x:f>
        <x:v>0.0008003487479232732</x:v>
      </x:c>
      <x:c r="N1252" s="240" t="n">
        <x:f>K1252^2/(1-M1252)^2</x:f>
        <x:v>0.000049513738442082566</x:v>
      </x:c>
      <x:c r="O1252" s="240" t="n">
        <x:f>N1252*L1252^2/'Beta HC3'!$E$11^2</x:f>
        <x:v>1.197278553483951e-9</x:v>
      </x:c>
      <x:c r="P1252" s="240" t="n">
        <x:f>N1252*(1/'Beta HC3'!$E$8-'Beta HC3'!$E$9*L1252/'Beta HC3'!$E$11)^2</x:f>
        <x:v>3.165599526671964e-11</x:v>
      </x:c>
      <x:c r="Q1252" s="240" t="n">
        <x:f>N1252*(1/'Beta HC3'!$E$8-'Beta HC3'!$E$9*L1252/'Beta HC3'!$E$11)*L1252/'Beta HC3'!$E$11</x:f>
        <x:v>-1.946819052249923e-10</x:v>
      </x:c>
      <x:c r="R1252" s="240" t="n">
        <x:f>K1252*L1252/'Beta HC3'!$E$11</x:f>
        <x:v>0.00003457401972042093</x:v>
      </x:c>
      <x:c r="S1252" s="240" t="n">
        <x:f>(K1252-K1251)^2</x:f>
        <x:v>0.00002907756623367659</x:v>
      </x:c>
      <x:c r="T1252" s="280" t="n">
        <x:f>E1252/$E$9*100</x:f>
        <x:v>175.98691362370457</x:v>
      </x:c>
    </x:row>
    <x:row r="1253" ht="24" customHeight="1">
      <x:c r="C1253" s="274" t="d">
        <x:v>2026-09-23T00:00:00.000Z</x:v>
      </x:c>
      <x:c r="D1253" s="191" t="n">
        <x:v>500.5899963378906</x:v>
      </x:c>
      <x:c r="E1253" s="191" t="n">
        <x:v>500.5899963378906</x:v>
      </x:c>
      <x:c r="F1253" s="191" t="n">
        <x:v>767.8099975585938</x:v>
      </x:c>
      <x:c r="G1253" s="191" t="n">
        <x:v>767.8099975585938</x:v>
      </x:c>
      <x:c r="H1253" s="208" t="n">
        <x:f>E1253/E1252-1</x:f>
        <x:v>0.005200795859218177</x:v>
      </x:c>
      <x:c r="I1253" s="208" t="n">
        <x:f>G1253/G1252-1</x:f>
        <x:v>-0.007202161019229769</x:v>
      </x:c>
      <x:c r="J1253" s="208" t="n">
        <x:f>'Beta HC3'!$E$13+'Beta HC3'!$E$12*I1253</x:f>
        <x:v>-0.008113550307598645</x:v>
      </x:c>
      <x:c r="K1253" s="240" t="n">
        <x:f>H1253-J1253</x:f>
        <x:v>0.013314346166816822</x:v>
      </x:c>
      <x:c r="L1253" s="240" t="n">
        <x:f>I1253-'Beta HC3'!$E$9</x:f>
        <x:v>-0.007766108636890209</x:v>
      </x:c>
      <x:c r="M1253" s="240" t="n">
        <x:f>1/'Beta HC3'!$E$8+L1253^2/'Beta HC3'!$E$11</x:f>
        <x:v>0.0012092560786485847</x:v>
      </x:c>
      <x:c r="N1253" s="240" t="n">
        <x:f>K1253^2/(1-M1253)^2</x:f>
        <x:v>0.00017770132681640605</x:v>
      </x:c>
      <x:c r="O1253" s="240" t="n">
        <x:f>N1253*L1253^2/'Beta HC3'!$E$11^2</x:f>
        <x:v>5.012014469976634e-7</x:v>
      </x:c>
      <x:c r="P1253" s="240" t="n">
        <x:f>N1253*(1/'Beta HC3'!$E$8-'Beta HC3'!$E$9*L1253/'Beta HC3'!$E$11)^2</x:f>
        <x:v>1.214654243911031e-10</x:v>
      </x:c>
      <x:c r="Q1253" s="240" t="n">
        <x:f>N1253*(1/'Beta HC3'!$E$8-'Beta HC3'!$E$9*L1253/'Beta HC3'!$E$11)*L1253/'Beta HC3'!$E$11</x:f>
        <x:v>-7.80247694421497e-9</x:v>
      </x:c>
      <x:c r="R1253" s="240" t="n">
        <x:f>K1253*L1253/'Beta HC3'!$E$11</x:f>
        <x:v>-0.0007070997228905218</x:v>
      </x:c>
      <x:c r="S1253" s="240" t="n">
        <x:f>(K1253-K1252)^2</x:f>
        <x:v>0.00041393181614048915</x:v>
      </x:c>
      <x:c r="T1253" s="280" t="n">
        <x:f>E1253/$E$9*100</x:f>
        <x:v>176.90218563535532</x:v>
      </x:c>
    </x:row>
    <x:row r="1254" ht="24" customHeight="1">
      <x:c r="C1254" s="274" t="d">
        <x:v>2026-09-24T00:00:00.000Z</x:v>
      </x:c>
      <x:c r="D1254" s="191" t="n">
        <x:v>497.92999267578125</x:v>
      </x:c>
      <x:c r="E1254" s="191" t="n">
        <x:v>497.92999267578125</x:v>
      </x:c>
      <x:c r="F1254" s="191" t="n">
        <x:v>767.1799926757812</x:v>
      </x:c>
      <x:c r="G1254" s="191" t="n">
        <x:v>767.1799926757812</x:v>
      </x:c>
      <x:c r="H1254" s="208" t="n">
        <x:f>E1254/E1253-1</x:f>
        <x:v>-0.00531373715329686</x:v>
      </x:c>
      <x:c r="I1254" s="208" t="n">
        <x:f>G1254/G1253-1</x:f>
        <x:v>-0.000820521854125067</x:v>
      </x:c>
      <x:c r="J1254" s="208" t="n">
        <x:f>'Beta HC3'!$E$13+'Beta HC3'!$E$12*I1254</x:f>
        <x:v>-0.0009162627743345109</x:v>
      </x:c>
      <x:c r="K1254" s="240" t="n">
        <x:f>H1254-J1254</x:f>
        <x:v>-0.0043974743789623495</x:v>
      </x:c>
      <x:c r="L1254" s="240" t="n">
        <x:f>I1254-'Beta HC3'!$E$9</x:f>
        <x:v>-0.0013844694717855062</x:v>
      </x:c>
      <x:c r="M1254" s="240" t="n">
        <x:f>1/'Beta HC3'!$E$8+L1254^2/'Beta HC3'!$E$11</x:f>
        <x:v>0.0008099203776545924</x:v>
      </x:c>
      <x:c r="N1254" s="240" t="n">
        <x:f>K1254^2/(1-M1254)^2</x:f>
        <x:v>0.000019369143135480025</x:v>
      </x:c>
      <x:c r="O1254" s="240" t="n">
        <x:f>N1254*L1254^2/'Beta HC3'!$E$11^2</x:f>
        <x:v>1.7361686061816535e-9</x:v>
      </x:c>
      <x:c r="P1254" s="240" t="n">
        <x:f>N1254*(1/'Beta HC3'!$E$8-'Beta HC3'!$E$9*L1254/'Beta HC3'!$E$11)^2</x:f>
        <x:v>1.2463032825396242e-11</x:v>
      </x:c>
      <x:c r="Q1254" s="240" t="n">
        <x:f>N1254*(1/'Beta HC3'!$E$8-'Beta HC3'!$E$9*L1254/'Beta HC3'!$E$11)*L1254/'Beta HC3'!$E$11</x:f>
        <x:v>-1.4709835597063754e-10</x:v>
      </x:c>
      <x:c r="R1254" s="240" t="n">
        <x:f>K1254*L1254/'Beta HC3'!$E$11</x:f>
        <x:v>0.00004163360936060625</x:v>
      </x:c>
      <x:c r="S1254" s="240" t="n">
        <x:f>(K1254-K1253)^2</x:f>
        <x:v>0.0003137085870458852</x:v>
      </x:c>
      <x:c r="T1254" s="280" t="n">
        <x:f>E1254/$E$9*100</x:f>
        <x:v>175.96217391904528</x:v>
      </x:c>
    </x:row>
    <x:row r="1255" ht="24" customHeight="1">
      <x:c r="C1255" s="274" t="d">
        <x:v>2026-09-25T00:00:00.000Z</x:v>
      </x:c>
      <x:c r="D1255" s="191" t="n">
        <x:v>516.1699829101562</x:v>
      </x:c>
      <x:c r="E1255" s="191" t="n">
        <x:v>516.1699829101562</x:v>
      </x:c>
      <x:c r="F1255" s="191" t="n">
        <x:v>771.3499755859375</x:v>
      </x:c>
      <x:c r="G1255" s="191" t="n">
        <x:v>771.3499755859375</x:v>
      </x:c>
      <x:c r="H1255" s="208" t="n">
        <x:f>E1255/E1254-1</x:f>
        <x:v>0.03663163597829633</x:v>
      </x:c>
      <x:c r="I1255" s="208" t="n">
        <x:f>G1255/G1254-1</x:f>
        <x:v>0.005435468794763754</x:v>
      </x:c>
      <x:c r="J1255" s="208" t="n">
        <x:f>'Beta HC3'!$E$13+'Beta HC3'!$E$12*I1255</x:f>
        <x:v>0.006139316887967781</x:v>
      </x:c>
      <x:c r="K1255" s="240" t="n">
        <x:f>H1255-J1255</x:f>
        <x:v>0.030492319090328547</x:v>
      </x:c>
      <x:c r="L1255" s="240" t="n">
        <x:f>I1255-'Beta HC3'!$E$9</x:f>
        <x:v>0.004871521177103314</x:v>
      </x:c>
      <x:c r="M1255" s="240" t="n">
        <x:f>1/'Beta HC3'!$E$8+L1255^2/'Beta HC3'!$E$11</x:f>
        <x:v>0.0009591008024074389</x:v>
      </x:c>
      <x:c r="N1255" s="240" t="n">
        <x:f>K1255^2/(1-M1255)^2</x:f>
        <x:v>0.000931567601048599</x:v>
      </x:c>
      <x:c r="O1255" s="240" t="n">
        <x:f>N1255*L1255^2/'Beta HC3'!$E$11^2</x:f>
        <x:v>0.0000010338518001350463</x:v>
      </x:c>
      <x:c r="P1255" s="240" t="n">
        <x:f>N1255*(1/'Beta HC3'!$E$8-'Beta HC3'!$E$9*L1255/'Beta HC3'!$E$11)^2</x:f>
        <x:v>5.639000819955296e-10</x:v>
      </x:c>
      <x:c r="Q1255" s="240" t="n">
        <x:f>N1255*(1/'Beta HC3'!$E$8-'Beta HC3'!$E$9*L1255/'Beta HC3'!$E$11)*L1255/'Beta HC3'!$E$11</x:f>
        <x:v>2.4145167526181683e-8</x:v>
      </x:c>
      <x:c r="R1255" s="240" t="n">
        <x:f>K1255*L1255/'Beta HC3'!$E$11</x:f>
        <x:v>0.0010158098320879939</x:v>
      </x:c>
      <x:c r="S1255" s="240" t="n">
        <x:f>(K1255-K1254)^2</x:f>
        <x:v>0.001217297688329774</x:v>
      </x:c>
      <x:c r="T1255" s="280" t="n">
        <x:f>E1255/$E$9*100</x:f>
        <x:v>182.40795621999743</x:v>
      </x:c>
    </x:row>
    <x:row r="1256" ht="24" customHeight="1">
      <x:c r="C1256" s="274" t="d">
        <x:v>2026-09-28T00:00:00.000Z</x:v>
      </x:c>
      <x:c r="D1256" s="191" t="n">
        <x:v>509.2200012207031</x:v>
      </x:c>
      <x:c r="E1256" s="191" t="n">
        <x:v>509.2200012207031</x:v>
      </x:c>
      <x:c r="F1256" s="191" t="n">
        <x:v>765.6099853515625</x:v>
      </x:c>
      <x:c r="G1256" s="191" t="n">
        <x:v>765.6099853515625</x:v>
      </x:c>
      <x:c r="H1256" s="208" t="n">
        <x:f>E1256/E1255-1</x:f>
        <x:v>-0.013464521222774861</x:v>
      </x:c>
      <x:c r="I1256" s="208" t="n">
        <x:f>G1256/G1255-1</x:f>
        <x:v>-0.007441486246259066</x:v>
      </x:c>
      <x:c r="J1256" s="208" t="n">
        <x:f>'Beta HC3'!$E$13+'Beta HC3'!$E$12*I1256</x:f>
        <x:v>-0.008383464106910942</x:v>
      </x:c>
      <x:c r="K1256" s="240" t="n">
        <x:f>H1256-J1256</x:f>
        <x:v>-0.005081057115863919</x:v>
      </x:c>
      <x:c r="L1256" s="240" t="n">
        <x:f>I1256-'Beta HC3'!$E$9</x:f>
        <x:v>-0.008005433863919505</x:v>
      </x:c>
      <x:c r="M1256" s="240" t="n">
        <x:f>1/'Beta HC3'!$E$8+L1256^2/'Beta HC3'!$E$11</x:f>
        <x:v>0.001235067980888709</x:v>
      </x:c>
      <x:c r="N1256" s="240" t="n">
        <x:f>K1256^2/(1-M1256)^2</x:f>
        <x:v>0.000025881031602819084</x:v>
      </x:c>
      <x:c r="O1256" s="240" t="n">
        <x:f>N1256*L1256^2/'Beta HC3'!$E$11^2</x:f>
        <x:v>7.75650459084933e-8</x:v>
      </x:c>
      <x:c r="P1256" s="240" t="n">
        <x:f>N1256*(1/'Beta HC3'!$E$8-'Beta HC3'!$E$9*L1256/'Beta HC3'!$E$11)^2</x:f>
        <x:v>1.7730161851900342e-11</x:v>
      </x:c>
      <x:c r="Q1256" s="240" t="n">
        <x:f>N1256*(1/'Beta HC3'!$E$8-'Beta HC3'!$E$9*L1256/'Beta HC3'!$E$11)*L1256/'Beta HC3'!$E$11</x:f>
        <x:v>-1.1727066206036642e-9</x:v>
      </x:c>
      <x:c r="R1256" s="240" t="n">
        <x:f>K1256*L1256/'Beta HC3'!$E$11</x:f>
        <x:v>0.0002781610469069843</x:v>
      </x:c>
      <x:c r="S1256" s="240" t="n">
        <x:f>(K1256-K1255)^2</x:f>
        <x:v>0.0012654650947073005</x:v>
      </x:c>
      <x:c r="T1256" s="280" t="n">
        <x:f>E1256/$E$9*100</x:f>
        <x:v>179.95192042227032</x:v>
      </x:c>
    </x:row>
    <x:row r="1257" ht="24" customHeight="1">
      <x:c r="C1257" s="274" t="d">
        <x:v>2026-09-29T00:00:00.000Z</x:v>
      </x:c>
      <x:c r="D1257" s="191" t="n">
        <x:v>508.9599914550781</x:v>
      </x:c>
      <x:c r="E1257" s="191" t="n">
        <x:v>508.9599914550781</x:v>
      </x:c>
      <x:c r="F1257" s="191" t="n">
        <x:v>764.2000122070312</x:v>
      </x:c>
      <x:c r="G1257" s="191" t="n">
        <x:v>764.2000122070312</x:v>
      </x:c>
      <x:c r="H1257" s="208" t="n">
        <x:f>E1257/E1256-1</x:f>
        <x:v>-0.0005106039923838956</x:v>
      </x:c>
      <x:c r="I1257" s="208" t="n">
        <x:f>G1257/G1256-1</x:f>
        <x:v>-0.0018416336927525867</x:v>
      </x:c>
      <x:c r="J1257" s="208" t="n">
        <x:f>'Beta HC3'!$E$13+'Beta HC3'!$E$12*I1257</x:f>
        <x:v>-0.0020678846877777617</x:v>
      </x:c>
      <x:c r="K1257" s="240" t="n">
        <x:f>H1257-J1257</x:f>
        <x:v>0.001557280695393866</x:v>
      </x:c>
      <x:c r="L1257" s="240" t="n">
        <x:f>I1257-'Beta HC3'!$E$9</x:f>
        <x:v>-0.002405581310413026</x:v>
      </x:c>
      <x:c r="M1257" s="240" t="n">
        <x:f>1/'Beta HC3'!$E$8+L1257^2/'Beta HC3'!$E$11</x:f>
        <x:v>0.0008363856094325166</x:v>
      </x:c>
      <x:c r="N1257" s="240" t="n">
        <x:f>K1257^2/(1-M1257)^2</x:f>
        <x:v>0.0000024291849355777523</x:v>
      </x:c>
      <x:c r="O1257" s="240" t="n">
        <x:f>N1257*L1257^2/'Beta HC3'!$E$11^2</x:f>
        <x:v>6.573783302567966e-10</x:v>
      </x:c>
      <x:c r="P1257" s="240" t="n">
        <x:f>N1257*(1/'Beta HC3'!$E$8-'Beta HC3'!$E$9*L1257/'Beta HC3'!$E$11)^2</x:f>
        <x:v>1.5784381681286283e-12</x:v>
      </x:c>
      <x:c r="Q1257" s="240" t="n">
        <x:f>N1257*(1/'Beta HC3'!$E$8-'Beta HC3'!$E$9*L1257/'Beta HC3'!$E$11)*L1257/'Beta HC3'!$E$11</x:f>
        <x:v>-3.2212281002406446e-11</x:v>
      </x:c>
      <x:c r="R1257" s="240" t="n">
        <x:f>K1257*L1257/'Beta HC3'!$E$11</x:f>
        <x:v>-0.000025617945791359973</x:v>
      </x:c>
      <x:c r="S1257" s="240" t="n">
        <x:f>(K1257-K1256)^2</x:f>
        <x:v>0.0000440675288963748</x:v>
      </x:c>
      <x:c r="T1257" s="280" t="n">
        <x:f>E1257/$E$9*100</x:f>
        <x:v>179.86003625326558</x:v>
      </x:c>
    </x:row>
    <x:row r="1258" ht="24" customHeight="1">
      <x:c r="C1258" s="274" t="d">
        <x:v>2026-09-30T00:00:00.000Z</x:v>
      </x:c>
      <x:c r="D1258" s="191" t="n">
        <x:v>512.9000244140625</x:v>
      </x:c>
      <x:c r="E1258" s="191" t="n">
        <x:v>512.9000244140625</x:v>
      </x:c>
      <x:c r="F1258" s="191" t="n">
        <x:v>762.6300048828125</x:v>
      </x:c>
      <x:c r="G1258" s="191" t="n">
        <x:v>762.6300048828125</x:v>
      </x:c>
      <x:c r="H1258" s="208" t="n">
        <x:f>E1258/E1257-1</x:f>
        <x:v>0.0077413412156819295</x:v>
      </x:c>
      <x:c r="I1258" s="208" t="n">
        <x:f>G1258/G1257-1</x:f>
        <x:v>-0.002054445562863161</x:v>
      </x:c>
      <x:c r="J1258" s="208" t="n">
        <x:f>'Beta HC3'!$E$13+'Beta HC3'!$E$12*I1258</x:f>
        <x:v>-0.002307896412046464</x:v>
      </x:c>
      <x:c r="K1258" s="240" t="n">
        <x:f>H1258-J1258</x:f>
        <x:v>0.010049237627728393</x:v>
      </x:c>
      <x:c r="L1258" s="240" t="n">
        <x:f>I1258-'Beta HC3'!$E$9</x:f>
        <x:v>-0.0026183931805236</x:v>
      </x:c>
      <x:c r="M1258" s="240" t="n">
        <x:f>1/'Beta HC3'!$E$8+L1258^2/'Beta HC3'!$E$11</x:f>
        <x:v>0.0008436970109606856</x:v>
      </x:c>
      <x:c r="N1258" s="240" t="n">
        <x:f>K1258^2/(1-M1258)^2</x:f>
        <x:v>0.00010115779795547922</x:v>
      </x:c>
      <x:c r="O1258" s="240" t="n">
        <x:f>N1258*L1258^2/'Beta HC3'!$E$11^2</x:f>
        <x:v>3.2432752813367236e-8</x:v>
      </x:c>
      <x:c r="P1258" s="240" t="n">
        <x:f>N1258*(1/'Beta HC3'!$E$8-'Beta HC3'!$E$9*L1258/'Beta HC3'!$E$11)^2</x:f>
        <x:v>6.586432705798323e-11</x:v>
      </x:c>
      <x:c r="Q1258" s="240" t="n">
        <x:f>N1258*(1/'Beta HC3'!$E$8-'Beta HC3'!$E$9*L1258/'Beta HC3'!$E$11)*L1258/'Beta HC3'!$E$11</x:f>
        <x:v>-1.461561301721671e-9</x:v>
      </x:c>
      <x:c r="R1258" s="240" t="n">
        <x:f>K1258*L1258/'Beta HC3'!$E$11</x:f>
        <x:v>-0.00017993901485388963</x:v>
      </x:c>
      <x:c r="S1258" s="240" t="n">
        <x:f>(K1258-K1257)^2</x:f>
        <x:v>0.00007211333254062444</x:v>
      </x:c>
      <x:c r="T1258" s="280" t="n">
        <x:f>E1258/$E$9*100</x:f>
        <x:v>181.25239416496703</x:v>
      </x:c>
    </x:row>
    <x:row r="1259" ht="24" customHeight="1">
      <x:c r="C1259" s="274" t="d">
        <x:v>2026-10-01T00:00:00.000Z</x:v>
      </x:c>
      <x:c r="D1259" s="191" t="n">
        <x:v>512.7999877929688</x:v>
      </x:c>
      <x:c r="E1259" s="191" t="n">
        <x:v>512.7999877929688</x:v>
      </x:c>
      <x:c r="F1259" s="191" t="n">
        <x:v>763.989990234375</x:v>
      </x:c>
      <x:c r="G1259" s="191" t="n">
        <x:v>763.989990234375</x:v>
      </x:c>
      <x:c r="H1259" s="208" t="n">
        <x:f>E1259/E1258-1</x:f>
        <x:v>-0.00019504117046598157</x:v>
      </x:c>
      <x:c r="I1259" s="208" t="n">
        <x:f>G1259/G1258-1</x:f>
        <x:v>0.0017832832997064507</x:v>
      </x:c>
      <x:c r="J1259" s="208" t="n">
        <x:f>'Beta HC3'!$E$13+'Beta HC3'!$E$12*I1259</x:f>
        <x:v>0.002020339231494036</x:v>
      </x:c>
      <x:c r="K1259" s="240" t="n">
        <x:f>H1259-J1259</x:f>
        <x:v>-0.0022153804019600177</x:v>
      </x:c>
      <x:c r="L1259" s="240" t="n">
        <x:f>I1259-'Beta HC3'!$E$9</x:f>
        <x:v>0.0012193356820460115</x:v>
      </x:c>
      <x:c r="M1259" s="240" t="n">
        <x:f>1/'Beta HC3'!$E$8+L1259^2/'Beta HC3'!$E$11</x:f>
        <x:v>0.0008069800089513242</x:v>
      </x:c>
      <x:c r="N1259" s="240" t="n">
        <x:f>K1259^2/(1-M1259)^2</x:f>
        <x:v>0.0000049158410950923835</x:v>
      </x:c>
      <x:c r="O1259" s="240" t="n">
        <x:f>N1259*L1259^2/'Beta HC3'!$E$11^2</x:f>
        <x:v>3.417898209582333e-10</x:v>
      </x:c>
      <x:c r="P1259" s="240" t="n">
        <x:f>N1259*(1/'Beta HC3'!$E$8-'Beta HC3'!$E$9*L1259/'Beta HC3'!$E$11)^2</x:f>
        <x:v>3.0843894755926943e-12</x:v>
      </x:c>
      <x:c r="Q1259" s="240" t="n">
        <x:f>N1259*(1/'Beta HC3'!$E$8-'Beta HC3'!$E$9*L1259/'Beta HC3'!$E$11)*L1259/'Beta HC3'!$E$11</x:f>
        <x:v>3.2468645284771064e-11</x:v>
      </x:c>
      <x:c r="R1259" s="240" t="n">
        <x:f>K1259*L1259/'Beta HC3'!$E$11</x:f>
        <x:v>-0.00001847263945493258</x:v>
      </x:c>
      <x:c r="S1259" s="240" t="n">
        <x:f>(K1259-K1258)^2</x:f>
        <x:v>0.000150420855414158</x:v>
      </x:c>
      <x:c r="T1259" s="280" t="n">
        <x:f>E1259/$E$9*100</x:f>
        <x:v>181.21704248585934</x:v>
      </x:c>
    </x:row>
    <x:row r="1260" ht="24" customHeight="1">
      <x:c r="C1260" s="274" t="d">
        <x:v>2026-10-02T00:00:00.000Z</x:v>
      </x:c>
      <x:c r="D1260" s="191" t="n">
        <x:v>517.530029296875</x:v>
      </x:c>
      <x:c r="E1260" s="191" t="n">
        <x:v>517.530029296875</x:v>
      </x:c>
      <x:c r="F1260" s="191" t="n">
        <x:v>769.6400146484375</x:v>
      </x:c>
      <x:c r="G1260" s="191" t="n">
        <x:v>769.6400146484375</x:v>
      </x:c>
      <x:c r="H1260" s="208" t="n">
        <x:f>E1260/E1259-1</x:f>
        <x:v>0.009223950110185841</x:v>
      </x:c>
      <x:c r="I1260" s="208" t="n">
        <x:f>G1260/G1259-1</x:f>
        <x:v>0.0073954168068735004</x:v>
      </x:c>
      <x:c r="J1260" s="208" t="n">
        <x:f>'Beta HC3'!$E$13+'Beta HC3'!$E$12*I1260</x:f>
        <x:v>0.008349769254271675</x:v>
      </x:c>
      <x:c r="K1260" s="240" t="n">
        <x:f>H1260-J1260</x:f>
        <x:v>0.0008741808559141664</x:v>
      </x:c>
      <x:c r="L1260" s="240" t="n">
        <x:f>I1260-'Beta HC3'!$E$9</x:f>
        <x:v>0.006831469189213061</x:v>
      </x:c>
      <x:c r="M1260" s="240" t="n">
        <x:f>1/'Beta HC3'!$E$8+L1260^2/'Beta HC3'!$E$11</x:f>
        <x:v>0.0011159559445835829</x:v>
      </x:c>
      <x:c r="N1260" s="240" t="n">
        <x:f>K1260^2/(1-M1260)^2</x:f>
        <x:v>7.659006377659411e-7</x:v>
      </x:c>
      <x:c r="O1260" s="240" t="n">
        <x:f>N1260*L1260^2/'Beta HC3'!$E$11^2</x:f>
        <x:v>1.6715346429826072e-9</x:v>
      </x:c>
      <x:c r="P1260" s="240" t="n">
        <x:f>N1260*(1/'Beta HC3'!$E$8-'Beta HC3'!$E$9*L1260/'Beta HC3'!$E$11)^2</x:f>
        <x:v>4.5465349765626733e-13</x:v>
      </x:c>
      <x:c r="Q1260" s="240" t="n">
        <x:f>N1260*(1/'Beta HC3'!$E$8-'Beta HC3'!$E$9*L1260/'Beta HC3'!$E$11)*L1260/'Beta HC3'!$E$11</x:f>
        <x:v>2.7567536558163164e-11</x:v>
      </x:c>
      <x:c r="R1260" s="240" t="n">
        <x:f>K1260*L1260/'Beta HC3'!$E$11</x:f>
        <x:v>0.000040838780669827405</x:v>
      </x:c>
      <x:c r="S1260" s="240" t="n">
        <x:f>(K1260-K1259)^2</x:f>
        <x:v>0.00000954538876615711</x:v>
      </x:c>
      <x:c r="T1260" s="280" t="n">
        <x:f>E1260/$E$9*100</x:f>
        <x:v>182.88857944486432</x:v>
      </x:c>
    </x:row>
    <x:row r="1261" ht="24" customHeight="1">
      <x:c r="C1261" s="274" t="d">
        <x:v>2026-10-05T00:00:00.000Z</x:v>
      </x:c>
      <x:c r="D1261" s="191" t="n">
        <x:v>525.1799926757812</x:v>
      </x:c>
      <x:c r="E1261" s="191" t="n">
        <x:v>525.1799926757812</x:v>
      </x:c>
      <x:c r="F1261" s="191" t="n">
        <x:v>774.8300170898438</x:v>
      </x:c>
      <x:c r="G1261" s="191" t="n">
        <x:v>774.8300170898438</x:v>
      </x:c>
      <x:c r="H1261" s="208" t="n">
        <x:f>E1261/E1260-1</x:f>
        <x:v>0.014781680184432267</x:v>
      </x:c>
      <x:c r="I1261" s="208" t="n">
        <x:f>G1261/G1260-1</x:f>
        <x:v>0.00674341554834168</x:v>
      </x:c>
      <x:c r="J1261" s="208" t="n">
        <x:f>'Beta HC3'!$E$13+'Beta HC3'!$E$12*I1261</x:f>
        <x:v>0.007614434584244684</x:v>
      </x:c>
      <x:c r="K1261" s="240" t="n">
        <x:f>H1261-J1261</x:f>
        <x:v>0.007167245600187583</x:v>
      </x:c>
      <x:c r="L1261" s="240" t="n">
        <x:f>I1261-'Beta HC3'!$E$9</x:f>
        <x:v>0.0061794679306812405</x:v>
      </x:c>
      <x:c r="M1261" s="240" t="n">
        <x:f>1/'Beta HC3'!$E$8+L1261^2/'Beta HC3'!$E$11</x:f>
        <x:v>0.001057944407410555</x:v>
      </x:c>
      <x:c r="N1261" s="240" t="n">
        <x:f>K1261^2/(1-M1261)^2</x:f>
        <x:v>0.00005147827418108285</x:v>
      </x:c>
      <x:c r="O1261" s="240" t="n">
        <x:f>N1261*L1261^2/'Beta HC3'!$E$11^2</x:f>
        <x:v>9.19265300192165e-8</x:v>
      </x:c>
      <x:c r="P1261" s="240" t="n">
        <x:f>N1261*(1/'Beta HC3'!$E$8-'Beta HC3'!$E$9*L1261/'Beta HC3'!$E$11)^2</x:f>
        <x:v>3.0758287607431526e-11</x:v>
      </x:c>
      <x:c r="Q1261" s="240" t="n">
        <x:f>N1261*(1/'Beta HC3'!$E$8-'Beta HC3'!$E$9*L1261/'Beta HC3'!$E$11)*L1261/'Beta HC3'!$E$11</x:f>
        <x:v>1.6815179597864096e-9</x:v>
      </x:c>
      <x:c r="R1261" s="240" t="n">
        <x:f>K1261*L1261/'Beta HC3'!$E$11</x:f>
        <x:v>0.0003028731196243709</x:v>
      </x:c>
      <x:c r="S1261" s="240" t="n">
        <x:f>(K1261-K1260)^2</x:f>
        <x:v>0.00003960266387561704</x:v>
      </x:c>
      <x:c r="T1261" s="280" t="n">
        <x:f>E1261/$E$9*100</x:f>
        <x:v>185.59197993560343</x:v>
      </x:c>
    </x:row>
    <x:row r="1262" ht="24" customHeight="1">
      <x:c r="C1262" s="274" t="d">
        <x:v>2026-10-06T00:00:00.000Z</x:v>
      </x:c>
      <x:c r="D1262" s="191" t="n">
        <x:v>529.2999877929688</x:v>
      </x:c>
      <x:c r="E1262" s="191" t="n">
        <x:v>529.2999877929688</x:v>
      </x:c>
      <x:c r="F1262" s="191" t="n">
        <x:v>779.0900268554688</x:v>
      </x:c>
      <x:c r="G1262" s="191" t="n">
        <x:v>779.0900268554688</x:v>
      </x:c>
      <x:c r="H1262" s="208" t="n">
        <x:f>E1262/E1261-1</x:f>
        <x:v>0.007844920169552072</x:v>
      </x:c>
      <x:c r="I1262" s="208" t="n">
        <x:f>G1262/G1261-1</x:f>
        <x:v>0.005497992684414754</x:v>
      </x:c>
      <x:c r="J1262" s="208" t="n">
        <x:f>'Beta HC3'!$E$13+'Beta HC3'!$E$12*I1262</x:f>
        <x:v>0.006209832064378408</x:v>
      </x:c>
      <x:c r="K1262" s="240" t="n">
        <x:f>H1262-J1262</x:f>
        <x:v>0.0016350881051736639</x:v>
      </x:c>
      <x:c r="L1262" s="240" t="n">
        <x:f>I1262-'Beta HC3'!$E$9</x:f>
        <x:v>0.0049340450667543145</x:v>
      </x:c>
      <x:c r="M1262" s="240" t="n">
        <x:f>1/'Beta HC3'!$E$8+L1262^2/'Beta HC3'!$E$11</x:f>
        <x:v>0.0009632933309441951</x:v>
      </x:c>
      <x:c r="N1262" s="240" t="n">
        <x:f>K1262^2/(1-M1262)^2</x:f>
        <x:v>0.0000026786713184838746</x:v>
      </x:c>
      <x:c r="O1262" s="240" t="n">
        <x:f>N1262*L1262^2/'Beta HC3'!$E$11^2</x:f>
        <x:v>3.0495824122234726e-9</x:v>
      </x:c>
      <x:c r="P1262" s="240" t="n">
        <x:f>N1262*(1/'Beta HC3'!$E$8-'Beta HC3'!$E$9*L1262/'Beta HC3'!$E$11)^2</x:f>
        <x:v>1.6204587324890003e-12</x:v>
      </x:c>
      <x:c r="Q1262" s="240" t="n">
        <x:f>N1262*(1/'Beta HC3'!$E$8-'Beta HC3'!$E$9*L1262/'Beta HC3'!$E$11)*L1262/'Beta HC3'!$E$11</x:f>
        <x:v>7.029738580013055e-11</x:v>
      </x:c>
      <x:c r="R1262" s="240" t="n">
        <x:f>K1262*L1262/'Beta HC3'!$E$11</x:f>
        <x:v>0.00005516982832341501</x:v>
      </x:c>
      <x:c r="S1262" s="240" t="n">
        <x:f>(K1262-K1261)^2</x:f>
        <x:v>0.00003060476654963868</x:v>
      </x:c>
      <x:c r="T1262" s="280" t="n">
        <x:f>E1262/$E$9*100</x:f>
        <x:v>187.04793420230737</x:v>
      </x:c>
    </x:row>
    <x:row r="1263" ht="24" customHeight="1">
      <x:c r="C1263" s="274" t="d">
        <x:v>2026-10-07T00:00:00.000Z</x:v>
      </x:c>
      <x:c r="D1263" s="191" t="n">
        <x:v>529.760009765625</x:v>
      </x:c>
      <x:c r="E1263" s="191" t="n">
        <x:v>529.760009765625</x:v>
      </x:c>
      <x:c r="F1263" s="191" t="n">
        <x:v>777.219970703125</x:v>
      </x:c>
      <x:c r="G1263" s="191" t="n">
        <x:v>777.219970703125</x:v>
      </x:c>
      <x:c r="H1263" s="208" t="n">
        <x:f>E1263/E1262-1</x:f>
        <x:v>0.0008691138924343811</x:v>
      </x:c>
      <x:c r="I1263" s="208" t="n">
        <x:f>G1263/G1262-1</x:f>
        <x:v>-0.0024003081645026514</x:v>
      </x:c>
      <x:c r="J1263" s="208" t="n">
        <x:f>'Beta HC3'!$E$13+'Beta HC3'!$E$12*I1263</x:f>
        <x:v>-0.0026979643125654624</x:v>
      </x:c>
      <x:c r="K1263" s="240" t="n">
        <x:f>H1263-J1263</x:f>
        <x:v>0.0035670782049998435</x:v>
      </x:c>
      <x:c r="L1263" s="240" t="n">
        <x:f>I1263-'Beta HC3'!$E$9</x:f>
        <x:v>-0.0029642557821630906</x:v>
      </x:c>
      <x:c r="M1263" s="240" t="n">
        <x:f>1/'Beta HC3'!$E$8+L1263^2/'Beta HC3'!$E$11</x:f>
        <x:v>0.0008569008823548781</x:v>
      </x:c>
      <x:c r="N1263" s="240" t="n">
        <x:f>K1263^2/(1-M1263)^2</x:f>
        <x:v>0.000012745881475716108</x:v>
      </x:c>
      <x:c r="O1263" s="240" t="n">
        <x:f>N1263*L1263^2/'Beta HC3'!$E$11^2</x:f>
        <x:v>5.2374024838304216e-9</x:v>
      </x:c>
      <x:c r="P1263" s="240" t="n">
        <x:f>N1263*(1/'Beta HC3'!$E$8-'Beta HC3'!$E$9*L1263/'Beta HC3'!$E$11)^2</x:f>
        <x:v>8.326363459741239e-12</x:v>
      </x:c>
      <x:c r="Q1263" s="240" t="n">
        <x:f>N1263*(1/'Beta HC3'!$E$8-'Beta HC3'!$E$9*L1263/'Beta HC3'!$E$11)*L1263/'Beta HC3'!$E$11</x:f>
        <x:v>-2.0882652289717324e-10</x:v>
      </x:c>
      <x:c r="R1263" s="240" t="n">
        <x:f>K1263*L1263/'Beta HC3'!$E$11</x:f>
        <x:v>-0.00007230788656797013</x:v>
      </x:c>
      <x:c r="S1263" s="240" t="n">
        <x:f>(K1263-K1262)^2</x:f>
        <x:v>0.0000037325857458263716</x:v>
      </x:c>
      <x:c r="T1263" s="280" t="n">
        <x:f>E1263/$E$9*100</x:f>
        <x:v>187.21050016047377</x:v>
      </x:c>
    </x:row>
    <x:row r="1264" ht="24" customHeight="1">
      <x:c r="C1264" s="274" t="d">
        <x:v>2026-10-08T00:00:00.000Z</x:v>
      </x:c>
      <x:c r="D1264" s="191" t="n">
        <x:v>522.6099853515625</x:v>
      </x:c>
      <x:c r="E1264" s="191" t="n">
        <x:v>522.6099853515625</x:v>
      </x:c>
      <x:c r="F1264" s="191" t="n">
        <x:v>773.9299926757812</x:v>
      </x:c>
      <x:c r="G1264" s="191" t="n">
        <x:v>773.9299926757812</x:v>
      </x:c>
      <x:c r="H1264" s="208" t="n">
        <x:f>E1264/E1263-1</x:f>
        <x:v>-0.013496723577201997</x:v>
      </x:c>
      <x:c r="I1264" s="208" t="n">
        <x:f>G1264/G1263-1</x:f>
        <x:v>-0.004233007580038639</x:v>
      </x:c>
      <x:c r="J1264" s="208" t="n">
        <x:f>'Beta HC3'!$E$13+'Beta HC3'!$E$12*I1264</x:f>
        <x:v>-0.004764904218504381</x:v>
      </x:c>
      <x:c r="K1264" s="240" t="n">
        <x:f>H1264-J1264</x:f>
        <x:v>-0.008731819358697615</x:v>
      </x:c>
      <x:c r="L1264" s="240" t="n">
        <x:f>I1264-'Beta HC3'!$E$9</x:f>
        <x:v>-0.004796955197699079</x:v>
      </x:c>
      <x:c r="M1264" s="240" t="n">
        <x:f>1/'Beta HC3'!$E$8+L1264^2/'Beta HC3'!$E$11</x:f>
        <x:v>0.0009541706978674169</x:v>
      </x:c>
      <x:c r="N1264" s="240" t="n">
        <x:f>K1264^2/(1-M1264)^2</x:f>
        <x:v>0.00007639037868582062</x:v>
      </x:c>
      <x:c r="O1264" s="240" t="n">
        <x:f>N1264*L1264^2/'Beta HC3'!$E$11^2</x:f>
        <x:v>8.220244028739189e-8</x:v>
      </x:c>
      <x:c r="P1264" s="240" t="n">
        <x:f>N1264*(1/'Beta HC3'!$E$8-'Beta HC3'!$E$9*L1264/'Beta HC3'!$E$11)^2</x:f>
        <x:v>5.077929637487466e-11</x:v>
      </x:c>
      <x:c r="Q1264" s="240" t="n">
        <x:f>N1264*(1/'Beta HC3'!$E$8-'Beta HC3'!$E$9*L1264/'Beta HC3'!$E$11)*L1264/'Beta HC3'!$E$11</x:f>
        <x:v>-2.043081515283081e-9</x:v>
      </x:c>
      <x:c r="R1264" s="240" t="n">
        <x:f>K1264*L1264/'Beta HC3'!$E$11</x:f>
        <x:v>0.00028643610946996927</x:v>
      </x:c>
      <x:c r="S1264" s="240" t="n">
        <x:f>(K1264-K1263)^2</x:f>
        <x:v>0.00015126288128232328</x:v>
      </x:c>
      <x:c r="T1264" s="280" t="n">
        <x:f>E1264/$E$9*100</x:f>
        <x:v>184.6837717890581</x:v>
      </x:c>
    </x:row>
  </x:sheetData>
  <x:mergeCells>
    <x:mergeCell ref="E4:F4"/>
  </x:mergeCells>
  <x:pageMargins left="0.7" right="0.7" top="0.75" bottom="0.75" header="0.3" footer="0.3"/>
  <x:legacyDrawing xmlns:r="http://schemas.openxmlformats.org/officeDocument/2006/relationships" r:id="Rff0fe639e0ac45a2"/>
</x:worksheet>
</file>

<file path=xl/worksheets/sheet31.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19" hidden="0" customWidth="1"/>
    <x:col min="4" max="4" width="29" hidden="0" customWidth="1"/>
    <x:col min="5" max="5" width="10" hidden="0" customWidth="1"/>
    <x:col min="6" max="6" width="10" hidden="0" customWidth="1"/>
    <x:col min="7" max="7" width="10" hidden="0" customWidth="1"/>
    <x:col min="8" max="8" width="18" hidden="0" customWidth="1"/>
    <x:col min="9" max="9" width="20" hidden="0" customWidth="1"/>
    <x:col min="10" max="10" width="35" hidden="0" customWidth="1"/>
    <x:col min="11" max="11" width="35" hidden="0" customWidth="1"/>
    <x:col min="12" max="12" width="30"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24" customHeight="1">
      <x:c r="A2" s="136"/>
      <x:c r="B2" s="136"/>
      <x:c r="C2" s="179" t="str">
        <x:v>Source Catalog</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x:c r="D4" s="136"/>
      <x:c r="E4" s="136"/>
      <x:c r="F4" s="136"/>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56" t="str">
        <x:v>Source ID</x:v>
      </x:c>
      <x:c r="D8" s="158" t="str">
        <x:v>Excel destination</x:v>
      </x:c>
      <x:c r="E8" s="158" t="str">
        <x:v>FY</x:v>
      </x:c>
      <x:c r="F8" s="158" t="str">
        <x:v>Report</x:v>
      </x:c>
      <x:c r="G8" s="158" t="str">
        <x:v>PDF page</x:v>
      </x:c>
      <x:c r="H8" s="158" t="str">
        <x:v>Input value</x:v>
      </x:c>
      <x:c r="I8" s="158" t="str">
        <x:v>Status</x:v>
      </x:c>
      <x:c r="J8" s="158" t="str">
        <x:v>Original report</x:v>
      </x:c>
      <x:c r="K8" s="158" t="str">
        <x:v>Marked report</x:v>
      </x:c>
      <x:c r="L8" s="160" t="str">
        <x:v>Conversion</x:v>
      </x:c>
      <x:c r="M8" s="136"/>
      <x:c r="N8" s="136"/>
      <x:c r="O8" s="136"/>
      <x:c r="P8" s="136"/>
      <x:c r="Q8" s="136"/>
      <x:c r="R8" s="136"/>
      <x:c r="S8" s="136"/>
      <x:c r="T8" s="136"/>
      <x:c r="U8" s="136"/>
      <x:c r="V8" s="136"/>
      <x:c r="W8" s="136"/>
      <x:c r="X8" s="136"/>
      <x:c r="Y8" s="136"/>
      <x:c r="Z8" s="136"/>
    </x:row>
    <x:row r="9" ht="24" customHeight="1">
      <x:c r="A9" s="136"/>
      <x:c r="B9" s="136"/>
      <x:c r="C9" s="136" t="str">
        <x:v>SRC-0001</x:v>
      </x:c>
      <x:c r="D9" s="136" t="str">
        <x:v>Historical Inputs!E9</x:v>
      </x:c>
      <x:c r="E9" s="136" t="n">
        <x:v>2017</x:v>
      </x:c>
      <x:c r="F9" s="136" t="n">
        <x:v>2019</x:v>
      </x:c>
      <x:c r="G9" s="136" t="n">
        <x:v>51</x:v>
      </x:c>
      <x:c r="H9" s="206" t="n">
        <x:v>96571</x:v>
      </x:c>
      <x:c r="I9" s="136" t="str">
        <x:v>reported</x:v>
      </x:c>
      <x:c r="J9" s="136" t="str">
        <x:v>data/raw/reports/originals/Microsoft_FY2019_10K.pdf</x:v>
      </x:c>
      <x:c r="K9" s="136" t="str">
        <x:f>IFERROR(HYPERLINK("../data/raw/reports/highlighted/Microsoft_FY2019_10K_highlighted.pdf","Marked PDF page 51"),"Marked PDF page 51")</x:f>
        <x:v>Marked PDF page 51</x:v>
      </x:c>
      <x:c r="L9" s="136" t="str">
        <x:v>none</x:v>
      </x:c>
      <x:c r="M9" s="136"/>
      <x:c r="N9" s="136"/>
      <x:c r="O9" s="136"/>
      <x:c r="P9" s="136"/>
      <x:c r="Q9" s="136"/>
      <x:c r="R9" s="136"/>
      <x:c r="S9" s="136"/>
      <x:c r="T9" s="136"/>
      <x:c r="U9" s="136"/>
      <x:c r="V9" s="136"/>
      <x:c r="W9" s="136"/>
      <x:c r="X9" s="136"/>
      <x:c r="Y9" s="136"/>
      <x:c r="Z9" s="136"/>
    </x:row>
    <x:row r="10" ht="24" customHeight="1">
      <x:c r="A10" s="136"/>
      <x:c r="B10" s="136"/>
      <x:c r="C10" s="136" t="str">
        <x:v>SRC-0106</x:v>
      </x:c>
      <x:c r="D10" s="136" t="str">
        <x:v>Historical Inputs!F9</x:v>
      </x:c>
      <x:c r="E10" s="136" t="n">
        <x:v>2018</x:v>
      </x:c>
      <x:c r="F10" s="136" t="n">
        <x:v>2020</x:v>
      </x:c>
      <x:c r="G10" s="136" t="n">
        <x:v>55</x:v>
      </x:c>
      <x:c r="H10" s="206" t="n">
        <x:v>110360</x:v>
      </x:c>
      <x:c r="I10" s="136" t="str">
        <x:v>reported</x:v>
      </x:c>
      <x:c r="J10" s="136" t="str">
        <x:v>data/raw/reports/originals/Microsoft_FY2020_10K.pdf</x:v>
      </x:c>
      <x:c r="K10" s="136" t="str">
        <x:f>IFERROR(HYPERLINK("../data/raw/reports/highlighted/Microsoft_FY2020_10K_highlighted.pdf","Marked PDF page 55"),"Marked PDF page 55")</x:f>
        <x:v>Marked PDF page 55</x:v>
      </x:c>
      <x:c r="L10" s="136" t="str">
        <x:v>none</x:v>
      </x:c>
      <x:c r="M10" s="136"/>
      <x:c r="N10" s="136"/>
      <x:c r="O10" s="136"/>
      <x:c r="P10" s="136"/>
      <x:c r="Q10" s="136"/>
      <x:c r="R10" s="136"/>
      <x:c r="S10" s="136"/>
      <x:c r="T10" s="136"/>
      <x:c r="U10" s="136"/>
      <x:c r="V10" s="136"/>
      <x:c r="W10" s="136"/>
      <x:c r="X10" s="136"/>
      <x:c r="Y10" s="136"/>
      <x:c r="Z10" s="136"/>
    </x:row>
    <x:row r="11" ht="24" customHeight="1">
      <x:c r="A11" s="136"/>
      <x:c r="B11" s="136"/>
      <x:c r="C11" s="136" t="str">
        <x:v>SRC-0211</x:v>
      </x:c>
      <x:c r="D11" s="136" t="str">
        <x:v>Historical Inputs!G9</x:v>
      </x:c>
      <x:c r="E11" s="136" t="n">
        <x:v>2019</x:v>
      </x:c>
      <x:c r="F11" s="136" t="n">
        <x:v>2021</x:v>
      </x:c>
      <x:c r="G11" s="136" t="n">
        <x:v>57</x:v>
      </x:c>
      <x:c r="H11" s="206" t="n">
        <x:v>125843</x:v>
      </x:c>
      <x:c r="I11" s="136" t="str">
        <x:v>reported</x:v>
      </x:c>
      <x:c r="J11" s="136" t="str">
        <x:v>data/raw/reports/originals/Microsoft_FY2021_10K.pdf</x:v>
      </x:c>
      <x:c r="K11" s="136" t="str">
        <x:f>IFERROR(HYPERLINK("../data/raw/reports/highlighted/Microsoft_FY2021_10K_highlighted.pdf","Marked PDF page 57"),"Marked PDF page 57")</x:f>
        <x:v>Marked PDF page 57</x:v>
      </x:c>
      <x:c r="L11" s="136" t="str">
        <x:v>none</x:v>
      </x:c>
      <x:c r="M11" s="136"/>
      <x:c r="N11" s="136"/>
      <x:c r="O11" s="136"/>
      <x:c r="P11" s="136"/>
      <x:c r="Q11" s="136"/>
      <x:c r="R11" s="136"/>
      <x:c r="S11" s="136"/>
      <x:c r="T11" s="136"/>
      <x:c r="U11" s="136"/>
      <x:c r="V11" s="136"/>
      <x:c r="W11" s="136"/>
      <x:c r="X11" s="136"/>
      <x:c r="Y11" s="136"/>
      <x:c r="Z11" s="136"/>
    </x:row>
    <x:row r="12" ht="24" customHeight="1">
      <x:c r="A12" s="136"/>
      <x:c r="B12" s="136"/>
      <x:c r="C12" s="136" t="str">
        <x:v>SRC-0316</x:v>
      </x:c>
      <x:c r="D12" s="136" t="str">
        <x:v>Historical Inputs!H9</x:v>
      </x:c>
      <x:c r="E12" s="136" t="n">
        <x:v>2020</x:v>
      </x:c>
      <x:c r="F12" s="136" t="n">
        <x:v>2022</x:v>
      </x:c>
      <x:c r="G12" s="136" t="n">
        <x:v>57</x:v>
      </x:c>
      <x:c r="H12" s="206" t="n">
        <x:v>143015</x:v>
      </x:c>
      <x:c r="I12" s="136" t="str">
        <x:v>reported</x:v>
      </x:c>
      <x:c r="J12" s="136" t="str">
        <x:v>data/raw/reports/originals/Microsoft_FY2022_10K.pdf</x:v>
      </x:c>
      <x:c r="K12" s="136" t="str">
        <x:f>IFERROR(HYPERLINK("../data/raw/reports/highlighted/Microsoft_FY2022_10K_highlighted.pdf","Marked PDF page 57"),"Marked PDF page 57")</x:f>
        <x:v>Marked PDF page 57</x:v>
      </x:c>
      <x:c r="L12" s="136" t="str">
        <x:v>none</x:v>
      </x:c>
      <x:c r="M12" s="136"/>
      <x:c r="N12" s="136"/>
      <x:c r="O12" s="136"/>
      <x:c r="P12" s="136"/>
      <x:c r="Q12" s="136"/>
      <x:c r="R12" s="136"/>
      <x:c r="S12" s="136"/>
      <x:c r="T12" s="136"/>
      <x:c r="U12" s="136"/>
      <x:c r="V12" s="136"/>
      <x:c r="W12" s="136"/>
      <x:c r="X12" s="136"/>
      <x:c r="Y12" s="136"/>
      <x:c r="Z12" s="136"/>
    </x:row>
    <x:row r="13" ht="24" customHeight="1">
      <x:c r="A13" s="136"/>
      <x:c r="B13" s="136"/>
      <x:c r="C13" s="136" t="str">
        <x:v>SRC-0422</x:v>
      </x:c>
      <x:c r="D13" s="136" t="str">
        <x:v>Historical Inputs!I9</x:v>
      </x:c>
      <x:c r="E13" s="136" t="n">
        <x:v>2021</x:v>
      </x:c>
      <x:c r="F13" s="136" t="n">
        <x:v>2023</x:v>
      </x:c>
      <x:c r="G13" s="136" t="n">
        <x:v>58</x:v>
      </x:c>
      <x:c r="H13" s="206" t="n">
        <x:v>168088</x:v>
      </x:c>
      <x:c r="I13" s="136" t="str">
        <x:v>reported</x:v>
      </x:c>
      <x:c r="J13" s="136" t="str">
        <x:v>data/raw/reports/originals/Microsoft_FY2023_10K.pdf</x:v>
      </x:c>
      <x:c r="K13" s="136" t="str">
        <x:f>IFERROR(HYPERLINK("../data/raw/reports/highlighted/Microsoft_FY2023_10K_highlighted.pdf","Marked PDF page 58"),"Marked PDF page 58")</x:f>
        <x:v>Marked PDF page 58</x:v>
      </x:c>
      <x:c r="L13" s="136" t="str">
        <x:v>none</x:v>
      </x:c>
      <x:c r="M13" s="136"/>
      <x:c r="N13" s="136"/>
      <x:c r="O13" s="136"/>
      <x:c r="P13" s="136"/>
      <x:c r="Q13" s="136"/>
      <x:c r="R13" s="136"/>
      <x:c r="S13" s="136"/>
      <x:c r="T13" s="136"/>
      <x:c r="U13" s="136"/>
      <x:c r="V13" s="136"/>
      <x:c r="W13" s="136"/>
      <x:c r="X13" s="136"/>
      <x:c r="Y13" s="136"/>
      <x:c r="Z13" s="136"/>
    </x:row>
    <x:row r="14" ht="24" customHeight="1">
      <x:c r="A14" s="136"/>
      <x:c r="B14" s="136"/>
      <x:c r="C14" s="136" t="str">
        <x:v>SRC-0528</x:v>
      </x:c>
      <x:c r="D14" s="136" t="str">
        <x:v>Historical Inputs!J9</x:v>
      </x:c>
      <x:c r="E14" s="136" t="n">
        <x:v>2022</x:v>
      </x:c>
      <x:c r="F14" s="136" t="n">
        <x:v>2024</x:v>
      </x:c>
      <x:c r="G14" s="136" t="n">
        <x:v>56</x:v>
      </x:c>
      <x:c r="H14" s="206" t="n">
        <x:v>198270</x:v>
      </x:c>
      <x:c r="I14" s="136" t="str">
        <x:v>reported</x:v>
      </x:c>
      <x:c r="J14" s="136" t="str">
        <x:v>data/raw/reports/originals/Microsoft_FY2024_10K.pdf</x:v>
      </x:c>
      <x:c r="K14" s="136" t="str">
        <x:f>IFERROR(HYPERLINK("../data/raw/reports/highlighted/Microsoft_FY2024_10K_highlighted.pdf","Marked PDF page 56"),"Marked PDF page 56")</x:f>
        <x:v>Marked PDF page 56</x:v>
      </x:c>
      <x:c r="L14" s="136" t="str">
        <x:v>none</x:v>
      </x:c>
      <x:c r="M14" s="136"/>
      <x:c r="N14" s="136"/>
      <x:c r="O14" s="136"/>
      <x:c r="P14" s="136"/>
      <x:c r="Q14" s="136"/>
      <x:c r="R14" s="136"/>
      <x:c r="S14" s="136"/>
      <x:c r="T14" s="136"/>
      <x:c r="U14" s="136"/>
      <x:c r="V14" s="136"/>
      <x:c r="W14" s="136"/>
      <x:c r="X14" s="136"/>
      <x:c r="Y14" s="136"/>
      <x:c r="Z14" s="136"/>
    </x:row>
    <x:row r="15" ht="24" customHeight="1">
      <x:c r="A15" s="136"/>
      <x:c r="B15" s="136"/>
      <x:c r="C15" s="136" t="str">
        <x:v>SRC-0633</x:v>
      </x:c>
      <x:c r="D15" s="136" t="str">
        <x:v>Historical Inputs!K9</x:v>
      </x:c>
      <x:c r="E15" s="136" t="n">
        <x:v>2023</x:v>
      </x:c>
      <x:c r="F15" s="136" t="n">
        <x:v>2025</x:v>
      </x:c>
      <x:c r="G15" s="136" t="n">
        <x:v>50</x:v>
      </x:c>
      <x:c r="H15" s="206" t="n">
        <x:v>211915</x:v>
      </x:c>
      <x:c r="I15" s="136" t="str">
        <x:v>reported</x:v>
      </x:c>
      <x:c r="J15" s="136" t="str">
        <x:v>data/raw/reports/originals/Microsoft_FY2025_10K.pdf</x:v>
      </x:c>
      <x:c r="K15" s="136" t="str">
        <x:f>IFERROR(HYPERLINK("../data/raw/reports/highlighted/Microsoft_FY2025_10K_highlighted.pdf","Marked PDF page 50"),"Marked PDF page 50")</x:f>
        <x:v>Marked PDF page 50</x:v>
      </x:c>
      <x:c r="L15" s="136" t="str">
        <x:v>none</x:v>
      </x:c>
      <x:c r="M15" s="136"/>
      <x:c r="N15" s="136"/>
      <x:c r="O15" s="136"/>
      <x:c r="P15" s="136"/>
      <x:c r="Q15" s="136"/>
      <x:c r="R15" s="136"/>
      <x:c r="S15" s="136"/>
      <x:c r="T15" s="136"/>
      <x:c r="U15" s="136"/>
      <x:c r="V15" s="136"/>
      <x:c r="W15" s="136"/>
      <x:c r="X15" s="136"/>
      <x:c r="Y15" s="136"/>
      <x:c r="Z15" s="136"/>
    </x:row>
    <x:row r="16" ht="24" customHeight="1">
      <x:c r="A16" s="136"/>
      <x:c r="B16" s="136"/>
      <x:c r="C16" s="136" t="str">
        <x:v>SRC-0742</x:v>
      </x:c>
      <x:c r="D16" s="136" t="str">
        <x:v>Historical Inputs!L9</x:v>
      </x:c>
      <x:c r="E16" s="136" t="n">
        <x:v>2024</x:v>
      </x:c>
      <x:c r="F16" s="136" t="n">
        <x:v>2026</x:v>
      </x:c>
      <x:c r="G16" s="136" t="n">
        <x:v>50</x:v>
      </x:c>
      <x:c r="H16" s="206" t="n">
        <x:v>245122</x:v>
      </x:c>
      <x:c r="I16" s="136" t="str">
        <x:v>reported</x:v>
      </x:c>
      <x:c r="J16" s="136" t="str">
        <x:v>data/raw/reports/originals/Microsoft_FY2026_10K.pdf</x:v>
      </x:c>
      <x:c r="K16" s="136" t="str">
        <x:f>IFERROR(HYPERLINK("../data/raw/reports/highlighted/Microsoft_FY2026_10K_highlighted.pdf","Marked PDF page 50"),"Marked PDF page 50")</x:f>
        <x:v>Marked PDF page 50</x:v>
      </x:c>
      <x:c r="L16" s="136" t="str">
        <x:v>none</x:v>
      </x:c>
      <x:c r="M16" s="136"/>
      <x:c r="N16" s="136"/>
      <x:c r="O16" s="136"/>
      <x:c r="P16" s="136"/>
      <x:c r="Q16" s="136"/>
      <x:c r="R16" s="136"/>
      <x:c r="S16" s="136"/>
      <x:c r="T16" s="136"/>
      <x:c r="U16" s="136"/>
      <x:c r="V16" s="136"/>
      <x:c r="W16" s="136"/>
      <x:c r="X16" s="136"/>
      <x:c r="Y16" s="136"/>
      <x:c r="Z16" s="136"/>
    </x:row>
    <x:row r="17" ht="24" customHeight="1">
      <x:c r="A17" s="136"/>
      <x:c r="B17" s="136"/>
      <x:c r="C17" s="136" t="str">
        <x:v>SRC-0851</x:v>
      </x:c>
      <x:c r="D17" s="136" t="str">
        <x:v>Historical Inputs!M9</x:v>
      </x:c>
      <x:c r="E17" s="136" t="n">
        <x:v>2025</x:v>
      </x:c>
      <x:c r="F17" s="136" t="n">
        <x:v>2026</x:v>
      </x:c>
      <x:c r="G17" s="136" t="n">
        <x:v>50</x:v>
      </x:c>
      <x:c r="H17" s="206" t="n">
        <x:v>281724</x:v>
      </x:c>
      <x:c r="I17" s="136" t="str">
        <x:v>reported</x:v>
      </x:c>
      <x:c r="J17" s="136" t="str">
        <x:v>data/raw/reports/originals/Microsoft_FY2026_10K.pdf</x:v>
      </x:c>
      <x:c r="K17" s="136" t="str">
        <x:f>IFERROR(HYPERLINK("../data/raw/reports/highlighted/Microsoft_FY2026_10K_highlighted.pdf","Marked PDF page 50"),"Marked PDF page 50")</x:f>
        <x:v>Marked PDF page 50</x:v>
      </x:c>
      <x:c r="L17" s="136" t="str">
        <x:v>none</x:v>
      </x:c>
      <x:c r="M17" s="136"/>
      <x:c r="N17" s="136"/>
      <x:c r="O17" s="136"/>
      <x:c r="P17" s="136"/>
      <x:c r="Q17" s="136"/>
      <x:c r="R17" s="136"/>
      <x:c r="S17" s="136"/>
      <x:c r="T17" s="136"/>
      <x:c r="U17" s="136"/>
      <x:c r="V17" s="136"/>
      <x:c r="W17" s="136"/>
      <x:c r="X17" s="136"/>
      <x:c r="Y17" s="136"/>
      <x:c r="Z17" s="136"/>
    </x:row>
    <x:row r="18" ht="24" customHeight="1">
      <x:c r="A18" s="136"/>
      <x:c r="B18" s="136"/>
      <x:c r="C18" s="136" t="str">
        <x:v>SRC-0960</x:v>
      </x:c>
      <x:c r="D18" s="136" t="str">
        <x:v>Historical Inputs!N9</x:v>
      </x:c>
      <x:c r="E18" s="136" t="n">
        <x:v>2026</x:v>
      </x:c>
      <x:c r="F18" s="136" t="n">
        <x:v>2026</x:v>
      </x:c>
      <x:c r="G18" s="136" t="n">
        <x:v>50</x:v>
      </x:c>
      <x:c r="H18" s="206" t="n">
        <x:v>331839</x:v>
      </x:c>
      <x:c r="I18" s="136" t="str">
        <x:v>reported</x:v>
      </x:c>
      <x:c r="J18" s="136" t="str">
        <x:v>data/raw/reports/originals/Microsoft_FY2026_10K.pdf</x:v>
      </x:c>
      <x:c r="K18" s="136" t="str">
        <x:f>IFERROR(HYPERLINK("../data/raw/reports/highlighted/Microsoft_FY2026_10K_highlighted.pdf","Marked PDF page 50"),"Marked PDF page 50")</x:f>
        <x:v>Marked PDF page 50</x:v>
      </x:c>
      <x:c r="L18" s="136" t="str">
        <x:v>none</x:v>
      </x:c>
      <x:c r="M18" s="136"/>
      <x:c r="N18" s="136"/>
      <x:c r="O18" s="136"/>
      <x:c r="P18" s="136"/>
      <x:c r="Q18" s="136"/>
      <x:c r="R18" s="136"/>
      <x:c r="S18" s="136"/>
      <x:c r="T18" s="136"/>
      <x:c r="U18" s="136"/>
      <x:c r="V18" s="136"/>
      <x:c r="W18" s="136"/>
      <x:c r="X18" s="136"/>
      <x:c r="Y18" s="136"/>
      <x:c r="Z18" s="136"/>
    </x:row>
    <x:row r="19" ht="24" customHeight="1">
      <x:c r="A19" s="136"/>
      <x:c r="B19" s="136"/>
      <x:c r="C19" s="136" t="str">
        <x:v>SRC-0007</x:v>
      </x:c>
      <x:c r="D19" s="136" t="str">
        <x:v>Historical Inputs!E10</x:v>
      </x:c>
      <x:c r="E19" s="136" t="n">
        <x:v>2017</x:v>
      </x:c>
      <x:c r="F19" s="136" t="n">
        <x:v>2019</x:v>
      </x:c>
      <x:c r="G19" s="136" t="n">
        <x:v>51</x:v>
      </x:c>
      <x:c r="H19" s="206" t="n">
        <x:v>29025</x:v>
      </x:c>
      <x:c r="I19" s="136" t="str">
        <x:v>reported</x:v>
      </x:c>
      <x:c r="J19" s="136" t="str">
        <x:v>data/raw/reports/originals/Microsoft_FY2019_10K.pdf</x:v>
      </x:c>
      <x:c r="K19" s="136" t="str">
        <x:f>IFERROR(HYPERLINK("../data/raw/reports/highlighted/Microsoft_FY2019_10K_highlighted.pdf","Marked PDF page 51"),"Marked PDF page 51")</x:f>
        <x:v>Marked PDF page 51</x:v>
      </x:c>
      <x:c r="L19" s="136" t="str">
        <x:v>none</x:v>
      </x:c>
      <x:c r="M19" s="136"/>
      <x:c r="N19" s="136"/>
      <x:c r="O19" s="136"/>
      <x:c r="P19" s="136"/>
      <x:c r="Q19" s="136"/>
      <x:c r="R19" s="136"/>
      <x:c r="S19" s="136"/>
      <x:c r="T19" s="136"/>
      <x:c r="U19" s="136"/>
      <x:c r="V19" s="136"/>
      <x:c r="W19" s="136"/>
      <x:c r="X19" s="136"/>
      <x:c r="Y19" s="136"/>
      <x:c r="Z19" s="136"/>
    </x:row>
    <x:row r="20" ht="24" customHeight="1">
      <x:c r="A20" s="136"/>
      <x:c r="B20" s="136"/>
      <x:c r="C20" s="136" t="str">
        <x:v>SRC-0112</x:v>
      </x:c>
      <x:c r="D20" s="136" t="str">
        <x:v>Historical Inputs!F10</x:v>
      </x:c>
      <x:c r="E20" s="136" t="n">
        <x:v>2018</x:v>
      </x:c>
      <x:c r="F20" s="136" t="n">
        <x:v>2020</x:v>
      </x:c>
      <x:c r="G20" s="136" t="n">
        <x:v>55</x:v>
      </x:c>
      <x:c r="H20" s="206" t="n">
        <x:v>35058</x:v>
      </x:c>
      <x:c r="I20" s="136" t="str">
        <x:v>reported</x:v>
      </x:c>
      <x:c r="J20" s="136" t="str">
        <x:v>data/raw/reports/originals/Microsoft_FY2020_10K.pdf</x:v>
      </x:c>
      <x:c r="K20" s="136" t="str">
        <x:f>IFERROR(HYPERLINK("../data/raw/reports/highlighted/Microsoft_FY2020_10K_highlighted.pdf","Marked PDF page 55"),"Marked PDF page 55")</x:f>
        <x:v>Marked PDF page 55</x:v>
      </x:c>
      <x:c r="L20" s="136" t="str">
        <x:v>none</x:v>
      </x:c>
      <x:c r="M20" s="136"/>
      <x:c r="N20" s="136"/>
      <x:c r="O20" s="136"/>
      <x:c r="P20" s="136"/>
      <x:c r="Q20" s="136"/>
      <x:c r="R20" s="136"/>
      <x:c r="S20" s="136"/>
      <x:c r="T20" s="136"/>
      <x:c r="U20" s="136"/>
      <x:c r="V20" s="136"/>
      <x:c r="W20" s="136"/>
      <x:c r="X20" s="136"/>
      <x:c r="Y20" s="136"/>
      <x:c r="Z20" s="136"/>
    </x:row>
    <x:row r="21" ht="24" customHeight="1">
      <x:c r="A21" s="136"/>
      <x:c r="B21" s="136"/>
      <x:c r="C21" s="136" t="str">
        <x:v>SRC-0217</x:v>
      </x:c>
      <x:c r="D21" s="136" t="str">
        <x:v>Historical Inputs!G10</x:v>
      </x:c>
      <x:c r="E21" s="136" t="n">
        <x:v>2019</x:v>
      </x:c>
      <x:c r="F21" s="136" t="n">
        <x:v>2021</x:v>
      </x:c>
      <x:c r="G21" s="136" t="n">
        <x:v>57</x:v>
      </x:c>
      <x:c r="H21" s="206" t="n">
        <x:v>42959</x:v>
      </x:c>
      <x:c r="I21" s="136" t="str">
        <x:v>reported</x:v>
      </x:c>
      <x:c r="J21" s="136" t="str">
        <x:v>data/raw/reports/originals/Microsoft_FY2021_10K.pdf</x:v>
      </x:c>
      <x:c r="K21" s="136" t="str">
        <x:f>IFERROR(HYPERLINK("../data/raw/reports/highlighted/Microsoft_FY2021_10K_highlighted.pdf","Marked PDF page 57"),"Marked PDF page 57")</x:f>
        <x:v>Marked PDF page 57</x:v>
      </x:c>
      <x:c r="L21" s="136" t="str">
        <x:v>none</x:v>
      </x:c>
      <x:c r="M21" s="136"/>
      <x:c r="N21" s="136"/>
      <x:c r="O21" s="136"/>
      <x:c r="P21" s="136"/>
      <x:c r="Q21" s="136"/>
      <x:c r="R21" s="136"/>
      <x:c r="S21" s="136"/>
      <x:c r="T21" s="136"/>
      <x:c r="U21" s="136"/>
      <x:c r="V21" s="136"/>
      <x:c r="W21" s="136"/>
      <x:c r="X21" s="136"/>
      <x:c r="Y21" s="136"/>
      <x:c r="Z21" s="136"/>
    </x:row>
    <x:row r="22" ht="24" customHeight="1">
      <x:c r="A22" s="136"/>
      <x:c r="B22" s="136"/>
      <x:c r="C22" s="136" t="str">
        <x:v>SRC-0322</x:v>
      </x:c>
      <x:c r="D22" s="136" t="str">
        <x:v>Historical Inputs!H10</x:v>
      </x:c>
      <x:c r="E22" s="136" t="n">
        <x:v>2020</x:v>
      </x:c>
      <x:c r="F22" s="136" t="n">
        <x:v>2022</x:v>
      </x:c>
      <x:c r="G22" s="136" t="n">
        <x:v>57</x:v>
      </x:c>
      <x:c r="H22" s="206" t="n">
        <x:v>52959</x:v>
      </x:c>
      <x:c r="I22" s="136" t="str">
        <x:v>reported</x:v>
      </x:c>
      <x:c r="J22" s="136" t="str">
        <x:v>data/raw/reports/originals/Microsoft_FY2022_10K.pdf</x:v>
      </x:c>
      <x:c r="K22" s="136" t="str">
        <x:f>IFERROR(HYPERLINK("../data/raw/reports/highlighted/Microsoft_FY2022_10K_highlighted.pdf","Marked PDF page 57"),"Marked PDF page 57")</x:f>
        <x:v>Marked PDF page 57</x:v>
      </x:c>
      <x:c r="L22" s="136" t="str">
        <x:v>none</x:v>
      </x:c>
      <x:c r="M22" s="136"/>
      <x:c r="N22" s="136"/>
      <x:c r="O22" s="136"/>
      <x:c r="P22" s="136"/>
      <x:c r="Q22" s="136"/>
      <x:c r="R22" s="136"/>
      <x:c r="S22" s="136"/>
      <x:c r="T22" s="136"/>
      <x:c r="U22" s="136"/>
      <x:c r="V22" s="136"/>
      <x:c r="W22" s="136"/>
      <x:c r="X22" s="136"/>
      <x:c r="Y22" s="136"/>
      <x:c r="Z22" s="136"/>
    </x:row>
    <x:row r="23" ht="24" customHeight="1">
      <x:c r="A23" s="136"/>
      <x:c r="B23" s="136"/>
      <x:c r="C23" s="136" t="str">
        <x:v>SRC-0428</x:v>
      </x:c>
      <x:c r="D23" s="136" t="str">
        <x:v>Historical Inputs!I10</x:v>
      </x:c>
      <x:c r="E23" s="136" t="n">
        <x:v>2021</x:v>
      </x:c>
      <x:c r="F23" s="136" t="n">
        <x:v>2023</x:v>
      </x:c>
      <x:c r="G23" s="136" t="n">
        <x:v>58</x:v>
      </x:c>
      <x:c r="H23" s="206" t="n">
        <x:v>69916</x:v>
      </x:c>
      <x:c r="I23" s="136" t="str">
        <x:v>reported</x:v>
      </x:c>
      <x:c r="J23" s="136" t="str">
        <x:v>data/raw/reports/originals/Microsoft_FY2023_10K.pdf</x:v>
      </x:c>
      <x:c r="K23" s="136" t="str">
        <x:f>IFERROR(HYPERLINK("../data/raw/reports/highlighted/Microsoft_FY2023_10K_highlighted.pdf","Marked PDF page 58"),"Marked PDF page 58")</x:f>
        <x:v>Marked PDF page 58</x:v>
      </x:c>
      <x:c r="L23" s="136" t="str">
        <x:v>none</x:v>
      </x:c>
      <x:c r="M23" s="136"/>
      <x:c r="N23" s="136"/>
      <x:c r="O23" s="136"/>
      <x:c r="P23" s="136"/>
      <x:c r="Q23" s="136"/>
      <x:c r="R23" s="136"/>
      <x:c r="S23" s="136"/>
      <x:c r="T23" s="136"/>
      <x:c r="U23" s="136"/>
      <x:c r="V23" s="136"/>
      <x:c r="W23" s="136"/>
      <x:c r="X23" s="136"/>
      <x:c r="Y23" s="136"/>
      <x:c r="Z23" s="136"/>
    </x:row>
    <x:row r="24" ht="24" customHeight="1">
      <x:c r="A24" s="136"/>
      <x:c r="B24" s="136"/>
      <x:c r="C24" s="136" t="str">
        <x:v>SRC-0534</x:v>
      </x:c>
      <x:c r="D24" s="136" t="str">
        <x:v>Historical Inputs!J10</x:v>
      </x:c>
      <x:c r="E24" s="136" t="n">
        <x:v>2022</x:v>
      </x:c>
      <x:c r="F24" s="136" t="n">
        <x:v>2024</x:v>
      </x:c>
      <x:c r="G24" s="136" t="n">
        <x:v>56</x:v>
      </x:c>
      <x:c r="H24" s="206" t="n">
        <x:v>83383</x:v>
      </x:c>
      <x:c r="I24" s="136" t="str">
        <x:v>reported</x:v>
      </x:c>
      <x:c r="J24" s="136" t="str">
        <x:v>data/raw/reports/originals/Microsoft_FY2024_10K.pdf</x:v>
      </x:c>
      <x:c r="K24" s="136" t="str">
        <x:f>IFERROR(HYPERLINK("../data/raw/reports/highlighted/Microsoft_FY2024_10K_highlighted.pdf","Marked PDF page 56"),"Marked PDF page 56")</x:f>
        <x:v>Marked PDF page 56</x:v>
      </x:c>
      <x:c r="L24" s="136" t="str">
        <x:v>none</x:v>
      </x:c>
      <x:c r="M24" s="136"/>
      <x:c r="N24" s="136"/>
      <x:c r="O24" s="136"/>
      <x:c r="P24" s="136"/>
      <x:c r="Q24" s="136"/>
      <x:c r="R24" s="136"/>
      <x:c r="S24" s="136"/>
      <x:c r="T24" s="136"/>
      <x:c r="U24" s="136"/>
      <x:c r="V24" s="136"/>
      <x:c r="W24" s="136"/>
      <x:c r="X24" s="136"/>
      <x:c r="Y24" s="136"/>
      <x:c r="Z24" s="136"/>
    </x:row>
    <x:row r="25" ht="24" customHeight="1">
      <x:c r="A25" s="136"/>
      <x:c r="B25" s="136"/>
      <x:c r="C25" s="136" t="str">
        <x:v>SRC-0639</x:v>
      </x:c>
      <x:c r="D25" s="136" t="str">
        <x:v>Historical Inputs!K10</x:v>
      </x:c>
      <x:c r="E25" s="136" t="n">
        <x:v>2023</x:v>
      </x:c>
      <x:c r="F25" s="136" t="n">
        <x:v>2025</x:v>
      </x:c>
      <x:c r="G25" s="136" t="n">
        <x:v>50</x:v>
      </x:c>
      <x:c r="H25" s="206" t="n">
        <x:v>88523</x:v>
      </x:c>
      <x:c r="I25" s="136" t="str">
        <x:v>reported</x:v>
      </x:c>
      <x:c r="J25" s="136" t="str">
        <x:v>data/raw/reports/originals/Microsoft_FY2025_10K.pdf</x:v>
      </x:c>
      <x:c r="K25" s="136" t="str">
        <x:f>IFERROR(HYPERLINK("../data/raw/reports/highlighted/Microsoft_FY2025_10K_highlighted.pdf","Marked PDF page 50"),"Marked PDF page 50")</x:f>
        <x:v>Marked PDF page 50</x:v>
      </x:c>
      <x:c r="L25" s="136" t="str">
        <x:v>none</x:v>
      </x:c>
      <x:c r="M25" s="136"/>
      <x:c r="N25" s="136"/>
      <x:c r="O25" s="136"/>
      <x:c r="P25" s="136"/>
      <x:c r="Q25" s="136"/>
      <x:c r="R25" s="136"/>
      <x:c r="S25" s="136"/>
      <x:c r="T25" s="136"/>
      <x:c r="U25" s="136"/>
      <x:c r="V25" s="136"/>
      <x:c r="W25" s="136"/>
      <x:c r="X25" s="136"/>
      <x:c r="Y25" s="136"/>
      <x:c r="Z25" s="136"/>
    </x:row>
    <x:row r="26" ht="24" customHeight="1">
      <x:c r="A26" s="136"/>
      <x:c r="B26" s="136"/>
      <x:c r="C26" s="136" t="str">
        <x:v>SRC-0748</x:v>
      </x:c>
      <x:c r="D26" s="136" t="str">
        <x:v>Historical Inputs!L10</x:v>
      </x:c>
      <x:c r="E26" s="136" t="n">
        <x:v>2024</x:v>
      </x:c>
      <x:c r="F26" s="136" t="n">
        <x:v>2026</x:v>
      </x:c>
      <x:c r="G26" s="136" t="n">
        <x:v>50</x:v>
      </x:c>
      <x:c r="H26" s="206" t="n">
        <x:v>109433</x:v>
      </x:c>
      <x:c r="I26" s="136" t="str">
        <x:v>reported</x:v>
      </x:c>
      <x:c r="J26" s="136" t="str">
        <x:v>data/raw/reports/originals/Microsoft_FY2026_10K.pdf</x:v>
      </x:c>
      <x:c r="K26" s="136" t="str">
        <x:f>IFERROR(HYPERLINK("../data/raw/reports/highlighted/Microsoft_FY2026_10K_highlighted.pdf","Marked PDF page 50"),"Marked PDF page 50")</x:f>
        <x:v>Marked PDF page 50</x:v>
      </x:c>
      <x:c r="L26" s="136" t="str">
        <x:v>none</x:v>
      </x:c>
      <x:c r="M26" s="136"/>
      <x:c r="N26" s="136"/>
      <x:c r="O26" s="136"/>
      <x:c r="P26" s="136"/>
      <x:c r="Q26" s="136"/>
      <x:c r="R26" s="136"/>
      <x:c r="S26" s="136"/>
      <x:c r="T26" s="136"/>
      <x:c r="U26" s="136"/>
      <x:c r="V26" s="136"/>
      <x:c r="W26" s="136"/>
      <x:c r="X26" s="136"/>
      <x:c r="Y26" s="136"/>
      <x:c r="Z26" s="136"/>
    </x:row>
    <x:row r="27" ht="24" customHeight="1">
      <x:c r="A27" s="136"/>
      <x:c r="B27" s="136"/>
      <x:c r="C27" s="136" t="str">
        <x:v>SRC-0857</x:v>
      </x:c>
      <x:c r="D27" s="136" t="str">
        <x:v>Historical Inputs!M10</x:v>
      </x:c>
      <x:c r="E27" s="136" t="n">
        <x:v>2025</x:v>
      </x:c>
      <x:c r="F27" s="136" t="n">
        <x:v>2026</x:v>
      </x:c>
      <x:c r="G27" s="136" t="n">
        <x:v>50</x:v>
      </x:c>
      <x:c r="H27" s="206" t="n">
        <x:v>128528</x:v>
      </x:c>
      <x:c r="I27" s="136" t="str">
        <x:v>reported</x:v>
      </x:c>
      <x:c r="J27" s="136" t="str">
        <x:v>data/raw/reports/originals/Microsoft_FY2026_10K.pdf</x:v>
      </x:c>
      <x:c r="K27" s="136" t="str">
        <x:f>IFERROR(HYPERLINK("../data/raw/reports/highlighted/Microsoft_FY2026_10K_highlighted.pdf","Marked PDF page 50"),"Marked PDF page 50")</x:f>
        <x:v>Marked PDF page 50</x:v>
      </x:c>
      <x:c r="L27" s="136" t="str">
        <x:v>none</x:v>
      </x:c>
      <x:c r="M27" s="136"/>
      <x:c r="N27" s="136"/>
      <x:c r="O27" s="136"/>
      <x:c r="P27" s="136"/>
      <x:c r="Q27" s="136"/>
      <x:c r="R27" s="136"/>
      <x:c r="S27" s="136"/>
      <x:c r="T27" s="136"/>
      <x:c r="U27" s="136"/>
      <x:c r="V27" s="136"/>
      <x:c r="W27" s="136"/>
      <x:c r="X27" s="136"/>
      <x:c r="Y27" s="136"/>
      <x:c r="Z27" s="136"/>
    </x:row>
    <x:row r="28" ht="24" customHeight="1">
      <x:c r="A28" s="136"/>
      <x:c r="B28" s="136"/>
      <x:c r="C28" s="136" t="str">
        <x:v>SRC-0966</x:v>
      </x:c>
      <x:c r="D28" s="136" t="str">
        <x:v>Historical Inputs!N10</x:v>
      </x:c>
      <x:c r="E28" s="136" t="n">
        <x:v>2026</x:v>
      </x:c>
      <x:c r="F28" s="136" t="n">
        <x:v>2026</x:v>
      </x:c>
      <x:c r="G28" s="136" t="n">
        <x:v>50</x:v>
      </x:c>
      <x:c r="H28" s="206" t="n">
        <x:v>155237</x:v>
      </x:c>
      <x:c r="I28" s="136" t="str">
        <x:v>reported</x:v>
      </x:c>
      <x:c r="J28" s="136" t="str">
        <x:v>data/raw/reports/originals/Microsoft_FY2026_10K.pdf</x:v>
      </x:c>
      <x:c r="K28" s="136" t="str">
        <x:f>IFERROR(HYPERLINK("../data/raw/reports/highlighted/Microsoft_FY2026_10K_highlighted.pdf","Marked PDF page 50"),"Marked PDF page 50")</x:f>
        <x:v>Marked PDF page 50</x:v>
      </x:c>
      <x:c r="L28" s="136" t="str">
        <x:v>none</x:v>
      </x:c>
      <x:c r="M28" s="136"/>
      <x:c r="N28" s="136"/>
      <x:c r="O28" s="136"/>
      <x:c r="P28" s="136"/>
      <x:c r="Q28" s="136"/>
      <x:c r="R28" s="136"/>
      <x:c r="S28" s="136"/>
      <x:c r="T28" s="136"/>
      <x:c r="U28" s="136"/>
      <x:c r="V28" s="136"/>
      <x:c r="W28" s="136"/>
      <x:c r="X28" s="136"/>
      <x:c r="Y28" s="136"/>
      <x:c r="Z28" s="136"/>
    </x:row>
    <x:row r="29" ht="24" customHeight="1">
      <x:c r="A29" s="136"/>
      <x:c r="B29" s="136"/>
      <x:c r="C29" s="136" t="str">
        <x:v>SRC-0010</x:v>
      </x:c>
      <x:c r="D29" s="136" t="str">
        <x:v>Historical Inputs!E11</x:v>
      </x:c>
      <x:c r="E29" s="136" t="n">
        <x:v>2017</x:v>
      </x:c>
      <x:c r="F29" s="136" t="n">
        <x:v>2019</x:v>
      </x:c>
      <x:c r="G29" s="136" t="n">
        <x:v>51</x:v>
      </x:c>
      <x:c r="H29" s="206" t="n">
        <x:v>4412</x:v>
      </x:c>
      <x:c r="I29" s="136" t="str">
        <x:v>reported</x:v>
      </x:c>
      <x:c r="J29" s="136" t="str">
        <x:v>data/raw/reports/originals/Microsoft_FY2019_10K.pdf</x:v>
      </x:c>
      <x:c r="K29" s="136" t="str">
        <x:f>IFERROR(HYPERLINK("../data/raw/reports/highlighted/Microsoft_FY2019_10K_highlighted.pdf","Marked PDF page 51"),"Marked PDF page 51")</x:f>
        <x:v>Marked PDF page 51</x:v>
      </x:c>
      <x:c r="L29" s="136" t="str">
        <x:v>none</x:v>
      </x:c>
      <x:c r="M29" s="136"/>
      <x:c r="N29" s="136"/>
      <x:c r="O29" s="136"/>
      <x:c r="P29" s="136"/>
      <x:c r="Q29" s="136"/>
      <x:c r="R29" s="136"/>
      <x:c r="S29" s="136"/>
      <x:c r="T29" s="136"/>
      <x:c r="U29" s="136"/>
      <x:c r="V29" s="136"/>
      <x:c r="W29" s="136"/>
      <x:c r="X29" s="136"/>
      <x:c r="Y29" s="136"/>
      <x:c r="Z29" s="136"/>
    </x:row>
    <x:row r="30" ht="24" customHeight="1">
      <x:c r="A30" s="136"/>
      <x:c r="B30" s="136"/>
      <x:c r="C30" s="136" t="str">
        <x:v>SRC-0115</x:v>
      </x:c>
      <x:c r="D30" s="136" t="str">
        <x:v>Historical Inputs!F11</x:v>
      </x:c>
      <x:c r="E30" s="136" t="n">
        <x:v>2018</x:v>
      </x:c>
      <x:c r="F30" s="136" t="n">
        <x:v>2020</x:v>
      </x:c>
      <x:c r="G30" s="136" t="n">
        <x:v>55</x:v>
      </x:c>
      <x:c r="H30" s="206" t="n">
        <x:v>19903</x:v>
      </x:c>
      <x:c r="I30" s="136" t="str">
        <x:v>reported</x:v>
      </x:c>
      <x:c r="J30" s="136" t="str">
        <x:v>data/raw/reports/originals/Microsoft_FY2020_10K.pdf</x:v>
      </x:c>
      <x:c r="K30" s="136" t="str">
        <x:f>IFERROR(HYPERLINK("../data/raw/reports/highlighted/Microsoft_FY2020_10K_highlighted.pdf","Marked PDF page 55"),"Marked PDF page 55")</x:f>
        <x:v>Marked PDF page 55</x:v>
      </x:c>
      <x:c r="L30" s="136" t="str">
        <x:v>none</x:v>
      </x:c>
      <x:c r="M30" s="136"/>
      <x:c r="N30" s="136"/>
      <x:c r="O30" s="136"/>
      <x:c r="P30" s="136"/>
      <x:c r="Q30" s="136"/>
      <x:c r="R30" s="136"/>
      <x:c r="S30" s="136"/>
      <x:c r="T30" s="136"/>
      <x:c r="U30" s="136"/>
      <x:c r="V30" s="136"/>
      <x:c r="W30" s="136"/>
      <x:c r="X30" s="136"/>
      <x:c r="Y30" s="136"/>
      <x:c r="Z30" s="136"/>
    </x:row>
    <x:row r="31" ht="24" customHeight="1">
      <x:c r="A31" s="136"/>
      <x:c r="B31" s="136"/>
      <x:c r="C31" s="136" t="str">
        <x:v>SRC-0220</x:v>
      </x:c>
      <x:c r="D31" s="136" t="str">
        <x:v>Historical Inputs!G11</x:v>
      </x:c>
      <x:c r="E31" s="136" t="n">
        <x:v>2019</x:v>
      </x:c>
      <x:c r="F31" s="136" t="n">
        <x:v>2021</x:v>
      </x:c>
      <x:c r="G31" s="136" t="n">
        <x:v>57</x:v>
      </x:c>
      <x:c r="H31" s="206" t="n">
        <x:v>4448</x:v>
      </x:c>
      <x:c r="I31" s="136" t="str">
        <x:v>reported</x:v>
      </x:c>
      <x:c r="J31" s="136" t="str">
        <x:v>data/raw/reports/originals/Microsoft_FY2021_10K.pdf</x:v>
      </x:c>
      <x:c r="K31" s="136" t="str">
        <x:f>IFERROR(HYPERLINK("../data/raw/reports/highlighted/Microsoft_FY2021_10K_highlighted.pdf","Marked PDF page 57"),"Marked PDF page 57")</x:f>
        <x:v>Marked PDF page 57</x:v>
      </x:c>
      <x:c r="L31" s="136" t="str">
        <x:v>none</x:v>
      </x:c>
      <x:c r="M31" s="136"/>
      <x:c r="N31" s="136"/>
      <x:c r="O31" s="136"/>
      <x:c r="P31" s="136"/>
      <x:c r="Q31" s="136"/>
      <x:c r="R31" s="136"/>
      <x:c r="S31" s="136"/>
      <x:c r="T31" s="136"/>
      <x:c r="U31" s="136"/>
      <x:c r="V31" s="136"/>
      <x:c r="W31" s="136"/>
      <x:c r="X31" s="136"/>
      <x:c r="Y31" s="136"/>
      <x:c r="Z31" s="136"/>
    </x:row>
    <x:row r="32" ht="24" customHeight="1">
      <x:c r="A32" s="136"/>
      <x:c r="B32" s="136"/>
      <x:c r="C32" s="136" t="str">
        <x:v>SRC-0325</x:v>
      </x:c>
      <x:c r="D32" s="136" t="str">
        <x:v>Historical Inputs!H11</x:v>
      </x:c>
      <x:c r="E32" s="136" t="n">
        <x:v>2020</x:v>
      </x:c>
      <x:c r="F32" s="136" t="n">
        <x:v>2022</x:v>
      </x:c>
      <x:c r="G32" s="136" t="n">
        <x:v>57</x:v>
      </x:c>
      <x:c r="H32" s="206" t="n">
        <x:v>8755</x:v>
      </x:c>
      <x:c r="I32" s="136" t="str">
        <x:v>reported</x:v>
      </x:c>
      <x:c r="J32" s="136" t="str">
        <x:v>data/raw/reports/originals/Microsoft_FY2022_10K.pdf</x:v>
      </x:c>
      <x:c r="K32" s="136" t="str">
        <x:f>IFERROR(HYPERLINK("../data/raw/reports/highlighted/Microsoft_FY2022_10K_highlighted.pdf","Marked PDF page 57"),"Marked PDF page 57")</x:f>
        <x:v>Marked PDF page 57</x:v>
      </x:c>
      <x:c r="L32" s="136" t="str">
        <x:v>none</x:v>
      </x:c>
      <x:c r="M32" s="136"/>
      <x:c r="N32" s="136"/>
      <x:c r="O32" s="136"/>
      <x:c r="P32" s="136"/>
      <x:c r="Q32" s="136"/>
      <x:c r="R32" s="136"/>
      <x:c r="S32" s="136"/>
      <x:c r="T32" s="136"/>
      <x:c r="U32" s="136"/>
      <x:c r="V32" s="136"/>
      <x:c r="W32" s="136"/>
      <x:c r="X32" s="136"/>
      <x:c r="Y32" s="136"/>
      <x:c r="Z32" s="136"/>
    </x:row>
    <x:row r="33" ht="24" customHeight="1">
      <x:c r="A33" s="136"/>
      <x:c r="B33" s="136"/>
      <x:c r="C33" s="136" t="str">
        <x:v>SRC-0431</x:v>
      </x:c>
      <x:c r="D33" s="136" t="str">
        <x:v>Historical Inputs!I11</x:v>
      </x:c>
      <x:c r="E33" s="136" t="n">
        <x:v>2021</x:v>
      </x:c>
      <x:c r="F33" s="136" t="n">
        <x:v>2023</x:v>
      </x:c>
      <x:c r="G33" s="136" t="n">
        <x:v>58</x:v>
      </x:c>
      <x:c r="H33" s="206" t="n">
        <x:v>9831</x:v>
      </x:c>
      <x:c r="I33" s="136" t="str">
        <x:v>reported</x:v>
      </x:c>
      <x:c r="J33" s="136" t="str">
        <x:v>data/raw/reports/originals/Microsoft_FY2023_10K.pdf</x:v>
      </x:c>
      <x:c r="K33" s="136" t="str">
        <x:f>IFERROR(HYPERLINK("../data/raw/reports/highlighted/Microsoft_FY2023_10K_highlighted.pdf","Marked PDF page 58"),"Marked PDF page 58")</x:f>
        <x:v>Marked PDF page 58</x:v>
      </x:c>
      <x:c r="L33" s="136" t="str">
        <x:v>none</x:v>
      </x:c>
      <x:c r="M33" s="136"/>
      <x:c r="N33" s="136"/>
      <x:c r="O33" s="136"/>
      <x:c r="P33" s="136"/>
      <x:c r="Q33" s="136"/>
      <x:c r="R33" s="136"/>
      <x:c r="S33" s="136"/>
      <x:c r="T33" s="136"/>
      <x:c r="U33" s="136"/>
      <x:c r="V33" s="136"/>
      <x:c r="W33" s="136"/>
      <x:c r="X33" s="136"/>
      <x:c r="Y33" s="136"/>
      <x:c r="Z33" s="136"/>
    </x:row>
    <x:row r="34" ht="24" customHeight="1">
      <x:c r="A34" s="136"/>
      <x:c r="B34" s="136"/>
      <x:c r="C34" s="136" t="str">
        <x:v>SRC-0537</x:v>
      </x:c>
      <x:c r="D34" s="136" t="str">
        <x:v>Historical Inputs!J11</x:v>
      </x:c>
      <x:c r="E34" s="136" t="n">
        <x:v>2022</x:v>
      </x:c>
      <x:c r="F34" s="136" t="n">
        <x:v>2024</x:v>
      </x:c>
      <x:c r="G34" s="136" t="n">
        <x:v>56</x:v>
      </x:c>
      <x:c r="H34" s="206" t="n">
        <x:v>10978</x:v>
      </x:c>
      <x:c r="I34" s="136" t="str">
        <x:v>reported</x:v>
      </x:c>
      <x:c r="J34" s="136" t="str">
        <x:v>data/raw/reports/originals/Microsoft_FY2024_10K.pdf</x:v>
      </x:c>
      <x:c r="K34" s="136" t="str">
        <x:f>IFERROR(HYPERLINK("../data/raw/reports/highlighted/Microsoft_FY2024_10K_highlighted.pdf","Marked PDF page 56"),"Marked PDF page 56")</x:f>
        <x:v>Marked PDF page 56</x:v>
      </x:c>
      <x:c r="L34" s="136" t="str">
        <x:v>none</x:v>
      </x:c>
      <x:c r="M34" s="136"/>
      <x:c r="N34" s="136"/>
      <x:c r="O34" s="136"/>
      <x:c r="P34" s="136"/>
      <x:c r="Q34" s="136"/>
      <x:c r="R34" s="136"/>
      <x:c r="S34" s="136"/>
      <x:c r="T34" s="136"/>
      <x:c r="U34" s="136"/>
      <x:c r="V34" s="136"/>
      <x:c r="W34" s="136"/>
      <x:c r="X34" s="136"/>
      <x:c r="Y34" s="136"/>
      <x:c r="Z34" s="136"/>
    </x:row>
    <x:row r="35" ht="24" customHeight="1">
      <x:c r="A35" s="136"/>
      <x:c r="B35" s="136"/>
      <x:c r="C35" s="136" t="str">
        <x:v>SRC-0642</x:v>
      </x:c>
      <x:c r="D35" s="136" t="str">
        <x:v>Historical Inputs!K11</x:v>
      </x:c>
      <x:c r="E35" s="136" t="n">
        <x:v>2023</x:v>
      </x:c>
      <x:c r="F35" s="136" t="n">
        <x:v>2025</x:v>
      </x:c>
      <x:c r="G35" s="136" t="n">
        <x:v>50</x:v>
      </x:c>
      <x:c r="H35" s="206" t="n">
        <x:v>16950</x:v>
      </x:c>
      <x:c r="I35" s="136" t="str">
        <x:v>reported</x:v>
      </x:c>
      <x:c r="J35" s="136" t="str">
        <x:v>data/raw/reports/originals/Microsoft_FY2025_10K.pdf</x:v>
      </x:c>
      <x:c r="K35" s="136" t="str">
        <x:f>IFERROR(HYPERLINK("../data/raw/reports/highlighted/Microsoft_FY2025_10K_highlighted.pdf","Marked PDF page 50"),"Marked PDF page 50")</x:f>
        <x:v>Marked PDF page 50</x:v>
      </x:c>
      <x:c r="L35" s="136" t="str">
        <x:v>none</x:v>
      </x:c>
      <x:c r="M35" s="136"/>
      <x:c r="N35" s="136"/>
      <x:c r="O35" s="136"/>
      <x:c r="P35" s="136"/>
      <x:c r="Q35" s="136"/>
      <x:c r="R35" s="136"/>
      <x:c r="S35" s="136"/>
      <x:c r="T35" s="136"/>
      <x:c r="U35" s="136"/>
      <x:c r="V35" s="136"/>
      <x:c r="W35" s="136"/>
      <x:c r="X35" s="136"/>
      <x:c r="Y35" s="136"/>
      <x:c r="Z35" s="136"/>
    </x:row>
    <x:row r="36" ht="24" customHeight="1">
      <x:c r="A36" s="136"/>
      <x:c r="B36" s="136"/>
      <x:c r="C36" s="136" t="str">
        <x:v>SRC-0751</x:v>
      </x:c>
      <x:c r="D36" s="136" t="str">
        <x:v>Historical Inputs!L11</x:v>
      </x:c>
      <x:c r="E36" s="136" t="n">
        <x:v>2024</x:v>
      </x:c>
      <x:c r="F36" s="136" t="n">
        <x:v>2026</x:v>
      </x:c>
      <x:c r="G36" s="136" t="n">
        <x:v>50</x:v>
      </x:c>
      <x:c r="H36" s="206" t="n">
        <x:v>19651</x:v>
      </x:c>
      <x:c r="I36" s="136" t="str">
        <x:v>reported</x:v>
      </x:c>
      <x:c r="J36" s="136" t="str">
        <x:v>data/raw/reports/originals/Microsoft_FY2026_10K.pdf</x:v>
      </x:c>
      <x:c r="K36" s="136" t="str">
        <x:f>IFERROR(HYPERLINK("../data/raw/reports/highlighted/Microsoft_FY2026_10K_highlighted.pdf","Marked PDF page 50"),"Marked PDF page 50")</x:f>
        <x:v>Marked PDF page 50</x:v>
      </x:c>
      <x:c r="L36" s="136" t="str">
        <x:v>none</x:v>
      </x:c>
      <x:c r="M36" s="136"/>
      <x:c r="N36" s="136"/>
      <x:c r="O36" s="136"/>
      <x:c r="P36" s="136"/>
      <x:c r="Q36" s="136"/>
      <x:c r="R36" s="136"/>
      <x:c r="S36" s="136"/>
      <x:c r="T36" s="136"/>
      <x:c r="U36" s="136"/>
      <x:c r="V36" s="136"/>
      <x:c r="W36" s="136"/>
      <x:c r="X36" s="136"/>
      <x:c r="Y36" s="136"/>
      <x:c r="Z36" s="136"/>
    </x:row>
    <x:row r="37" ht="24" customHeight="1">
      <x:c r="A37" s="136"/>
      <x:c r="B37" s="136"/>
      <x:c r="C37" s="136" t="str">
        <x:v>SRC-0860</x:v>
      </x:c>
      <x:c r="D37" s="136" t="str">
        <x:v>Historical Inputs!M11</x:v>
      </x:c>
      <x:c r="E37" s="136" t="n">
        <x:v>2025</x:v>
      </x:c>
      <x:c r="F37" s="136" t="n">
        <x:v>2026</x:v>
      </x:c>
      <x:c r="G37" s="136" t="n">
        <x:v>50</x:v>
      </x:c>
      <x:c r="H37" s="206" t="n">
        <x:v>21795</x:v>
      </x:c>
      <x:c r="I37" s="136" t="str">
        <x:v>reported</x:v>
      </x:c>
      <x:c r="J37" s="136" t="str">
        <x:v>data/raw/reports/originals/Microsoft_FY2026_10K.pdf</x:v>
      </x:c>
      <x:c r="K37" s="136" t="str">
        <x:f>IFERROR(HYPERLINK("../data/raw/reports/highlighted/Microsoft_FY2026_10K_highlighted.pdf","Marked PDF page 50"),"Marked PDF page 50")</x:f>
        <x:v>Marked PDF page 50</x:v>
      </x:c>
      <x:c r="L37" s="136" t="str">
        <x:v>none</x:v>
      </x:c>
      <x:c r="M37" s="136"/>
      <x:c r="N37" s="136"/>
      <x:c r="O37" s="136"/>
      <x:c r="P37" s="136"/>
      <x:c r="Q37" s="136"/>
      <x:c r="R37" s="136"/>
      <x:c r="S37" s="136"/>
      <x:c r="T37" s="136"/>
      <x:c r="U37" s="136"/>
      <x:c r="V37" s="136"/>
      <x:c r="W37" s="136"/>
      <x:c r="X37" s="136"/>
      <x:c r="Y37" s="136"/>
      <x:c r="Z37" s="136"/>
    </x:row>
    <x:row r="38" ht="24" customHeight="1">
      <x:c r="A38" s="136"/>
      <x:c r="B38" s="136"/>
      <x:c r="C38" s="136" t="str">
        <x:v>SRC-0969</x:v>
      </x:c>
      <x:c r="D38" s="136" t="str">
        <x:v>Historical Inputs!N11</x:v>
      </x:c>
      <x:c r="E38" s="136" t="n">
        <x:v>2026</x:v>
      </x:c>
      <x:c r="F38" s="136" t="n">
        <x:v>2026</x:v>
      </x:c>
      <x:c r="G38" s="136" t="n">
        <x:v>50</x:v>
      </x:c>
      <x:c r="H38" s="206" t="n">
        <x:v>32185</x:v>
      </x:c>
      <x:c r="I38" s="136" t="str">
        <x:v>reported</x:v>
      </x:c>
      <x:c r="J38" s="136" t="str">
        <x:v>data/raw/reports/originals/Microsoft_FY2026_10K.pdf</x:v>
      </x:c>
      <x:c r="K38" s="136" t="str">
        <x:f>IFERROR(HYPERLINK("../data/raw/reports/highlighted/Microsoft_FY2026_10K_highlighted.pdf","Marked PDF page 50"),"Marked PDF page 50")</x:f>
        <x:v>Marked PDF page 50</x:v>
      </x:c>
      <x:c r="L38" s="136" t="str">
        <x:v>none</x:v>
      </x:c>
      <x:c r="M38" s="136"/>
      <x:c r="N38" s="136"/>
      <x:c r="O38" s="136"/>
      <x:c r="P38" s="136"/>
      <x:c r="Q38" s="136"/>
      <x:c r="R38" s="136"/>
      <x:c r="S38" s="136"/>
      <x:c r="T38" s="136"/>
      <x:c r="U38" s="136"/>
      <x:c r="V38" s="136"/>
      <x:c r="W38" s="136"/>
      <x:c r="X38" s="136"/>
      <x:c r="Y38" s="136"/>
      <x:c r="Z38" s="136"/>
    </x:row>
    <x:row r="39" ht="24" customHeight="1">
      <x:c r="A39" s="136"/>
      <x:c r="B39" s="136"/>
      <x:c r="C39" s="136" t="str">
        <x:v>SRC-0009</x:v>
      </x:c>
      <x:c r="D39" s="136" t="str">
        <x:v>Historical Inputs!E12</x:v>
      </x:c>
      <x:c r="E39" s="136" t="n">
        <x:v>2017</x:v>
      </x:c>
      <x:c r="F39" s="136" t="n">
        <x:v>2019</x:v>
      </x:c>
      <x:c r="G39" s="136" t="n">
        <x:v>51</x:v>
      </x:c>
      <x:c r="H39" s="206" t="n">
        <x:v>29901</x:v>
      </x:c>
      <x:c r="I39" s="136" t="str">
        <x:v>reported</x:v>
      </x:c>
      <x:c r="J39" s="136" t="str">
        <x:v>data/raw/reports/originals/Microsoft_FY2019_10K.pdf</x:v>
      </x:c>
      <x:c r="K39" s="136" t="str">
        <x:f>IFERROR(HYPERLINK("../data/raw/reports/highlighted/Microsoft_FY2019_10K_highlighted.pdf","Marked PDF page 51"),"Marked PDF page 51")</x:f>
        <x:v>Marked PDF page 51</x:v>
      </x:c>
      <x:c r="L39" s="136" t="str">
        <x:v>none</x:v>
      </x:c>
      <x:c r="M39" s="136"/>
      <x:c r="N39" s="136"/>
      <x:c r="O39" s="136"/>
      <x:c r="P39" s="136"/>
      <x:c r="Q39" s="136"/>
      <x:c r="R39" s="136"/>
      <x:c r="S39" s="136"/>
      <x:c r="T39" s="136"/>
      <x:c r="U39" s="136"/>
      <x:c r="V39" s="136"/>
      <x:c r="W39" s="136"/>
      <x:c r="X39" s="136"/>
      <x:c r="Y39" s="136"/>
      <x:c r="Z39" s="136"/>
    </x:row>
    <x:row r="40" ht="24" customHeight="1">
      <x:c r="A40" s="136"/>
      <x:c r="B40" s="136"/>
      <x:c r="C40" s="136" t="str">
        <x:v>SRC-0114</x:v>
      </x:c>
      <x:c r="D40" s="136" t="str">
        <x:v>Historical Inputs!F12</x:v>
      </x:c>
      <x:c r="E40" s="136" t="n">
        <x:v>2018</x:v>
      </x:c>
      <x:c r="F40" s="136" t="n">
        <x:v>2020</x:v>
      </x:c>
      <x:c r="G40" s="136" t="n">
        <x:v>55</x:v>
      </x:c>
      <x:c r="H40" s="206" t="n">
        <x:v>36474</x:v>
      </x:c>
      <x:c r="I40" s="136" t="str">
        <x:v>reported</x:v>
      </x:c>
      <x:c r="J40" s="136" t="str">
        <x:v>data/raw/reports/originals/Microsoft_FY2020_10K.pdf</x:v>
      </x:c>
      <x:c r="K40" s="136" t="str">
        <x:f>IFERROR(HYPERLINK("../data/raw/reports/highlighted/Microsoft_FY2020_10K_highlighted.pdf","Marked PDF page 55"),"Marked PDF page 55")</x:f>
        <x:v>Marked PDF page 55</x:v>
      </x:c>
      <x:c r="L40" s="136" t="str">
        <x:v>none</x:v>
      </x:c>
      <x:c r="M40" s="136"/>
      <x:c r="N40" s="136"/>
      <x:c r="O40" s="136"/>
      <x:c r="P40" s="136"/>
      <x:c r="Q40" s="136"/>
      <x:c r="R40" s="136"/>
      <x:c r="S40" s="136"/>
      <x:c r="T40" s="136"/>
      <x:c r="U40" s="136"/>
      <x:c r="V40" s="136"/>
      <x:c r="W40" s="136"/>
      <x:c r="X40" s="136"/>
      <x:c r="Y40" s="136"/>
      <x:c r="Z40" s="136"/>
    </x:row>
    <x:row r="41" ht="24" customHeight="1">
      <x:c r="A41" s="136"/>
      <x:c r="B41" s="136"/>
      <x:c r="C41" s="136" t="str">
        <x:v>SRC-0219</x:v>
      </x:c>
      <x:c r="D41" s="136" t="str">
        <x:v>Historical Inputs!G12</x:v>
      </x:c>
      <x:c r="E41" s="136" t="n">
        <x:v>2019</x:v>
      </x:c>
      <x:c r="F41" s="136" t="n">
        <x:v>2021</x:v>
      </x:c>
      <x:c r="G41" s="136" t="n">
        <x:v>57</x:v>
      </x:c>
      <x:c r="H41" s="206" t="n">
        <x:v>43688</x:v>
      </x:c>
      <x:c r="I41" s="136" t="str">
        <x:v>reported</x:v>
      </x:c>
      <x:c r="J41" s="136" t="str">
        <x:v>data/raw/reports/originals/Microsoft_FY2021_10K.pdf</x:v>
      </x:c>
      <x:c r="K41" s="136" t="str">
        <x:f>IFERROR(HYPERLINK("../data/raw/reports/highlighted/Microsoft_FY2021_10K_highlighted.pdf","Marked PDF page 57"),"Marked PDF page 57")</x:f>
        <x:v>Marked PDF page 57</x:v>
      </x:c>
      <x:c r="L41" s="136" t="str">
        <x:v>none</x:v>
      </x:c>
      <x:c r="M41" s="136"/>
      <x:c r="N41" s="136"/>
      <x:c r="O41" s="136"/>
      <x:c r="P41" s="136"/>
      <x:c r="Q41" s="136"/>
      <x:c r="R41" s="136"/>
      <x:c r="S41" s="136"/>
      <x:c r="T41" s="136"/>
      <x:c r="U41" s="136"/>
      <x:c r="V41" s="136"/>
      <x:c r="W41" s="136"/>
      <x:c r="X41" s="136"/>
      <x:c r="Y41" s="136"/>
      <x:c r="Z41" s="136"/>
    </x:row>
    <x:row r="42" ht="24" customHeight="1">
      <x:c r="A42" s="136"/>
      <x:c r="B42" s="136"/>
      <x:c r="C42" s="136" t="str">
        <x:v>SRC-0324</x:v>
      </x:c>
      <x:c r="D42" s="136" t="str">
        <x:v>Historical Inputs!H12</x:v>
      </x:c>
      <x:c r="E42" s="136" t="n">
        <x:v>2020</x:v>
      </x:c>
      <x:c r="F42" s="136" t="n">
        <x:v>2022</x:v>
      </x:c>
      <x:c r="G42" s="136" t="n">
        <x:v>57</x:v>
      </x:c>
      <x:c r="H42" s="206" t="n">
        <x:v>53036</x:v>
      </x:c>
      <x:c r="I42" s="136" t="str">
        <x:v>reported</x:v>
      </x:c>
      <x:c r="J42" s="136" t="str">
        <x:v>data/raw/reports/originals/Microsoft_FY2022_10K.pdf</x:v>
      </x:c>
      <x:c r="K42" s="136" t="str">
        <x:f>IFERROR(HYPERLINK("../data/raw/reports/highlighted/Microsoft_FY2022_10K_highlighted.pdf","Marked PDF page 57"),"Marked PDF page 57")</x:f>
        <x:v>Marked PDF page 57</x:v>
      </x:c>
      <x:c r="L42" s="136" t="str">
        <x:v>none</x:v>
      </x:c>
      <x:c r="M42" s="136"/>
      <x:c r="N42" s="136"/>
      <x:c r="O42" s="136"/>
      <x:c r="P42" s="136"/>
      <x:c r="Q42" s="136"/>
      <x:c r="R42" s="136"/>
      <x:c r="S42" s="136"/>
      <x:c r="T42" s="136"/>
      <x:c r="U42" s="136"/>
      <x:c r="V42" s="136"/>
      <x:c r="W42" s="136"/>
      <x:c r="X42" s="136"/>
      <x:c r="Y42" s="136"/>
      <x:c r="Z42" s="136"/>
    </x:row>
    <x:row r="43" ht="24" customHeight="1">
      <x:c r="A43" s="136"/>
      <x:c r="B43" s="136"/>
      <x:c r="C43" s="136" t="str">
        <x:v>SRC-0430</x:v>
      </x:c>
      <x:c r="D43" s="136" t="str">
        <x:v>Historical Inputs!I12</x:v>
      </x:c>
      <x:c r="E43" s="136" t="n">
        <x:v>2021</x:v>
      </x:c>
      <x:c r="F43" s="136" t="n">
        <x:v>2023</x:v>
      </x:c>
      <x:c r="G43" s="136" t="n">
        <x:v>58</x:v>
      </x:c>
      <x:c r="H43" s="206" t="n">
        <x:v>71102</x:v>
      </x:c>
      <x:c r="I43" s="136" t="str">
        <x:v>reported</x:v>
      </x:c>
      <x:c r="J43" s="136" t="str">
        <x:v>data/raw/reports/originals/Microsoft_FY2023_10K.pdf</x:v>
      </x:c>
      <x:c r="K43" s="136" t="str">
        <x:f>IFERROR(HYPERLINK("../data/raw/reports/highlighted/Microsoft_FY2023_10K_highlighted.pdf","Marked PDF page 58"),"Marked PDF page 58")</x:f>
        <x:v>Marked PDF page 58</x:v>
      </x:c>
      <x:c r="L43" s="136" t="str">
        <x:v>none</x:v>
      </x:c>
      <x:c r="M43" s="136"/>
      <x:c r="N43" s="136"/>
      <x:c r="O43" s="136"/>
      <x:c r="P43" s="136"/>
      <x:c r="Q43" s="136"/>
      <x:c r="R43" s="136"/>
      <x:c r="S43" s="136"/>
      <x:c r="T43" s="136"/>
      <x:c r="U43" s="136"/>
      <x:c r="V43" s="136"/>
      <x:c r="W43" s="136"/>
      <x:c r="X43" s="136"/>
      <x:c r="Y43" s="136"/>
      <x:c r="Z43" s="136"/>
    </x:row>
    <x:row r="44" ht="24" customHeight="1">
      <x:c r="A44" s="136"/>
      <x:c r="B44" s="136"/>
      <x:c r="C44" s="136" t="str">
        <x:v>SRC-0536</x:v>
      </x:c>
      <x:c r="D44" s="136" t="str">
        <x:v>Historical Inputs!J12</x:v>
      </x:c>
      <x:c r="E44" s="136" t="n">
        <x:v>2022</x:v>
      </x:c>
      <x:c r="F44" s="136" t="n">
        <x:v>2024</x:v>
      </x:c>
      <x:c r="G44" s="136" t="n">
        <x:v>56</x:v>
      </x:c>
      <x:c r="H44" s="206" t="n">
        <x:v>83716</x:v>
      </x:c>
      <x:c r="I44" s="136" t="str">
        <x:v>reported</x:v>
      </x:c>
      <x:c r="J44" s="136" t="str">
        <x:v>data/raw/reports/originals/Microsoft_FY2024_10K.pdf</x:v>
      </x:c>
      <x:c r="K44" s="136" t="str">
        <x:f>IFERROR(HYPERLINK("../data/raw/reports/highlighted/Microsoft_FY2024_10K_highlighted.pdf","Marked PDF page 56"),"Marked PDF page 56")</x:f>
        <x:v>Marked PDF page 56</x:v>
      </x:c>
      <x:c r="L44" s="136" t="str">
        <x:v>none</x:v>
      </x:c>
      <x:c r="M44" s="136"/>
      <x:c r="N44" s="136"/>
      <x:c r="O44" s="136"/>
      <x:c r="P44" s="136"/>
      <x:c r="Q44" s="136"/>
      <x:c r="R44" s="136"/>
      <x:c r="S44" s="136"/>
      <x:c r="T44" s="136"/>
      <x:c r="U44" s="136"/>
      <x:c r="V44" s="136"/>
      <x:c r="W44" s="136"/>
      <x:c r="X44" s="136"/>
      <x:c r="Y44" s="136"/>
      <x:c r="Z44" s="136"/>
    </x:row>
    <x:row r="45" ht="24" customHeight="1">
      <x:c r="A45" s="136"/>
      <x:c r="B45" s="136"/>
      <x:c r="C45" s="136" t="str">
        <x:v>SRC-0641</x:v>
      </x:c>
      <x:c r="D45" s="136" t="str">
        <x:v>Historical Inputs!K12</x:v>
      </x:c>
      <x:c r="E45" s="136" t="n">
        <x:v>2023</x:v>
      </x:c>
      <x:c r="F45" s="136" t="n">
        <x:v>2025</x:v>
      </x:c>
      <x:c r="G45" s="136" t="n">
        <x:v>50</x:v>
      </x:c>
      <x:c r="H45" s="206" t="n">
        <x:v>89311</x:v>
      </x:c>
      <x:c r="I45" s="136" t="str">
        <x:v>reported</x:v>
      </x:c>
      <x:c r="J45" s="136" t="str">
        <x:v>data/raw/reports/originals/Microsoft_FY2025_10K.pdf</x:v>
      </x:c>
      <x:c r="K45" s="136" t="str">
        <x:f>IFERROR(HYPERLINK("../data/raw/reports/highlighted/Microsoft_FY2025_10K_highlighted.pdf","Marked PDF page 50"),"Marked PDF page 50")</x:f>
        <x:v>Marked PDF page 50</x:v>
      </x:c>
      <x:c r="L45" s="136" t="str">
        <x:v>none</x:v>
      </x:c>
      <x:c r="M45" s="136"/>
      <x:c r="N45" s="136"/>
      <x:c r="O45" s="136"/>
      <x:c r="P45" s="136"/>
      <x:c r="Q45" s="136"/>
      <x:c r="R45" s="136"/>
      <x:c r="S45" s="136"/>
      <x:c r="T45" s="136"/>
      <x:c r="U45" s="136"/>
      <x:c r="V45" s="136"/>
      <x:c r="W45" s="136"/>
      <x:c r="X45" s="136"/>
      <x:c r="Y45" s="136"/>
      <x:c r="Z45" s="136"/>
    </x:row>
    <x:row r="46" ht="24" customHeight="1">
      <x:c r="A46" s="136"/>
      <x:c r="B46" s="136"/>
      <x:c r="C46" s="136" t="str">
        <x:v>SRC-0750</x:v>
      </x:c>
      <x:c r="D46" s="136" t="str">
        <x:v>Historical Inputs!L12</x:v>
      </x:c>
      <x:c r="E46" s="136" t="n">
        <x:v>2024</x:v>
      </x:c>
      <x:c r="F46" s="136" t="n">
        <x:v>2026</x:v>
      </x:c>
      <x:c r="G46" s="136" t="n">
        <x:v>50</x:v>
      </x:c>
      <x:c r="H46" s="206" t="n">
        <x:v>107787</x:v>
      </x:c>
      <x:c r="I46" s="136" t="str">
        <x:v>reported</x:v>
      </x:c>
      <x:c r="J46" s="136" t="str">
        <x:v>data/raw/reports/originals/Microsoft_FY2026_10K.pdf</x:v>
      </x:c>
      <x:c r="K46" s="136" t="str">
        <x:f>IFERROR(HYPERLINK("../data/raw/reports/highlighted/Microsoft_FY2026_10K_highlighted.pdf","Marked PDF page 50"),"Marked PDF page 50")</x:f>
        <x:v>Marked PDF page 50</x:v>
      </x:c>
      <x:c r="L46" s="136" t="str">
        <x:v>none</x:v>
      </x:c>
      <x:c r="M46" s="136"/>
      <x:c r="N46" s="136"/>
      <x:c r="O46" s="136"/>
      <x:c r="P46" s="136"/>
      <x:c r="Q46" s="136"/>
      <x:c r="R46" s="136"/>
      <x:c r="S46" s="136"/>
      <x:c r="T46" s="136"/>
      <x:c r="U46" s="136"/>
      <x:c r="V46" s="136"/>
      <x:c r="W46" s="136"/>
      <x:c r="X46" s="136"/>
      <x:c r="Y46" s="136"/>
      <x:c r="Z46" s="136"/>
    </x:row>
    <x:row r="47" ht="24" customHeight="1">
      <x:c r="A47" s="136"/>
      <x:c r="B47" s="136"/>
      <x:c r="C47" s="136" t="str">
        <x:v>SRC-0859</x:v>
      </x:c>
      <x:c r="D47" s="136" t="str">
        <x:v>Historical Inputs!M12</x:v>
      </x:c>
      <x:c r="E47" s="136" t="n">
        <x:v>2025</x:v>
      </x:c>
      <x:c r="F47" s="136" t="n">
        <x:v>2026</x:v>
      </x:c>
      <x:c r="G47" s="136" t="n">
        <x:v>50</x:v>
      </x:c>
      <x:c r="H47" s="206" t="n">
        <x:v>123627</x:v>
      </x:c>
      <x:c r="I47" s="136" t="str">
        <x:v>reported</x:v>
      </x:c>
      <x:c r="J47" s="136" t="str">
        <x:v>data/raw/reports/originals/Microsoft_FY2026_10K.pdf</x:v>
      </x:c>
      <x:c r="K47" s="136" t="str">
        <x:f>IFERROR(HYPERLINK("../data/raw/reports/highlighted/Microsoft_FY2026_10K_highlighted.pdf","Marked PDF page 50"),"Marked PDF page 50")</x:f>
        <x:v>Marked PDF page 50</x:v>
      </x:c>
      <x:c r="L47" s="136" t="str">
        <x:v>none</x:v>
      </x:c>
      <x:c r="M47" s="136"/>
      <x:c r="N47" s="136"/>
      <x:c r="O47" s="136"/>
      <x:c r="P47" s="136"/>
      <x:c r="Q47" s="136"/>
      <x:c r="R47" s="136"/>
      <x:c r="S47" s="136"/>
      <x:c r="T47" s="136"/>
      <x:c r="U47" s="136"/>
      <x:c r="V47" s="136"/>
      <x:c r="W47" s="136"/>
      <x:c r="X47" s="136"/>
      <x:c r="Y47" s="136"/>
      <x:c r="Z47" s="136"/>
    </x:row>
    <x:row r="48" ht="24" customHeight="1">
      <x:c r="A48" s="136"/>
      <x:c r="B48" s="136"/>
      <x:c r="C48" s="136" t="str">
        <x:v>SRC-0968</x:v>
      </x:c>
      <x:c r="D48" s="136" t="str">
        <x:v>Historical Inputs!N12</x:v>
      </x:c>
      <x:c r="E48" s="136" t="n">
        <x:v>2026</x:v>
      </x:c>
      <x:c r="F48" s="136" t="n">
        <x:v>2026</x:v>
      </x:c>
      <x:c r="G48" s="136" t="n">
        <x:v>50</x:v>
      </x:c>
      <x:c r="H48" s="206" t="n">
        <x:v>165934</x:v>
      </x:c>
      <x:c r="I48" s="136" t="str">
        <x:v>reported</x:v>
      </x:c>
      <x:c r="J48" s="136" t="str">
        <x:v>data/raw/reports/originals/Microsoft_FY2026_10K.pdf</x:v>
      </x:c>
      <x:c r="K48" s="136" t="str">
        <x:f>IFERROR(HYPERLINK("../data/raw/reports/highlighted/Microsoft_FY2026_10K_highlighted.pdf","Marked PDF page 50"),"Marked PDF page 50")</x:f>
        <x:v>Marked PDF page 50</x:v>
      </x:c>
      <x:c r="L48" s="136" t="str">
        <x:v>none</x:v>
      </x:c>
      <x:c r="M48" s="136"/>
      <x:c r="N48" s="136"/>
      <x:c r="O48" s="136"/>
      <x:c r="P48" s="136"/>
      <x:c r="Q48" s="136"/>
      <x:c r="R48" s="136"/>
      <x:c r="S48" s="136"/>
      <x:c r="T48" s="136"/>
      <x:c r="U48" s="136"/>
      <x:c r="V48" s="136"/>
      <x:c r="W48" s="136"/>
      <x:c r="X48" s="136"/>
      <x:c r="Y48" s="136"/>
      <x:c r="Z48" s="136"/>
    </x:row>
    <x:row r="49" ht="24" customHeight="1">
      <x:c r="A49" s="136"/>
      <x:c r="B49" s="136"/>
      <x:c r="C49" s="136" t="str">
        <x:v>SRC-0014</x:v>
      </x:c>
      <x:c r="D49" s="136" t="str">
        <x:v>Historical Inputs!E13</x:v>
      </x:c>
      <x:c r="E49" s="136" t="n">
        <x:v>2017</x:v>
      </x:c>
      <x:c r="F49" s="136" t="n">
        <x:v>2019</x:v>
      </x:c>
      <x:c r="G49" s="136" t="n">
        <x:v>51</x:v>
      </x:c>
      <x:c r="H49" s="206" t="n">
        <x:v>7746</x:v>
      </x:c>
      <x:c r="I49" s="136" t="str">
        <x:v>reported</x:v>
      </x:c>
      <x:c r="J49" s="136" t="str">
        <x:v>data/raw/reports/originals/Microsoft_FY2019_10K.pdf</x:v>
      </x:c>
      <x:c r="K49" s="136" t="str">
        <x:f>IFERROR(HYPERLINK("../data/raw/reports/highlighted/Microsoft_FY2019_10K_highlighted.pdf","Marked PDF page 51"),"Marked PDF page 51")</x:f>
        <x:v>Marked PDF page 51</x:v>
      </x:c>
      <x:c r="L49" s="136" t="str">
        <x:v>none</x:v>
      </x:c>
      <x:c r="M49" s="136"/>
      <x:c r="N49" s="136"/>
      <x:c r="O49" s="136"/>
      <x:c r="P49" s="136"/>
      <x:c r="Q49" s="136"/>
      <x:c r="R49" s="136"/>
      <x:c r="S49" s="136"/>
      <x:c r="T49" s="136"/>
      <x:c r="U49" s="136"/>
      <x:c r="V49" s="136"/>
      <x:c r="W49" s="136"/>
      <x:c r="X49" s="136"/>
      <x:c r="Y49" s="136"/>
      <x:c r="Z49" s="136"/>
    </x:row>
    <x:row r="50" ht="24" customHeight="1">
      <x:c r="A50" s="136"/>
      <x:c r="B50" s="136"/>
      <x:c r="C50" s="136" t="str">
        <x:v>SRC-0119</x:v>
      </x:c>
      <x:c r="D50" s="136" t="str">
        <x:v>Historical Inputs!F13</x:v>
      </x:c>
      <x:c r="E50" s="136" t="n">
        <x:v>2018</x:v>
      </x:c>
      <x:c r="F50" s="136" t="n">
        <x:v>2020</x:v>
      </x:c>
      <x:c r="G50" s="136" t="n">
        <x:v>55</x:v>
      </x:c>
      <x:c r="H50" s="206" t="n">
        <x:v>7700</x:v>
      </x:c>
      <x:c r="I50" s="136" t="str">
        <x:v>reported</x:v>
      </x:c>
      <x:c r="J50" s="136" t="str">
        <x:v>data/raw/reports/originals/Microsoft_FY2020_10K.pdf</x:v>
      </x:c>
      <x:c r="K50" s="136" t="str">
        <x:f>IFERROR(HYPERLINK("../data/raw/reports/highlighted/Microsoft_FY2020_10K_highlighted.pdf","Marked PDF page 55"),"Marked PDF page 55")</x:f>
        <x:v>Marked PDF page 55</x:v>
      </x:c>
      <x:c r="L50" s="136" t="str">
        <x:v>none</x:v>
      </x:c>
      <x:c r="M50" s="136"/>
      <x:c r="N50" s="136"/>
      <x:c r="O50" s="136"/>
      <x:c r="P50" s="136"/>
      <x:c r="Q50" s="136"/>
      <x:c r="R50" s="136"/>
      <x:c r="S50" s="136"/>
      <x:c r="T50" s="136"/>
      <x:c r="U50" s="136"/>
      <x:c r="V50" s="136"/>
      <x:c r="W50" s="136"/>
      <x:c r="X50" s="136"/>
      <x:c r="Y50" s="136"/>
      <x:c r="Z50" s="136"/>
    </x:row>
    <x:row r="51" ht="24" customHeight="1">
      <x:c r="A51" s="136"/>
      <x:c r="B51" s="136"/>
      <x:c r="C51" s="136" t="str">
        <x:v>SRC-0224</x:v>
      </x:c>
      <x:c r="D51" s="136" t="str">
        <x:v>Historical Inputs!G13</x:v>
      </x:c>
      <x:c r="E51" s="136" t="n">
        <x:v>2019</x:v>
      </x:c>
      <x:c r="F51" s="136" t="n">
        <x:v>2021</x:v>
      </x:c>
      <x:c r="G51" s="136" t="n">
        <x:v>57</x:v>
      </x:c>
      <x:c r="H51" s="206" t="n">
        <x:v>7673</x:v>
      </x:c>
      <x:c r="I51" s="136" t="str">
        <x:v>reported</x:v>
      </x:c>
      <x:c r="J51" s="136" t="str">
        <x:v>data/raw/reports/originals/Microsoft_FY2021_10K.pdf</x:v>
      </x:c>
      <x:c r="K51" s="136" t="str">
        <x:f>IFERROR(HYPERLINK("../data/raw/reports/highlighted/Microsoft_FY2021_10K_highlighted.pdf","Marked PDF page 57"),"Marked PDF page 57")</x:f>
        <x:v>Marked PDF page 57</x:v>
      </x:c>
      <x:c r="L51" s="136" t="str">
        <x:v>none</x:v>
      </x:c>
      <x:c r="M51" s="136"/>
      <x:c r="N51" s="136"/>
      <x:c r="O51" s="136"/>
      <x:c r="P51" s="136"/>
      <x:c r="Q51" s="136"/>
      <x:c r="R51" s="136"/>
      <x:c r="S51" s="136"/>
      <x:c r="T51" s="136"/>
      <x:c r="U51" s="136"/>
      <x:c r="V51" s="136"/>
      <x:c r="W51" s="136"/>
      <x:c r="X51" s="136"/>
      <x:c r="Y51" s="136"/>
      <x:c r="Z51" s="136"/>
    </x:row>
    <x:row r="52" ht="24" customHeight="1">
      <x:c r="A52" s="136"/>
      <x:c r="B52" s="136"/>
      <x:c r="C52" s="136" t="str">
        <x:v>SRC-0329</x:v>
      </x:c>
      <x:c r="D52" s="136" t="str">
        <x:v>Historical Inputs!H13</x:v>
      </x:c>
      <x:c r="E52" s="136" t="n">
        <x:v>2020</x:v>
      </x:c>
      <x:c r="F52" s="136" t="n">
        <x:v>2022</x:v>
      </x:c>
      <x:c r="G52" s="136" t="n">
        <x:v>57</x:v>
      </x:c>
      <x:c r="H52" s="206" t="n">
        <x:v>7610</x:v>
      </x:c>
      <x:c r="I52" s="136" t="str">
        <x:v>reported</x:v>
      </x:c>
      <x:c r="J52" s="136" t="str">
        <x:v>data/raw/reports/originals/Microsoft_FY2022_10K.pdf</x:v>
      </x:c>
      <x:c r="K52" s="136" t="str">
        <x:f>IFERROR(HYPERLINK("../data/raw/reports/highlighted/Microsoft_FY2022_10K_highlighted.pdf","Marked PDF page 57"),"Marked PDF page 57")</x:f>
        <x:v>Marked PDF page 57</x:v>
      </x:c>
      <x:c r="L52" s="136" t="str">
        <x:v>none</x:v>
      </x:c>
      <x:c r="M52" s="136"/>
      <x:c r="N52" s="136"/>
      <x:c r="O52" s="136"/>
      <x:c r="P52" s="136"/>
      <x:c r="Q52" s="136"/>
      <x:c r="R52" s="136"/>
      <x:c r="S52" s="136"/>
      <x:c r="T52" s="136"/>
      <x:c r="U52" s="136"/>
      <x:c r="V52" s="136"/>
      <x:c r="W52" s="136"/>
      <x:c r="X52" s="136"/>
      <x:c r="Y52" s="136"/>
      <x:c r="Z52" s="136"/>
    </x:row>
    <x:row r="53" ht="24" customHeight="1">
      <x:c r="A53" s="136"/>
      <x:c r="B53" s="136"/>
      <x:c r="C53" s="136" t="str">
        <x:v>SRC-0435</x:v>
      </x:c>
      <x:c r="D53" s="136" t="str">
        <x:v>Historical Inputs!I13</x:v>
      </x:c>
      <x:c r="E53" s="136" t="n">
        <x:v>2021</x:v>
      </x:c>
      <x:c r="F53" s="136" t="n">
        <x:v>2023</x:v>
      </x:c>
      <x:c r="G53" s="136" t="n">
        <x:v>58</x:v>
      </x:c>
      <x:c r="H53" s="206" t="n">
        <x:v>7547</x:v>
      </x:c>
      <x:c r="I53" s="136" t="str">
        <x:v>reported</x:v>
      </x:c>
      <x:c r="J53" s="136" t="str">
        <x:v>data/raw/reports/originals/Microsoft_FY2023_10K.pdf</x:v>
      </x:c>
      <x:c r="K53" s="136" t="str">
        <x:f>IFERROR(HYPERLINK("../data/raw/reports/highlighted/Microsoft_FY2023_10K_highlighted.pdf","Marked PDF page 58"),"Marked PDF page 58")</x:f>
        <x:v>Marked PDF page 58</x:v>
      </x:c>
      <x:c r="L53" s="136" t="str">
        <x:v>none</x:v>
      </x:c>
      <x:c r="M53" s="136"/>
      <x:c r="N53" s="136"/>
      <x:c r="O53" s="136"/>
      <x:c r="P53" s="136"/>
      <x:c r="Q53" s="136"/>
      <x:c r="R53" s="136"/>
      <x:c r="S53" s="136"/>
      <x:c r="T53" s="136"/>
      <x:c r="U53" s="136"/>
      <x:c r="V53" s="136"/>
      <x:c r="W53" s="136"/>
      <x:c r="X53" s="136"/>
      <x:c r="Y53" s="136"/>
      <x:c r="Z53" s="136"/>
    </x:row>
    <x:row r="54" ht="24" customHeight="1">
      <x:c r="A54" s="136"/>
      <x:c r="B54" s="136"/>
      <x:c r="C54" s="136" t="str">
        <x:v>SRC-0541</x:v>
      </x:c>
      <x:c r="D54" s="136" t="str">
        <x:v>Historical Inputs!J13</x:v>
      </x:c>
      <x:c r="E54" s="136" t="n">
        <x:v>2022</x:v>
      </x:c>
      <x:c r="F54" s="136" t="n">
        <x:v>2024</x:v>
      </x:c>
      <x:c r="G54" s="136" t="n">
        <x:v>56</x:v>
      </x:c>
      <x:c r="H54" s="206" t="n">
        <x:v>7496</x:v>
      </x:c>
      <x:c r="I54" s="136" t="str">
        <x:v>reported</x:v>
      </x:c>
      <x:c r="J54" s="136" t="str">
        <x:v>data/raw/reports/originals/Microsoft_FY2024_10K.pdf</x:v>
      </x:c>
      <x:c r="K54" s="136" t="str">
        <x:f>IFERROR(HYPERLINK("../data/raw/reports/highlighted/Microsoft_FY2024_10K_highlighted.pdf","Marked PDF page 56"),"Marked PDF page 56")</x:f>
        <x:v>Marked PDF page 56</x:v>
      </x:c>
      <x:c r="L54" s="136" t="str">
        <x:v>none</x:v>
      </x:c>
      <x:c r="M54" s="136"/>
      <x:c r="N54" s="136"/>
      <x:c r="O54" s="136"/>
      <x:c r="P54" s="136"/>
      <x:c r="Q54" s="136"/>
      <x:c r="R54" s="136"/>
      <x:c r="S54" s="136"/>
      <x:c r="T54" s="136"/>
      <x:c r="U54" s="136"/>
      <x:c r="V54" s="136"/>
      <x:c r="W54" s="136"/>
      <x:c r="X54" s="136"/>
      <x:c r="Y54" s="136"/>
      <x:c r="Z54" s="136"/>
    </x:row>
    <x:row r="55" ht="24" customHeight="1">
      <x:c r="A55" s="136"/>
      <x:c r="B55" s="136"/>
      <x:c r="C55" s="136" t="str">
        <x:v>SRC-0646</x:v>
      </x:c>
      <x:c r="D55" s="136" t="str">
        <x:v>Historical Inputs!K13</x:v>
      </x:c>
      <x:c r="E55" s="136" t="n">
        <x:v>2023</x:v>
      </x:c>
      <x:c r="F55" s="136" t="n">
        <x:v>2025</x:v>
      </x:c>
      <x:c r="G55" s="136" t="n">
        <x:v>50</x:v>
      </x:c>
      <x:c r="H55" s="206" t="n">
        <x:v>7446</x:v>
      </x:c>
      <x:c r="I55" s="136" t="str">
        <x:v>reported</x:v>
      </x:c>
      <x:c r="J55" s="136" t="str">
        <x:v>data/raw/reports/originals/Microsoft_FY2025_10K.pdf</x:v>
      </x:c>
      <x:c r="K55" s="136" t="str">
        <x:f>IFERROR(HYPERLINK("../data/raw/reports/highlighted/Microsoft_FY2025_10K_highlighted.pdf","Marked PDF page 50"),"Marked PDF page 50")</x:f>
        <x:v>Marked PDF page 50</x:v>
      </x:c>
      <x:c r="L55" s="136" t="str">
        <x:v>none</x:v>
      </x:c>
      <x:c r="M55" s="136"/>
      <x:c r="N55" s="136"/>
      <x:c r="O55" s="136"/>
      <x:c r="P55" s="136"/>
      <x:c r="Q55" s="136"/>
      <x:c r="R55" s="136"/>
      <x:c r="S55" s="136"/>
      <x:c r="T55" s="136"/>
      <x:c r="U55" s="136"/>
      <x:c r="V55" s="136"/>
      <x:c r="W55" s="136"/>
      <x:c r="X55" s="136"/>
      <x:c r="Y55" s="136"/>
      <x:c r="Z55" s="136"/>
    </x:row>
    <x:row r="56" ht="24" customHeight="1">
      <x:c r="A56" s="136"/>
      <x:c r="B56" s="136"/>
      <x:c r="C56" s="136" t="str">
        <x:v>SRC-0755</x:v>
      </x:c>
      <x:c r="D56" s="136" t="str">
        <x:v>Historical Inputs!L13</x:v>
      </x:c>
      <x:c r="E56" s="136" t="n">
        <x:v>2024</x:v>
      </x:c>
      <x:c r="F56" s="136" t="n">
        <x:v>2026</x:v>
      </x:c>
      <x:c r="G56" s="136" t="n">
        <x:v>50</x:v>
      </x:c>
      <x:c r="H56" s="206" t="n">
        <x:v>7431</x:v>
      </x:c>
      <x:c r="I56" s="136" t="str">
        <x:v>reported</x:v>
      </x:c>
      <x:c r="J56" s="136" t="str">
        <x:v>data/raw/reports/originals/Microsoft_FY2026_10K.pdf</x:v>
      </x:c>
      <x:c r="K56" s="136" t="str">
        <x:f>IFERROR(HYPERLINK("../data/raw/reports/highlighted/Microsoft_FY2026_10K_highlighted.pdf","Marked PDF page 50"),"Marked PDF page 50")</x:f>
        <x:v>Marked PDF page 50</x:v>
      </x:c>
      <x:c r="L56" s="136" t="str">
        <x:v>none</x:v>
      </x:c>
      <x:c r="M56" s="136"/>
      <x:c r="N56" s="136"/>
      <x:c r="O56" s="136"/>
      <x:c r="P56" s="136"/>
      <x:c r="Q56" s="136"/>
      <x:c r="R56" s="136"/>
      <x:c r="S56" s="136"/>
      <x:c r="T56" s="136"/>
      <x:c r="U56" s="136"/>
      <x:c r="V56" s="136"/>
      <x:c r="W56" s="136"/>
      <x:c r="X56" s="136"/>
      <x:c r="Y56" s="136"/>
      <x:c r="Z56" s="136"/>
    </x:row>
    <x:row r="57" ht="24" customHeight="1">
      <x:c r="A57" s="136"/>
      <x:c r="B57" s="136"/>
      <x:c r="C57" s="136" t="str">
        <x:v>SRC-0864</x:v>
      </x:c>
      <x:c r="D57" s="136" t="str">
        <x:v>Historical Inputs!M13</x:v>
      </x:c>
      <x:c r="E57" s="136" t="n">
        <x:v>2025</x:v>
      </x:c>
      <x:c r="F57" s="136" t="n">
        <x:v>2026</x:v>
      </x:c>
      <x:c r="G57" s="136" t="n">
        <x:v>50</x:v>
      </x:c>
      <x:c r="H57" s="206" t="n">
        <x:v>7433</x:v>
      </x:c>
      <x:c r="I57" s="136" t="str">
        <x:v>reported</x:v>
      </x:c>
      <x:c r="J57" s="136" t="str">
        <x:v>data/raw/reports/originals/Microsoft_FY2026_10K.pdf</x:v>
      </x:c>
      <x:c r="K57" s="136" t="str">
        <x:f>IFERROR(HYPERLINK("../data/raw/reports/highlighted/Microsoft_FY2026_10K_highlighted.pdf","Marked PDF page 50"),"Marked PDF page 50")</x:f>
        <x:v>Marked PDF page 50</x:v>
      </x:c>
      <x:c r="L57" s="136" t="str">
        <x:v>none</x:v>
      </x:c>
      <x:c r="M57" s="136"/>
      <x:c r="N57" s="136"/>
      <x:c r="O57" s="136"/>
      <x:c r="P57" s="136"/>
      <x:c r="Q57" s="136"/>
      <x:c r="R57" s="136"/>
      <x:c r="S57" s="136"/>
      <x:c r="T57" s="136"/>
      <x:c r="U57" s="136"/>
      <x:c r="V57" s="136"/>
      <x:c r="W57" s="136"/>
      <x:c r="X57" s="136"/>
      <x:c r="Y57" s="136"/>
      <x:c r="Z57" s="136"/>
    </x:row>
    <x:row r="58" ht="24" customHeight="1">
      <x:c r="A58" s="136"/>
      <x:c r="B58" s="136"/>
      <x:c r="C58" s="136" t="str">
        <x:v>SRC-0973</x:v>
      </x:c>
      <x:c r="D58" s="136" t="str">
        <x:v>Historical Inputs!N13</x:v>
      </x:c>
      <x:c r="E58" s="136" t="n">
        <x:v>2026</x:v>
      </x:c>
      <x:c r="F58" s="136" t="n">
        <x:v>2026</x:v>
      </x:c>
      <x:c r="G58" s="136" t="n">
        <x:v>50</x:v>
      </x:c>
      <x:c r="H58" s="206" t="n">
        <x:v>7429</x:v>
      </x:c>
      <x:c r="I58" s="136" t="str">
        <x:v>reported</x:v>
      </x:c>
      <x:c r="J58" s="136" t="str">
        <x:v>data/raw/reports/originals/Microsoft_FY2026_10K.pdf</x:v>
      </x:c>
      <x:c r="K58" s="136" t="str">
        <x:f>IFERROR(HYPERLINK("../data/raw/reports/highlighted/Microsoft_FY2026_10K_highlighted.pdf","Marked PDF page 50"),"Marked PDF page 50")</x:f>
        <x:v>Marked PDF page 50</x:v>
      </x:c>
      <x:c r="L58" s="136" t="str">
        <x:v>none</x:v>
      </x:c>
      <x:c r="M58" s="136"/>
      <x:c r="N58" s="136"/>
      <x:c r="O58" s="136"/>
      <x:c r="P58" s="136"/>
      <x:c r="Q58" s="136"/>
      <x:c r="R58" s="136"/>
      <x:c r="S58" s="136"/>
      <x:c r="T58" s="136"/>
      <x:c r="U58" s="136"/>
      <x:c r="V58" s="136"/>
      <x:c r="W58" s="136"/>
      <x:c r="X58" s="136"/>
      <x:c r="Y58" s="136"/>
      <x:c r="Z58" s="136"/>
    </x:row>
    <x:row r="59" ht="24" customHeight="1">
      <x:c r="A59" s="136"/>
      <x:c r="B59" s="136"/>
      <x:c r="C59" s="136" t="str">
        <x:v>SRC-0015</x:v>
      </x:c>
      <x:c r="D59" s="136" t="str">
        <x:v>Historical Inputs!E14</x:v>
      </x:c>
      <x:c r="E59" s="136" t="n">
        <x:v>2017</x:v>
      </x:c>
      <x:c r="F59" s="136" t="n">
        <x:v>2019</x:v>
      </x:c>
      <x:c r="G59" s="136" t="n">
        <x:v>51</x:v>
      </x:c>
      <x:c r="H59" s="206" t="n">
        <x:v>7832</x:v>
      </x:c>
      <x:c r="I59" s="136" t="str">
        <x:v>reported</x:v>
      </x:c>
      <x:c r="J59" s="136" t="str">
        <x:v>data/raw/reports/originals/Microsoft_FY2019_10K.pdf</x:v>
      </x:c>
      <x:c r="K59" s="136" t="str">
        <x:f>IFERROR(HYPERLINK("../data/raw/reports/highlighted/Microsoft_FY2019_10K_highlighted.pdf","Marked PDF page 51"),"Marked PDF page 51")</x:f>
        <x:v>Marked PDF page 51</x:v>
      </x:c>
      <x:c r="L59" s="136" t="str">
        <x:v>none</x:v>
      </x:c>
      <x:c r="M59" s="136"/>
      <x:c r="N59" s="136"/>
      <x:c r="O59" s="136"/>
      <x:c r="P59" s="136"/>
      <x:c r="Q59" s="136"/>
      <x:c r="R59" s="136"/>
      <x:c r="S59" s="136"/>
      <x:c r="T59" s="136"/>
      <x:c r="U59" s="136"/>
      <x:c r="V59" s="136"/>
      <x:c r="W59" s="136"/>
      <x:c r="X59" s="136"/>
      <x:c r="Y59" s="136"/>
      <x:c r="Z59" s="136"/>
    </x:row>
    <x:row r="60" ht="24" customHeight="1">
      <x:c r="A60" s="136"/>
      <x:c r="B60" s="136"/>
      <x:c r="C60" s="136" t="str">
        <x:v>SRC-0120</x:v>
      </x:c>
      <x:c r="D60" s="136" t="str">
        <x:v>Historical Inputs!F14</x:v>
      </x:c>
      <x:c r="E60" s="136" t="n">
        <x:v>2018</x:v>
      </x:c>
      <x:c r="F60" s="136" t="n">
        <x:v>2020</x:v>
      </x:c>
      <x:c r="G60" s="136" t="n">
        <x:v>55</x:v>
      </x:c>
      <x:c r="H60" s="206" t="n">
        <x:v>7794</x:v>
      </x:c>
      <x:c r="I60" s="136" t="str">
        <x:v>reported</x:v>
      </x:c>
      <x:c r="J60" s="136" t="str">
        <x:v>data/raw/reports/originals/Microsoft_FY2020_10K.pdf</x:v>
      </x:c>
      <x:c r="K60" s="136" t="str">
        <x:f>IFERROR(HYPERLINK("../data/raw/reports/highlighted/Microsoft_FY2020_10K_highlighted.pdf","Marked PDF page 55"),"Marked PDF page 55")</x:f>
        <x:v>Marked PDF page 55</x:v>
      </x:c>
      <x:c r="L60" s="136" t="str">
        <x:v>none</x:v>
      </x:c>
      <x:c r="M60" s="136"/>
      <x:c r="N60" s="136"/>
      <x:c r="O60" s="136"/>
      <x:c r="P60" s="136"/>
      <x:c r="Q60" s="136"/>
      <x:c r="R60" s="136"/>
      <x:c r="S60" s="136"/>
      <x:c r="T60" s="136"/>
      <x:c r="U60" s="136"/>
      <x:c r="V60" s="136"/>
      <x:c r="W60" s="136"/>
      <x:c r="X60" s="136"/>
      <x:c r="Y60" s="136"/>
      <x:c r="Z60" s="136"/>
    </x:row>
    <x:row r="61" ht="24" customHeight="1">
      <x:c r="A61" s="136"/>
      <x:c r="B61" s="136"/>
      <x:c r="C61" s="136" t="str">
        <x:v>SRC-0225</x:v>
      </x:c>
      <x:c r="D61" s="136" t="str">
        <x:v>Historical Inputs!G14</x:v>
      </x:c>
      <x:c r="E61" s="136" t="n">
        <x:v>2019</x:v>
      </x:c>
      <x:c r="F61" s="136" t="n">
        <x:v>2021</x:v>
      </x:c>
      <x:c r="G61" s="136" t="n">
        <x:v>57</x:v>
      </x:c>
      <x:c r="H61" s="206" t="n">
        <x:v>7753</x:v>
      </x:c>
      <x:c r="I61" s="136" t="str">
        <x:v>reported</x:v>
      </x:c>
      <x:c r="J61" s="136" t="str">
        <x:v>data/raw/reports/originals/Microsoft_FY2021_10K.pdf</x:v>
      </x:c>
      <x:c r="K61" s="136" t="str">
        <x:f>IFERROR(HYPERLINK("../data/raw/reports/highlighted/Microsoft_FY2021_10K_highlighted.pdf","Marked PDF page 57"),"Marked PDF page 57")</x:f>
        <x:v>Marked PDF page 57</x:v>
      </x:c>
      <x:c r="L61" s="136" t="str">
        <x:v>none</x:v>
      </x:c>
      <x:c r="M61" s="136"/>
      <x:c r="N61" s="136"/>
      <x:c r="O61" s="136"/>
      <x:c r="P61" s="136"/>
      <x:c r="Q61" s="136"/>
      <x:c r="R61" s="136"/>
      <x:c r="S61" s="136"/>
      <x:c r="T61" s="136"/>
      <x:c r="U61" s="136"/>
      <x:c r="V61" s="136"/>
      <x:c r="W61" s="136"/>
      <x:c r="X61" s="136"/>
      <x:c r="Y61" s="136"/>
      <x:c r="Z61" s="136"/>
    </x:row>
    <x:row r="62" ht="24" customHeight="1">
      <x:c r="A62" s="136"/>
      <x:c r="B62" s="136"/>
      <x:c r="C62" s="136" t="str">
        <x:v>SRC-0330</x:v>
      </x:c>
      <x:c r="D62" s="136" t="str">
        <x:v>Historical Inputs!H14</x:v>
      </x:c>
      <x:c r="E62" s="136" t="n">
        <x:v>2020</x:v>
      </x:c>
      <x:c r="F62" s="136" t="n">
        <x:v>2022</x:v>
      </x:c>
      <x:c r="G62" s="136" t="n">
        <x:v>57</x:v>
      </x:c>
      <x:c r="H62" s="206" t="n">
        <x:v>7683</x:v>
      </x:c>
      <x:c r="I62" s="136" t="str">
        <x:v>reported</x:v>
      </x:c>
      <x:c r="J62" s="136" t="str">
        <x:v>data/raw/reports/originals/Microsoft_FY2022_10K.pdf</x:v>
      </x:c>
      <x:c r="K62" s="136" t="str">
        <x:f>IFERROR(HYPERLINK("../data/raw/reports/highlighted/Microsoft_FY2022_10K_highlighted.pdf","Marked PDF page 57"),"Marked PDF page 57")</x:f>
        <x:v>Marked PDF page 57</x:v>
      </x:c>
      <x:c r="L62" s="136" t="str">
        <x:v>none</x:v>
      </x:c>
      <x:c r="M62" s="136"/>
      <x:c r="N62" s="136"/>
      <x:c r="O62" s="136"/>
      <x:c r="P62" s="136"/>
      <x:c r="Q62" s="136"/>
      <x:c r="R62" s="136"/>
      <x:c r="S62" s="136"/>
      <x:c r="T62" s="136"/>
      <x:c r="U62" s="136"/>
      <x:c r="V62" s="136"/>
      <x:c r="W62" s="136"/>
      <x:c r="X62" s="136"/>
      <x:c r="Y62" s="136"/>
      <x:c r="Z62" s="136"/>
    </x:row>
    <x:row r="63" ht="24" customHeight="1">
      <x:c r="A63" s="136"/>
      <x:c r="B63" s="136"/>
      <x:c r="C63" s="136" t="str">
        <x:v>SRC-0436</x:v>
      </x:c>
      <x:c r="D63" s="136" t="str">
        <x:v>Historical Inputs!I14</x:v>
      </x:c>
      <x:c r="E63" s="136" t="n">
        <x:v>2021</x:v>
      </x:c>
      <x:c r="F63" s="136" t="n">
        <x:v>2023</x:v>
      </x:c>
      <x:c r="G63" s="136" t="n">
        <x:v>58</x:v>
      </x:c>
      <x:c r="H63" s="206" t="n">
        <x:v>7608</x:v>
      </x:c>
      <x:c r="I63" s="136" t="str">
        <x:v>reported</x:v>
      </x:c>
      <x:c r="J63" s="136" t="str">
        <x:v>data/raw/reports/originals/Microsoft_FY2023_10K.pdf</x:v>
      </x:c>
      <x:c r="K63" s="136" t="str">
        <x:f>IFERROR(HYPERLINK("../data/raw/reports/highlighted/Microsoft_FY2023_10K_highlighted.pdf","Marked PDF page 58"),"Marked PDF page 58")</x:f>
        <x:v>Marked PDF page 58</x:v>
      </x:c>
      <x:c r="L63" s="136" t="str">
        <x:v>none</x:v>
      </x:c>
      <x:c r="M63" s="136"/>
      <x:c r="N63" s="136"/>
      <x:c r="O63" s="136"/>
      <x:c r="P63" s="136"/>
      <x:c r="Q63" s="136"/>
      <x:c r="R63" s="136"/>
      <x:c r="S63" s="136"/>
      <x:c r="T63" s="136"/>
      <x:c r="U63" s="136"/>
      <x:c r="V63" s="136"/>
      <x:c r="W63" s="136"/>
      <x:c r="X63" s="136"/>
      <x:c r="Y63" s="136"/>
      <x:c r="Z63" s="136"/>
    </x:row>
    <x:row r="64" ht="24" customHeight="1">
      <x:c r="A64" s="136"/>
      <x:c r="B64" s="136"/>
      <x:c r="C64" s="136" t="str">
        <x:v>SRC-0542</x:v>
      </x:c>
      <x:c r="D64" s="136" t="str">
        <x:v>Historical Inputs!J14</x:v>
      </x:c>
      <x:c r="E64" s="136" t="n">
        <x:v>2022</x:v>
      </x:c>
      <x:c r="F64" s="136" t="n">
        <x:v>2024</x:v>
      </x:c>
      <x:c r="G64" s="136" t="n">
        <x:v>56</x:v>
      </x:c>
      <x:c r="H64" s="206" t="n">
        <x:v>7540</x:v>
      </x:c>
      <x:c r="I64" s="136" t="str">
        <x:v>reported</x:v>
      </x:c>
      <x:c r="J64" s="136" t="str">
        <x:v>data/raw/reports/originals/Microsoft_FY2024_10K.pdf</x:v>
      </x:c>
      <x:c r="K64" s="136" t="str">
        <x:f>IFERROR(HYPERLINK("../data/raw/reports/highlighted/Microsoft_FY2024_10K_highlighted.pdf","Marked PDF page 56"),"Marked PDF page 56")</x:f>
        <x:v>Marked PDF page 56</x:v>
      </x:c>
      <x:c r="L64" s="136" t="str">
        <x:v>none</x:v>
      </x:c>
      <x:c r="M64" s="136"/>
      <x:c r="N64" s="136"/>
      <x:c r="O64" s="136"/>
      <x:c r="P64" s="136"/>
      <x:c r="Q64" s="136"/>
      <x:c r="R64" s="136"/>
      <x:c r="S64" s="136"/>
      <x:c r="T64" s="136"/>
      <x:c r="U64" s="136"/>
      <x:c r="V64" s="136"/>
      <x:c r="W64" s="136"/>
      <x:c r="X64" s="136"/>
      <x:c r="Y64" s="136"/>
      <x:c r="Z64" s="136"/>
    </x:row>
    <x:row r="65" ht="24" customHeight="1">
      <x:c r="A65" s="136"/>
      <x:c r="B65" s="136"/>
      <x:c r="C65" s="136" t="str">
        <x:v>SRC-0647</x:v>
      </x:c>
      <x:c r="D65" s="136" t="str">
        <x:v>Historical Inputs!K14</x:v>
      </x:c>
      <x:c r="E65" s="136" t="n">
        <x:v>2023</x:v>
      </x:c>
      <x:c r="F65" s="136" t="n">
        <x:v>2025</x:v>
      </x:c>
      <x:c r="G65" s="136" t="n">
        <x:v>50</x:v>
      </x:c>
      <x:c r="H65" s="206" t="n">
        <x:v>7472</x:v>
      </x:c>
      <x:c r="I65" s="136" t="str">
        <x:v>reported</x:v>
      </x:c>
      <x:c r="J65" s="136" t="str">
        <x:v>data/raw/reports/originals/Microsoft_FY2025_10K.pdf</x:v>
      </x:c>
      <x:c r="K65" s="136" t="str">
        <x:f>IFERROR(HYPERLINK("../data/raw/reports/highlighted/Microsoft_FY2025_10K_highlighted.pdf","Marked PDF page 50"),"Marked PDF page 50")</x:f>
        <x:v>Marked PDF page 50</x:v>
      </x:c>
      <x:c r="L65" s="136" t="str">
        <x:v>none</x:v>
      </x:c>
      <x:c r="M65" s="136"/>
      <x:c r="N65" s="136"/>
      <x:c r="O65" s="136"/>
      <x:c r="P65" s="136"/>
      <x:c r="Q65" s="136"/>
      <x:c r="R65" s="136"/>
      <x:c r="S65" s="136"/>
      <x:c r="T65" s="136"/>
      <x:c r="U65" s="136"/>
      <x:c r="V65" s="136"/>
      <x:c r="W65" s="136"/>
      <x:c r="X65" s="136"/>
      <x:c r="Y65" s="136"/>
      <x:c r="Z65" s="136"/>
    </x:row>
    <x:row r="66" ht="24" customHeight="1">
      <x:c r="A66" s="136"/>
      <x:c r="B66" s="136"/>
      <x:c r="C66" s="136" t="str">
        <x:v>SRC-0756</x:v>
      </x:c>
      <x:c r="D66" s="136" t="str">
        <x:v>Historical Inputs!L14</x:v>
      </x:c>
      <x:c r="E66" s="136" t="n">
        <x:v>2024</x:v>
      </x:c>
      <x:c r="F66" s="136" t="n">
        <x:v>2026</x:v>
      </x:c>
      <x:c r="G66" s="136" t="n">
        <x:v>50</x:v>
      </x:c>
      <x:c r="H66" s="206" t="n">
        <x:v>7469</x:v>
      </x:c>
      <x:c r="I66" s="136" t="str">
        <x:v>reported</x:v>
      </x:c>
      <x:c r="J66" s="136" t="str">
        <x:v>data/raw/reports/originals/Microsoft_FY2026_10K.pdf</x:v>
      </x:c>
      <x:c r="K66" s="136" t="str">
        <x:f>IFERROR(HYPERLINK("../data/raw/reports/highlighted/Microsoft_FY2026_10K_highlighted.pdf","Marked PDF page 50"),"Marked PDF page 50")</x:f>
        <x:v>Marked PDF page 50</x:v>
      </x:c>
      <x:c r="L66" s="136" t="str">
        <x:v>none</x:v>
      </x:c>
      <x:c r="M66" s="136"/>
      <x:c r="N66" s="136"/>
      <x:c r="O66" s="136"/>
      <x:c r="P66" s="136"/>
      <x:c r="Q66" s="136"/>
      <x:c r="R66" s="136"/>
      <x:c r="S66" s="136"/>
      <x:c r="T66" s="136"/>
      <x:c r="U66" s="136"/>
      <x:c r="V66" s="136"/>
      <x:c r="W66" s="136"/>
      <x:c r="X66" s="136"/>
      <x:c r="Y66" s="136"/>
      <x:c r="Z66" s="136"/>
    </x:row>
    <x:row r="67" ht="24" customHeight="1">
      <x:c r="A67" s="136"/>
      <x:c r="B67" s="136"/>
      <x:c r="C67" s="136" t="str">
        <x:v>SRC-0865</x:v>
      </x:c>
      <x:c r="D67" s="136" t="str">
        <x:v>Historical Inputs!M14</x:v>
      </x:c>
      <x:c r="E67" s="136" t="n">
        <x:v>2025</x:v>
      </x:c>
      <x:c r="F67" s="136" t="n">
        <x:v>2026</x:v>
      </x:c>
      <x:c r="G67" s="136" t="n">
        <x:v>50</x:v>
      </x:c>
      <x:c r="H67" s="206" t="n">
        <x:v>7465</x:v>
      </x:c>
      <x:c r="I67" s="136" t="str">
        <x:v>reported</x:v>
      </x:c>
      <x:c r="J67" s="136" t="str">
        <x:v>data/raw/reports/originals/Microsoft_FY2026_10K.pdf</x:v>
      </x:c>
      <x:c r="K67" s="136" t="str">
        <x:f>IFERROR(HYPERLINK("../data/raw/reports/highlighted/Microsoft_FY2026_10K_highlighted.pdf","Marked PDF page 50"),"Marked PDF page 50")</x:f>
        <x:v>Marked PDF page 50</x:v>
      </x:c>
      <x:c r="L67" s="136" t="str">
        <x:v>none</x:v>
      </x:c>
      <x:c r="M67" s="136"/>
      <x:c r="N67" s="136"/>
      <x:c r="O67" s="136"/>
      <x:c r="P67" s="136"/>
      <x:c r="Q67" s="136"/>
      <x:c r="R67" s="136"/>
      <x:c r="S67" s="136"/>
      <x:c r="T67" s="136"/>
      <x:c r="U67" s="136"/>
      <x:c r="V67" s="136"/>
      <x:c r="W67" s="136"/>
      <x:c r="X67" s="136"/>
      <x:c r="Y67" s="136"/>
      <x:c r="Z67" s="136"/>
    </x:row>
    <x:row r="68" ht="24" customHeight="1">
      <x:c r="A68" s="136"/>
      <x:c r="B68" s="136"/>
      <x:c r="C68" s="136" t="str">
        <x:v>SRC-0974</x:v>
      </x:c>
      <x:c r="D68" s="136" t="str">
        <x:v>Historical Inputs!N14</x:v>
      </x:c>
      <x:c r="E68" s="136" t="n">
        <x:v>2026</x:v>
      </x:c>
      <x:c r="F68" s="136" t="n">
        <x:v>2026</x:v>
      </x:c>
      <x:c r="G68" s="136" t="n">
        <x:v>50</x:v>
      </x:c>
      <x:c r="H68" s="206" t="n">
        <x:v>7453</x:v>
      </x:c>
      <x:c r="I68" s="136" t="str">
        <x:v>reported</x:v>
      </x:c>
      <x:c r="J68" s="136" t="str">
        <x:v>data/raw/reports/originals/Microsoft_FY2026_10K.pdf</x:v>
      </x:c>
      <x:c r="K68" s="136" t="str">
        <x:f>IFERROR(HYPERLINK("../data/raw/reports/highlighted/Microsoft_FY2026_10K_highlighted.pdf","Marked PDF page 50"),"Marked PDF page 50")</x:f>
        <x:v>Marked PDF page 50</x:v>
      </x:c>
      <x:c r="L68" s="136" t="str">
        <x:v>none</x:v>
      </x:c>
      <x:c r="M68" s="136"/>
      <x:c r="N68" s="136"/>
      <x:c r="O68" s="136"/>
      <x:c r="P68" s="136"/>
      <x:c r="Q68" s="136"/>
      <x:c r="R68" s="136"/>
      <x:c r="S68" s="136"/>
      <x:c r="T68" s="136"/>
      <x:c r="U68" s="136"/>
      <x:c r="V68" s="136"/>
      <x:c r="W68" s="136"/>
      <x:c r="X68" s="136"/>
      <x:c r="Y68" s="136"/>
      <x:c r="Z68" s="136"/>
    </x:row>
    <x:row r="69" ht="24" customHeight="1">
      <x:c r="A69" s="136"/>
      <x:c r="B69" s="136"/>
      <x:c r="C69" s="136" t="str">
        <x:v>SRC-0053</x:v>
      </x:c>
      <x:c r="D69" s="136" t="str">
        <x:v>Historical Inputs!E15</x:v>
      </x:c>
      <x:c r="E69" s="136" t="n">
        <x:v>2017</x:v>
      </x:c>
      <x:c r="F69" s="136" t="n">
        <x:v>2019</x:v>
      </x:c>
      <x:c r="G69" s="136" t="n">
        <x:v>54</x:v>
      </x:c>
      <x:c r="H69" s="206" t="n">
        <x:v>8778</x:v>
      </x:c>
      <x:c r="I69" s="136" t="str">
        <x:v>reported</x:v>
      </x:c>
      <x:c r="J69" s="136" t="str">
        <x:v>data/raw/reports/originals/Microsoft_FY2019_10K.pdf</x:v>
      </x:c>
      <x:c r="K69" s="136" t="str">
        <x:f>IFERROR(HYPERLINK("../data/raw/reports/highlighted/Microsoft_FY2019_10K_highlighted.pdf","Marked PDF page 54"),"Marked PDF page 54")</x:f>
        <x:v>Marked PDF page 54</x:v>
      </x:c>
      <x:c r="L69" s="136" t="str">
        <x:v>none</x:v>
      </x:c>
      <x:c r="M69" s="136"/>
      <x:c r="N69" s="136"/>
      <x:c r="O69" s="136"/>
      <x:c r="P69" s="136"/>
      <x:c r="Q69" s="136"/>
      <x:c r="R69" s="136"/>
      <x:c r="S69" s="136"/>
      <x:c r="T69" s="136"/>
      <x:c r="U69" s="136"/>
      <x:c r="V69" s="136"/>
      <x:c r="W69" s="136"/>
      <x:c r="X69" s="136"/>
      <x:c r="Y69" s="136"/>
      <x:c r="Z69" s="136"/>
    </x:row>
    <x:row r="70" ht="24" customHeight="1">
      <x:c r="A70" s="136"/>
      <x:c r="B70" s="136"/>
      <x:c r="C70" s="136" t="str">
        <x:v>SRC-0158</x:v>
      </x:c>
      <x:c r="D70" s="136" t="str">
        <x:v>Historical Inputs!F15</x:v>
      </x:c>
      <x:c r="E70" s="136" t="n">
        <x:v>2018</x:v>
      </x:c>
      <x:c r="F70" s="136" t="n">
        <x:v>2020</x:v>
      </x:c>
      <x:c r="G70" s="136" t="n">
        <x:v>58</x:v>
      </x:c>
      <x:c r="H70" s="206" t="n">
        <x:v>10261</x:v>
      </x:c>
      <x:c r="I70" s="136" t="str">
        <x:v>reported</x:v>
      </x:c>
      <x:c r="J70" s="136" t="str">
        <x:v>data/raw/reports/originals/Microsoft_FY2020_10K.pdf</x:v>
      </x:c>
      <x:c r="K70" s="136" t="str">
        <x:f>IFERROR(HYPERLINK("../data/raw/reports/highlighted/Microsoft_FY2020_10K_highlighted.pdf","Marked PDF page 58"),"Marked PDF page 58")</x:f>
        <x:v>Marked PDF page 58</x:v>
      </x:c>
      <x:c r="L70" s="136" t="str">
        <x:v>none</x:v>
      </x:c>
      <x:c r="M70" s="136"/>
      <x:c r="N70" s="136"/>
      <x:c r="O70" s="136"/>
      <x:c r="P70" s="136"/>
      <x:c r="Q70" s="136"/>
      <x:c r="R70" s="136"/>
      <x:c r="S70" s="136"/>
      <x:c r="T70" s="136"/>
      <x:c r="U70" s="136"/>
      <x:c r="V70" s="136"/>
      <x:c r="W70" s="136"/>
      <x:c r="X70" s="136"/>
      <x:c r="Y70" s="136"/>
      <x:c r="Z70" s="136"/>
    </x:row>
    <x:row r="71" ht="24" customHeight="1">
      <x:c r="A71" s="136"/>
      <x:c r="B71" s="136"/>
      <x:c r="C71" s="136" t="str">
        <x:v>SRC-0263</x:v>
      </x:c>
      <x:c r="D71" s="136" t="str">
        <x:v>Historical Inputs!G15</x:v>
      </x:c>
      <x:c r="E71" s="136" t="n">
        <x:v>2019</x:v>
      </x:c>
      <x:c r="F71" s="136" t="n">
        <x:v>2021</x:v>
      </x:c>
      <x:c r="G71" s="136" t="n">
        <x:v>60</x:v>
      </x:c>
      <x:c r="H71" s="206" t="n">
        <x:v>11682</x:v>
      </x:c>
      <x:c r="I71" s="136" t="str">
        <x:v>reported</x:v>
      </x:c>
      <x:c r="J71" s="136" t="str">
        <x:v>data/raw/reports/originals/Microsoft_FY2021_10K.pdf</x:v>
      </x:c>
      <x:c r="K71" s="136" t="str">
        <x:f>IFERROR(HYPERLINK("../data/raw/reports/highlighted/Microsoft_FY2021_10K_highlighted.pdf","Marked PDF page 60"),"Marked PDF page 60")</x:f>
        <x:v>Marked PDF page 60</x:v>
      </x:c>
      <x:c r="L71" s="136" t="str">
        <x:v>none</x:v>
      </x:c>
      <x:c r="M71" s="136"/>
      <x:c r="N71" s="136"/>
      <x:c r="O71" s="136"/>
      <x:c r="P71" s="136"/>
      <x:c r="Q71" s="136"/>
      <x:c r="R71" s="136"/>
      <x:c r="S71" s="136"/>
      <x:c r="T71" s="136"/>
      <x:c r="U71" s="136"/>
      <x:c r="V71" s="136"/>
      <x:c r="W71" s="136"/>
      <x:c r="X71" s="136"/>
      <x:c r="Y71" s="136"/>
      <x:c r="Z71" s="136"/>
    </x:row>
    <x:row r="72" ht="24" customHeight="1">
      <x:c r="A72" s="136"/>
      <x:c r="B72" s="136"/>
      <x:c r="C72" s="136" t="str">
        <x:v>SRC-0368</x:v>
      </x:c>
      <x:c r="D72" s="136" t="str">
        <x:v>Historical Inputs!H15</x:v>
      </x:c>
      <x:c r="E72" s="136" t="n">
        <x:v>2020</x:v>
      </x:c>
      <x:c r="F72" s="136" t="n">
        <x:v>2022</x:v>
      </x:c>
      <x:c r="G72" s="136" t="n">
        <x:v>60</x:v>
      </x:c>
      <x:c r="H72" s="206" t="n">
        <x:v>12796</x:v>
      </x:c>
      <x:c r="I72" s="136" t="str">
        <x:v>reported</x:v>
      </x:c>
      <x:c r="J72" s="136" t="str">
        <x:v>data/raw/reports/originals/Microsoft_FY2022_10K.pdf</x:v>
      </x:c>
      <x:c r="K72" s="136" t="str">
        <x:f>IFERROR(HYPERLINK("../data/raw/reports/highlighted/Microsoft_FY2022_10K_highlighted.pdf","Marked PDF page 60"),"Marked PDF page 60")</x:f>
        <x:v>Marked PDF page 60</x:v>
      </x:c>
      <x:c r="L72" s="136" t="str">
        <x:v>none</x:v>
      </x:c>
      <x:c r="M72" s="136"/>
      <x:c r="N72" s="136"/>
      <x:c r="O72" s="136"/>
      <x:c r="P72" s="136"/>
      <x:c r="Q72" s="136"/>
      <x:c r="R72" s="136"/>
      <x:c r="S72" s="136"/>
      <x:c r="T72" s="136"/>
      <x:c r="U72" s="136"/>
      <x:c r="V72" s="136"/>
      <x:c r="W72" s="136"/>
      <x:c r="X72" s="136"/>
      <x:c r="Y72" s="136"/>
      <x:c r="Z72" s="136"/>
    </x:row>
    <x:row r="73" ht="24" customHeight="1">
      <x:c r="A73" s="136"/>
      <x:c r="B73" s="136"/>
      <x:c r="C73" s="136" t="str">
        <x:v>SRC-0474</x:v>
      </x:c>
      <x:c r="D73" s="136" t="str">
        <x:v>Historical Inputs!I15</x:v>
      </x:c>
      <x:c r="E73" s="136" t="n">
        <x:v>2021</x:v>
      </x:c>
      <x:c r="F73" s="136" t="n">
        <x:v>2023</x:v>
      </x:c>
      <x:c r="G73" s="136" t="n">
        <x:v>61</x:v>
      </x:c>
      <x:c r="H73" s="206" t="n">
        <x:v>11686</x:v>
      </x:c>
      <x:c r="I73" s="136" t="str">
        <x:v>reported</x:v>
      </x:c>
      <x:c r="J73" s="136" t="str">
        <x:v>data/raw/reports/originals/Microsoft_FY2023_10K.pdf</x:v>
      </x:c>
      <x:c r="K73" s="136" t="str">
        <x:f>IFERROR(HYPERLINK("../data/raw/reports/highlighted/Microsoft_FY2023_10K_highlighted.pdf","Marked PDF page 61"),"Marked PDF page 61")</x:f>
        <x:v>Marked PDF page 61</x:v>
      </x:c>
      <x:c r="L73" s="136" t="str">
        <x:v>none</x:v>
      </x:c>
      <x:c r="M73" s="136"/>
      <x:c r="N73" s="136"/>
      <x:c r="O73" s="136"/>
      <x:c r="P73" s="136"/>
      <x:c r="Q73" s="136"/>
      <x:c r="R73" s="136"/>
      <x:c r="S73" s="136"/>
      <x:c r="T73" s="136"/>
      <x:c r="U73" s="136"/>
      <x:c r="V73" s="136"/>
      <x:c r="W73" s="136"/>
      <x:c r="X73" s="136"/>
      <x:c r="Y73" s="136"/>
      <x:c r="Z73" s="136"/>
    </x:row>
    <x:row r="74" ht="24" customHeight="1">
      <x:c r="A74" s="136"/>
      <x:c r="B74" s="136"/>
      <x:c r="C74" s="136" t="str">
        <x:v>SRC-0580</x:v>
      </x:c>
      <x:c r="D74" s="136" t="str">
        <x:v>Historical Inputs!J15</x:v>
      </x:c>
      <x:c r="E74" s="136" t="n">
        <x:v>2022</x:v>
      </x:c>
      <x:c r="F74" s="136" t="n">
        <x:v>2024</x:v>
      </x:c>
      <x:c r="G74" s="136" t="n">
        <x:v>59</x:v>
      </x:c>
      <x:c r="H74" s="206" t="n">
        <x:v>14460</x:v>
      </x:c>
      <x:c r="I74" s="136" t="str">
        <x:v>reported</x:v>
      </x:c>
      <x:c r="J74" s="136" t="str">
        <x:v>data/raw/reports/originals/Microsoft_FY2024_10K.pdf</x:v>
      </x:c>
      <x:c r="K74" s="136" t="str">
        <x:f>IFERROR(HYPERLINK("../data/raw/reports/highlighted/Microsoft_FY2024_10K_highlighted.pdf","Marked PDF page 59"),"Marked PDF page 59")</x:f>
        <x:v>Marked PDF page 59</x:v>
      </x:c>
      <x:c r="L74" s="136" t="str">
        <x:v>none</x:v>
      </x:c>
      <x:c r="M74" s="136"/>
      <x:c r="N74" s="136"/>
      <x:c r="O74" s="136"/>
      <x:c r="P74" s="136"/>
      <x:c r="Q74" s="136"/>
      <x:c r="R74" s="136"/>
      <x:c r="S74" s="136"/>
      <x:c r="T74" s="136"/>
      <x:c r="U74" s="136"/>
      <x:c r="V74" s="136"/>
      <x:c r="W74" s="136"/>
      <x:c r="X74" s="136"/>
      <x:c r="Y74" s="136"/>
      <x:c r="Z74" s="136"/>
    </x:row>
    <x:row r="75" ht="24" customHeight="1">
      <x:c r="A75" s="136"/>
      <x:c r="B75" s="136"/>
      <x:c r="C75" s="136" t="str">
        <x:v>SRC-0685</x:v>
      </x:c>
      <x:c r="D75" s="136" t="str">
        <x:v>Historical Inputs!K15</x:v>
      </x:c>
      <x:c r="E75" s="136" t="n">
        <x:v>2023</x:v>
      </x:c>
      <x:c r="F75" s="136" t="n">
        <x:v>2025</x:v>
      </x:c>
      <x:c r="G75" s="136" t="n">
        <x:v>53</x:v>
      </x:c>
      <x:c r="H75" s="206" t="n">
        <x:v>13861</x:v>
      </x:c>
      <x:c r="I75" s="136" t="str">
        <x:v>reported</x:v>
      </x:c>
      <x:c r="J75" s="136" t="str">
        <x:v>data/raw/reports/originals/Microsoft_FY2025_10K.pdf</x:v>
      </x:c>
      <x:c r="K75" s="136" t="str">
        <x:f>IFERROR(HYPERLINK("../data/raw/reports/highlighted/Microsoft_FY2025_10K_highlighted.pdf","Marked PDF page 53"),"Marked PDF page 53")</x:f>
        <x:v>Marked PDF page 53</x:v>
      </x:c>
      <x:c r="L75" s="136" t="str">
        <x:v>none</x:v>
      </x:c>
      <x:c r="M75" s="136"/>
      <x:c r="N75" s="136"/>
      <x:c r="O75" s="136"/>
      <x:c r="P75" s="136"/>
      <x:c r="Q75" s="136"/>
      <x:c r="R75" s="136"/>
      <x:c r="S75" s="136"/>
      <x:c r="T75" s="136"/>
      <x:c r="U75" s="136"/>
      <x:c r="V75" s="136"/>
      <x:c r="W75" s="136"/>
      <x:c r="X75" s="136"/>
      <x:c r="Y75" s="136"/>
      <x:c r="Z75" s="136"/>
    </x:row>
    <x:row r="76" ht="24" customHeight="1">
      <x:c r="A76" s="136"/>
      <x:c r="B76" s="136"/>
      <x:c r="C76" s="136" t="str">
        <x:v>SRC-0794</x:v>
      </x:c>
      <x:c r="D76" s="136" t="str">
        <x:v>Historical Inputs!L15</x:v>
      </x:c>
      <x:c r="E76" s="136" t="n">
        <x:v>2024</x:v>
      </x:c>
      <x:c r="F76" s="136" t="n">
        <x:v>2026</x:v>
      </x:c>
      <x:c r="G76" s="136" t="n">
        <x:v>53</x:v>
      </x:c>
      <x:c r="H76" s="206" t="n">
        <x:v>20958</x:v>
      </x:c>
      <x:c r="I76" s="136" t="str">
        <x:v>reported</x:v>
      </x:c>
      <x:c r="J76" s="136" t="str">
        <x:v>data/raw/reports/originals/Microsoft_FY2026_10K.pdf</x:v>
      </x:c>
      <x:c r="K76" s="136" t="str">
        <x:f>IFERROR(HYPERLINK("../data/raw/reports/highlighted/Microsoft_FY2026_10K_highlighted.pdf","Marked PDF page 53"),"Marked PDF page 53")</x:f>
        <x:v>Marked PDF page 53</x:v>
      </x:c>
      <x:c r="L76" s="136" t="str">
        <x:v>none</x:v>
      </x:c>
      <x:c r="M76" s="136"/>
      <x:c r="N76" s="136"/>
      <x:c r="O76" s="136"/>
      <x:c r="P76" s="136"/>
      <x:c r="Q76" s="136"/>
      <x:c r="R76" s="136"/>
      <x:c r="S76" s="136"/>
      <x:c r="T76" s="136"/>
      <x:c r="U76" s="136"/>
      <x:c r="V76" s="136"/>
      <x:c r="W76" s="136"/>
      <x:c r="X76" s="136"/>
      <x:c r="Y76" s="136"/>
      <x:c r="Z76" s="136"/>
    </x:row>
    <x:row r="77" ht="24" customHeight="1">
      <x:c r="A77" s="136"/>
      <x:c r="B77" s="136"/>
      <x:c r="C77" s="136" t="str">
        <x:v>SRC-0903</x:v>
      </x:c>
      <x:c r="D77" s="136" t="str">
        <x:v>Historical Inputs!M15</x:v>
      </x:c>
      <x:c r="E77" s="136" t="n">
        <x:v>2025</x:v>
      </x:c>
      <x:c r="F77" s="136" t="n">
        <x:v>2026</x:v>
      </x:c>
      <x:c r="G77" s="136" t="n">
        <x:v>53</x:v>
      </x:c>
      <x:c r="H77" s="206" t="n">
        <x:v>29433</x:v>
      </x:c>
      <x:c r="I77" s="136" t="str">
        <x:v>reported</x:v>
      </x:c>
      <x:c r="J77" s="136" t="str">
        <x:v>data/raw/reports/originals/Microsoft_FY2026_10K.pdf</x:v>
      </x:c>
      <x:c r="K77" s="136" t="str">
        <x:f>IFERROR(HYPERLINK("../data/raw/reports/highlighted/Microsoft_FY2026_10K_highlighted.pdf","Marked PDF page 53"),"Marked PDF page 53")</x:f>
        <x:v>Marked PDF page 53</x:v>
      </x:c>
      <x:c r="L77" s="136" t="str">
        <x:v>none</x:v>
      </x:c>
      <x:c r="M77" s="136"/>
      <x:c r="N77" s="136"/>
      <x:c r="O77" s="136"/>
      <x:c r="P77" s="136"/>
      <x:c r="Q77" s="136"/>
      <x:c r="R77" s="136"/>
      <x:c r="S77" s="136"/>
      <x:c r="T77" s="136"/>
      <x:c r="U77" s="136"/>
      <x:c r="V77" s="136"/>
      <x:c r="W77" s="136"/>
      <x:c r="X77" s="136"/>
      <x:c r="Y77" s="136"/>
      <x:c r="Z77" s="136"/>
    </x:row>
    <x:row r="78" ht="24" customHeight="1">
      <x:c r="A78" s="136"/>
      <x:c r="B78" s="136"/>
      <x:c r="C78" s="136" t="str">
        <x:v>SRC-1012</x:v>
      </x:c>
      <x:c r="D78" s="136" t="str">
        <x:v>Historical Inputs!N15</x:v>
      </x:c>
      <x:c r="E78" s="136" t="n">
        <x:v>2026</x:v>
      </x:c>
      <x:c r="F78" s="136" t="n">
        <x:v>2026</x:v>
      </x:c>
      <x:c r="G78" s="136" t="n">
        <x:v>53</x:v>
      </x:c>
      <x:c r="H78" s="206" t="n">
        <x:v>38534</x:v>
      </x:c>
      <x:c r="I78" s="136" t="str">
        <x:v>reported</x:v>
      </x:c>
      <x:c r="J78" s="136" t="str">
        <x:v>data/raw/reports/originals/Microsoft_FY2026_10K.pdf</x:v>
      </x:c>
      <x:c r="K78" s="136" t="str">
        <x:f>IFERROR(HYPERLINK("../data/raw/reports/highlighted/Microsoft_FY2026_10K_highlighted.pdf","Marked PDF page 53"),"Marked PDF page 53")</x:f>
        <x:v>Marked PDF page 53</x:v>
      </x:c>
      <x:c r="L78" s="136" t="str">
        <x:v>none</x:v>
      </x:c>
      <x:c r="M78" s="136"/>
      <x:c r="N78" s="136"/>
      <x:c r="O78" s="136"/>
      <x:c r="P78" s="136"/>
      <x:c r="Q78" s="136"/>
      <x:c r="R78" s="136"/>
      <x:c r="S78" s="136"/>
      <x:c r="T78" s="136"/>
      <x:c r="U78" s="136"/>
      <x:c r="V78" s="136"/>
      <x:c r="W78" s="136"/>
      <x:c r="X78" s="136"/>
      <x:c r="Y78" s="136"/>
      <x:c r="Z78" s="136"/>
    </x:row>
    <x:row r="79" ht="24" customHeight="1">
      <x:c r="A79" s="136"/>
      <x:c r="B79" s="136"/>
      <x:c r="C79" s="136" t="str">
        <x:v>SRC-0066</x:v>
      </x:c>
      <x:c r="D79" s="136" t="str">
        <x:v>Historical Inputs!E16</x:v>
      </x:c>
      <x:c r="E79" s="136" t="n">
        <x:v>2017</x:v>
      </x:c>
      <x:c r="F79" s="136" t="n">
        <x:v>2019</x:v>
      </x:c>
      <x:c r="G79" s="136" t="n">
        <x:v>54</x:v>
      </x:c>
      <x:c r="H79" s="206" t="n">
        <x:v>39507</x:v>
      </x:c>
      <x:c r="I79" s="136" t="str">
        <x:v>reported</x:v>
      </x:c>
      <x:c r="J79" s="136" t="str">
        <x:v>data/raw/reports/originals/Microsoft_FY2019_10K.pdf</x:v>
      </x:c>
      <x:c r="K79" s="136" t="str">
        <x:f>IFERROR(HYPERLINK("../data/raw/reports/highlighted/Microsoft_FY2019_10K_highlighted.pdf","Marked PDF page 54"),"Marked PDF page 54")</x:f>
        <x:v>Marked PDF page 54</x:v>
      </x:c>
      <x:c r="L79" s="136" t="str">
        <x:v>none</x:v>
      </x:c>
      <x:c r="M79" s="136"/>
      <x:c r="N79" s="136"/>
      <x:c r="O79" s="136"/>
      <x:c r="P79" s="136"/>
      <x:c r="Q79" s="136"/>
      <x:c r="R79" s="136"/>
      <x:c r="S79" s="136"/>
      <x:c r="T79" s="136"/>
      <x:c r="U79" s="136"/>
      <x:c r="V79" s="136"/>
      <x:c r="W79" s="136"/>
      <x:c r="X79" s="136"/>
      <x:c r="Y79" s="136"/>
      <x:c r="Z79" s="136"/>
    </x:row>
    <x:row r="80" ht="24" customHeight="1">
      <x:c r="A80" s="136"/>
      <x:c r="B80" s="136"/>
      <x:c r="C80" s="136" t="str">
        <x:v>SRC-0171</x:v>
      </x:c>
      <x:c r="D80" s="136" t="str">
        <x:v>Historical Inputs!F16</x:v>
      </x:c>
      <x:c r="E80" s="136" t="n">
        <x:v>2018</x:v>
      </x:c>
      <x:c r="F80" s="136" t="n">
        <x:v>2020</x:v>
      </x:c>
      <x:c r="G80" s="136" t="n">
        <x:v>58</x:v>
      </x:c>
      <x:c r="H80" s="206" t="n">
        <x:v>43884</x:v>
      </x:c>
      <x:c r="I80" s="136" t="str">
        <x:v>reported</x:v>
      </x:c>
      <x:c r="J80" s="136" t="str">
        <x:v>data/raw/reports/originals/Microsoft_FY2020_10K.pdf</x:v>
      </x:c>
      <x:c r="K80" s="136" t="str">
        <x:f>IFERROR(HYPERLINK("../data/raw/reports/highlighted/Microsoft_FY2020_10K_highlighted.pdf","Marked PDF page 58"),"Marked PDF page 58")</x:f>
        <x:v>Marked PDF page 58</x:v>
      </x:c>
      <x:c r="L80" s="136" t="str">
        <x:v>none</x:v>
      </x:c>
      <x:c r="M80" s="136"/>
      <x:c r="N80" s="136"/>
      <x:c r="O80" s="136"/>
      <x:c r="P80" s="136"/>
      <x:c r="Q80" s="136"/>
      <x:c r="R80" s="136"/>
      <x:c r="S80" s="136"/>
      <x:c r="T80" s="136"/>
      <x:c r="U80" s="136"/>
      <x:c r="V80" s="136"/>
      <x:c r="W80" s="136"/>
      <x:c r="X80" s="136"/>
      <x:c r="Y80" s="136"/>
      <x:c r="Z80" s="136"/>
    </x:row>
    <x:row r="81" ht="24" customHeight="1">
      <x:c r="A81" s="136"/>
      <x:c r="B81" s="136"/>
      <x:c r="C81" s="136" t="str">
        <x:v>SRC-0276</x:v>
      </x:c>
      <x:c r="D81" s="136" t="str">
        <x:v>Historical Inputs!G16</x:v>
      </x:c>
      <x:c r="E81" s="136" t="n">
        <x:v>2019</x:v>
      </x:c>
      <x:c r="F81" s="136" t="n">
        <x:v>2021</x:v>
      </x:c>
      <x:c r="G81" s="136" t="n">
        <x:v>60</x:v>
      </x:c>
      <x:c r="H81" s="206" t="n">
        <x:v>52185</x:v>
      </x:c>
      <x:c r="I81" s="136" t="str">
        <x:v>reported</x:v>
      </x:c>
      <x:c r="J81" s="136" t="str">
        <x:v>data/raw/reports/originals/Microsoft_FY2021_10K.pdf</x:v>
      </x:c>
      <x:c r="K81" s="136" t="str">
        <x:f>IFERROR(HYPERLINK("../data/raw/reports/highlighted/Microsoft_FY2021_10K_highlighted.pdf","Marked PDF page 60"),"Marked PDF page 60")</x:f>
        <x:v>Marked PDF page 60</x:v>
      </x:c>
      <x:c r="L81" s="136" t="str">
        <x:v>none</x:v>
      </x:c>
      <x:c r="M81" s="136"/>
      <x:c r="N81" s="136"/>
      <x:c r="O81" s="136"/>
      <x:c r="P81" s="136"/>
      <x:c r="Q81" s="136"/>
      <x:c r="R81" s="136"/>
      <x:c r="S81" s="136"/>
      <x:c r="T81" s="136"/>
      <x:c r="U81" s="136"/>
      <x:c r="V81" s="136"/>
      <x:c r="W81" s="136"/>
      <x:c r="X81" s="136"/>
      <x:c r="Y81" s="136"/>
      <x:c r="Z81" s="136"/>
    </x:row>
    <x:row r="82" ht="24" customHeight="1">
      <x:c r="A82" s="136"/>
      <x:c r="B82" s="136"/>
      <x:c r="C82" s="136" t="str">
        <x:v>SRC-0381</x:v>
      </x:c>
      <x:c r="D82" s="136" t="str">
        <x:v>Historical Inputs!H16</x:v>
      </x:c>
      <x:c r="E82" s="136" t="n">
        <x:v>2020</x:v>
      </x:c>
      <x:c r="F82" s="136" t="n">
        <x:v>2022</x:v>
      </x:c>
      <x:c r="G82" s="136" t="n">
        <x:v>60</x:v>
      </x:c>
      <x:c r="H82" s="206" t="n">
        <x:v>60675</x:v>
      </x:c>
      <x:c r="I82" s="136" t="str">
        <x:v>reported</x:v>
      </x:c>
      <x:c r="J82" s="136" t="str">
        <x:v>data/raw/reports/originals/Microsoft_FY2022_10K.pdf</x:v>
      </x:c>
      <x:c r="K82" s="136" t="str">
        <x:f>IFERROR(HYPERLINK("../data/raw/reports/highlighted/Microsoft_FY2022_10K_highlighted.pdf","Marked PDF page 60"),"Marked PDF page 60")</x:f>
        <x:v>Marked PDF page 60</x:v>
      </x:c>
      <x:c r="L82" s="136" t="str">
        <x:v>none</x:v>
      </x:c>
      <x:c r="M82" s="136"/>
      <x:c r="N82" s="136"/>
      <x:c r="O82" s="136"/>
      <x:c r="P82" s="136"/>
      <x:c r="Q82" s="136"/>
      <x:c r="R82" s="136"/>
      <x:c r="S82" s="136"/>
      <x:c r="T82" s="136"/>
      <x:c r="U82" s="136"/>
      <x:c r="V82" s="136"/>
      <x:c r="W82" s="136"/>
      <x:c r="X82" s="136"/>
      <x:c r="Y82" s="136"/>
      <x:c r="Z82" s="136"/>
    </x:row>
    <x:row r="83" ht="24" customHeight="1">
      <x:c r="A83" s="136"/>
      <x:c r="B83" s="136"/>
      <x:c r="C83" s="136" t="str">
        <x:v>SRC-0487</x:v>
      </x:c>
      <x:c r="D83" s="136" t="str">
        <x:v>Historical Inputs!I16</x:v>
      </x:c>
      <x:c r="E83" s="136" t="n">
        <x:v>2021</x:v>
      </x:c>
      <x:c r="F83" s="136" t="n">
        <x:v>2023</x:v>
      </x:c>
      <x:c r="G83" s="136" t="n">
        <x:v>61</x:v>
      </x:c>
      <x:c r="H83" s="206" t="n">
        <x:v>76740</x:v>
      </x:c>
      <x:c r="I83" s="136" t="str">
        <x:v>reported</x:v>
      </x:c>
      <x:c r="J83" s="136" t="str">
        <x:v>data/raw/reports/originals/Microsoft_FY2023_10K.pdf</x:v>
      </x:c>
      <x:c r="K83" s="136" t="str">
        <x:f>IFERROR(HYPERLINK("../data/raw/reports/highlighted/Microsoft_FY2023_10K_highlighted.pdf","Marked PDF page 61"),"Marked PDF page 61")</x:f>
        <x:v>Marked PDF page 61</x:v>
      </x:c>
      <x:c r="L83" s="136" t="str">
        <x:v>none</x:v>
      </x:c>
      <x:c r="M83" s="136"/>
      <x:c r="N83" s="136"/>
      <x:c r="O83" s="136"/>
      <x:c r="P83" s="136"/>
      <x:c r="Q83" s="136"/>
      <x:c r="R83" s="136"/>
      <x:c r="S83" s="136"/>
      <x:c r="T83" s="136"/>
      <x:c r="U83" s="136"/>
      <x:c r="V83" s="136"/>
      <x:c r="W83" s="136"/>
      <x:c r="X83" s="136"/>
      <x:c r="Y83" s="136"/>
      <x:c r="Z83" s="136"/>
    </x:row>
    <x:row r="84" ht="24" customHeight="1">
      <x:c r="A84" s="136"/>
      <x:c r="B84" s="136"/>
      <x:c r="C84" s="136" t="str">
        <x:v>SRC-0593</x:v>
      </x:c>
      <x:c r="D84" s="136" t="str">
        <x:v>Historical Inputs!J16</x:v>
      </x:c>
      <x:c r="E84" s="136" t="n">
        <x:v>2022</x:v>
      </x:c>
      <x:c r="F84" s="136" t="n">
        <x:v>2024</x:v>
      </x:c>
      <x:c r="G84" s="136" t="n">
        <x:v>59</x:v>
      </x:c>
      <x:c r="H84" s="206" t="n">
        <x:v>89035</x:v>
      </x:c>
      <x:c r="I84" s="136" t="str">
        <x:v>reported</x:v>
      </x:c>
      <x:c r="J84" s="136" t="str">
        <x:v>data/raw/reports/originals/Microsoft_FY2024_10K.pdf</x:v>
      </x:c>
      <x:c r="K84" s="136" t="str">
        <x:f>IFERROR(HYPERLINK("../data/raw/reports/highlighted/Microsoft_FY2024_10K_highlighted.pdf","Marked PDF page 59"),"Marked PDF page 59")</x:f>
        <x:v>Marked PDF page 59</x:v>
      </x:c>
      <x:c r="L84" s="136" t="str">
        <x:v>none</x:v>
      </x:c>
      <x:c r="M84" s="136"/>
      <x:c r="N84" s="136"/>
      <x:c r="O84" s="136"/>
      <x:c r="P84" s="136"/>
      <x:c r="Q84" s="136"/>
      <x:c r="R84" s="136"/>
      <x:c r="S84" s="136"/>
      <x:c r="T84" s="136"/>
      <x:c r="U84" s="136"/>
      <x:c r="V84" s="136"/>
      <x:c r="W84" s="136"/>
      <x:c r="X84" s="136"/>
      <x:c r="Y84" s="136"/>
      <x:c r="Z84" s="136"/>
    </x:row>
    <x:row r="85" ht="24" customHeight="1">
      <x:c r="A85" s="136"/>
      <x:c r="B85" s="136"/>
      <x:c r="C85" s="136" t="str">
        <x:v>SRC-0698</x:v>
      </x:c>
      <x:c r="D85" s="136" t="str">
        <x:v>Historical Inputs!K16</x:v>
      </x:c>
      <x:c r="E85" s="136" t="n">
        <x:v>2023</x:v>
      </x:c>
      <x:c r="F85" s="136" t="n">
        <x:v>2025</x:v>
      </x:c>
      <x:c r="G85" s="136" t="n">
        <x:v>53</x:v>
      </x:c>
      <x:c r="H85" s="206" t="n">
        <x:v>87582</x:v>
      </x:c>
      <x:c r="I85" s="136" t="str">
        <x:v>reported</x:v>
      </x:c>
      <x:c r="J85" s="136" t="str">
        <x:v>data/raw/reports/originals/Microsoft_FY2025_10K.pdf</x:v>
      </x:c>
      <x:c r="K85" s="136" t="str">
        <x:f>IFERROR(HYPERLINK("../data/raw/reports/highlighted/Microsoft_FY2025_10K_highlighted.pdf","Marked PDF page 53"),"Marked PDF page 53")</x:f>
        <x:v>Marked PDF page 53</x:v>
      </x:c>
      <x:c r="L85" s="136" t="str">
        <x:v>none</x:v>
      </x:c>
      <x:c r="M85" s="136"/>
      <x:c r="N85" s="136"/>
      <x:c r="O85" s="136"/>
      <x:c r="P85" s="136"/>
      <x:c r="Q85" s="136"/>
      <x:c r="R85" s="136"/>
      <x:c r="S85" s="136"/>
      <x:c r="T85" s="136"/>
      <x:c r="U85" s="136"/>
      <x:c r="V85" s="136"/>
      <x:c r="W85" s="136"/>
      <x:c r="X85" s="136"/>
      <x:c r="Y85" s="136"/>
      <x:c r="Z85" s="136"/>
    </x:row>
    <x:row r="86" ht="24" customHeight="1">
      <x:c r="A86" s="136"/>
      <x:c r="B86" s="136"/>
      <x:c r="C86" s="136" t="str">
        <x:v>SRC-0807</x:v>
      </x:c>
      <x:c r="D86" s="136" t="str">
        <x:v>Historical Inputs!L16</x:v>
      </x:c>
      <x:c r="E86" s="136" t="n">
        <x:v>2024</x:v>
      </x:c>
      <x:c r="F86" s="136" t="n">
        <x:v>2026</x:v>
      </x:c>
      <x:c r="G86" s="136" t="n">
        <x:v>53</x:v>
      </x:c>
      <x:c r="H86" s="206" t="n">
        <x:v>118548</x:v>
      </x:c>
      <x:c r="I86" s="136" t="str">
        <x:v>reported</x:v>
      </x:c>
      <x:c r="J86" s="136" t="str">
        <x:v>data/raw/reports/originals/Microsoft_FY2026_10K.pdf</x:v>
      </x:c>
      <x:c r="K86" s="136" t="str">
        <x:f>IFERROR(HYPERLINK("../data/raw/reports/highlighted/Microsoft_FY2026_10K_highlighted.pdf","Marked PDF page 53"),"Marked PDF page 53")</x:f>
        <x:v>Marked PDF page 53</x:v>
      </x:c>
      <x:c r="L86" s="136" t="str">
        <x:v>none</x:v>
      </x:c>
      <x:c r="M86" s="136"/>
      <x:c r="N86" s="136"/>
      <x:c r="O86" s="136"/>
      <x:c r="P86" s="136"/>
      <x:c r="Q86" s="136"/>
      <x:c r="R86" s="136"/>
      <x:c r="S86" s="136"/>
      <x:c r="T86" s="136"/>
      <x:c r="U86" s="136"/>
      <x:c r="V86" s="136"/>
      <x:c r="W86" s="136"/>
      <x:c r="X86" s="136"/>
      <x:c r="Y86" s="136"/>
      <x:c r="Z86" s="136"/>
    </x:row>
    <x:row r="87" ht="24" customHeight="1">
      <x:c r="A87" s="136"/>
      <x:c r="B87" s="136"/>
      <x:c r="C87" s="136" t="str">
        <x:v>SRC-0916</x:v>
      </x:c>
      <x:c r="D87" s="136" t="str">
        <x:v>Historical Inputs!M16</x:v>
      </x:c>
      <x:c r="E87" s="136" t="n">
        <x:v>2025</x:v>
      </x:c>
      <x:c r="F87" s="136" t="n">
        <x:v>2026</x:v>
      </x:c>
      <x:c r="G87" s="136" t="n">
        <x:v>53</x:v>
      </x:c>
      <x:c r="H87" s="206" t="n">
        <x:v>136162</x:v>
      </x:c>
      <x:c r="I87" s="136" t="str">
        <x:v>reported</x:v>
      </x:c>
      <x:c r="J87" s="136" t="str">
        <x:v>data/raw/reports/originals/Microsoft_FY2026_10K.pdf</x:v>
      </x:c>
      <x:c r="K87" s="136" t="str">
        <x:f>IFERROR(HYPERLINK("../data/raw/reports/highlighted/Microsoft_FY2026_10K_highlighted.pdf","Marked PDF page 53"),"Marked PDF page 53")</x:f>
        <x:v>Marked PDF page 53</x:v>
      </x:c>
      <x:c r="L87" s="136" t="str">
        <x:v>none</x:v>
      </x:c>
      <x:c r="M87" s="136"/>
      <x:c r="N87" s="136"/>
      <x:c r="O87" s="136"/>
      <x:c r="P87" s="136"/>
      <x:c r="Q87" s="136"/>
      <x:c r="R87" s="136"/>
      <x:c r="S87" s="136"/>
      <x:c r="T87" s="136"/>
      <x:c r="U87" s="136"/>
      <x:c r="V87" s="136"/>
      <x:c r="W87" s="136"/>
      <x:c r="X87" s="136"/>
      <x:c r="Y87" s="136"/>
      <x:c r="Z87" s="136"/>
    </x:row>
    <x:row r="88" ht="24" customHeight="1">
      <x:c r="A88" s="136"/>
      <x:c r="B88" s="136"/>
      <x:c r="C88" s="136" t="str">
        <x:v>SRC-1025</x:v>
      </x:c>
      <x:c r="D88" s="136" t="str">
        <x:v>Historical Inputs!N16</x:v>
      </x:c>
      <x:c r="E88" s="136" t="n">
        <x:v>2026</x:v>
      </x:c>
      <x:c r="F88" s="136" t="n">
        <x:v>2026</x:v>
      </x:c>
      <x:c r="G88" s="136" t="n">
        <x:v>53</x:v>
      </x:c>
      <x:c r="H88" s="206" t="n">
        <x:v>182935</x:v>
      </x:c>
      <x:c r="I88" s="136" t="str">
        <x:v>reported</x:v>
      </x:c>
      <x:c r="J88" s="136" t="str">
        <x:v>data/raw/reports/originals/Microsoft_FY2026_10K.pdf</x:v>
      </x:c>
      <x:c r="K88" s="136" t="str">
        <x:f>IFERROR(HYPERLINK("../data/raw/reports/highlighted/Microsoft_FY2026_10K_highlighted.pdf","Marked PDF page 53"),"Marked PDF page 53")</x:f>
        <x:v>Marked PDF page 53</x:v>
      </x:c>
      <x:c r="L88" s="136" t="str">
        <x:v>none</x:v>
      </x:c>
      <x:c r="M88" s="136"/>
      <x:c r="N88" s="136"/>
      <x:c r="O88" s="136"/>
      <x:c r="P88" s="136"/>
      <x:c r="Q88" s="136"/>
      <x:c r="R88" s="136"/>
      <x:c r="S88" s="136"/>
      <x:c r="T88" s="136"/>
      <x:c r="U88" s="136"/>
      <x:c r="V88" s="136"/>
      <x:c r="W88" s="136"/>
      <x:c r="X88" s="136"/>
      <x:c r="Y88" s="136"/>
      <x:c r="Z88" s="136"/>
    </x:row>
    <x:row r="89" ht="24" customHeight="1">
      <x:c r="A89" s="136"/>
      <x:c r="B89" s="136"/>
      <x:c r="C89" s="136" t="str">
        <x:v>SRC-0075</x:v>
      </x:c>
      <x:c r="D89" s="136" t="str">
        <x:v>Historical Inputs!E17</x:v>
      </x:c>
      <x:c r="E89" s="136" t="n">
        <x:v>2017</x:v>
      </x:c>
      <x:c r="F89" s="136" t="n">
        <x:v>2019</x:v>
      </x:c>
      <x:c r="G89" s="136" t="n">
        <x:v>54</x:v>
      </x:c>
      <x:c r="H89" s="206" t="n">
        <x:v>-8129</x:v>
      </x:c>
      <x:c r="I89" s="136" t="str">
        <x:v>reported</x:v>
      </x:c>
      <x:c r="J89" s="136" t="str">
        <x:v>data/raw/reports/originals/Microsoft_FY2019_10K.pdf</x:v>
      </x:c>
      <x:c r="K89" s="136" t="str">
        <x:f>IFERROR(HYPERLINK("../data/raw/reports/highlighted/Microsoft_FY2019_10K_highlighted.pdf","Marked PDF page 54"),"Marked PDF page 54")</x:f>
        <x:v>Marked PDF page 54</x:v>
      </x:c>
      <x:c r="L89" s="136" t="str">
        <x:v>none</x:v>
      </x:c>
      <x:c r="M89" s="136"/>
      <x:c r="N89" s="136"/>
      <x:c r="O89" s="136"/>
      <x:c r="P89" s="136"/>
      <x:c r="Q89" s="136"/>
      <x:c r="R89" s="136"/>
      <x:c r="S89" s="136"/>
      <x:c r="T89" s="136"/>
      <x:c r="U89" s="136"/>
      <x:c r="V89" s="136"/>
      <x:c r="W89" s="136"/>
      <x:c r="X89" s="136"/>
      <x:c r="Y89" s="136"/>
      <x:c r="Z89" s="136"/>
    </x:row>
    <x:row r="90" ht="24" customHeight="1">
      <x:c r="A90" s="136"/>
      <x:c r="B90" s="136"/>
      <x:c r="C90" s="136" t="str">
        <x:v>SRC-0180</x:v>
      </x:c>
      <x:c r="D90" s="136" t="str">
        <x:v>Historical Inputs!F17</x:v>
      </x:c>
      <x:c r="E90" s="136" t="n">
        <x:v>2018</x:v>
      </x:c>
      <x:c r="F90" s="136" t="n">
        <x:v>2020</x:v>
      </x:c>
      <x:c r="G90" s="136" t="n">
        <x:v>58</x:v>
      </x:c>
      <x:c r="H90" s="206" t="n">
        <x:v>-11632</x:v>
      </x:c>
      <x:c r="I90" s="136" t="str">
        <x:v>reported</x:v>
      </x:c>
      <x:c r="J90" s="136" t="str">
        <x:v>data/raw/reports/originals/Microsoft_FY2020_10K.pdf</x:v>
      </x:c>
      <x:c r="K90" s="136" t="str">
        <x:f>IFERROR(HYPERLINK("../data/raw/reports/highlighted/Microsoft_FY2020_10K_highlighted.pdf","Marked PDF page 58"),"Marked PDF page 58")</x:f>
        <x:v>Marked PDF page 58</x:v>
      </x:c>
      <x:c r="L90" s="136" t="str">
        <x:v>none</x:v>
      </x:c>
      <x:c r="M90" s="136"/>
      <x:c r="N90" s="136"/>
      <x:c r="O90" s="136"/>
      <x:c r="P90" s="136"/>
      <x:c r="Q90" s="136"/>
      <x:c r="R90" s="136"/>
      <x:c r="S90" s="136"/>
      <x:c r="T90" s="136"/>
      <x:c r="U90" s="136"/>
      <x:c r="V90" s="136"/>
      <x:c r="W90" s="136"/>
      <x:c r="X90" s="136"/>
      <x:c r="Y90" s="136"/>
      <x:c r="Z90" s="136"/>
    </x:row>
    <x:row r="91" ht="24" customHeight="1">
      <x:c r="A91" s="136"/>
      <x:c r="B91" s="136"/>
      <x:c r="C91" s="136" t="str">
        <x:v>SRC-0285</x:v>
      </x:c>
      <x:c r="D91" s="136" t="str">
        <x:v>Historical Inputs!G17</x:v>
      </x:c>
      <x:c r="E91" s="136" t="n">
        <x:v>2019</x:v>
      </x:c>
      <x:c r="F91" s="136" t="n">
        <x:v>2021</x:v>
      </x:c>
      <x:c r="G91" s="136" t="n">
        <x:v>60</x:v>
      </x:c>
      <x:c r="H91" s="206" t="n">
        <x:v>-13925</x:v>
      </x:c>
      <x:c r="I91" s="136" t="str">
        <x:v>reported</x:v>
      </x:c>
      <x:c r="J91" s="136" t="str">
        <x:v>data/raw/reports/originals/Microsoft_FY2021_10K.pdf</x:v>
      </x:c>
      <x:c r="K91" s="136" t="str">
        <x:f>IFERROR(HYPERLINK("../data/raw/reports/highlighted/Microsoft_FY2021_10K_highlighted.pdf","Marked PDF page 60"),"Marked PDF page 60")</x:f>
        <x:v>Marked PDF page 60</x:v>
      </x:c>
      <x:c r="L91" s="136" t="str">
        <x:v>none</x:v>
      </x:c>
      <x:c r="M91" s="136"/>
      <x:c r="N91" s="136"/>
      <x:c r="O91" s="136"/>
      <x:c r="P91" s="136"/>
      <x:c r="Q91" s="136"/>
      <x:c r="R91" s="136"/>
      <x:c r="S91" s="136"/>
      <x:c r="T91" s="136"/>
      <x:c r="U91" s="136"/>
      <x:c r="V91" s="136"/>
      <x:c r="W91" s="136"/>
      <x:c r="X91" s="136"/>
      <x:c r="Y91" s="136"/>
      <x:c r="Z91" s="136"/>
    </x:row>
    <x:row r="92" ht="24" customHeight="1">
      <x:c r="A92" s="136"/>
      <x:c r="B92" s="136"/>
      <x:c r="C92" s="136" t="str">
        <x:v>SRC-0391</x:v>
      </x:c>
      <x:c r="D92" s="136" t="str">
        <x:v>Historical Inputs!H17</x:v>
      </x:c>
      <x:c r="E92" s="136" t="n">
        <x:v>2020</x:v>
      </x:c>
      <x:c r="F92" s="136" t="n">
        <x:v>2022</x:v>
      </x:c>
      <x:c r="G92" s="136" t="n">
        <x:v>60</x:v>
      </x:c>
      <x:c r="H92" s="206" t="n">
        <x:v>-15441</x:v>
      </x:c>
      <x:c r="I92" s="136" t="str">
        <x:v>reported</x:v>
      </x:c>
      <x:c r="J92" s="136" t="str">
        <x:v>data/raw/reports/originals/Microsoft_FY2022_10K.pdf</x:v>
      </x:c>
      <x:c r="K92" s="136" t="str">
        <x:f>IFERROR(HYPERLINK("../data/raw/reports/highlighted/Microsoft_FY2022_10K_highlighted.pdf","Marked PDF page 60"),"Marked PDF page 60")</x:f>
        <x:v>Marked PDF page 60</x:v>
      </x:c>
      <x:c r="L92" s="136" t="str">
        <x:v>none</x:v>
      </x:c>
      <x:c r="M92" s="136"/>
      <x:c r="N92" s="136"/>
      <x:c r="O92" s="136"/>
      <x:c r="P92" s="136"/>
      <x:c r="Q92" s="136"/>
      <x:c r="R92" s="136"/>
      <x:c r="S92" s="136"/>
      <x:c r="T92" s="136"/>
      <x:c r="U92" s="136"/>
      <x:c r="V92" s="136"/>
      <x:c r="W92" s="136"/>
      <x:c r="X92" s="136"/>
      <x:c r="Y92" s="136"/>
      <x:c r="Z92" s="136"/>
    </x:row>
    <x:row r="93" ht="24" customHeight="1">
      <x:c r="A93" s="136"/>
      <x:c r="B93" s="136"/>
      <x:c r="C93" s="136" t="str">
        <x:v>SRC-0497</x:v>
      </x:c>
      <x:c r="D93" s="136" t="str">
        <x:v>Historical Inputs!I17</x:v>
      </x:c>
      <x:c r="E93" s="136" t="n">
        <x:v>2021</x:v>
      </x:c>
      <x:c r="F93" s="136" t="n">
        <x:v>2023</x:v>
      </x:c>
      <x:c r="G93" s="136" t="n">
        <x:v>61</x:v>
      </x:c>
      <x:c r="H93" s="206" t="n">
        <x:v>-20622</x:v>
      </x:c>
      <x:c r="I93" s="136" t="str">
        <x:v>reported</x:v>
      </x:c>
      <x:c r="J93" s="136" t="str">
        <x:v>data/raw/reports/originals/Microsoft_FY2023_10K.pdf</x:v>
      </x:c>
      <x:c r="K93" s="136" t="str">
        <x:f>IFERROR(HYPERLINK("../data/raw/reports/highlighted/Microsoft_FY2023_10K_highlighted.pdf","Marked PDF page 61"),"Marked PDF page 61")</x:f>
        <x:v>Marked PDF page 61</x:v>
      </x:c>
      <x:c r="L93" s="136" t="str">
        <x:v>none</x:v>
      </x:c>
      <x:c r="M93" s="136"/>
      <x:c r="N93" s="136"/>
      <x:c r="O93" s="136"/>
      <x:c r="P93" s="136"/>
      <x:c r="Q93" s="136"/>
      <x:c r="R93" s="136"/>
      <x:c r="S93" s="136"/>
      <x:c r="T93" s="136"/>
      <x:c r="U93" s="136"/>
      <x:c r="V93" s="136"/>
      <x:c r="W93" s="136"/>
      <x:c r="X93" s="136"/>
      <x:c r="Y93" s="136"/>
      <x:c r="Z93" s="136"/>
    </x:row>
    <x:row r="94" ht="24" customHeight="1">
      <x:c r="A94" s="136"/>
      <x:c r="B94" s="136"/>
      <x:c r="C94" s="136" t="str">
        <x:v>SRC-0602</x:v>
      </x:c>
      <x:c r="D94" s="136" t="str">
        <x:v>Historical Inputs!J17</x:v>
      </x:c>
      <x:c r="E94" s="136" t="n">
        <x:v>2022</x:v>
      </x:c>
      <x:c r="F94" s="136" t="n">
        <x:v>2024</x:v>
      </x:c>
      <x:c r="G94" s="136" t="n">
        <x:v>59</x:v>
      </x:c>
      <x:c r="H94" s="206" t="n">
        <x:v>-23886</x:v>
      </x:c>
      <x:c r="I94" s="136" t="str">
        <x:v>reported</x:v>
      </x:c>
      <x:c r="J94" s="136" t="str">
        <x:v>data/raw/reports/originals/Microsoft_FY2024_10K.pdf</x:v>
      </x:c>
      <x:c r="K94" s="136" t="str">
        <x:f>IFERROR(HYPERLINK("../data/raw/reports/highlighted/Microsoft_FY2024_10K_highlighted.pdf","Marked PDF page 59"),"Marked PDF page 59")</x:f>
        <x:v>Marked PDF page 59</x:v>
      </x:c>
      <x:c r="L94" s="136" t="str">
        <x:v>none</x:v>
      </x:c>
      <x:c r="M94" s="136"/>
      <x:c r="N94" s="136"/>
      <x:c r="O94" s="136"/>
      <x:c r="P94" s="136"/>
      <x:c r="Q94" s="136"/>
      <x:c r="R94" s="136"/>
      <x:c r="S94" s="136"/>
      <x:c r="T94" s="136"/>
      <x:c r="U94" s="136"/>
      <x:c r="V94" s="136"/>
      <x:c r="W94" s="136"/>
      <x:c r="X94" s="136"/>
      <x:c r="Y94" s="136"/>
      <x:c r="Z94" s="136"/>
    </x:row>
    <x:row r="95" ht="24" customHeight="1">
      <x:c r="A95" s="136"/>
      <x:c r="B95" s="136"/>
      <x:c r="C95" s="136" t="str">
        <x:v>SRC-0707</x:v>
      </x:c>
      <x:c r="D95" s="136" t="str">
        <x:v>Historical Inputs!K17</x:v>
      </x:c>
      <x:c r="E95" s="136" t="n">
        <x:v>2023</x:v>
      </x:c>
      <x:c r="F95" s="136" t="n">
        <x:v>2025</x:v>
      </x:c>
      <x:c r="G95" s="136" t="n">
        <x:v>53</x:v>
      </x:c>
      <x:c r="H95" s="206" t="n">
        <x:v>-28107</x:v>
      </x:c>
      <x:c r="I95" s="136" t="str">
        <x:v>reported</x:v>
      </x:c>
      <x:c r="J95" s="136" t="str">
        <x:v>data/raw/reports/originals/Microsoft_FY2025_10K.pdf</x:v>
      </x:c>
      <x:c r="K95" s="136" t="str">
        <x:f>IFERROR(HYPERLINK("../data/raw/reports/highlighted/Microsoft_FY2025_10K_highlighted.pdf","Marked PDF page 53"),"Marked PDF page 53")</x:f>
        <x:v>Marked PDF page 53</x:v>
      </x:c>
      <x:c r="L95" s="136" t="str">
        <x:v>none</x:v>
      </x:c>
      <x:c r="M95" s="136"/>
      <x:c r="N95" s="136"/>
      <x:c r="O95" s="136"/>
      <x:c r="P95" s="136"/>
      <x:c r="Q95" s="136"/>
      <x:c r="R95" s="136"/>
      <x:c r="S95" s="136"/>
      <x:c r="T95" s="136"/>
      <x:c r="U95" s="136"/>
      <x:c r="V95" s="136"/>
      <x:c r="W95" s="136"/>
      <x:c r="X95" s="136"/>
      <x:c r="Y95" s="136"/>
      <x:c r="Z95" s="136"/>
    </x:row>
    <x:row r="96" ht="24" customHeight="1">
      <x:c r="A96" s="136"/>
      <x:c r="B96" s="136"/>
      <x:c r="C96" s="136" t="str">
        <x:v>SRC-0816</x:v>
      </x:c>
      <x:c r="D96" s="136" t="str">
        <x:v>Historical Inputs!L17</x:v>
      </x:c>
      <x:c r="E96" s="136" t="n">
        <x:v>2024</x:v>
      </x:c>
      <x:c r="F96" s="136" t="n">
        <x:v>2026</x:v>
      </x:c>
      <x:c r="G96" s="136" t="n">
        <x:v>53</x:v>
      </x:c>
      <x:c r="H96" s="206" t="n">
        <x:v>-44477</x:v>
      </x:c>
      <x:c r="I96" s="136" t="str">
        <x:v>reported</x:v>
      </x:c>
      <x:c r="J96" s="136" t="str">
        <x:v>data/raw/reports/originals/Microsoft_FY2026_10K.pdf</x:v>
      </x:c>
      <x:c r="K96" s="136" t="str">
        <x:f>IFERROR(HYPERLINK("../data/raw/reports/highlighted/Microsoft_FY2026_10K_highlighted.pdf","Marked PDF page 53"),"Marked PDF page 53")</x:f>
        <x:v>Marked PDF page 53</x:v>
      </x:c>
      <x:c r="L96" s="136" t="str">
        <x:v>none</x:v>
      </x:c>
      <x:c r="M96" s="136"/>
      <x:c r="N96" s="136"/>
      <x:c r="O96" s="136"/>
      <x:c r="P96" s="136"/>
      <x:c r="Q96" s="136"/>
      <x:c r="R96" s="136"/>
      <x:c r="S96" s="136"/>
      <x:c r="T96" s="136"/>
      <x:c r="U96" s="136"/>
      <x:c r="V96" s="136"/>
      <x:c r="W96" s="136"/>
      <x:c r="X96" s="136"/>
      <x:c r="Y96" s="136"/>
      <x:c r="Z96" s="136"/>
    </x:row>
    <x:row r="97" ht="24" customHeight="1">
      <x:c r="A97" s="136"/>
      <x:c r="B97" s="136"/>
      <x:c r="C97" s="136" t="str">
        <x:v>SRC-0925</x:v>
      </x:c>
      <x:c r="D97" s="136" t="str">
        <x:v>Historical Inputs!M17</x:v>
      </x:c>
      <x:c r="E97" s="136" t="n">
        <x:v>2025</x:v>
      </x:c>
      <x:c r="F97" s="136" t="n">
        <x:v>2026</x:v>
      </x:c>
      <x:c r="G97" s="136" t="n">
        <x:v>53</x:v>
      </x:c>
      <x:c r="H97" s="206" t="n">
        <x:v>-64551</x:v>
      </x:c>
      <x:c r="I97" s="136" t="str">
        <x:v>reported</x:v>
      </x:c>
      <x:c r="J97" s="136" t="str">
        <x:v>data/raw/reports/originals/Microsoft_FY2026_10K.pdf</x:v>
      </x:c>
      <x:c r="K97" s="136" t="str">
        <x:f>IFERROR(HYPERLINK("../data/raw/reports/highlighted/Microsoft_FY2026_10K_highlighted.pdf","Marked PDF page 53"),"Marked PDF page 53")</x:f>
        <x:v>Marked PDF page 53</x:v>
      </x:c>
      <x:c r="L97" s="136" t="str">
        <x:v>none</x:v>
      </x:c>
      <x:c r="M97" s="136"/>
      <x:c r="N97" s="136"/>
      <x:c r="O97" s="136"/>
      <x:c r="P97" s="136"/>
      <x:c r="Q97" s="136"/>
      <x:c r="R97" s="136"/>
      <x:c r="S97" s="136"/>
      <x:c r="T97" s="136"/>
      <x:c r="U97" s="136"/>
      <x:c r="V97" s="136"/>
      <x:c r="W97" s="136"/>
      <x:c r="X97" s="136"/>
      <x:c r="Y97" s="136"/>
      <x:c r="Z97" s="136"/>
    </x:row>
    <x:row r="98" ht="24" customHeight="1">
      <x:c r="A98" s="136"/>
      <x:c r="B98" s="136"/>
      <x:c r="C98" s="136" t="str">
        <x:v>SRC-1034</x:v>
      </x:c>
      <x:c r="D98" s="136" t="str">
        <x:v>Historical Inputs!N17</x:v>
      </x:c>
      <x:c r="E98" s="136" t="n">
        <x:v>2026</x:v>
      </x:c>
      <x:c r="F98" s="136" t="n">
        <x:v>2026</x:v>
      </x:c>
      <x:c r="G98" s="136" t="n">
        <x:v>53</x:v>
      </x:c>
      <x:c r="H98" s="206" t="n">
        <x:v>-115948</x:v>
      </x:c>
      <x:c r="I98" s="136" t="str">
        <x:v>reported</x:v>
      </x:c>
      <x:c r="J98" s="136" t="str">
        <x:v>data/raw/reports/originals/Microsoft_FY2026_10K.pdf</x:v>
      </x:c>
      <x:c r="K98" s="136" t="str">
        <x:f>IFERROR(HYPERLINK("../data/raw/reports/highlighted/Microsoft_FY2026_10K_highlighted.pdf","Marked PDF page 53"),"Marked PDF page 53")</x:f>
        <x:v>Marked PDF page 53</x:v>
      </x:c>
      <x:c r="L98" s="136" t="str">
        <x:v>none</x:v>
      </x:c>
      <x:c r="M98" s="136"/>
      <x:c r="N98" s="136"/>
      <x:c r="O98" s="136"/>
      <x:c r="P98" s="136"/>
      <x:c r="Q98" s="136"/>
      <x:c r="R98" s="136"/>
      <x:c r="S98" s="136"/>
      <x:c r="T98" s="136"/>
      <x:c r="U98" s="136"/>
      <x:c r="V98" s="136"/>
      <x:c r="W98" s="136"/>
      <x:c r="X98" s="136"/>
      <x:c r="Y98" s="136"/>
      <x:c r="Z98" s="136"/>
    </x:row>
    <x:row r="99" ht="24" customHeight="1">
      <x:c r="A99" s="136"/>
      <x:c r="B99" s="136"/>
      <x:c r="C99" s="136" t="str">
        <x:v>SRC-0054</x:v>
      </x:c>
      <x:c r="D99" s="136" t="str">
        <x:v>Historical Inputs!E18</x:v>
      </x:c>
      <x:c r="E99" s="136" t="n">
        <x:v>2017</x:v>
      </x:c>
      <x:c r="F99" s="136" t="n">
        <x:v>2019</x:v>
      </x:c>
      <x:c r="G99" s="136" t="n">
        <x:v>54</x:v>
      </x:c>
      <x:c r="H99" s="206" t="n">
        <x:v>3266</x:v>
      </x:c>
      <x:c r="I99" s="136" t="str">
        <x:v>reported</x:v>
      </x:c>
      <x:c r="J99" s="136" t="str">
        <x:v>data/raw/reports/originals/Microsoft_FY2019_10K.pdf</x:v>
      </x:c>
      <x:c r="K99" s="136" t="str">
        <x:f>IFERROR(HYPERLINK("../data/raw/reports/highlighted/Microsoft_FY2019_10K_highlighted.pdf","Marked PDF page 54"),"Marked PDF page 54")</x:f>
        <x:v>Marked PDF page 54</x:v>
      </x:c>
      <x:c r="L99" s="136" t="str">
        <x:v>none</x:v>
      </x:c>
      <x:c r="M99" s="136"/>
      <x:c r="N99" s="136"/>
      <x:c r="O99" s="136"/>
      <x:c r="P99" s="136"/>
      <x:c r="Q99" s="136"/>
      <x:c r="R99" s="136"/>
      <x:c r="S99" s="136"/>
      <x:c r="T99" s="136"/>
      <x:c r="U99" s="136"/>
      <x:c r="V99" s="136"/>
      <x:c r="W99" s="136"/>
      <x:c r="X99" s="136"/>
      <x:c r="Y99" s="136"/>
      <x:c r="Z99" s="136"/>
    </x:row>
    <x:row r="100" ht="24" customHeight="1">
      <x:c r="A100" s="136"/>
      <x:c r="B100" s="136"/>
      <x:c r="C100" s="136" t="str">
        <x:v>SRC-0159</x:v>
      </x:c>
      <x:c r="D100" s="136" t="str">
        <x:v>Historical Inputs!F18</x:v>
      </x:c>
      <x:c r="E100" s="136" t="n">
        <x:v>2018</x:v>
      </x:c>
      <x:c r="F100" s="136" t="n">
        <x:v>2020</x:v>
      </x:c>
      <x:c r="G100" s="136" t="n">
        <x:v>58</x:v>
      </x:c>
      <x:c r="H100" s="206" t="n">
        <x:v>3940</x:v>
      </x:c>
      <x:c r="I100" s="136" t="str">
        <x:v>reported</x:v>
      </x:c>
      <x:c r="J100" s="136" t="str">
        <x:v>data/raw/reports/originals/Microsoft_FY2020_10K.pdf</x:v>
      </x:c>
      <x:c r="K100" s="136" t="str">
        <x:f>IFERROR(HYPERLINK("../data/raw/reports/highlighted/Microsoft_FY2020_10K_highlighted.pdf","Marked PDF page 58"),"Marked PDF page 58")</x:f>
        <x:v>Marked PDF page 58</x:v>
      </x:c>
      <x:c r="L100" s="136" t="str">
        <x:v>none</x:v>
      </x:c>
      <x:c r="M100" s="136"/>
      <x:c r="N100" s="136"/>
      <x:c r="O100" s="136"/>
      <x:c r="P100" s="136"/>
      <x:c r="Q100" s="136"/>
      <x:c r="R100" s="136"/>
      <x:c r="S100" s="136"/>
      <x:c r="T100" s="136"/>
      <x:c r="U100" s="136"/>
      <x:c r="V100" s="136"/>
      <x:c r="W100" s="136"/>
      <x:c r="X100" s="136"/>
      <x:c r="Y100" s="136"/>
      <x:c r="Z100" s="136"/>
    </x:row>
    <x:row r="101" ht="24" customHeight="1">
      <x:c r="A101" s="136"/>
      <x:c r="B101" s="136"/>
      <x:c r="C101" s="136" t="str">
        <x:v>SRC-0264</x:v>
      </x:c>
      <x:c r="D101" s="136" t="str">
        <x:v>Historical Inputs!G18</x:v>
      </x:c>
      <x:c r="E101" s="136" t="n">
        <x:v>2019</x:v>
      </x:c>
      <x:c r="F101" s="136" t="n">
        <x:v>2021</x:v>
      </x:c>
      <x:c r="G101" s="136" t="n">
        <x:v>60</x:v>
      </x:c>
      <x:c r="H101" s="206" t="n">
        <x:v>4652</x:v>
      </x:c>
      <x:c r="I101" s="136" t="str">
        <x:v>reported</x:v>
      </x:c>
      <x:c r="J101" s="136" t="str">
        <x:v>data/raw/reports/originals/Microsoft_FY2021_10K.pdf</x:v>
      </x:c>
      <x:c r="K101" s="136" t="str">
        <x:f>IFERROR(HYPERLINK("../data/raw/reports/highlighted/Microsoft_FY2021_10K_highlighted.pdf","Marked PDF page 60"),"Marked PDF page 60")</x:f>
        <x:v>Marked PDF page 60</x:v>
      </x:c>
      <x:c r="L101" s="136" t="str">
        <x:v>none</x:v>
      </x:c>
      <x:c r="M101" s="136"/>
      <x:c r="N101" s="136"/>
      <x:c r="O101" s="136"/>
      <x:c r="P101" s="136"/>
      <x:c r="Q101" s="136"/>
      <x:c r="R101" s="136"/>
      <x:c r="S101" s="136"/>
      <x:c r="T101" s="136"/>
      <x:c r="U101" s="136"/>
      <x:c r="V101" s="136"/>
      <x:c r="W101" s="136"/>
      <x:c r="X101" s="136"/>
      <x:c r="Y101" s="136"/>
      <x:c r="Z101" s="136"/>
    </x:row>
    <x:row r="102" ht="24" customHeight="1">
      <x:c r="A102" s="136"/>
      <x:c r="B102" s="136"/>
      <x:c r="C102" s="136" t="str">
        <x:v>SRC-0369</x:v>
      </x:c>
      <x:c r="D102" s="136" t="str">
        <x:v>Historical Inputs!H18</x:v>
      </x:c>
      <x:c r="E102" s="136" t="n">
        <x:v>2020</x:v>
      </x:c>
      <x:c r="F102" s="136" t="n">
        <x:v>2022</x:v>
      </x:c>
      <x:c r="G102" s="136" t="n">
        <x:v>60</x:v>
      </x:c>
      <x:c r="H102" s="206" t="n">
        <x:v>5289</x:v>
      </x:c>
      <x:c r="I102" s="136" t="str">
        <x:v>reported</x:v>
      </x:c>
      <x:c r="J102" s="136" t="str">
        <x:v>data/raw/reports/originals/Microsoft_FY2022_10K.pdf</x:v>
      </x:c>
      <x:c r="K102" s="136" t="str">
        <x:f>IFERROR(HYPERLINK("../data/raw/reports/highlighted/Microsoft_FY2022_10K_highlighted.pdf","Marked PDF page 60"),"Marked PDF page 60")</x:f>
        <x:v>Marked PDF page 60</x:v>
      </x:c>
      <x:c r="L102" s="136" t="str">
        <x:v>none</x:v>
      </x:c>
      <x:c r="M102" s="136"/>
      <x:c r="N102" s="136"/>
      <x:c r="O102" s="136"/>
      <x:c r="P102" s="136"/>
      <x:c r="Q102" s="136"/>
      <x:c r="R102" s="136"/>
      <x:c r="S102" s="136"/>
      <x:c r="T102" s="136"/>
      <x:c r="U102" s="136"/>
      <x:c r="V102" s="136"/>
      <x:c r="W102" s="136"/>
      <x:c r="X102" s="136"/>
      <x:c r="Y102" s="136"/>
      <x:c r="Z102" s="136"/>
    </x:row>
    <x:row r="103" ht="24" customHeight="1">
      <x:c r="A103" s="136"/>
      <x:c r="B103" s="136"/>
      <x:c r="C103" s="136" t="str">
        <x:v>SRC-0475</x:v>
      </x:c>
      <x:c r="D103" s="136" t="str">
        <x:v>Historical Inputs!I18</x:v>
      </x:c>
      <x:c r="E103" s="136" t="n">
        <x:v>2021</x:v>
      </x:c>
      <x:c r="F103" s="136" t="n">
        <x:v>2023</x:v>
      </x:c>
      <x:c r="G103" s="136" t="n">
        <x:v>61</x:v>
      </x:c>
      <x:c r="H103" s="206" t="n">
        <x:v>6118</x:v>
      </x:c>
      <x:c r="I103" s="136" t="str">
        <x:v>reported</x:v>
      </x:c>
      <x:c r="J103" s="136" t="str">
        <x:v>data/raw/reports/originals/Microsoft_FY2023_10K.pdf</x:v>
      </x:c>
      <x:c r="K103" s="136" t="str">
        <x:f>IFERROR(HYPERLINK("../data/raw/reports/highlighted/Microsoft_FY2023_10K_highlighted.pdf","Marked PDF page 61"),"Marked PDF page 61")</x:f>
        <x:v>Marked PDF page 61</x:v>
      </x:c>
      <x:c r="L103" s="136" t="str">
        <x:v>none</x:v>
      </x:c>
      <x:c r="M103" s="136"/>
      <x:c r="N103" s="136"/>
      <x:c r="O103" s="136"/>
      <x:c r="P103" s="136"/>
      <x:c r="Q103" s="136"/>
      <x:c r="R103" s="136"/>
      <x:c r="S103" s="136"/>
      <x:c r="T103" s="136"/>
      <x:c r="U103" s="136"/>
      <x:c r="V103" s="136"/>
      <x:c r="W103" s="136"/>
      <x:c r="X103" s="136"/>
      <x:c r="Y103" s="136"/>
      <x:c r="Z103" s="136"/>
    </x:row>
    <x:row r="104" ht="24" customHeight="1">
      <x:c r="A104" s="136"/>
      <x:c r="B104" s="136"/>
      <x:c r="C104" s="136" t="str">
        <x:v>SRC-0581</x:v>
      </x:c>
      <x:c r="D104" s="136" t="str">
        <x:v>Historical Inputs!J18</x:v>
      </x:c>
      <x:c r="E104" s="136" t="n">
        <x:v>2022</x:v>
      </x:c>
      <x:c r="F104" s="136" t="n">
        <x:v>2024</x:v>
      </x:c>
      <x:c r="G104" s="136" t="n">
        <x:v>59</x:v>
      </x:c>
      <x:c r="H104" s="206" t="n">
        <x:v>7502</x:v>
      </x:c>
      <x:c r="I104" s="136" t="str">
        <x:v>reported</x:v>
      </x:c>
      <x:c r="J104" s="136" t="str">
        <x:v>data/raw/reports/originals/Microsoft_FY2024_10K.pdf</x:v>
      </x:c>
      <x:c r="K104" s="136" t="str">
        <x:f>IFERROR(HYPERLINK("../data/raw/reports/highlighted/Microsoft_FY2024_10K_highlighted.pdf","Marked PDF page 59"),"Marked PDF page 59")</x:f>
        <x:v>Marked PDF page 59</x:v>
      </x:c>
      <x:c r="L104" s="136" t="str">
        <x:v>none</x:v>
      </x:c>
      <x:c r="M104" s="136"/>
      <x:c r="N104" s="136"/>
      <x:c r="O104" s="136"/>
      <x:c r="P104" s="136"/>
      <x:c r="Q104" s="136"/>
      <x:c r="R104" s="136"/>
      <x:c r="S104" s="136"/>
      <x:c r="T104" s="136"/>
      <x:c r="U104" s="136"/>
      <x:c r="V104" s="136"/>
      <x:c r="W104" s="136"/>
      <x:c r="X104" s="136"/>
      <x:c r="Y104" s="136"/>
      <x:c r="Z104" s="136"/>
    </x:row>
    <x:row r="105" ht="24" customHeight="1">
      <x:c r="A105" s="136"/>
      <x:c r="B105" s="136"/>
      <x:c r="C105" s="136" t="str">
        <x:v>SRC-0686</x:v>
      </x:c>
      <x:c r="D105" s="136" t="str">
        <x:v>Historical Inputs!K18</x:v>
      </x:c>
      <x:c r="E105" s="136" t="n">
        <x:v>2023</x:v>
      </x:c>
      <x:c r="F105" s="136" t="n">
        <x:v>2025</x:v>
      </x:c>
      <x:c r="G105" s="136" t="n">
        <x:v>53</x:v>
      </x:c>
      <x:c r="H105" s="206" t="n">
        <x:v>9611</x:v>
      </x:c>
      <x:c r="I105" s="136" t="str">
        <x:v>reported</x:v>
      </x:c>
      <x:c r="J105" s="136" t="str">
        <x:v>data/raw/reports/originals/Microsoft_FY2025_10K.pdf</x:v>
      </x:c>
      <x:c r="K105" s="136" t="str">
        <x:f>IFERROR(HYPERLINK("../data/raw/reports/highlighted/Microsoft_FY2025_10K_highlighted.pdf","Marked PDF page 53"),"Marked PDF page 53")</x:f>
        <x:v>Marked PDF page 53</x:v>
      </x:c>
      <x:c r="L105" s="136" t="str">
        <x:v>none</x:v>
      </x:c>
      <x:c r="M105" s="136"/>
      <x:c r="N105" s="136"/>
      <x:c r="O105" s="136"/>
      <x:c r="P105" s="136"/>
      <x:c r="Q105" s="136"/>
      <x:c r="R105" s="136"/>
      <x:c r="S105" s="136"/>
      <x:c r="T105" s="136"/>
      <x:c r="U105" s="136"/>
      <x:c r="V105" s="136"/>
      <x:c r="W105" s="136"/>
      <x:c r="X105" s="136"/>
      <x:c r="Y105" s="136"/>
      <x:c r="Z105" s="136"/>
    </x:row>
    <x:row r="106" ht="24" customHeight="1">
      <x:c r="A106" s="136"/>
      <x:c r="B106" s="136"/>
      <x:c r="C106" s="136" t="str">
        <x:v>SRC-0795</x:v>
      </x:c>
      <x:c r="D106" s="136" t="str">
        <x:v>Historical Inputs!L18</x:v>
      </x:c>
      <x:c r="E106" s="136" t="n">
        <x:v>2024</x:v>
      </x:c>
      <x:c r="F106" s="136" t="n">
        <x:v>2026</x:v>
      </x:c>
      <x:c r="G106" s="136" t="n">
        <x:v>53</x:v>
      </x:c>
      <x:c r="H106" s="206" t="n">
        <x:v>10734</x:v>
      </x:c>
      <x:c r="I106" s="136" t="str">
        <x:v>reported</x:v>
      </x:c>
      <x:c r="J106" s="136" t="str">
        <x:v>data/raw/reports/originals/Microsoft_FY2026_10K.pdf</x:v>
      </x:c>
      <x:c r="K106" s="136" t="str">
        <x:f>IFERROR(HYPERLINK("../data/raw/reports/highlighted/Microsoft_FY2026_10K_highlighted.pdf","Marked PDF page 53"),"Marked PDF page 53")</x:f>
        <x:v>Marked PDF page 53</x:v>
      </x:c>
      <x:c r="L106" s="136" t="str">
        <x:v>none</x:v>
      </x:c>
      <x:c r="M106" s="136"/>
      <x:c r="N106" s="136"/>
      <x:c r="O106" s="136"/>
      <x:c r="P106" s="136"/>
      <x:c r="Q106" s="136"/>
      <x:c r="R106" s="136"/>
      <x:c r="S106" s="136"/>
      <x:c r="T106" s="136"/>
      <x:c r="U106" s="136"/>
      <x:c r="V106" s="136"/>
      <x:c r="W106" s="136"/>
      <x:c r="X106" s="136"/>
      <x:c r="Y106" s="136"/>
      <x:c r="Z106" s="136"/>
    </x:row>
    <x:row r="107" ht="24" customHeight="1">
      <x:c r="A107" s="136"/>
      <x:c r="B107" s="136"/>
      <x:c r="C107" s="136" t="str">
        <x:v>SRC-0904</x:v>
      </x:c>
      <x:c r="D107" s="136" t="str">
        <x:v>Historical Inputs!M18</x:v>
      </x:c>
      <x:c r="E107" s="136" t="n">
        <x:v>2025</x:v>
      </x:c>
      <x:c r="F107" s="136" t="n">
        <x:v>2026</x:v>
      </x:c>
      <x:c r="G107" s="136" t="n">
        <x:v>53</x:v>
      </x:c>
      <x:c r="H107" s="206" t="n">
        <x:v>11974</x:v>
      </x:c>
      <x:c r="I107" s="136" t="str">
        <x:v>reported</x:v>
      </x:c>
      <x:c r="J107" s="136" t="str">
        <x:v>data/raw/reports/originals/Microsoft_FY2026_10K.pdf</x:v>
      </x:c>
      <x:c r="K107" s="136" t="str">
        <x:f>IFERROR(HYPERLINK("../data/raw/reports/highlighted/Microsoft_FY2026_10K_highlighted.pdf","Marked PDF page 53"),"Marked PDF page 53")</x:f>
        <x:v>Marked PDF page 53</x:v>
      </x:c>
      <x:c r="L107" s="136" t="str">
        <x:v>none</x:v>
      </x:c>
      <x:c r="M107" s="136"/>
      <x:c r="N107" s="136"/>
      <x:c r="O107" s="136"/>
      <x:c r="P107" s="136"/>
      <x:c r="Q107" s="136"/>
      <x:c r="R107" s="136"/>
      <x:c r="S107" s="136"/>
      <x:c r="T107" s="136"/>
      <x:c r="U107" s="136"/>
      <x:c r="V107" s="136"/>
      <x:c r="W107" s="136"/>
      <x:c r="X107" s="136"/>
      <x:c r="Y107" s="136"/>
      <x:c r="Z107" s="136"/>
    </x:row>
    <x:row r="108" ht="24" customHeight="1">
      <x:c r="A108" s="136"/>
      <x:c r="B108" s="136"/>
      <x:c r="C108" s="136" t="str">
        <x:v>SRC-1013</x:v>
      </x:c>
      <x:c r="D108" s="136" t="str">
        <x:v>Historical Inputs!N18</x:v>
      </x:c>
      <x:c r="E108" s="136" t="n">
        <x:v>2026</x:v>
      </x:c>
      <x:c r="F108" s="136" t="n">
        <x:v>2026</x:v>
      </x:c>
      <x:c r="G108" s="136" t="n">
        <x:v>53</x:v>
      </x:c>
      <x:c r="H108" s="206" t="n">
        <x:v>12405</x:v>
      </x:c>
      <x:c r="I108" s="136" t="str">
        <x:v>reported</x:v>
      </x:c>
      <x:c r="J108" s="136" t="str">
        <x:v>data/raw/reports/originals/Microsoft_FY2026_10K.pdf</x:v>
      </x:c>
      <x:c r="K108" s="136" t="str">
        <x:f>IFERROR(HYPERLINK("../data/raw/reports/highlighted/Microsoft_FY2026_10K_highlighted.pdf","Marked PDF page 53"),"Marked PDF page 53")</x:f>
        <x:v>Marked PDF page 53</x:v>
      </x:c>
      <x:c r="L108" s="136" t="str">
        <x:v>none</x:v>
      </x:c>
      <x:c r="M108" s="136"/>
      <x:c r="N108" s="136"/>
      <x:c r="O108" s="136"/>
      <x:c r="P108" s="136"/>
      <x:c r="Q108" s="136"/>
      <x:c r="R108" s="136"/>
      <x:c r="S108" s="136"/>
      <x:c r="T108" s="136"/>
      <x:c r="U108" s="136"/>
      <x:c r="V108" s="136"/>
      <x:c r="W108" s="136"/>
      <x:c r="X108" s="136"/>
      <x:c r="Y108" s="136"/>
      <x:c r="Z108" s="136"/>
    </x:row>
    <x:row r="109" ht="24" customHeight="1">
      <x:c r="A109" s="136"/>
      <x:c r="B109" s="136"/>
      <x:c r="C109" s="136" t="str">
        <x:v>SRC-0017</x:v>
      </x:c>
      <x:c r="D109" s="136" t="str">
        <x:v>Historical Inputs!E19</x:v>
      </x:c>
      <x:c r="E109" s="136" t="n">
        <x:v>2017</x:v>
      </x:c>
      <x:c r="F109" s="136" t="n">
        <x:v>2018</x:v>
      </x:c>
      <x:c r="G109" s="136" t="n">
        <x:v>53</x:v>
      </x:c>
      <x:c r="H109" s="206" t="n">
        <x:v>7663</x:v>
      </x:c>
      <x:c r="I109" s="136" t="str">
        <x:v>reported</x:v>
      </x:c>
      <x:c r="J109" s="136" t="str">
        <x:v>data/raw/reports/originals/Microsoft_FY2018_10K.pdf</x:v>
      </x:c>
      <x:c r="K109" s="136" t="str">
        <x:f>IFERROR(HYPERLINK("../data/raw/reports/highlighted/Microsoft_FY2018_10K_highlighted.pdf","Marked PDF page 53"),"Marked PDF page 53")</x:f>
        <x:v>Marked PDF page 53</x:v>
      </x:c>
      <x:c r="L109" s="136" t="str">
        <x:v>none</x:v>
      </x:c>
      <x:c r="M109" s="136"/>
      <x:c r="N109" s="136"/>
      <x:c r="O109" s="136"/>
      <x:c r="P109" s="136"/>
      <x:c r="Q109" s="136"/>
      <x:c r="R109" s="136"/>
      <x:c r="S109" s="136"/>
      <x:c r="T109" s="136"/>
      <x:c r="U109" s="136"/>
      <x:c r="V109" s="136"/>
      <x:c r="W109" s="136"/>
      <x:c r="X109" s="136"/>
      <x:c r="Y109" s="136"/>
      <x:c r="Z109" s="136"/>
    </x:row>
    <x:row r="110" ht="24" customHeight="1">
      <x:c r="A110" s="136"/>
      <x:c r="B110" s="136"/>
      <x:c r="C110" s="136" t="str">
        <x:v>SRC-0122</x:v>
      </x:c>
      <x:c r="D110" s="136" t="str">
        <x:v>Historical Inputs!F19</x:v>
      </x:c>
      <x:c r="E110" s="136" t="n">
        <x:v>2018</x:v>
      </x:c>
      <x:c r="F110" s="136" t="n">
        <x:v>2019</x:v>
      </x:c>
      <x:c r="G110" s="136" t="n">
        <x:v>53</x:v>
      </x:c>
      <x:c r="H110" s="206" t="n">
        <x:v>11946</x:v>
      </x:c>
      <x:c r="I110" s="136" t="str">
        <x:v>reported</x:v>
      </x:c>
      <x:c r="J110" s="136" t="str">
        <x:v>data/raw/reports/originals/Microsoft_FY2019_10K.pdf</x:v>
      </x:c>
      <x:c r="K110" s="136" t="str">
        <x:f>IFERROR(HYPERLINK("../data/raw/reports/highlighted/Microsoft_FY2019_10K_highlighted.pdf","Marked PDF page 53"),"Marked PDF page 53")</x:f>
        <x:v>Marked PDF page 53</x:v>
      </x:c>
      <x:c r="L110" s="136" t="str">
        <x:v>none</x:v>
      </x:c>
      <x:c r="M110" s="136"/>
      <x:c r="N110" s="136"/>
      <x:c r="O110" s="136"/>
      <x:c r="P110" s="136"/>
      <x:c r="Q110" s="136"/>
      <x:c r="R110" s="136"/>
      <x:c r="S110" s="136"/>
      <x:c r="T110" s="136"/>
      <x:c r="U110" s="136"/>
      <x:c r="V110" s="136"/>
      <x:c r="W110" s="136"/>
      <x:c r="X110" s="136"/>
      <x:c r="Y110" s="136"/>
      <x:c r="Z110" s="136"/>
    </x:row>
    <x:row r="111" ht="24" customHeight="1">
      <x:c r="A111" s="136"/>
      <x:c r="B111" s="136"/>
      <x:c r="C111" s="136" t="str">
        <x:v>SRC-0227</x:v>
      </x:c>
      <x:c r="D111" s="136" t="str">
        <x:v>Historical Inputs!G19</x:v>
      </x:c>
      <x:c r="E111" s="136" t="n">
        <x:v>2019</x:v>
      </x:c>
      <x:c r="F111" s="136" t="n">
        <x:v>2020</x:v>
      </x:c>
      <x:c r="G111" s="136" t="n">
        <x:v>57</x:v>
      </x:c>
      <x:c r="H111" s="206" t="n">
        <x:v>11356</x:v>
      </x:c>
      <x:c r="I111" s="136" t="str">
        <x:v>reported</x:v>
      </x:c>
      <x:c r="J111" s="136" t="str">
        <x:v>data/raw/reports/originals/Microsoft_FY2020_10K.pdf</x:v>
      </x:c>
      <x:c r="K111" s="136" t="str">
        <x:f>IFERROR(HYPERLINK("../data/raw/reports/highlighted/Microsoft_FY2020_10K_highlighted.pdf","Marked PDF page 57"),"Marked PDF page 57")</x:f>
        <x:v>Marked PDF page 57</x:v>
      </x:c>
      <x:c r="L111" s="136" t="str">
        <x:v>none</x:v>
      </x:c>
      <x:c r="M111" s="136"/>
      <x:c r="N111" s="136"/>
      <x:c r="O111" s="136"/>
      <x:c r="P111" s="136"/>
      <x:c r="Q111" s="136"/>
      <x:c r="R111" s="136"/>
      <x:c r="S111" s="136"/>
      <x:c r="T111" s="136"/>
      <x:c r="U111" s="136"/>
      <x:c r="V111" s="136"/>
      <x:c r="W111" s="136"/>
      <x:c r="X111" s="136"/>
      <x:c r="Y111" s="136"/>
      <x:c r="Z111" s="136"/>
    </x:row>
    <x:row r="112" ht="24" customHeight="1">
      <x:c r="A112" s="136"/>
      <x:c r="B112" s="136"/>
      <x:c r="C112" s="136" t="str">
        <x:v>SRC-0332</x:v>
      </x:c>
      <x:c r="D112" s="136" t="str">
        <x:v>Historical Inputs!H19</x:v>
      </x:c>
      <x:c r="E112" s="136" t="n">
        <x:v>2020</x:v>
      </x:c>
      <x:c r="F112" s="136" t="n">
        <x:v>2021</x:v>
      </x:c>
      <x:c r="G112" s="136" t="n">
        <x:v>59</x:v>
      </x:c>
      <x:c r="H112" s="206" t="n">
        <x:v>13576</x:v>
      </x:c>
      <x:c r="I112" s="136" t="str">
        <x:v>reported</x:v>
      </x:c>
      <x:c r="J112" s="136" t="str">
        <x:v>data/raw/reports/originals/Microsoft_FY2021_10K.pdf</x:v>
      </x:c>
      <x:c r="K112" s="136" t="str">
        <x:f>IFERROR(HYPERLINK("../data/raw/reports/highlighted/Microsoft_FY2021_10K_highlighted.pdf","Marked PDF page 59"),"Marked PDF page 59")</x:f>
        <x:v>Marked PDF page 59</x:v>
      </x:c>
      <x:c r="L112" s="136" t="str">
        <x:v>none</x:v>
      </x:c>
      <x:c r="M112" s="136"/>
      <x:c r="N112" s="136"/>
      <x:c r="O112" s="136"/>
      <x:c r="P112" s="136"/>
      <x:c r="Q112" s="136"/>
      <x:c r="R112" s="136"/>
      <x:c r="S112" s="136"/>
      <x:c r="T112" s="136"/>
      <x:c r="U112" s="136"/>
      <x:c r="V112" s="136"/>
      <x:c r="W112" s="136"/>
      <x:c r="X112" s="136"/>
      <x:c r="Y112" s="136"/>
      <x:c r="Z112" s="136"/>
    </x:row>
    <x:row r="113" ht="24" customHeight="1">
      <x:c r="A113" s="136"/>
      <x:c r="B113" s="136"/>
      <x:c r="C113" s="136" t="str">
        <x:v>SRC-0438</x:v>
      </x:c>
      <x:c r="D113" s="136" t="str">
        <x:v>Historical Inputs!I19</x:v>
      </x:c>
      <x:c r="E113" s="136" t="n">
        <x:v>2021</x:v>
      </x:c>
      <x:c r="F113" s="136" t="n">
        <x:v>2022</x:v>
      </x:c>
      <x:c r="G113" s="136" t="n">
        <x:v>59</x:v>
      </x:c>
      <x:c r="H113" s="206" t="n">
        <x:v>14224</x:v>
      </x:c>
      <x:c r="I113" s="136" t="str">
        <x:v>reported</x:v>
      </x:c>
      <x:c r="J113" s="136" t="str">
        <x:v>data/raw/reports/originals/Microsoft_FY2022_10K.pdf</x:v>
      </x:c>
      <x:c r="K113" s="136" t="str">
        <x:f>IFERROR(HYPERLINK("../data/raw/reports/highlighted/Microsoft_FY2022_10K_highlighted.pdf","Marked PDF page 59"),"Marked PDF page 59")</x:f>
        <x:v>Marked PDF page 59</x:v>
      </x:c>
      <x:c r="L113" s="136" t="str">
        <x:v>none</x:v>
      </x:c>
      <x:c r="M113" s="136"/>
      <x:c r="N113" s="136"/>
      <x:c r="O113" s="136"/>
      <x:c r="P113" s="136"/>
      <x:c r="Q113" s="136"/>
      <x:c r="R113" s="136"/>
      <x:c r="S113" s="136"/>
      <x:c r="T113" s="136"/>
      <x:c r="U113" s="136"/>
      <x:c r="V113" s="136"/>
      <x:c r="W113" s="136"/>
      <x:c r="X113" s="136"/>
      <x:c r="Y113" s="136"/>
      <x:c r="Z113" s="136"/>
    </x:row>
    <x:row r="114" ht="24" customHeight="1">
      <x:c r="A114" s="136"/>
      <x:c r="B114" s="136"/>
      <x:c r="C114" s="136" t="str">
        <x:v>SRC-0544</x:v>
      </x:c>
      <x:c r="D114" s="136" t="str">
        <x:v>Historical Inputs!J19</x:v>
      </x:c>
      <x:c r="E114" s="136" t="n">
        <x:v>2022</x:v>
      </x:c>
      <x:c r="F114" s="136" t="n">
        <x:v>2023</x:v>
      </x:c>
      <x:c r="G114" s="136" t="n">
        <x:v>60</x:v>
      </x:c>
      <x:c r="H114" s="206" t="n">
        <x:v>13931</x:v>
      </x:c>
      <x:c r="I114" s="136" t="str">
        <x:v>reported</x:v>
      </x:c>
      <x:c r="J114" s="136" t="str">
        <x:v>data/raw/reports/originals/Microsoft_FY2023_10K.pdf</x:v>
      </x:c>
      <x:c r="K114" s="136" t="str">
        <x:f>IFERROR(HYPERLINK("../data/raw/reports/highlighted/Microsoft_FY2023_10K_highlighted.pdf","Marked PDF page 60"),"Marked PDF page 60")</x:f>
        <x:v>Marked PDF page 60</x:v>
      </x:c>
      <x:c r="L114" s="136" t="str">
        <x:v>none</x:v>
      </x:c>
      <x:c r="M114" s="136"/>
      <x:c r="N114" s="136"/>
      <x:c r="O114" s="136"/>
      <x:c r="P114" s="136"/>
      <x:c r="Q114" s="136"/>
      <x:c r="R114" s="136"/>
      <x:c r="S114" s="136"/>
      <x:c r="T114" s="136"/>
      <x:c r="U114" s="136"/>
      <x:c r="V114" s="136"/>
      <x:c r="W114" s="136"/>
      <x:c r="X114" s="136"/>
      <x:c r="Y114" s="136"/>
      <x:c r="Z114" s="136"/>
    </x:row>
    <x:row r="115" ht="24" customHeight="1">
      <x:c r="A115" s="136"/>
      <x:c r="B115" s="136"/>
      <x:c r="C115" s="136" t="str">
        <x:v>SRC-0649</x:v>
      </x:c>
      <x:c r="D115" s="136" t="str">
        <x:v>Historical Inputs!K19</x:v>
      </x:c>
      <x:c r="E115" s="136" t="n">
        <x:v>2023</x:v>
      </x:c>
      <x:c r="F115" s="136" t="n">
        <x:v>2024</x:v>
      </x:c>
      <x:c r="G115" s="136" t="n">
        <x:v>58</x:v>
      </x:c>
      <x:c r="H115" s="206" t="n">
        <x:v>34704</x:v>
      </x:c>
      <x:c r="I115" s="136" t="str">
        <x:v>reported</x:v>
      </x:c>
      <x:c r="J115" s="136" t="str">
        <x:v>data/raw/reports/originals/Microsoft_FY2024_10K.pdf</x:v>
      </x:c>
      <x:c r="K115" s="136" t="str">
        <x:f>IFERROR(HYPERLINK("../data/raw/reports/highlighted/Microsoft_FY2024_10K_highlighted.pdf","Marked PDF page 58"),"Marked PDF page 58")</x:f>
        <x:v>Marked PDF page 58</x:v>
      </x:c>
      <x:c r="L115" s="136" t="str">
        <x:v>none</x:v>
      </x:c>
      <x:c r="M115" s="136"/>
      <x:c r="N115" s="136"/>
      <x:c r="O115" s="136"/>
      <x:c r="P115" s="136"/>
      <x:c r="Q115" s="136"/>
      <x:c r="R115" s="136"/>
      <x:c r="S115" s="136"/>
      <x:c r="T115" s="136"/>
      <x:c r="U115" s="136"/>
      <x:c r="V115" s="136"/>
      <x:c r="W115" s="136"/>
      <x:c r="X115" s="136"/>
      <x:c r="Y115" s="136"/>
      <x:c r="Z115" s="136"/>
    </x:row>
    <x:row r="116" ht="24" customHeight="1">
      <x:c r="A116" s="136"/>
      <x:c r="B116" s="136"/>
      <x:c r="C116" s="136" t="str">
        <x:v>SRC-0758</x:v>
      </x:c>
      <x:c r="D116" s="136" t="str">
        <x:v>Historical Inputs!L19</x:v>
      </x:c>
      <x:c r="E116" s="136" t="n">
        <x:v>2024</x:v>
      </x:c>
      <x:c r="F116" s="136" t="n">
        <x:v>2025</x:v>
      </x:c>
      <x:c r="G116" s="136" t="n">
        <x:v>52</x:v>
      </x:c>
      <x:c r="H116" s="206" t="n">
        <x:v>18315</x:v>
      </x:c>
      <x:c r="I116" s="136" t="str">
        <x:v>reported</x:v>
      </x:c>
      <x:c r="J116" s="136" t="str">
        <x:v>data/raw/reports/originals/Microsoft_FY2025_10K.pdf</x:v>
      </x:c>
      <x:c r="K116" s="136" t="str">
        <x:f>IFERROR(HYPERLINK("../data/raw/reports/highlighted/Microsoft_FY2025_10K_highlighted.pdf","Marked PDF page 52"),"Marked PDF page 52")</x:f>
        <x:v>Marked PDF page 52</x:v>
      </x:c>
      <x:c r="L116" s="136" t="str">
        <x:v>none</x:v>
      </x:c>
      <x:c r="M116" s="136"/>
      <x:c r="N116" s="136"/>
      <x:c r="O116" s="136"/>
      <x:c r="P116" s="136"/>
      <x:c r="Q116" s="136"/>
      <x:c r="R116" s="136"/>
      <x:c r="S116" s="136"/>
      <x:c r="T116" s="136"/>
      <x:c r="U116" s="136"/>
      <x:c r="V116" s="136"/>
      <x:c r="W116" s="136"/>
      <x:c r="X116" s="136"/>
      <x:c r="Y116" s="136"/>
      <x:c r="Z116" s="136"/>
    </x:row>
    <x:row r="117" ht="24" customHeight="1">
      <x:c r="A117" s="136"/>
      <x:c r="B117" s="136"/>
      <x:c r="C117" s="136" t="str">
        <x:v>SRC-0867</x:v>
      </x:c>
      <x:c r="D117" s="136" t="str">
        <x:v>Historical Inputs!M19</x:v>
      </x:c>
      <x:c r="E117" s="136" t="n">
        <x:v>2025</x:v>
      </x:c>
      <x:c r="F117" s="136" t="n">
        <x:v>2026</x:v>
      </x:c>
      <x:c r="G117" s="136" t="n">
        <x:v>52</x:v>
      </x:c>
      <x:c r="H117" s="206" t="n">
        <x:v>30242</x:v>
      </x:c>
      <x:c r="I117" s="136" t="str">
        <x:v>reported</x:v>
      </x:c>
      <x:c r="J117" s="136" t="str">
        <x:v>data/raw/reports/originals/Microsoft_FY2026_10K.pdf</x:v>
      </x:c>
      <x:c r="K117" s="136" t="str">
        <x:f>IFERROR(HYPERLINK("../data/raw/reports/highlighted/Microsoft_FY2026_10K_highlighted.pdf","Marked PDF page 52"),"Marked PDF page 52")</x:f>
        <x:v>Marked PDF page 52</x:v>
      </x:c>
      <x:c r="L117" s="136" t="str">
        <x:v>none</x:v>
      </x:c>
      <x:c r="M117" s="136"/>
      <x:c r="N117" s="136"/>
      <x:c r="O117" s="136"/>
      <x:c r="P117" s="136"/>
      <x:c r="Q117" s="136"/>
      <x:c r="R117" s="136"/>
      <x:c r="S117" s="136"/>
      <x:c r="T117" s="136"/>
      <x:c r="U117" s="136"/>
      <x:c r="V117" s="136"/>
      <x:c r="W117" s="136"/>
      <x:c r="X117" s="136"/>
      <x:c r="Y117" s="136"/>
      <x:c r="Z117" s="136"/>
    </x:row>
    <x:row r="118" ht="24" customHeight="1">
      <x:c r="A118" s="136"/>
      <x:c r="B118" s="136"/>
      <x:c r="C118" s="136" t="str">
        <x:v>SRC-0976</x:v>
      </x:c>
      <x:c r="D118" s="136" t="str">
        <x:v>Historical Inputs!N19</x:v>
      </x:c>
      <x:c r="E118" s="136" t="n">
        <x:v>2026</x:v>
      </x:c>
      <x:c r="F118" s="136" t="n">
        <x:v>2026</x:v>
      </x:c>
      <x:c r="G118" s="136" t="n">
        <x:v>52</x:v>
      </x:c>
      <x:c r="H118" s="206" t="n">
        <x:v>20935</x:v>
      </x:c>
      <x:c r="I118" s="136" t="str">
        <x:v>reported</x:v>
      </x:c>
      <x:c r="J118" s="136" t="str">
        <x:v>data/raw/reports/originals/Microsoft_FY2026_10K.pdf</x:v>
      </x:c>
      <x:c r="K118" s="136" t="str">
        <x:f>IFERROR(HYPERLINK("../data/raw/reports/highlighted/Microsoft_FY2026_10K_highlighted.pdf","Marked PDF page 52"),"Marked PDF page 52")</x:f>
        <x:v>Marked PDF page 52</x:v>
      </x:c>
      <x:c r="L118" s="136" t="str">
        <x:v>none</x:v>
      </x:c>
      <x:c r="M118" s="136"/>
      <x:c r="N118" s="136"/>
      <x:c r="O118" s="136"/>
      <x:c r="P118" s="136"/>
      <x:c r="Q118" s="136"/>
      <x:c r="R118" s="136"/>
      <x:c r="S118" s="136"/>
      <x:c r="T118" s="136"/>
      <x:c r="U118" s="136"/>
      <x:c r="V118" s="136"/>
      <x:c r="W118" s="136"/>
      <x:c r="X118" s="136"/>
      <x:c r="Y118" s="136"/>
      <x:c r="Z118" s="136"/>
    </x:row>
    <x:row r="119" ht="24" customHeight="1">
      <x:c r="A119" s="136"/>
      <x:c r="B119" s="136"/>
      <x:c r="C119" s="136" t="str">
        <x:v>SRC-0018</x:v>
      </x:c>
      <x:c r="D119" s="136" t="str">
        <x:v>Historical Inputs!E20</x:v>
      </x:c>
      <x:c r="E119" s="136" t="n">
        <x:v>2017</x:v>
      </x:c>
      <x:c r="F119" s="136" t="n">
        <x:v>2018</x:v>
      </x:c>
      <x:c r="G119" s="136" t="n">
        <x:v>53</x:v>
      </x:c>
      <x:c r="H119" s="206" t="n">
        <x:v>125318</x:v>
      </x:c>
      <x:c r="I119" s="136" t="str">
        <x:v>reported</x:v>
      </x:c>
      <x:c r="J119" s="136" t="str">
        <x:v>data/raw/reports/originals/Microsoft_FY2018_10K.pdf</x:v>
      </x:c>
      <x:c r="K119" s="136" t="str">
        <x:f>IFERROR(HYPERLINK("../data/raw/reports/highlighted/Microsoft_FY2018_10K_highlighted.pdf","Marked PDF page 53"),"Marked PDF page 53")</x:f>
        <x:v>Marked PDF page 53</x:v>
      </x:c>
      <x:c r="L119" s="136" t="str">
        <x:v>none</x:v>
      </x:c>
      <x:c r="M119" s="136"/>
      <x:c r="N119" s="136"/>
      <x:c r="O119" s="136"/>
      <x:c r="P119" s="136"/>
      <x:c r="Q119" s="136"/>
      <x:c r="R119" s="136"/>
      <x:c r="S119" s="136"/>
      <x:c r="T119" s="136"/>
      <x:c r="U119" s="136"/>
      <x:c r="V119" s="136"/>
      <x:c r="W119" s="136"/>
      <x:c r="X119" s="136"/>
      <x:c r="Y119" s="136"/>
      <x:c r="Z119" s="136"/>
    </x:row>
    <x:row r="120" ht="24" customHeight="1">
      <x:c r="A120" s="136"/>
      <x:c r="B120" s="136"/>
      <x:c r="C120" s="136" t="str">
        <x:v>SRC-0123</x:v>
      </x:c>
      <x:c r="D120" s="136" t="str">
        <x:v>Historical Inputs!F20</x:v>
      </x:c>
      <x:c r="E120" s="136" t="n">
        <x:v>2018</x:v>
      </x:c>
      <x:c r="F120" s="136" t="n">
        <x:v>2019</x:v>
      </x:c>
      <x:c r="G120" s="136" t="n">
        <x:v>53</x:v>
      </x:c>
      <x:c r="H120" s="206" t="n">
        <x:v>121822</x:v>
      </x:c>
      <x:c r="I120" s="136" t="str">
        <x:v>reported</x:v>
      </x:c>
      <x:c r="J120" s="136" t="str">
        <x:v>data/raw/reports/originals/Microsoft_FY2019_10K.pdf</x:v>
      </x:c>
      <x:c r="K120" s="136" t="str">
        <x:f>IFERROR(HYPERLINK("../data/raw/reports/highlighted/Microsoft_FY2019_10K_highlighted.pdf","Marked PDF page 53"),"Marked PDF page 53")</x:f>
        <x:v>Marked PDF page 53</x:v>
      </x:c>
      <x:c r="L120" s="136" t="str">
        <x:v>none</x:v>
      </x:c>
      <x:c r="M120" s="136"/>
      <x:c r="N120" s="136"/>
      <x:c r="O120" s="136"/>
      <x:c r="P120" s="136"/>
      <x:c r="Q120" s="136"/>
      <x:c r="R120" s="136"/>
      <x:c r="S120" s="136"/>
      <x:c r="T120" s="136"/>
      <x:c r="U120" s="136"/>
      <x:c r="V120" s="136"/>
      <x:c r="W120" s="136"/>
      <x:c r="X120" s="136"/>
      <x:c r="Y120" s="136"/>
      <x:c r="Z120" s="136"/>
    </x:row>
    <x:row r="121" ht="24" customHeight="1">
      <x:c r="C121" s="256" t="str">
        <x:v>SRC-0228</x:v>
      </x:c>
      <x:c r="D121" s="256" t="str">
        <x:v>Historical Inputs!G20</x:v>
      </x:c>
      <x:c r="E121" s="256" t="n">
        <x:v>2019</x:v>
      </x:c>
      <x:c r="F121" s="256" t="n">
        <x:v>2020</x:v>
      </x:c>
      <x:c r="G121" s="256" t="n">
        <x:v>57</x:v>
      </x:c>
      <x:c r="H121" s="282" t="n">
        <x:v>122463</x:v>
      </x:c>
      <x:c r="I121" s="256" t="str">
        <x:v>reported</x:v>
      </x:c>
      <x:c r="J121" s="256" t="str">
        <x:v>data/raw/reports/originals/Microsoft_FY2020_10K.pdf</x:v>
      </x:c>
      <x:c r="K121" s="256" t="str">
        <x:f>IFERROR(HYPERLINK("../data/raw/reports/highlighted/Microsoft_FY2020_10K_highlighted.pdf","Marked PDF page 57"),"Marked PDF page 57")</x:f>
        <x:v>Marked PDF page 57</x:v>
      </x:c>
      <x:c r="L121" s="256" t="str">
        <x:v>none</x:v>
      </x:c>
    </x:row>
    <x:row r="122" ht="24" customHeight="1">
      <x:c r="C122" s="256" t="str">
        <x:v>SRC-0333</x:v>
      </x:c>
      <x:c r="D122" s="256" t="str">
        <x:v>Historical Inputs!H20</x:v>
      </x:c>
      <x:c r="E122" s="256" t="n">
        <x:v>2020</x:v>
      </x:c>
      <x:c r="F122" s="256" t="n">
        <x:v>2021</x:v>
      </x:c>
      <x:c r="G122" s="256" t="n">
        <x:v>59</x:v>
      </x:c>
      <x:c r="H122" s="282" t="n">
        <x:v>122951</x:v>
      </x:c>
      <x:c r="I122" s="256" t="str">
        <x:v>reported</x:v>
      </x:c>
      <x:c r="J122" s="256" t="str">
        <x:v>data/raw/reports/originals/Microsoft_FY2021_10K.pdf</x:v>
      </x:c>
      <x:c r="K122" s="256" t="str">
        <x:f>IFERROR(HYPERLINK("../data/raw/reports/highlighted/Microsoft_FY2021_10K_highlighted.pdf","Marked PDF page 59"),"Marked PDF page 59")</x:f>
        <x:v>Marked PDF page 59</x:v>
      </x:c>
      <x:c r="L122" s="256" t="str">
        <x:v>none</x:v>
      </x:c>
    </x:row>
    <x:row r="123" ht="24" customHeight="1">
      <x:c r="C123" s="256" t="str">
        <x:v>SRC-0439</x:v>
      </x:c>
      <x:c r="D123" s="256" t="str">
        <x:v>Historical Inputs!I20</x:v>
      </x:c>
      <x:c r="E123" s="256" t="n">
        <x:v>2021</x:v>
      </x:c>
      <x:c r="F123" s="256" t="n">
        <x:v>2022</x:v>
      </x:c>
      <x:c r="G123" s="256" t="n">
        <x:v>59</x:v>
      </x:c>
      <x:c r="H123" s="282" t="n">
        <x:v>116110</x:v>
      </x:c>
      <x:c r="I123" s="256" t="str">
        <x:v>reported</x:v>
      </x:c>
      <x:c r="J123" s="256" t="str">
        <x:v>data/raw/reports/originals/Microsoft_FY2022_10K.pdf</x:v>
      </x:c>
      <x:c r="K123" s="256" t="str">
        <x:f>IFERROR(HYPERLINK("../data/raw/reports/highlighted/Microsoft_FY2022_10K_highlighted.pdf","Marked PDF page 59"),"Marked PDF page 59")</x:f>
        <x:v>Marked PDF page 59</x:v>
      </x:c>
      <x:c r="L123" s="256" t="str">
        <x:v>none</x:v>
      </x:c>
    </x:row>
    <x:row r="124" ht="24" customHeight="1">
      <x:c r="C124" s="256" t="str">
        <x:v>SRC-0545</x:v>
      </x:c>
      <x:c r="D124" s="256" t="str">
        <x:v>Historical Inputs!J20</x:v>
      </x:c>
      <x:c r="E124" s="256" t="n">
        <x:v>2022</x:v>
      </x:c>
      <x:c r="F124" s="256" t="n">
        <x:v>2023</x:v>
      </x:c>
      <x:c r="G124" s="256" t="n">
        <x:v>60</x:v>
      </x:c>
      <x:c r="H124" s="282" t="n">
        <x:v>90826</x:v>
      </x:c>
      <x:c r="I124" s="256" t="str">
        <x:v>reported</x:v>
      </x:c>
      <x:c r="J124" s="256" t="str">
        <x:v>data/raw/reports/originals/Microsoft_FY2023_10K.pdf</x:v>
      </x:c>
      <x:c r="K124" s="256" t="str">
        <x:f>IFERROR(HYPERLINK("../data/raw/reports/highlighted/Microsoft_FY2023_10K_highlighted.pdf","Marked PDF page 60"),"Marked PDF page 60")</x:f>
        <x:v>Marked PDF page 60</x:v>
      </x:c>
      <x:c r="L124" s="256" t="str">
        <x:v>none</x:v>
      </x:c>
    </x:row>
    <x:row r="125" ht="24" customHeight="1">
      <x:c r="C125" s="256" t="str">
        <x:v>SRC-0650</x:v>
      </x:c>
      <x:c r="D125" s="256" t="str">
        <x:v>Historical Inputs!K20</x:v>
      </x:c>
      <x:c r="E125" s="256" t="n">
        <x:v>2023</x:v>
      </x:c>
      <x:c r="F125" s="256" t="n">
        <x:v>2024</x:v>
      </x:c>
      <x:c r="G125" s="256" t="n">
        <x:v>58</x:v>
      </x:c>
      <x:c r="H125" s="282" t="n">
        <x:v>76558</x:v>
      </x:c>
      <x:c r="I125" s="256" t="str">
        <x:v>reported</x:v>
      </x:c>
      <x:c r="J125" s="256" t="str">
        <x:v>data/raw/reports/originals/Microsoft_FY2024_10K.pdf</x:v>
      </x:c>
      <x:c r="K125" s="256" t="str">
        <x:f>IFERROR(HYPERLINK("../data/raw/reports/highlighted/Microsoft_FY2024_10K_highlighted.pdf","Marked PDF page 58"),"Marked PDF page 58")</x:f>
        <x:v>Marked PDF page 58</x:v>
      </x:c>
      <x:c r="L125" s="256" t="str">
        <x:v>none</x:v>
      </x:c>
    </x:row>
    <x:row r="126" ht="24" customHeight="1">
      <x:c r="C126" s="256" t="str">
        <x:v>SRC-0759</x:v>
      </x:c>
      <x:c r="D126" s="256" t="str">
        <x:v>Historical Inputs!L20</x:v>
      </x:c>
      <x:c r="E126" s="256" t="n">
        <x:v>2024</x:v>
      </x:c>
      <x:c r="F126" s="256" t="n">
        <x:v>2025</x:v>
      </x:c>
      <x:c r="G126" s="256" t="n">
        <x:v>52</x:v>
      </x:c>
      <x:c r="H126" s="282" t="n">
        <x:v>57228</x:v>
      </x:c>
      <x:c r="I126" s="256" t="str">
        <x:v>reported</x:v>
      </x:c>
      <x:c r="J126" s="256" t="str">
        <x:v>data/raw/reports/originals/Microsoft_FY2025_10K.pdf</x:v>
      </x:c>
      <x:c r="K126" s="256" t="str">
        <x:f>IFERROR(HYPERLINK("../data/raw/reports/highlighted/Microsoft_FY2025_10K_highlighted.pdf","Marked PDF page 52"),"Marked PDF page 52")</x:f>
        <x:v>Marked PDF page 52</x:v>
      </x:c>
      <x:c r="L126" s="256" t="str">
        <x:v>none</x:v>
      </x:c>
    </x:row>
    <x:row r="127" ht="24" customHeight="1">
      <x:c r="C127" s="256" t="str">
        <x:v>SRC-0868</x:v>
      </x:c>
      <x:c r="D127" s="256" t="str">
        <x:v>Historical Inputs!M20</x:v>
      </x:c>
      <x:c r="E127" s="256" t="n">
        <x:v>2025</x:v>
      </x:c>
      <x:c r="F127" s="256" t="n">
        <x:v>2026</x:v>
      </x:c>
      <x:c r="G127" s="256" t="n">
        <x:v>52</x:v>
      </x:c>
      <x:c r="H127" s="282" t="n">
        <x:v>64323</x:v>
      </x:c>
      <x:c r="I127" s="256" t="str">
        <x:v>reported</x:v>
      </x:c>
      <x:c r="J127" s="256" t="str">
        <x:v>data/raw/reports/originals/Microsoft_FY2026_10K.pdf</x:v>
      </x:c>
      <x:c r="K127" s="256" t="str">
        <x:f>IFERROR(HYPERLINK("../data/raw/reports/highlighted/Microsoft_FY2026_10K_highlighted.pdf","Marked PDF page 52"),"Marked PDF page 52")</x:f>
        <x:v>Marked PDF page 52</x:v>
      </x:c>
      <x:c r="L127" s="256" t="str">
        <x:v>none</x:v>
      </x:c>
    </x:row>
    <x:row r="128" ht="24" customHeight="1">
      <x:c r="C128" s="256" t="str">
        <x:v>SRC-0977</x:v>
      </x:c>
      <x:c r="D128" s="256" t="str">
        <x:v>Historical Inputs!N20</x:v>
      </x:c>
      <x:c r="E128" s="256" t="n">
        <x:v>2026</x:v>
      </x:c>
      <x:c r="F128" s="256" t="n">
        <x:v>2026</x:v>
      </x:c>
      <x:c r="G128" s="256" t="n">
        <x:v>52</x:v>
      </x:c>
      <x:c r="H128" s="282" t="n">
        <x:v>55908</x:v>
      </x:c>
      <x:c r="I128" s="256" t="str">
        <x:v>reported</x:v>
      </x:c>
      <x:c r="J128" s="256" t="str">
        <x:v>data/raw/reports/originals/Microsoft_FY2026_10K.pdf</x:v>
      </x:c>
      <x:c r="K128" s="256" t="str">
        <x:f>IFERROR(HYPERLINK("../data/raw/reports/highlighted/Microsoft_FY2026_10K_highlighted.pdf","Marked PDF page 52"),"Marked PDF page 52")</x:f>
        <x:v>Marked PDF page 52</x:v>
      </x:c>
      <x:c r="L128" s="256" t="str">
        <x:v>none</x:v>
      </x:c>
    </x:row>
    <x:row r="129" ht="24" customHeight="1">
      <x:c r="C129" s="256" t="str">
        <x:v>SRC-0026</x:v>
      </x:c>
      <x:c r="D129" s="256" t="str">
        <x:v>Historical Inputs!E21</x:v>
      </x:c>
      <x:c r="E129" s="256" t="n">
        <x:v>2017</x:v>
      </x:c>
      <x:c r="F129" s="256" t="n">
        <x:v>2018</x:v>
      </x:c>
      <x:c r="G129" s="256" t="n">
        <x:v>53</x:v>
      </x:c>
      <x:c r="H129" s="282" t="n">
        <x:v>6023</x:v>
      </x:c>
      <x:c r="I129" s="256" t="str">
        <x:v>reported</x:v>
      </x:c>
      <x:c r="J129" s="256" t="str">
        <x:v>data/raw/reports/originals/Microsoft_FY2018_10K.pdf</x:v>
      </x:c>
      <x:c r="K129" s="256" t="str">
        <x:f>IFERROR(HYPERLINK("../data/raw/reports/highlighted/Microsoft_FY2018_10K_highlighted.pdf","Marked PDF page 53"),"Marked PDF page 53")</x:f>
        <x:v>Marked PDF page 53</x:v>
      </x:c>
      <x:c r="L129" s="256" t="str">
        <x:v>none</x:v>
      </x:c>
    </x:row>
    <x:row r="130" ht="24" customHeight="1">
      <x:c r="C130" s="256" t="str">
        <x:v>SRC-0131</x:v>
      </x:c>
      <x:c r="D130" s="256" t="str">
        <x:v>Historical Inputs!F21</x:v>
      </x:c>
      <x:c r="E130" s="256" t="n">
        <x:v>2018</x:v>
      </x:c>
      <x:c r="F130" s="256" t="n">
        <x:v>2019</x:v>
      </x:c>
      <x:c r="G130" s="256" t="n">
        <x:v>53</x:v>
      </x:c>
      <x:c r="H130" s="282" t="n">
        <x:v>1862</x:v>
      </x:c>
      <x:c r="I130" s="256" t="str">
        <x:v>reported</x:v>
      </x:c>
      <x:c r="J130" s="256" t="str">
        <x:v>data/raw/reports/originals/Microsoft_FY2019_10K.pdf</x:v>
      </x:c>
      <x:c r="K130" s="256" t="str">
        <x:f>IFERROR(HYPERLINK("../data/raw/reports/highlighted/Microsoft_FY2019_10K_highlighted.pdf","Marked PDF page 53"),"Marked PDF page 53")</x:f>
        <x:v>Marked PDF page 53</x:v>
      </x:c>
      <x:c r="L130" s="256" t="str">
        <x:v>none</x:v>
      </x:c>
    </x:row>
    <x:row r="131" ht="24" customHeight="1">
      <x:c r="C131" s="256" t="str">
        <x:v>SRC-0236</x:v>
      </x:c>
      <x:c r="D131" s="256" t="str">
        <x:v>Historical Inputs!G21</x:v>
      </x:c>
      <x:c r="E131" s="256" t="n">
        <x:v>2019</x:v>
      </x:c>
      <x:c r="F131" s="256" t="n">
        <x:v>2020</x:v>
      </x:c>
      <x:c r="G131" s="256" t="n">
        <x:v>57</x:v>
      </x:c>
      <x:c r="H131" s="282" t="n">
        <x:v>2649</x:v>
      </x:c>
      <x:c r="I131" s="256" t="str">
        <x:v>reported</x:v>
      </x:c>
      <x:c r="J131" s="256" t="str">
        <x:v>data/raw/reports/originals/Microsoft_FY2020_10K.pdf</x:v>
      </x:c>
      <x:c r="K131" s="256" t="str">
        <x:f>IFERROR(HYPERLINK("../data/raw/reports/highlighted/Microsoft_FY2020_10K_highlighted.pdf","Marked PDF page 57"),"Marked PDF page 57")</x:f>
        <x:v>Marked PDF page 57</x:v>
      </x:c>
      <x:c r="L131" s="256" t="str">
        <x:v>none</x:v>
      </x:c>
    </x:row>
    <x:row r="132" ht="24" customHeight="1">
      <x:c r="C132" s="256" t="str">
        <x:v>SRC-0341</x:v>
      </x:c>
      <x:c r="D132" s="256" t="str">
        <x:v>Historical Inputs!H21</x:v>
      </x:c>
      <x:c r="E132" s="256" t="n">
        <x:v>2020</x:v>
      </x:c>
      <x:c r="F132" s="256" t="n">
        <x:v>2021</x:v>
      </x:c>
      <x:c r="G132" s="256" t="n">
        <x:v>59</x:v>
      </x:c>
      <x:c r="H132" s="282" t="n">
        <x:v>2965</x:v>
      </x:c>
      <x:c r="I132" s="256" t="str">
        <x:v>reported</x:v>
      </x:c>
      <x:c r="J132" s="256" t="str">
        <x:v>data/raw/reports/originals/Microsoft_FY2021_10K.pdf</x:v>
      </x:c>
      <x:c r="K132" s="256" t="str">
        <x:f>IFERROR(HYPERLINK("../data/raw/reports/highlighted/Microsoft_FY2021_10K_highlighted.pdf","Marked PDF page 59"),"Marked PDF page 59")</x:f>
        <x:v>Marked PDF page 59</x:v>
      </x:c>
      <x:c r="L132" s="256" t="str">
        <x:v>none</x:v>
      </x:c>
    </x:row>
    <x:row r="133" ht="24" customHeight="1">
      <x:c r="C133" s="256" t="str">
        <x:v>SRC-0447</x:v>
      </x:c>
      <x:c r="D133" s="256" t="str">
        <x:v>Historical Inputs!I21</x:v>
      </x:c>
      <x:c r="E133" s="256" t="n">
        <x:v>2021</x:v>
      </x:c>
      <x:c r="F133" s="256" t="n">
        <x:v>2022</x:v>
      </x:c>
      <x:c r="G133" s="256" t="n">
        <x:v>59</x:v>
      </x:c>
      <x:c r="H133" s="282" t="n">
        <x:v>5984</x:v>
      </x:c>
      <x:c r="I133" s="256" t="str">
        <x:v>reported</x:v>
      </x:c>
      <x:c r="J133" s="256" t="str">
        <x:v>data/raw/reports/originals/Microsoft_FY2022_10K.pdf</x:v>
      </x:c>
      <x:c r="K133" s="256" t="str">
        <x:f>IFERROR(HYPERLINK("../data/raw/reports/highlighted/Microsoft_FY2022_10K_highlighted.pdf","Marked PDF page 59"),"Marked PDF page 59")</x:f>
        <x:v>Marked PDF page 59</x:v>
      </x:c>
      <x:c r="L133" s="256" t="str">
        <x:v>none</x:v>
      </x:c>
    </x:row>
    <x:row r="134" ht="24" customHeight="1">
      <x:c r="C134" s="256" t="str">
        <x:v>SRC-0553</x:v>
      </x:c>
      <x:c r="D134" s="256" t="str">
        <x:v>Historical Inputs!J21</x:v>
      </x:c>
      <x:c r="E134" s="256" t="n">
        <x:v>2022</x:v>
      </x:c>
      <x:c r="F134" s="256" t="n">
        <x:v>2023</x:v>
      </x:c>
      <x:c r="G134" s="256" t="n">
        <x:v>60</x:v>
      </x:c>
      <x:c r="H134" s="282" t="n">
        <x:v>6891</x:v>
      </x:c>
      <x:c r="I134" s="256" t="str">
        <x:v>reported</x:v>
      </x:c>
      <x:c r="J134" s="256" t="str">
        <x:v>data/raw/reports/originals/Microsoft_FY2023_10K.pdf</x:v>
      </x:c>
      <x:c r="K134" s="256" t="str">
        <x:f>IFERROR(HYPERLINK("../data/raw/reports/highlighted/Microsoft_FY2023_10K_highlighted.pdf","Marked PDF page 60"),"Marked PDF page 60")</x:f>
        <x:v>Marked PDF page 60</x:v>
      </x:c>
      <x:c r="L134" s="256" t="str">
        <x:v>none</x:v>
      </x:c>
    </x:row>
    <x:row r="135" ht="24" customHeight="1">
      <x:c r="C135" s="256" t="str">
        <x:v>SRC-0658</x:v>
      </x:c>
      <x:c r="D135" s="256" t="str">
        <x:v>Historical Inputs!K21</x:v>
      </x:c>
      <x:c r="E135" s="256" t="n">
        <x:v>2023</x:v>
      </x:c>
      <x:c r="F135" s="256" t="n">
        <x:v>2024</x:v>
      </x:c>
      <x:c r="G135" s="256" t="n">
        <x:v>58</x:v>
      </x:c>
      <x:c r="H135" s="282" t="n">
        <x:v>9879</x:v>
      </x:c>
      <x:c r="I135" s="256" t="str">
        <x:v>reported</x:v>
      </x:c>
      <x:c r="J135" s="256" t="str">
        <x:v>data/raw/reports/originals/Microsoft_FY2024_10K.pdf</x:v>
      </x:c>
      <x:c r="K135" s="256" t="str">
        <x:f>IFERROR(HYPERLINK("../data/raw/reports/highlighted/Microsoft_FY2024_10K_highlighted.pdf","Marked PDF page 58"),"Marked PDF page 58")</x:f>
        <x:v>Marked PDF page 58</x:v>
      </x:c>
      <x:c r="L135" s="256" t="str">
        <x:v>none</x:v>
      </x:c>
    </x:row>
    <x:row r="136" ht="24" customHeight="1">
      <x:c r="C136" s="256" t="str">
        <x:v>SRC-0767</x:v>
      </x:c>
      <x:c r="D136" s="256" t="str">
        <x:v>Historical Inputs!L21</x:v>
      </x:c>
      <x:c r="E136" s="256" t="n">
        <x:v>2024</x:v>
      </x:c>
      <x:c r="F136" s="256" t="n">
        <x:v>2025</x:v>
      </x:c>
      <x:c r="G136" s="256" t="n">
        <x:v>52</x:v>
      </x:c>
      <x:c r="H136" s="282" t="n">
        <x:v>14600</x:v>
      </x:c>
      <x:c r="I136" s="256" t="str">
        <x:v>reported</x:v>
      </x:c>
      <x:c r="J136" s="256" t="str">
        <x:v>data/raw/reports/originals/Microsoft_FY2025_10K.pdf</x:v>
      </x:c>
      <x:c r="K136" s="256" t="str">
        <x:f>IFERROR(HYPERLINK("../data/raw/reports/highlighted/Microsoft_FY2025_10K_highlighted.pdf","Marked PDF page 52"),"Marked PDF page 52")</x:f>
        <x:v>Marked PDF page 52</x:v>
      </x:c>
      <x:c r="L136" s="256" t="str">
        <x:v>none</x:v>
      </x:c>
    </x:row>
    <x:row r="137" ht="24" customHeight="1">
      <x:c r="C137" s="256" t="str">
        <x:v>SRC-0876</x:v>
      </x:c>
      <x:c r="D137" s="256" t="str">
        <x:v>Historical Inputs!M21</x:v>
      </x:c>
      <x:c r="E137" s="256" t="n">
        <x:v>2025</x:v>
      </x:c>
      <x:c r="F137" s="256" t="n">
        <x:v>2026</x:v>
      </x:c>
      <x:c r="G137" s="256" t="n">
        <x:v>52</x:v>
      </x:c>
      <x:c r="H137" s="282" t="n">
        <x:v>15405</x:v>
      </x:c>
      <x:c r="I137" s="256" t="str">
        <x:v>reported</x:v>
      </x:c>
      <x:c r="J137" s="256" t="str">
        <x:v>data/raw/reports/originals/Microsoft_FY2026_10K.pdf</x:v>
      </x:c>
      <x:c r="K137" s="256" t="str">
        <x:f>IFERROR(HYPERLINK("../data/raw/reports/highlighted/Microsoft_FY2026_10K_highlighted.pdf","Marked PDF page 52"),"Marked PDF page 52")</x:f>
        <x:v>Marked PDF page 52</x:v>
      </x:c>
      <x:c r="L137" s="256" t="str">
        <x:v>none</x:v>
      </x:c>
    </x:row>
    <x:row r="138" ht="24" customHeight="1">
      <x:c r="C138" s="256" t="str">
        <x:v>SRC-0985</x:v>
      </x:c>
      <x:c r="D138" s="256" t="str">
        <x:v>Historical Inputs!N21</x:v>
      </x:c>
      <x:c r="E138" s="256" t="n">
        <x:v>2026</x:v>
      </x:c>
      <x:c r="F138" s="256" t="n">
        <x:v>2026</x:v>
      </x:c>
      <x:c r="G138" s="256" t="n">
        <x:v>52</x:v>
      </x:c>
      <x:c r="H138" s="282" t="n">
        <x:v>36348</x:v>
      </x:c>
      <x:c r="I138" s="256" t="str">
        <x:v>reported</x:v>
      </x:c>
      <x:c r="J138" s="256" t="str">
        <x:v>data/raw/reports/originals/Microsoft_FY2026_10K.pdf</x:v>
      </x:c>
      <x:c r="K138" s="256" t="str">
        <x:f>IFERROR(HYPERLINK("../data/raw/reports/highlighted/Microsoft_FY2026_10K_highlighted.pdf","Marked PDF page 52"),"Marked PDF page 52")</x:f>
        <x:v>Marked PDF page 52</x:v>
      </x:c>
      <x:c r="L138" s="256" t="str">
        <x:v>none</x:v>
      </x:c>
    </x:row>
    <x:row r="139" ht="24" customHeight="1">
      <x:c r="C139" s="256" t="str">
        <x:v>SRC-0020</x:v>
      </x:c>
      <x:c r="D139" s="256" t="str">
        <x:v>Historical Inputs!E22</x:v>
      </x:c>
      <x:c r="E139" s="256" t="n">
        <x:v>2017</x:v>
      </x:c>
      <x:c r="F139" s="256" t="n">
        <x:v>2018</x:v>
      </x:c>
      <x:c r="G139" s="256" t="n">
        <x:v>53</x:v>
      </x:c>
      <x:c r="H139" s="282" t="n">
        <x:v>22431</x:v>
      </x:c>
      <x:c r="I139" s="256" t="str">
        <x:v>reported</x:v>
      </x:c>
      <x:c r="J139" s="256" t="str">
        <x:v>data/raw/reports/originals/Microsoft_FY2018_10K.pdf</x:v>
      </x:c>
      <x:c r="K139" s="256" t="str">
        <x:f>IFERROR(HYPERLINK("../data/raw/reports/highlighted/Microsoft_FY2018_10K_highlighted.pdf","Marked PDF page 53"),"Marked PDF page 53")</x:f>
        <x:v>Marked PDF page 53</x:v>
      </x:c>
      <x:c r="L139" s="256" t="str">
        <x:v>none</x:v>
      </x:c>
    </x:row>
    <x:row r="140" ht="24" customHeight="1">
      <x:c r="C140" s="256" t="str">
        <x:v>SRC-0125</x:v>
      </x:c>
      <x:c r="D140" s="256" t="str">
        <x:v>Historical Inputs!F22</x:v>
      </x:c>
      <x:c r="E140" s="256" t="n">
        <x:v>2018</x:v>
      </x:c>
      <x:c r="F140" s="256" t="n">
        <x:v>2019</x:v>
      </x:c>
      <x:c r="G140" s="256" t="n">
        <x:v>53</x:v>
      </x:c>
      <x:c r="H140" s="282" t="n">
        <x:v>26481</x:v>
      </x:c>
      <x:c r="I140" s="256" t="str">
        <x:v>reported</x:v>
      </x:c>
      <x:c r="J140" s="256" t="str">
        <x:v>data/raw/reports/originals/Microsoft_FY2019_10K.pdf</x:v>
      </x:c>
      <x:c r="K140" s="256" t="str">
        <x:f>IFERROR(HYPERLINK("../data/raw/reports/highlighted/Microsoft_FY2019_10K_highlighted.pdf","Marked PDF page 53"),"Marked PDF page 53")</x:f>
        <x:v>Marked PDF page 53</x:v>
      </x:c>
      <x:c r="L140" s="256" t="str">
        <x:v>none</x:v>
      </x:c>
    </x:row>
    <x:row r="141" ht="24" customHeight="1">
      <x:c r="C141" s="256" t="str">
        <x:v>SRC-0230</x:v>
      </x:c>
      <x:c r="D141" s="256" t="str">
        <x:v>Historical Inputs!G22</x:v>
      </x:c>
      <x:c r="E141" s="256" t="n">
        <x:v>2019</x:v>
      </x:c>
      <x:c r="F141" s="256" t="n">
        <x:v>2020</x:v>
      </x:c>
      <x:c r="G141" s="256" t="n">
        <x:v>57</x:v>
      </x:c>
      <x:c r="H141" s="282" t="n">
        <x:v>29524</x:v>
      </x:c>
      <x:c r="I141" s="256" t="str">
        <x:v>reported</x:v>
      </x:c>
      <x:c r="J141" s="256" t="str">
        <x:v>data/raw/reports/originals/Microsoft_FY2020_10K.pdf</x:v>
      </x:c>
      <x:c r="K141" s="256" t="str">
        <x:f>IFERROR(HYPERLINK("../data/raw/reports/highlighted/Microsoft_FY2020_10K_highlighted.pdf","Marked PDF page 57"),"Marked PDF page 57")</x:f>
        <x:v>Marked PDF page 57</x:v>
      </x:c>
      <x:c r="L141" s="256" t="str">
        <x:v>none</x:v>
      </x:c>
    </x:row>
    <x:row r="142" ht="24" customHeight="1">
      <x:c r="C142" s="256" t="str">
        <x:v>SRC-0335</x:v>
      </x:c>
      <x:c r="D142" s="256" t="str">
        <x:v>Historical Inputs!H22</x:v>
      </x:c>
      <x:c r="E142" s="256" t="n">
        <x:v>2020</x:v>
      </x:c>
      <x:c r="F142" s="256" t="n">
        <x:v>2021</x:v>
      </x:c>
      <x:c r="G142" s="256" t="n">
        <x:v>59</x:v>
      </x:c>
      <x:c r="H142" s="282" t="n">
        <x:v>32011</x:v>
      </x:c>
      <x:c r="I142" s="256" t="str">
        <x:v>reported</x:v>
      </x:c>
      <x:c r="J142" s="256" t="str">
        <x:v>data/raw/reports/originals/Microsoft_FY2021_10K.pdf</x:v>
      </x:c>
      <x:c r="K142" s="256" t="str">
        <x:f>IFERROR(HYPERLINK("../data/raw/reports/highlighted/Microsoft_FY2021_10K_highlighted.pdf","Marked PDF page 59"),"Marked PDF page 59")</x:f>
        <x:v>Marked PDF page 59</x:v>
      </x:c>
      <x:c r="L142" s="256" t="str">
        <x:v>none</x:v>
      </x:c>
    </x:row>
    <x:row r="143" ht="24" customHeight="1">
      <x:c r="C143" s="256" t="str">
        <x:v>SRC-0441</x:v>
      </x:c>
      <x:c r="D143" s="256" t="str">
        <x:v>Historical Inputs!I22</x:v>
      </x:c>
      <x:c r="E143" s="256" t="n">
        <x:v>2021</x:v>
      </x:c>
      <x:c r="F143" s="256" t="n">
        <x:v>2022</x:v>
      </x:c>
      <x:c r="G143" s="256" t="n">
        <x:v>59</x:v>
      </x:c>
      <x:c r="H143" s="282" t="n">
        <x:v>38043</x:v>
      </x:c>
      <x:c r="I143" s="256" t="str">
        <x:v>reported</x:v>
      </x:c>
      <x:c r="J143" s="256" t="str">
        <x:v>data/raw/reports/originals/Microsoft_FY2022_10K.pdf</x:v>
      </x:c>
      <x:c r="K143" s="256" t="str">
        <x:f>IFERROR(HYPERLINK("../data/raw/reports/highlighted/Microsoft_FY2022_10K_highlighted.pdf","Marked PDF page 59"),"Marked PDF page 59")</x:f>
        <x:v>Marked PDF page 59</x:v>
      </x:c>
      <x:c r="L143" s="256" t="str">
        <x:v>none</x:v>
      </x:c>
    </x:row>
    <x:row r="144" ht="24" customHeight="1">
      <x:c r="C144" s="256" t="str">
        <x:v>SRC-0547</x:v>
      </x:c>
      <x:c r="D144" s="256" t="str">
        <x:v>Historical Inputs!J22</x:v>
      </x:c>
      <x:c r="E144" s="256" t="n">
        <x:v>2022</x:v>
      </x:c>
      <x:c r="F144" s="256" t="n">
        <x:v>2023</x:v>
      </x:c>
      <x:c r="G144" s="256" t="n">
        <x:v>60</x:v>
      </x:c>
      <x:c r="H144" s="282" t="n">
        <x:v>44261</x:v>
      </x:c>
      <x:c r="I144" s="256" t="str">
        <x:v>reported</x:v>
      </x:c>
      <x:c r="J144" s="256" t="str">
        <x:v>data/raw/reports/originals/Microsoft_FY2023_10K.pdf</x:v>
      </x:c>
      <x:c r="K144" s="256" t="str">
        <x:f>IFERROR(HYPERLINK("../data/raw/reports/highlighted/Microsoft_FY2023_10K_highlighted.pdf","Marked PDF page 60"),"Marked PDF page 60")</x:f>
        <x:v>Marked PDF page 60</x:v>
      </x:c>
      <x:c r="L144" s="256" t="str">
        <x:v>none</x:v>
      </x:c>
    </x:row>
    <x:row r="145" ht="24" customHeight="1">
      <x:c r="C145" s="256" t="str">
        <x:v>SRC-0652</x:v>
      </x:c>
      <x:c r="D145" s="256" t="str">
        <x:v>Historical Inputs!K22</x:v>
      </x:c>
      <x:c r="E145" s="256" t="n">
        <x:v>2023</x:v>
      </x:c>
      <x:c r="F145" s="256" t="n">
        <x:v>2024</x:v>
      </x:c>
      <x:c r="G145" s="256" t="n">
        <x:v>58</x:v>
      </x:c>
      <x:c r="H145" s="282" t="n">
        <x:v>48688</x:v>
      </x:c>
      <x:c r="I145" s="256" t="str">
        <x:v>reported</x:v>
      </x:c>
      <x:c r="J145" s="256" t="str">
        <x:v>data/raw/reports/originals/Microsoft_FY2024_10K.pdf</x:v>
      </x:c>
      <x:c r="K145" s="256" t="str">
        <x:f>IFERROR(HYPERLINK("../data/raw/reports/highlighted/Microsoft_FY2024_10K_highlighted.pdf","Marked PDF page 58"),"Marked PDF page 58")</x:f>
        <x:v>Marked PDF page 58</x:v>
      </x:c>
      <x:c r="L145" s="256" t="str">
        <x:v>none</x:v>
      </x:c>
    </x:row>
    <x:row r="146" ht="24" customHeight="1">
      <x:c r="C146" s="256" t="str">
        <x:v>SRC-0761</x:v>
      </x:c>
      <x:c r="D146" s="256" t="str">
        <x:v>Historical Inputs!L22</x:v>
      </x:c>
      <x:c r="E146" s="256" t="n">
        <x:v>2024</x:v>
      </x:c>
      <x:c r="F146" s="256" t="n">
        <x:v>2025</x:v>
      </x:c>
      <x:c r="G146" s="256" t="n">
        <x:v>52</x:v>
      </x:c>
      <x:c r="H146" s="282" t="n">
        <x:v>56924</x:v>
      </x:c>
      <x:c r="I146" s="256" t="str">
        <x:v>reported</x:v>
      </x:c>
      <x:c r="J146" s="256" t="str">
        <x:v>data/raw/reports/originals/Microsoft_FY2025_10K.pdf</x:v>
      </x:c>
      <x:c r="K146" s="256" t="str">
        <x:f>IFERROR(HYPERLINK("../data/raw/reports/highlighted/Microsoft_FY2025_10K_highlighted.pdf","Marked PDF page 52"),"Marked PDF page 52")</x:f>
        <x:v>Marked PDF page 52</x:v>
      </x:c>
      <x:c r="L146" s="256" t="str">
        <x:v>none</x:v>
      </x:c>
    </x:row>
    <x:row r="147" ht="24" customHeight="1">
      <x:c r="C147" s="256" t="str">
        <x:v>SRC-0870</x:v>
      </x:c>
      <x:c r="D147" s="256" t="str">
        <x:v>Historical Inputs!M22</x:v>
      </x:c>
      <x:c r="E147" s="256" t="n">
        <x:v>2025</x:v>
      </x:c>
      <x:c r="F147" s="256" t="n">
        <x:v>2026</x:v>
      </x:c>
      <x:c r="G147" s="256" t="n">
        <x:v>52</x:v>
      </x:c>
      <x:c r="H147" s="282" t="n">
        <x:v>69905</x:v>
      </x:c>
      <x:c r="I147" s="256" t="str">
        <x:v>reported</x:v>
      </x:c>
      <x:c r="J147" s="256" t="str">
        <x:v>data/raw/reports/originals/Microsoft_FY2026_10K.pdf</x:v>
      </x:c>
      <x:c r="K147" s="256" t="str">
        <x:f>IFERROR(HYPERLINK("../data/raw/reports/highlighted/Microsoft_FY2026_10K_highlighted.pdf","Marked PDF page 52"),"Marked PDF page 52")</x:f>
        <x:v>Marked PDF page 52</x:v>
      </x:c>
      <x:c r="L147" s="256" t="str">
        <x:v>none</x:v>
      </x:c>
    </x:row>
    <x:row r="148" ht="24" customHeight="1">
      <x:c r="C148" s="256" t="str">
        <x:v>SRC-0979</x:v>
      </x:c>
      <x:c r="D148" s="256" t="str">
        <x:v>Historical Inputs!N22</x:v>
      </x:c>
      <x:c r="E148" s="256" t="n">
        <x:v>2026</x:v>
      </x:c>
      <x:c r="F148" s="256" t="n">
        <x:v>2026</x:v>
      </x:c>
      <x:c r="G148" s="256" t="n">
        <x:v>52</x:v>
      </x:c>
      <x:c r="H148" s="282" t="n">
        <x:v>80876</x:v>
      </x:c>
      <x:c r="I148" s="256" t="str">
        <x:v>reported</x:v>
      </x:c>
      <x:c r="J148" s="256" t="str">
        <x:v>data/raw/reports/originals/Microsoft_FY2026_10K.pdf</x:v>
      </x:c>
      <x:c r="K148" s="256" t="str">
        <x:f>IFERROR(HYPERLINK("../data/raw/reports/highlighted/Microsoft_FY2026_10K_highlighted.pdf","Marked PDF page 52"),"Marked PDF page 52")</x:f>
        <x:v>Marked PDF page 52</x:v>
      </x:c>
      <x:c r="L148" s="256" t="str">
        <x:v>none</x:v>
      </x:c>
    </x:row>
    <x:row r="149" ht="24" customHeight="1">
      <x:c r="C149" s="256" t="str">
        <x:v>SRC-0021</x:v>
      </x:c>
      <x:c r="D149" s="256" t="str">
        <x:v>Historical Inputs!E23</x:v>
      </x:c>
      <x:c r="E149" s="256" t="n">
        <x:v>2017</x:v>
      </x:c>
      <x:c r="F149" s="256" t="n">
        <x:v>2018</x:v>
      </x:c>
      <x:c r="G149" s="256" t="n">
        <x:v>53</x:v>
      </x:c>
      <x:c r="H149" s="282" t="n">
        <x:v>2181</x:v>
      </x:c>
      <x:c r="I149" s="256" t="str">
        <x:v>reported</x:v>
      </x:c>
      <x:c r="J149" s="256" t="str">
        <x:v>data/raw/reports/originals/Microsoft_FY2018_10K.pdf</x:v>
      </x:c>
      <x:c r="K149" s="256" t="str">
        <x:f>IFERROR(HYPERLINK("../data/raw/reports/highlighted/Microsoft_FY2018_10K_highlighted.pdf","Marked PDF page 53"),"Marked PDF page 53")</x:f>
        <x:v>Marked PDF page 53</x:v>
      </x:c>
      <x:c r="L149" s="256" t="str">
        <x:v>none</x:v>
      </x:c>
    </x:row>
    <x:row r="150" ht="24" customHeight="1">
      <x:c r="C150" s="256" t="str">
        <x:v>SRC-0126</x:v>
      </x:c>
      <x:c r="D150" s="256" t="str">
        <x:v>Historical Inputs!F23</x:v>
      </x:c>
      <x:c r="E150" s="256" t="n">
        <x:v>2018</x:v>
      </x:c>
      <x:c r="F150" s="256" t="n">
        <x:v>2019</x:v>
      </x:c>
      <x:c r="G150" s="256" t="n">
        <x:v>53</x:v>
      </x:c>
      <x:c r="H150" s="282" t="n">
        <x:v>2662</x:v>
      </x:c>
      <x:c r="I150" s="256" t="str">
        <x:v>reported</x:v>
      </x:c>
      <x:c r="J150" s="256" t="str">
        <x:v>data/raw/reports/originals/Microsoft_FY2019_10K.pdf</x:v>
      </x:c>
      <x:c r="K150" s="256" t="str">
        <x:f>IFERROR(HYPERLINK("../data/raw/reports/highlighted/Microsoft_FY2019_10K_highlighted.pdf","Marked PDF page 53"),"Marked PDF page 53")</x:f>
        <x:v>Marked PDF page 53</x:v>
      </x:c>
      <x:c r="L150" s="256" t="str">
        <x:v>none</x:v>
      </x:c>
    </x:row>
    <x:row r="151" ht="24" customHeight="1">
      <x:c r="C151" s="256" t="str">
        <x:v>SRC-0231</x:v>
      </x:c>
      <x:c r="D151" s="256" t="str">
        <x:v>Historical Inputs!G23</x:v>
      </x:c>
      <x:c r="E151" s="256" t="n">
        <x:v>2019</x:v>
      </x:c>
      <x:c r="F151" s="256" t="n">
        <x:v>2020</x:v>
      </x:c>
      <x:c r="G151" s="256" t="n">
        <x:v>57</x:v>
      </x:c>
      <x:c r="H151" s="282" t="n">
        <x:v>2063</x:v>
      </x:c>
      <x:c r="I151" s="256" t="str">
        <x:v>reported</x:v>
      </x:c>
      <x:c r="J151" s="256" t="str">
        <x:v>data/raw/reports/originals/Microsoft_FY2020_10K.pdf</x:v>
      </x:c>
      <x:c r="K151" s="256" t="str">
        <x:f>IFERROR(HYPERLINK("../data/raw/reports/highlighted/Microsoft_FY2020_10K_highlighted.pdf","Marked PDF page 57"),"Marked PDF page 57")</x:f>
        <x:v>Marked PDF page 57</x:v>
      </x:c>
      <x:c r="L151" s="256" t="str">
        <x:v>none</x:v>
      </x:c>
    </x:row>
    <x:row r="152" ht="24" customHeight="1">
      <x:c r="C152" s="256" t="str">
        <x:v>SRC-0336</x:v>
      </x:c>
      <x:c r="D152" s="256" t="str">
        <x:v>Historical Inputs!H23</x:v>
      </x:c>
      <x:c r="E152" s="256" t="n">
        <x:v>2020</x:v>
      </x:c>
      <x:c r="F152" s="256" t="n">
        <x:v>2021</x:v>
      </x:c>
      <x:c r="G152" s="256" t="n">
        <x:v>59</x:v>
      </x:c>
      <x:c r="H152" s="282" t="n">
        <x:v>1895</x:v>
      </x:c>
      <x:c r="I152" s="256" t="str">
        <x:v>reported</x:v>
      </x:c>
      <x:c r="J152" s="256" t="str">
        <x:v>data/raw/reports/originals/Microsoft_FY2021_10K.pdf</x:v>
      </x:c>
      <x:c r="K152" s="256" t="str">
        <x:f>IFERROR(HYPERLINK("../data/raw/reports/highlighted/Microsoft_FY2021_10K_highlighted.pdf","Marked PDF page 59"),"Marked PDF page 59")</x:f>
        <x:v>Marked PDF page 59</x:v>
      </x:c>
      <x:c r="L152" s="256" t="str">
        <x:v>none</x:v>
      </x:c>
    </x:row>
    <x:row r="153" ht="24" customHeight="1">
      <x:c r="C153" s="256" t="str">
        <x:v>SRC-0442</x:v>
      </x:c>
      <x:c r="D153" s="256" t="str">
        <x:v>Historical Inputs!I23</x:v>
      </x:c>
      <x:c r="E153" s="256" t="n">
        <x:v>2021</x:v>
      </x:c>
      <x:c r="F153" s="256" t="n">
        <x:v>2022</x:v>
      </x:c>
      <x:c r="G153" s="256" t="n">
        <x:v>59</x:v>
      </x:c>
      <x:c r="H153" s="282" t="n">
        <x:v>2636</x:v>
      </x:c>
      <x:c r="I153" s="256" t="str">
        <x:v>reported</x:v>
      </x:c>
      <x:c r="J153" s="256" t="str">
        <x:v>data/raw/reports/originals/Microsoft_FY2022_10K.pdf</x:v>
      </x:c>
      <x:c r="K153" s="256" t="str">
        <x:f>IFERROR(HYPERLINK("../data/raw/reports/highlighted/Microsoft_FY2022_10K_highlighted.pdf","Marked PDF page 59"),"Marked PDF page 59")</x:f>
        <x:v>Marked PDF page 59</x:v>
      </x:c>
      <x:c r="L153" s="256" t="str">
        <x:v>none</x:v>
      </x:c>
    </x:row>
    <x:row r="154" ht="24" customHeight="1">
      <x:c r="C154" s="256" t="str">
        <x:v>SRC-0548</x:v>
      </x:c>
      <x:c r="D154" s="256" t="str">
        <x:v>Historical Inputs!J23</x:v>
      </x:c>
      <x:c r="E154" s="256" t="n">
        <x:v>2022</x:v>
      </x:c>
      <x:c r="F154" s="256" t="n">
        <x:v>2023</x:v>
      </x:c>
      <x:c r="G154" s="256" t="n">
        <x:v>60</x:v>
      </x:c>
      <x:c r="H154" s="282" t="n">
        <x:v>3742</x:v>
      </x:c>
      <x:c r="I154" s="256" t="str">
        <x:v>reported</x:v>
      </x:c>
      <x:c r="J154" s="256" t="str">
        <x:v>data/raw/reports/originals/Microsoft_FY2023_10K.pdf</x:v>
      </x:c>
      <x:c r="K154" s="256" t="str">
        <x:f>IFERROR(HYPERLINK("../data/raw/reports/highlighted/Microsoft_FY2023_10K_highlighted.pdf","Marked PDF page 60"),"Marked PDF page 60")</x:f>
        <x:v>Marked PDF page 60</x:v>
      </x:c>
      <x:c r="L154" s="256" t="str">
        <x:v>none</x:v>
      </x:c>
    </x:row>
    <x:row r="155" ht="24" customHeight="1">
      <x:c r="C155" s="256" t="str">
        <x:v>SRC-0653</x:v>
      </x:c>
      <x:c r="D155" s="256" t="str">
        <x:v>Historical Inputs!K23</x:v>
      </x:c>
      <x:c r="E155" s="256" t="n">
        <x:v>2023</x:v>
      </x:c>
      <x:c r="F155" s="256" t="n">
        <x:v>2024</x:v>
      </x:c>
      <x:c r="G155" s="256" t="n">
        <x:v>58</x:v>
      </x:c>
      <x:c r="H155" s="282" t="n">
        <x:v>2500</x:v>
      </x:c>
      <x:c r="I155" s="256" t="str">
        <x:v>reported</x:v>
      </x:c>
      <x:c r="J155" s="256" t="str">
        <x:v>data/raw/reports/originals/Microsoft_FY2024_10K.pdf</x:v>
      </x:c>
      <x:c r="K155" s="256" t="str">
        <x:f>IFERROR(HYPERLINK("../data/raw/reports/highlighted/Microsoft_FY2024_10K_highlighted.pdf","Marked PDF page 58"),"Marked PDF page 58")</x:f>
        <x:v>Marked PDF page 58</x:v>
      </x:c>
      <x:c r="L155" s="256" t="str">
        <x:v>none</x:v>
      </x:c>
    </x:row>
    <x:row r="156" ht="24" customHeight="1">
      <x:c r="C156" s="256" t="str">
        <x:v>SRC-0762</x:v>
      </x:c>
      <x:c r="D156" s="256" t="str">
        <x:v>Historical Inputs!L23</x:v>
      </x:c>
      <x:c r="E156" s="256" t="n">
        <x:v>2024</x:v>
      </x:c>
      <x:c r="F156" s="256" t="n">
        <x:v>2025</x:v>
      </x:c>
      <x:c r="G156" s="256" t="n">
        <x:v>52</x:v>
      </x:c>
      <x:c r="H156" s="282" t="n">
        <x:v>1246</x:v>
      </x:c>
      <x:c r="I156" s="256" t="str">
        <x:v>reported</x:v>
      </x:c>
      <x:c r="J156" s="256" t="str">
        <x:v>data/raw/reports/originals/Microsoft_FY2025_10K.pdf</x:v>
      </x:c>
      <x:c r="K156" s="256" t="str">
        <x:f>IFERROR(HYPERLINK("../data/raw/reports/highlighted/Microsoft_FY2025_10K_highlighted.pdf","Marked PDF page 52"),"Marked PDF page 52")</x:f>
        <x:v>Marked PDF page 52</x:v>
      </x:c>
      <x:c r="L156" s="256" t="str">
        <x:v>none</x:v>
      </x:c>
    </x:row>
    <x:row r="157" ht="24" customHeight="1">
      <x:c r="C157" s="256" t="str">
        <x:v>SRC-0871</x:v>
      </x:c>
      <x:c r="D157" s="256" t="str">
        <x:v>Historical Inputs!M23</x:v>
      </x:c>
      <x:c r="E157" s="256" t="n">
        <x:v>2025</x:v>
      </x:c>
      <x:c r="F157" s="256" t="n">
        <x:v>2026</x:v>
      </x:c>
      <x:c r="G157" s="256" t="n">
        <x:v>52</x:v>
      </x:c>
      <x:c r="H157" s="282" t="n">
        <x:v>938</x:v>
      </x:c>
      <x:c r="I157" s="256" t="str">
        <x:v>reported</x:v>
      </x:c>
      <x:c r="J157" s="256" t="str">
        <x:v>data/raw/reports/originals/Microsoft_FY2026_10K.pdf</x:v>
      </x:c>
      <x:c r="K157" s="256" t="str">
        <x:f>IFERROR(HYPERLINK("../data/raw/reports/highlighted/Microsoft_FY2026_10K_highlighted.pdf","Marked PDF page 52"),"Marked PDF page 52")</x:f>
        <x:v>Marked PDF page 52</x:v>
      </x:c>
      <x:c r="L157" s="256" t="str">
        <x:v>none</x:v>
      </x:c>
    </x:row>
    <x:row r="158" ht="24" customHeight="1">
      <x:c r="C158" s="256" t="str">
        <x:v>SRC-0980</x:v>
      </x:c>
      <x:c r="D158" s="256" t="str">
        <x:v>Historical Inputs!N23</x:v>
      </x:c>
      <x:c r="E158" s="256" t="n">
        <x:v>2026</x:v>
      </x:c>
      <x:c r="F158" s="256" t="n">
        <x:v>2026</x:v>
      </x:c>
      <x:c r="G158" s="256" t="n">
        <x:v>52</x:v>
      </x:c>
      <x:c r="H158" s="282" t="n">
        <x:v>1397</x:v>
      </x:c>
      <x:c r="I158" s="256" t="str">
        <x:v>reported</x:v>
      </x:c>
      <x:c r="J158" s="256" t="str">
        <x:v>data/raw/reports/originals/Microsoft_FY2026_10K.pdf</x:v>
      </x:c>
      <x:c r="K158" s="256" t="str">
        <x:f>IFERROR(HYPERLINK("../data/raw/reports/highlighted/Microsoft_FY2026_10K_highlighted.pdf","Marked PDF page 52"),"Marked PDF page 52")</x:f>
        <x:v>Marked PDF page 52</x:v>
      </x:c>
      <x:c r="L158" s="256" t="str">
        <x:v>none</x:v>
      </x:c>
    </x:row>
    <x:row r="159" ht="24" customHeight="1">
      <x:c r="C159" s="256" t="str">
        <x:v>SRC-0022</x:v>
      </x:c>
      <x:c r="D159" s="256" t="str">
        <x:v>Historical Inputs!E24</x:v>
      </x:c>
      <x:c r="E159" s="256" t="n">
        <x:v>2017</x:v>
      </x:c>
      <x:c r="F159" s="256" t="n">
        <x:v>2018</x:v>
      </x:c>
      <x:c r="G159" s="256" t="n">
        <x:v>53</x:v>
      </x:c>
      <x:c r="H159" s="282" t="n">
        <x:v>5103</x:v>
      </x:c>
      <x:c r="I159" s="256" t="str">
        <x:v>reported</x:v>
      </x:c>
      <x:c r="J159" s="256" t="str">
        <x:v>data/raw/reports/originals/Microsoft_FY2018_10K.pdf</x:v>
      </x:c>
      <x:c r="K159" s="256" t="str">
        <x:f>IFERROR(HYPERLINK("../data/raw/reports/highlighted/Microsoft_FY2018_10K_highlighted.pdf","Marked PDF page 53"),"Marked PDF page 53")</x:f>
        <x:v>Marked PDF page 53</x:v>
      </x:c>
      <x:c r="L159" s="256" t="str">
        <x:v>none</x:v>
      </x:c>
    </x:row>
    <x:row r="160" ht="24" customHeight="1">
      <x:c r="C160" s="256" t="str">
        <x:v>SRC-0127</x:v>
      </x:c>
      <x:c r="D160" s="256" t="str">
        <x:v>Historical Inputs!F24</x:v>
      </x:c>
      <x:c r="E160" s="256" t="n">
        <x:v>2018</x:v>
      </x:c>
      <x:c r="F160" s="256" t="n">
        <x:v>2019</x:v>
      </x:c>
      <x:c r="G160" s="256" t="n">
        <x:v>53</x:v>
      </x:c>
      <x:c r="H160" s="282" t="n">
        <x:v>6751</x:v>
      </x:c>
      <x:c r="I160" s="256" t="str">
        <x:v>reported</x:v>
      </x:c>
      <x:c r="J160" s="256" t="str">
        <x:v>data/raw/reports/originals/Microsoft_FY2019_10K.pdf</x:v>
      </x:c>
      <x:c r="K160" s="256" t="str">
        <x:f>IFERROR(HYPERLINK("../data/raw/reports/highlighted/Microsoft_FY2019_10K_highlighted.pdf","Marked PDF page 53"),"Marked PDF page 53")</x:f>
        <x:v>Marked PDF page 53</x:v>
      </x:c>
      <x:c r="L160" s="256" t="str">
        <x:v>none</x:v>
      </x:c>
    </x:row>
    <x:row r="161" ht="24" customHeight="1">
      <x:c r="C161" s="256" t="str">
        <x:v>SRC-0232</x:v>
      </x:c>
      <x:c r="D161" s="256" t="str">
        <x:v>Historical Inputs!G24</x:v>
      </x:c>
      <x:c r="E161" s="256" t="n">
        <x:v>2019</x:v>
      </x:c>
      <x:c r="F161" s="256" t="n">
        <x:v>2020</x:v>
      </x:c>
      <x:c r="G161" s="256" t="n">
        <x:v>57</x:v>
      </x:c>
      <x:c r="H161" s="282" t="n">
        <x:v>10146</x:v>
      </x:c>
      <x:c r="I161" s="256" t="str">
        <x:v>reported</x:v>
      </x:c>
      <x:c r="J161" s="256" t="str">
        <x:v>data/raw/reports/originals/Microsoft_FY2020_10K.pdf</x:v>
      </x:c>
      <x:c r="K161" s="256" t="str">
        <x:f>IFERROR(HYPERLINK("../data/raw/reports/highlighted/Microsoft_FY2020_10K_highlighted.pdf","Marked PDF page 57"),"Marked PDF page 57")</x:f>
        <x:v>Marked PDF page 57</x:v>
      </x:c>
      <x:c r="L161" s="256" t="str">
        <x:v>none</x:v>
      </x:c>
    </x:row>
    <x:row r="162" ht="24" customHeight="1">
      <x:c r="C162" s="256" t="str">
        <x:v>SRC-0337</x:v>
      </x:c>
      <x:c r="D162" s="256" t="str">
        <x:v>Historical Inputs!H24</x:v>
      </x:c>
      <x:c r="E162" s="256" t="n">
        <x:v>2020</x:v>
      </x:c>
      <x:c r="F162" s="256" t="n">
        <x:v>2021</x:v>
      </x:c>
      <x:c r="G162" s="256" t="n">
        <x:v>59</x:v>
      </x:c>
      <x:c r="H162" s="282" t="n">
        <x:v>11482</x:v>
      </x:c>
      <x:c r="I162" s="256" t="str">
        <x:v>reported</x:v>
      </x:c>
      <x:c r="J162" s="256" t="str">
        <x:v>data/raw/reports/originals/Microsoft_FY2021_10K.pdf</x:v>
      </x:c>
      <x:c r="K162" s="256" t="str">
        <x:f>IFERROR(HYPERLINK("../data/raw/reports/highlighted/Microsoft_FY2021_10K_highlighted.pdf","Marked PDF page 59"),"Marked PDF page 59")</x:f>
        <x:v>Marked PDF page 59</x:v>
      </x:c>
      <x:c r="L162" s="256" t="str">
        <x:v>none</x:v>
      </x:c>
    </x:row>
    <x:row r="163" ht="24" customHeight="1">
      <x:c r="C163" s="256" t="str">
        <x:v>SRC-0443</x:v>
      </x:c>
      <x:c r="D163" s="256" t="str">
        <x:v>Historical Inputs!I24</x:v>
      </x:c>
      <x:c r="E163" s="256" t="n">
        <x:v>2021</x:v>
      </x:c>
      <x:c r="F163" s="256" t="n">
        <x:v>2022</x:v>
      </x:c>
      <x:c r="G163" s="256" t="n">
        <x:v>59</x:v>
      </x:c>
      <x:c r="H163" s="282" t="n">
        <x:v>13393</x:v>
      </x:c>
      <x:c r="I163" s="256" t="str">
        <x:v>reported</x:v>
      </x:c>
      <x:c r="J163" s="256" t="str">
        <x:v>data/raw/reports/originals/Microsoft_FY2022_10K.pdf</x:v>
      </x:c>
      <x:c r="K163" s="256" t="str">
        <x:f>IFERROR(HYPERLINK("../data/raw/reports/highlighted/Microsoft_FY2022_10K_highlighted.pdf","Marked PDF page 59"),"Marked PDF page 59")</x:f>
        <x:v>Marked PDF page 59</x:v>
      </x:c>
      <x:c r="L163" s="256" t="str">
        <x:v>none</x:v>
      </x:c>
    </x:row>
    <x:row r="164" ht="24" customHeight="1">
      <x:c r="C164" s="256" t="str">
        <x:v>SRC-0549</x:v>
      </x:c>
      <x:c r="D164" s="256" t="str">
        <x:v>Historical Inputs!J24</x:v>
      </x:c>
      <x:c r="E164" s="256" t="n">
        <x:v>2022</x:v>
      </x:c>
      <x:c r="F164" s="256" t="n">
        <x:v>2023</x:v>
      </x:c>
      <x:c r="G164" s="256" t="n">
        <x:v>60</x:v>
      </x:c>
      <x:c r="H164" s="282" t="n">
        <x:v>16924</x:v>
      </x:c>
      <x:c r="I164" s="256" t="str">
        <x:v>reported</x:v>
      </x:c>
      <x:c r="J164" s="256" t="str">
        <x:v>data/raw/reports/originals/Microsoft_FY2023_10K.pdf</x:v>
      </x:c>
      <x:c r="K164" s="256" t="str">
        <x:f>IFERROR(HYPERLINK("../data/raw/reports/highlighted/Microsoft_FY2023_10K_highlighted.pdf","Marked PDF page 60"),"Marked PDF page 60")</x:f>
        <x:v>Marked PDF page 60</x:v>
      </x:c>
      <x:c r="L164" s="256" t="str">
        <x:v>none</x:v>
      </x:c>
    </x:row>
    <x:row r="165" ht="24" customHeight="1">
      <x:c r="C165" s="256" t="str">
        <x:v>SRC-0654</x:v>
      </x:c>
      <x:c r="D165" s="256" t="str">
        <x:v>Historical Inputs!K24</x:v>
      </x:c>
      <x:c r="E165" s="256" t="n">
        <x:v>2023</x:v>
      </x:c>
      <x:c r="F165" s="256" t="n">
        <x:v>2024</x:v>
      </x:c>
      <x:c r="G165" s="256" t="n">
        <x:v>58</x:v>
      </x:c>
      <x:c r="H165" s="282" t="n">
        <x:v>21807</x:v>
      </x:c>
      <x:c r="I165" s="256" t="str">
        <x:v>reported</x:v>
      </x:c>
      <x:c r="J165" s="256" t="str">
        <x:v>data/raw/reports/originals/Microsoft_FY2024_10K.pdf</x:v>
      </x:c>
      <x:c r="K165" s="256" t="str">
        <x:f>IFERROR(HYPERLINK("../data/raw/reports/highlighted/Microsoft_FY2024_10K_highlighted.pdf","Marked PDF page 58"),"Marked PDF page 58")</x:f>
        <x:v>Marked PDF page 58</x:v>
      </x:c>
      <x:c r="L165" s="256" t="str">
        <x:v>none</x:v>
      </x:c>
    </x:row>
    <x:row r="166" ht="24" customHeight="1">
      <x:c r="C166" s="256" t="str">
        <x:v>SRC-0763</x:v>
      </x:c>
      <x:c r="D166" s="256" t="str">
        <x:v>Historical Inputs!L24</x:v>
      </x:c>
      <x:c r="E166" s="256" t="n">
        <x:v>2024</x:v>
      </x:c>
      <x:c r="F166" s="256" t="n">
        <x:v>2025</x:v>
      </x:c>
      <x:c r="G166" s="256" t="n">
        <x:v>52</x:v>
      </x:c>
      <x:c r="H166" s="282" t="n">
        <x:v>26021</x:v>
      </x:c>
      <x:c r="I166" s="256" t="str">
        <x:v>reported</x:v>
      </x:c>
      <x:c r="J166" s="256" t="str">
        <x:v>data/raw/reports/originals/Microsoft_FY2025_10K.pdf</x:v>
      </x:c>
      <x:c r="K166" s="256" t="str">
        <x:f>IFERROR(HYPERLINK("../data/raw/reports/highlighted/Microsoft_FY2025_10K_highlighted.pdf","Marked PDF page 52"),"Marked PDF page 52")</x:f>
        <x:v>Marked PDF page 52</x:v>
      </x:c>
      <x:c r="L166" s="256" t="str">
        <x:v>none</x:v>
      </x:c>
    </x:row>
    <x:row r="167" ht="24" customHeight="1">
      <x:c r="C167" s="256" t="str">
        <x:v>SRC-0872</x:v>
      </x:c>
      <x:c r="D167" s="256" t="str">
        <x:v>Historical Inputs!M24</x:v>
      </x:c>
      <x:c r="E167" s="256" t="n">
        <x:v>2025</x:v>
      </x:c>
      <x:c r="F167" s="256" t="n">
        <x:v>2026</x:v>
      </x:c>
      <x:c r="G167" s="256" t="n">
        <x:v>52</x:v>
      </x:c>
      <x:c r="H167" s="282" t="n">
        <x:v>25723</x:v>
      </x:c>
      <x:c r="I167" s="256" t="str">
        <x:v>reported</x:v>
      </x:c>
      <x:c r="J167" s="256" t="str">
        <x:v>data/raw/reports/originals/Microsoft_FY2026_10K.pdf</x:v>
      </x:c>
      <x:c r="K167" s="256" t="str">
        <x:f>IFERROR(HYPERLINK("../data/raw/reports/highlighted/Microsoft_FY2026_10K_highlighted.pdf","Marked PDF page 52"),"Marked PDF page 52")</x:f>
        <x:v>Marked PDF page 52</x:v>
      </x:c>
      <x:c r="L167" s="256" t="str">
        <x:v>none</x:v>
      </x:c>
    </x:row>
    <x:row r="168" ht="24" customHeight="1">
      <x:c r="C168" s="256" t="str">
        <x:v>SRC-0981</x:v>
      </x:c>
      <x:c r="D168" s="256" t="str">
        <x:v>Historical Inputs!N24</x:v>
      </x:c>
      <x:c r="E168" s="256" t="n">
        <x:v>2026</x:v>
      </x:c>
      <x:c r="F168" s="256" t="n">
        <x:v>2026</x:v>
      </x:c>
      <x:c r="G168" s="256" t="n">
        <x:v>52</x:v>
      </x:c>
      <x:c r="H168" s="282" t="n">
        <x:v>48594</x:v>
      </x:c>
      <x:c r="I168" s="256" t="str">
        <x:v>reported</x:v>
      </x:c>
      <x:c r="J168" s="256" t="str">
        <x:v>data/raw/reports/originals/Microsoft_FY2026_10K.pdf</x:v>
      </x:c>
      <x:c r="K168" s="256" t="str">
        <x:f>IFERROR(HYPERLINK("../data/raw/reports/highlighted/Microsoft_FY2026_10K_highlighted.pdf","Marked PDF page 52"),"Marked PDF page 52")</x:f>
        <x:v>Marked PDF page 52</x:v>
      </x:c>
      <x:c r="L168" s="256" t="str">
        <x:v>none</x:v>
      </x:c>
    </x:row>
    <x:row r="169" ht="24" customHeight="1">
      <x:c r="C169" s="256" t="str">
        <x:v>SRC-0031</x:v>
      </x:c>
      <x:c r="D169" s="256" t="str">
        <x:v>Historical Inputs!E25</x:v>
      </x:c>
      <x:c r="E169" s="256" t="n">
        <x:v>2017</x:v>
      </x:c>
      <x:c r="F169" s="256" t="n">
        <x:v>2018</x:v>
      </x:c>
      <x:c r="G169" s="256" t="n">
        <x:v>53</x:v>
      </x:c>
      <x:c r="H169" s="282" t="n">
        <x:v>7390</x:v>
      </x:c>
      <x:c r="I169" s="256" t="str">
        <x:v>reported</x:v>
      </x:c>
      <x:c r="J169" s="256" t="str">
        <x:v>data/raw/reports/originals/Microsoft_FY2018_10K.pdf</x:v>
      </x:c>
      <x:c r="K169" s="256" t="str">
        <x:f>IFERROR(HYPERLINK("../data/raw/reports/highlighted/Microsoft_FY2018_10K_highlighted.pdf","Marked PDF page 53"),"Marked PDF page 53")</x:f>
        <x:v>Marked PDF page 53</x:v>
      </x:c>
      <x:c r="L169" s="256" t="str">
        <x:v>none</x:v>
      </x:c>
    </x:row>
    <x:row r="170" ht="24" customHeight="1">
      <x:c r="C170" s="256" t="str">
        <x:v>SRC-0136</x:v>
      </x:c>
      <x:c r="D170" s="256" t="str">
        <x:v>Historical Inputs!F25</x:v>
      </x:c>
      <x:c r="E170" s="256" t="n">
        <x:v>2018</x:v>
      </x:c>
      <x:c r="F170" s="256" t="n">
        <x:v>2019</x:v>
      </x:c>
      <x:c r="G170" s="256" t="n">
        <x:v>53</x:v>
      </x:c>
      <x:c r="H170" s="282" t="n">
        <x:v>8617</x:v>
      </x:c>
      <x:c r="I170" s="256" t="str">
        <x:v>reported</x:v>
      </x:c>
      <x:c r="J170" s="256" t="str">
        <x:v>data/raw/reports/originals/Microsoft_FY2019_10K.pdf</x:v>
      </x:c>
      <x:c r="K170" s="256" t="str">
        <x:f>IFERROR(HYPERLINK("../data/raw/reports/highlighted/Microsoft_FY2019_10K_highlighted.pdf","Marked PDF page 53"),"Marked PDF page 53")</x:f>
        <x:v>Marked PDF page 53</x:v>
      </x:c>
      <x:c r="L170" s="256" t="str">
        <x:v>none</x:v>
      </x:c>
    </x:row>
    <x:row r="171" ht="24" customHeight="1">
      <x:c r="C171" s="256" t="str">
        <x:v>SRC-0241</x:v>
      </x:c>
      <x:c r="D171" s="256" t="str">
        <x:v>Historical Inputs!G25</x:v>
      </x:c>
      <x:c r="E171" s="256" t="n">
        <x:v>2019</x:v>
      </x:c>
      <x:c r="F171" s="256" t="n">
        <x:v>2020</x:v>
      </x:c>
      <x:c r="G171" s="256" t="n">
        <x:v>57</x:v>
      </x:c>
      <x:c r="H171" s="282" t="n">
        <x:v>9382</x:v>
      </x:c>
      <x:c r="I171" s="256" t="str">
        <x:v>reported</x:v>
      </x:c>
      <x:c r="J171" s="256" t="str">
        <x:v>data/raw/reports/originals/Microsoft_FY2020_10K.pdf</x:v>
      </x:c>
      <x:c r="K171" s="256" t="str">
        <x:f>IFERROR(HYPERLINK("../data/raw/reports/highlighted/Microsoft_FY2020_10K_highlighted.pdf","Marked PDF page 57"),"Marked PDF page 57")</x:f>
        <x:v>Marked PDF page 57</x:v>
      </x:c>
      <x:c r="L171" s="256" t="str">
        <x:v>none</x:v>
      </x:c>
    </x:row>
    <x:row r="172" ht="24" customHeight="1">
      <x:c r="C172" s="256" t="str">
        <x:v>SRC-0346</x:v>
      </x:c>
      <x:c r="D172" s="256" t="str">
        <x:v>Historical Inputs!H25</x:v>
      </x:c>
      <x:c r="E172" s="256" t="n">
        <x:v>2020</x:v>
      </x:c>
      <x:c r="F172" s="256" t="n">
        <x:v>2021</x:v>
      </x:c>
      <x:c r="G172" s="256" t="n">
        <x:v>59</x:v>
      </x:c>
      <x:c r="H172" s="282" t="n">
        <x:v>12530</x:v>
      </x:c>
      <x:c r="I172" s="256" t="str">
        <x:v>reported</x:v>
      </x:c>
      <x:c r="J172" s="256" t="str">
        <x:v>data/raw/reports/originals/Microsoft_FY2021_10K.pdf</x:v>
      </x:c>
      <x:c r="K172" s="256" t="str">
        <x:f>IFERROR(HYPERLINK("../data/raw/reports/highlighted/Microsoft_FY2021_10K_highlighted.pdf","Marked PDF page 59"),"Marked PDF page 59")</x:f>
        <x:v>Marked PDF page 59</x:v>
      </x:c>
      <x:c r="L172" s="256" t="str">
        <x:v>none</x:v>
      </x:c>
    </x:row>
    <x:row r="173" ht="24" customHeight="1">
      <x:c r="C173" s="256" t="str">
        <x:v>SRC-0452</x:v>
      </x:c>
      <x:c r="D173" s="256" t="str">
        <x:v>Historical Inputs!I25</x:v>
      </x:c>
      <x:c r="E173" s="256" t="n">
        <x:v>2021</x:v>
      </x:c>
      <x:c r="F173" s="256" t="n">
        <x:v>2022</x:v>
      </x:c>
      <x:c r="G173" s="256" t="n">
        <x:v>59</x:v>
      </x:c>
      <x:c r="H173" s="282" t="n">
        <x:v>15163</x:v>
      </x:c>
      <x:c r="I173" s="256" t="str">
        <x:v>reported</x:v>
      </x:c>
      <x:c r="J173" s="256" t="str">
        <x:v>data/raw/reports/originals/Microsoft_FY2022_10K.pdf</x:v>
      </x:c>
      <x:c r="K173" s="256" t="str">
        <x:f>IFERROR(HYPERLINK("../data/raw/reports/highlighted/Microsoft_FY2022_10K_highlighted.pdf","Marked PDF page 59"),"Marked PDF page 59")</x:f>
        <x:v>Marked PDF page 59</x:v>
      </x:c>
      <x:c r="L173" s="256" t="str">
        <x:v>none</x:v>
      </x:c>
    </x:row>
    <x:row r="174" ht="24" customHeight="1">
      <x:c r="C174" s="256" t="str">
        <x:v>SRC-0558</x:v>
      </x:c>
      <x:c r="D174" s="256" t="str">
        <x:v>Historical Inputs!J25</x:v>
      </x:c>
      <x:c r="E174" s="256" t="n">
        <x:v>2022</x:v>
      </x:c>
      <x:c r="F174" s="256" t="n">
        <x:v>2023</x:v>
      </x:c>
      <x:c r="G174" s="256" t="n">
        <x:v>60</x:v>
      </x:c>
      <x:c r="H174" s="282" t="n">
        <x:v>19000</x:v>
      </x:c>
      <x:c r="I174" s="256" t="str">
        <x:v>reported</x:v>
      </x:c>
      <x:c r="J174" s="256" t="str">
        <x:v>data/raw/reports/originals/Microsoft_FY2023_10K.pdf</x:v>
      </x:c>
      <x:c r="K174" s="256" t="str">
        <x:f>IFERROR(HYPERLINK("../data/raw/reports/highlighted/Microsoft_FY2023_10K_highlighted.pdf","Marked PDF page 60"),"Marked PDF page 60")</x:f>
        <x:v>Marked PDF page 60</x:v>
      </x:c>
      <x:c r="L174" s="256" t="str">
        <x:v>none</x:v>
      </x:c>
    </x:row>
    <x:row r="175" ht="24" customHeight="1">
      <x:c r="C175" s="256" t="str">
        <x:v>SRC-0663</x:v>
      </x:c>
      <x:c r="D175" s="256" t="str">
        <x:v>Historical Inputs!K25</x:v>
      </x:c>
      <x:c r="E175" s="256" t="n">
        <x:v>2023</x:v>
      </x:c>
      <x:c r="F175" s="256" t="n">
        <x:v>2024</x:v>
      </x:c>
      <x:c r="G175" s="256" t="n">
        <x:v>58</x:v>
      </x:c>
      <x:c r="H175" s="282" t="n">
        <x:v>18095</x:v>
      </x:c>
      <x:c r="I175" s="256" t="str">
        <x:v>reported</x:v>
      </x:c>
      <x:c r="J175" s="256" t="str">
        <x:v>data/raw/reports/originals/Microsoft_FY2024_10K.pdf</x:v>
      </x:c>
      <x:c r="K175" s="256" t="str">
        <x:f>IFERROR(HYPERLINK("../data/raw/reports/highlighted/Microsoft_FY2024_10K_highlighted.pdf","Marked PDF page 58"),"Marked PDF page 58")</x:f>
        <x:v>Marked PDF page 58</x:v>
      </x:c>
      <x:c r="L175" s="256" t="str">
        <x:v>none</x:v>
      </x:c>
    </x:row>
    <x:row r="176" ht="24" customHeight="1">
      <x:c r="C176" s="256" t="str">
        <x:v>SRC-0772</x:v>
      </x:c>
      <x:c r="D176" s="256" t="str">
        <x:v>Historical Inputs!L25</x:v>
      </x:c>
      <x:c r="E176" s="256" t="n">
        <x:v>2024</x:v>
      </x:c>
      <x:c r="F176" s="256" t="n">
        <x:v>2025</x:v>
      </x:c>
      <x:c r="G176" s="256" t="n">
        <x:v>52</x:v>
      </x:c>
      <x:c r="H176" s="282" t="n">
        <x:v>21996</x:v>
      </x:c>
      <x:c r="I176" s="256" t="str">
        <x:v>reported</x:v>
      </x:c>
      <x:c r="J176" s="256" t="str">
        <x:v>data/raw/reports/originals/Microsoft_FY2025_10K.pdf</x:v>
      </x:c>
      <x:c r="K176" s="256" t="str">
        <x:f>IFERROR(HYPERLINK("../data/raw/reports/highlighted/Microsoft_FY2025_10K_highlighted.pdf","Marked PDF page 52"),"Marked PDF page 52")</x:f>
        <x:v>Marked PDF page 52</x:v>
      </x:c>
      <x:c r="L176" s="256" t="str">
        <x:v>none</x:v>
      </x:c>
    </x:row>
    <x:row r="177" ht="24" customHeight="1">
      <x:c r="C177" s="256" t="str">
        <x:v>SRC-0881</x:v>
      </x:c>
      <x:c r="D177" s="256" t="str">
        <x:v>Historical Inputs!M25</x:v>
      </x:c>
      <x:c r="E177" s="256" t="n">
        <x:v>2025</x:v>
      </x:c>
      <x:c r="F177" s="256" t="n">
        <x:v>2026</x:v>
      </x:c>
      <x:c r="G177" s="256" t="n">
        <x:v>52</x:v>
      </x:c>
      <x:c r="H177" s="282" t="n">
        <x:v>27724</x:v>
      </x:c>
      <x:c r="I177" s="256" t="str">
        <x:v>reported</x:v>
      </x:c>
      <x:c r="J177" s="256" t="str">
        <x:v>data/raw/reports/originals/Microsoft_FY2026_10K.pdf</x:v>
      </x:c>
      <x:c r="K177" s="256" t="str">
        <x:f>IFERROR(HYPERLINK("../data/raw/reports/highlighted/Microsoft_FY2026_10K_highlighted.pdf","Marked PDF page 52"),"Marked PDF page 52")</x:f>
        <x:v>Marked PDF page 52</x:v>
      </x:c>
      <x:c r="L177" s="256" t="str">
        <x:v>none</x:v>
      </x:c>
    </x:row>
    <x:row r="178" ht="24" customHeight="1">
      <x:c r="C178" s="256" t="str">
        <x:v>SRC-0990</x:v>
      </x:c>
      <x:c r="D178" s="256" t="str">
        <x:v>Historical Inputs!N25</x:v>
      </x:c>
      <x:c r="E178" s="256" t="n">
        <x:v>2026</x:v>
      </x:c>
      <x:c r="F178" s="256" t="n">
        <x:v>2026</x:v>
      </x:c>
      <x:c r="G178" s="256" t="n">
        <x:v>52</x:v>
      </x:c>
      <x:c r="H178" s="282" t="n">
        <x:v>42416</x:v>
      </x:c>
      <x:c r="I178" s="256" t="str">
        <x:v>reported</x:v>
      </x:c>
      <x:c r="J178" s="256" t="str">
        <x:v>data/raw/reports/originals/Microsoft_FY2026_10K.pdf</x:v>
      </x:c>
      <x:c r="K178" s="256" t="str">
        <x:f>IFERROR(HYPERLINK("../data/raw/reports/highlighted/Microsoft_FY2026_10K_highlighted.pdf","Marked PDF page 52"),"Marked PDF page 52")</x:f>
        <x:v>Marked PDF page 52</x:v>
      </x:c>
      <x:c r="L178" s="256" t="str">
        <x:v>none</x:v>
      </x:c>
    </x:row>
    <x:row r="179" ht="24" customHeight="1">
      <x:c r="C179" s="256" t="str">
        <x:v>SRC-0033</x:v>
      </x:c>
      <x:c r="D179" s="256" t="str">
        <x:v>Historical Inputs!E26</x:v>
      </x:c>
      <x:c r="E179" s="256" t="n">
        <x:v>2017</x:v>
      </x:c>
      <x:c r="F179" s="256" t="n">
        <x:v>2018</x:v>
      </x:c>
      <x:c r="G179" s="256" t="n">
        <x:v>53</x:v>
      </x:c>
      <x:c r="H179" s="282" t="n">
        <x:v>5819</x:v>
      </x:c>
      <x:c r="I179" s="256" t="str">
        <x:v>reported</x:v>
      </x:c>
      <x:c r="J179" s="256" t="str">
        <x:v>data/raw/reports/originals/Microsoft_FY2018_10K.pdf</x:v>
      </x:c>
      <x:c r="K179" s="256" t="str">
        <x:f>IFERROR(HYPERLINK("../data/raw/reports/highlighted/Microsoft_FY2018_10K_highlighted.pdf","Marked PDF page 53"),"Marked PDF page 53")</x:f>
        <x:v>Marked PDF page 53</x:v>
      </x:c>
      <x:c r="L179" s="256" t="str">
        <x:v>none</x:v>
      </x:c>
    </x:row>
    <x:row r="180" ht="24" customHeight="1">
      <x:c r="C180" s="256" t="str">
        <x:v>SRC-0138</x:v>
      </x:c>
      <x:c r="D180" s="256" t="str">
        <x:v>Historical Inputs!F26</x:v>
      </x:c>
      <x:c r="E180" s="256" t="n">
        <x:v>2018</x:v>
      </x:c>
      <x:c r="F180" s="256" t="n">
        <x:v>2019</x:v>
      </x:c>
      <x:c r="G180" s="256" t="n">
        <x:v>53</x:v>
      </x:c>
      <x:c r="H180" s="282" t="n">
        <x:v>6103</x:v>
      </x:c>
      <x:c r="I180" s="256" t="str">
        <x:v>reported</x:v>
      </x:c>
      <x:c r="J180" s="256" t="str">
        <x:v>data/raw/reports/originals/Microsoft_FY2019_10K.pdf</x:v>
      </x:c>
      <x:c r="K180" s="256" t="str">
        <x:f>IFERROR(HYPERLINK("../data/raw/reports/highlighted/Microsoft_FY2019_10K_highlighted.pdf","Marked PDF page 53"),"Marked PDF page 53")</x:f>
        <x:v>Marked PDF page 53</x:v>
      </x:c>
      <x:c r="L180" s="256" t="str">
        <x:v>none</x:v>
      </x:c>
    </x:row>
    <x:row r="181" ht="24" customHeight="1">
      <x:c r="C181" s="256" t="str">
        <x:v>SRC-0243</x:v>
      </x:c>
      <x:c r="D181" s="256" t="str">
        <x:v>Historical Inputs!G26</x:v>
      </x:c>
      <x:c r="E181" s="256" t="n">
        <x:v>2019</x:v>
      </x:c>
      <x:c r="F181" s="256" t="n">
        <x:v>2020</x:v>
      </x:c>
      <x:c r="G181" s="256" t="n">
        <x:v>57</x:v>
      </x:c>
      <x:c r="H181" s="282" t="n">
        <x:v>6830</x:v>
      </x:c>
      <x:c r="I181" s="256" t="str">
        <x:v>reported</x:v>
      </x:c>
      <x:c r="J181" s="256" t="str">
        <x:v>data/raw/reports/originals/Microsoft_FY2020_10K.pdf</x:v>
      </x:c>
      <x:c r="K181" s="256" t="str">
        <x:f>IFERROR(HYPERLINK("../data/raw/reports/highlighted/Microsoft_FY2020_10K_highlighted.pdf","Marked PDF page 57"),"Marked PDF page 57")</x:f>
        <x:v>Marked PDF page 57</x:v>
      </x:c>
      <x:c r="L181" s="256" t="str">
        <x:v>none</x:v>
      </x:c>
    </x:row>
    <x:row r="182" ht="24" customHeight="1">
      <x:c r="C182" s="256" t="str">
        <x:v>SRC-0348</x:v>
      </x:c>
      <x:c r="D182" s="256" t="str">
        <x:v>Historical Inputs!H26</x:v>
      </x:c>
      <x:c r="E182" s="256" t="n">
        <x:v>2020</x:v>
      </x:c>
      <x:c r="F182" s="256" t="n">
        <x:v>2021</x:v>
      </x:c>
      <x:c r="G182" s="256" t="n">
        <x:v>59</x:v>
      </x:c>
      <x:c r="H182" s="282" t="n">
        <x:v>7874</x:v>
      </x:c>
      <x:c r="I182" s="256" t="str">
        <x:v>reported</x:v>
      </x:c>
      <x:c r="J182" s="256" t="str">
        <x:v>data/raw/reports/originals/Microsoft_FY2021_10K.pdf</x:v>
      </x:c>
      <x:c r="K182" s="256" t="str">
        <x:f>IFERROR(HYPERLINK("../data/raw/reports/highlighted/Microsoft_FY2021_10K_highlighted.pdf","Marked PDF page 59"),"Marked PDF page 59")</x:f>
        <x:v>Marked PDF page 59</x:v>
      </x:c>
      <x:c r="L182" s="256" t="str">
        <x:v>none</x:v>
      </x:c>
    </x:row>
    <x:row r="183" ht="24" customHeight="1">
      <x:c r="C183" s="256" t="str">
        <x:v>SRC-0454</x:v>
      </x:c>
      <x:c r="D183" s="256" t="str">
        <x:v>Historical Inputs!I26</x:v>
      </x:c>
      <x:c r="E183" s="256" t="n">
        <x:v>2021</x:v>
      </x:c>
      <x:c r="F183" s="256" t="n">
        <x:v>2022</x:v>
      </x:c>
      <x:c r="G183" s="256" t="n">
        <x:v>59</x:v>
      </x:c>
      <x:c r="H183" s="282" t="n">
        <x:v>10057</x:v>
      </x:c>
      <x:c r="I183" s="256" t="str">
        <x:v>reported</x:v>
      </x:c>
      <x:c r="J183" s="256" t="str">
        <x:v>data/raw/reports/originals/Microsoft_FY2022_10K.pdf</x:v>
      </x:c>
      <x:c r="K183" s="256" t="str">
        <x:f>IFERROR(HYPERLINK("../data/raw/reports/highlighted/Microsoft_FY2022_10K_highlighted.pdf","Marked PDF page 59"),"Marked PDF page 59")</x:f>
        <x:v>Marked PDF page 59</x:v>
      </x:c>
      <x:c r="L183" s="256" t="str">
        <x:v>none</x:v>
      </x:c>
    </x:row>
    <x:row r="184" ht="24" customHeight="1">
      <x:c r="C184" s="256" t="str">
        <x:v>SRC-0560</x:v>
      </x:c>
      <x:c r="D184" s="256" t="str">
        <x:v>Historical Inputs!J26</x:v>
      </x:c>
      <x:c r="E184" s="256" t="n">
        <x:v>2022</x:v>
      </x:c>
      <x:c r="F184" s="256" t="n">
        <x:v>2023</x:v>
      </x:c>
      <x:c r="G184" s="256" t="n">
        <x:v>60</x:v>
      </x:c>
      <x:c r="H184" s="282" t="n">
        <x:v>10661</x:v>
      </x:c>
      <x:c r="I184" s="256" t="str">
        <x:v>reported</x:v>
      </x:c>
      <x:c r="J184" s="256" t="str">
        <x:v>data/raw/reports/originals/Microsoft_FY2023_10K.pdf</x:v>
      </x:c>
      <x:c r="K184" s="256" t="str">
        <x:f>IFERROR(HYPERLINK("../data/raw/reports/highlighted/Microsoft_FY2023_10K_highlighted.pdf","Marked PDF page 60"),"Marked PDF page 60")</x:f>
        <x:v>Marked PDF page 60</x:v>
      </x:c>
      <x:c r="L184" s="256" t="str">
        <x:v>none</x:v>
      </x:c>
    </x:row>
    <x:row r="185" ht="24" customHeight="1">
      <x:c r="C185" s="256" t="str">
        <x:v>SRC-0665</x:v>
      </x:c>
      <x:c r="D185" s="256" t="str">
        <x:v>Historical Inputs!K26</x:v>
      </x:c>
      <x:c r="E185" s="256" t="n">
        <x:v>2023</x:v>
      </x:c>
      <x:c r="F185" s="256" t="n">
        <x:v>2024</x:v>
      </x:c>
      <x:c r="G185" s="256" t="n">
        <x:v>58</x:v>
      </x:c>
      <x:c r="H185" s="282" t="n">
        <x:v>11009</x:v>
      </x:c>
      <x:c r="I185" s="256" t="str">
        <x:v>reported</x:v>
      </x:c>
      <x:c r="J185" s="256" t="str">
        <x:v>data/raw/reports/originals/Microsoft_FY2024_10K.pdf</x:v>
      </x:c>
      <x:c r="K185" s="256" t="str">
        <x:f>IFERROR(HYPERLINK("../data/raw/reports/highlighted/Microsoft_FY2024_10K_highlighted.pdf","Marked PDF page 58"),"Marked PDF page 58")</x:f>
        <x:v>Marked PDF page 58</x:v>
      </x:c>
      <x:c r="L185" s="256" t="str">
        <x:v>none</x:v>
      </x:c>
    </x:row>
    <x:row r="186" ht="24" customHeight="1">
      <x:c r="C186" s="256" t="str">
        <x:v>SRC-0774</x:v>
      </x:c>
      <x:c r="D186" s="256" t="str">
        <x:v>Historical Inputs!L26</x:v>
      </x:c>
      <x:c r="E186" s="256" t="n">
        <x:v>2024</x:v>
      </x:c>
      <x:c r="F186" s="256" t="n">
        <x:v>2025</x:v>
      </x:c>
      <x:c r="G186" s="256" t="n">
        <x:v>52</x:v>
      </x:c>
      <x:c r="H186" s="282" t="n">
        <x:v>12564</x:v>
      </x:c>
      <x:c r="I186" s="256" t="str">
        <x:v>reported</x:v>
      </x:c>
      <x:c r="J186" s="256" t="str">
        <x:v>data/raw/reports/originals/Microsoft_FY2025_10K.pdf</x:v>
      </x:c>
      <x:c r="K186" s="256" t="str">
        <x:f>IFERROR(HYPERLINK("../data/raw/reports/highlighted/Microsoft_FY2025_10K_highlighted.pdf","Marked PDF page 52"),"Marked PDF page 52")</x:f>
        <x:v>Marked PDF page 52</x:v>
      </x:c>
      <x:c r="L186" s="256" t="str">
        <x:v>none</x:v>
      </x:c>
    </x:row>
    <x:row r="187" ht="24" customHeight="1">
      <x:c r="C187" s="256" t="str">
        <x:v>SRC-0883</x:v>
      </x:c>
      <x:c r="D187" s="256" t="str">
        <x:v>Historical Inputs!M26</x:v>
      </x:c>
      <x:c r="E187" s="256" t="n">
        <x:v>2025</x:v>
      </x:c>
      <x:c r="F187" s="256" t="n">
        <x:v>2026</x:v>
      </x:c>
      <x:c r="G187" s="256" t="n">
        <x:v>52</x:v>
      </x:c>
      <x:c r="H187" s="282" t="n">
        <x:v>13709</x:v>
      </x:c>
      <x:c r="I187" s="256" t="str">
        <x:v>reported</x:v>
      </x:c>
      <x:c r="J187" s="256" t="str">
        <x:v>data/raw/reports/originals/Microsoft_FY2026_10K.pdf</x:v>
      </x:c>
      <x:c r="K187" s="256" t="str">
        <x:f>IFERROR(HYPERLINK("../data/raw/reports/highlighted/Microsoft_FY2026_10K_highlighted.pdf","Marked PDF page 52"),"Marked PDF page 52")</x:f>
        <x:v>Marked PDF page 52</x:v>
      </x:c>
      <x:c r="L187" s="256" t="str">
        <x:v>none</x:v>
      </x:c>
    </x:row>
    <x:row r="188" ht="24" customHeight="1">
      <x:c r="C188" s="256" t="str">
        <x:v>SRC-0992</x:v>
      </x:c>
      <x:c r="D188" s="256" t="str">
        <x:v>Historical Inputs!N26</x:v>
      </x:c>
      <x:c r="E188" s="256" t="n">
        <x:v>2026</x:v>
      </x:c>
      <x:c r="F188" s="256" t="n">
        <x:v>2026</x:v>
      </x:c>
      <x:c r="G188" s="256" t="n">
        <x:v>52</x:v>
      </x:c>
      <x:c r="H188" s="282" t="n">
        <x:v>14945</x:v>
      </x:c>
      <x:c r="I188" s="256" t="str">
        <x:v>reported</x:v>
      </x:c>
      <x:c r="J188" s="256" t="str">
        <x:v>data/raw/reports/originals/Microsoft_FY2026_10K.pdf</x:v>
      </x:c>
      <x:c r="K188" s="256" t="str">
        <x:f>IFERROR(HYPERLINK("../data/raw/reports/highlighted/Microsoft_FY2026_10K_highlighted.pdf","Marked PDF page 52"),"Marked PDF page 52")</x:f>
        <x:v>Marked PDF page 52</x:v>
      </x:c>
      <x:c r="L188" s="256" t="str">
        <x:v>none</x:v>
      </x:c>
    </x:row>
    <x:row r="189" ht="24" customHeight="1">
      <x:c r="C189" s="256" t="str">
        <x:v>SRC-0035</x:v>
      </x:c>
      <x:c r="D189" s="256" t="str">
        <x:v>Historical Inputs!E27</x:v>
      </x:c>
      <x:c r="E189" s="256" t="n">
        <x:v>2017</x:v>
      </x:c>
      <x:c r="F189" s="256" t="n">
        <x:v>2018</x:v>
      </x:c>
      <x:c r="G189" s="256" t="n">
        <x:v>53</x:v>
      </x:c>
      <x:c r="H189" s="282" t="n">
        <x:v>24013</x:v>
      </x:c>
      <x:c r="I189" s="256" t="str">
        <x:v>reported</x:v>
      </x:c>
      <x:c r="J189" s="256" t="str">
        <x:v>data/raw/reports/originals/Microsoft_FY2018_10K.pdf</x:v>
      </x:c>
      <x:c r="K189" s="256" t="str">
        <x:f>IFERROR(HYPERLINK("../data/raw/reports/highlighted/Microsoft_FY2018_10K_highlighted.pdf","Marked PDF page 53"),"Marked PDF page 53")</x:f>
        <x:v>Marked PDF page 53</x:v>
      </x:c>
      <x:c r="L189" s="256" t="str">
        <x:v>none</x:v>
      </x:c>
    </x:row>
    <x:row r="190" ht="24" customHeight="1">
      <x:c r="C190" s="256" t="str">
        <x:v>SRC-0140</x:v>
      </x:c>
      <x:c r="D190" s="256" t="str">
        <x:v>Historical Inputs!F27</x:v>
      </x:c>
      <x:c r="E190" s="256" t="n">
        <x:v>2018</x:v>
      </x:c>
      <x:c r="F190" s="256" t="n">
        <x:v>2019</x:v>
      </x:c>
      <x:c r="G190" s="256" t="n">
        <x:v>53</x:v>
      </x:c>
      <x:c r="H190" s="282" t="n">
        <x:v>28905</x:v>
      </x:c>
      <x:c r="I190" s="256" t="str">
        <x:v>reported</x:v>
      </x:c>
      <x:c r="J190" s="256" t="str">
        <x:v>data/raw/reports/originals/Microsoft_FY2019_10K.pdf</x:v>
      </x:c>
      <x:c r="K190" s="256" t="str">
        <x:f>IFERROR(HYPERLINK("../data/raw/reports/highlighted/Microsoft_FY2019_10K_highlighted.pdf","Marked PDF page 53"),"Marked PDF page 53")</x:f>
        <x:v>Marked PDF page 53</x:v>
      </x:c>
      <x:c r="L190" s="256" t="str">
        <x:v>none</x:v>
      </x:c>
    </x:row>
    <x:row r="191" ht="24" customHeight="1">
      <x:c r="C191" s="256" t="str">
        <x:v>SRC-0245</x:v>
      </x:c>
      <x:c r="D191" s="256" t="str">
        <x:v>Historical Inputs!G27</x:v>
      </x:c>
      <x:c r="E191" s="256" t="n">
        <x:v>2019</x:v>
      </x:c>
      <x:c r="F191" s="256" t="n">
        <x:v>2020</x:v>
      </x:c>
      <x:c r="G191" s="256" t="n">
        <x:v>57</x:v>
      </x:c>
      <x:c r="H191" s="282" t="n">
        <x:v>32676</x:v>
      </x:c>
      <x:c r="I191" s="256" t="str">
        <x:v>reported</x:v>
      </x:c>
      <x:c r="J191" s="256" t="str">
        <x:v>data/raw/reports/originals/Microsoft_FY2020_10K.pdf</x:v>
      </x:c>
      <x:c r="K191" s="256" t="str">
        <x:f>IFERROR(HYPERLINK("../data/raw/reports/highlighted/Microsoft_FY2020_10K_highlighted.pdf","Marked PDF page 57"),"Marked PDF page 57")</x:f>
        <x:v>Marked PDF page 57</x:v>
      </x:c>
      <x:c r="L191" s="256" t="str">
        <x:v>none</x:v>
      </x:c>
    </x:row>
    <x:row r="192" ht="24" customHeight="1">
      <x:c r="C192" s="256" t="str">
        <x:v>SRC-0350</x:v>
      </x:c>
      <x:c r="D192" s="256" t="str">
        <x:v>Historical Inputs!H27</x:v>
      </x:c>
      <x:c r="E192" s="256" t="n">
        <x:v>2020</x:v>
      </x:c>
      <x:c r="F192" s="256" t="n">
        <x:v>2021</x:v>
      </x:c>
      <x:c r="G192" s="256" t="n">
        <x:v>59</x:v>
      </x:c>
      <x:c r="H192" s="282" t="n">
        <x:v>36000</x:v>
      </x:c>
      <x:c r="I192" s="256" t="str">
        <x:v>reported</x:v>
      </x:c>
      <x:c r="J192" s="256" t="str">
        <x:v>data/raw/reports/originals/Microsoft_FY2021_10K.pdf</x:v>
      </x:c>
      <x:c r="K192" s="256" t="str">
        <x:f>IFERROR(HYPERLINK("../data/raw/reports/highlighted/Microsoft_FY2021_10K_highlighted.pdf","Marked PDF page 59"),"Marked PDF page 59")</x:f>
        <x:v>Marked PDF page 59</x:v>
      </x:c>
      <x:c r="L192" s="256" t="str">
        <x:v>none</x:v>
      </x:c>
    </x:row>
    <x:row r="193" ht="24" customHeight="1">
      <x:c r="C193" s="256" t="str">
        <x:v>SRC-0456</x:v>
      </x:c>
      <x:c r="D193" s="256" t="str">
        <x:v>Historical Inputs!I27</x:v>
      </x:c>
      <x:c r="E193" s="256" t="n">
        <x:v>2021</x:v>
      </x:c>
      <x:c r="F193" s="256" t="n">
        <x:v>2022</x:v>
      </x:c>
      <x:c r="G193" s="256" t="n">
        <x:v>59</x:v>
      </x:c>
      <x:c r="H193" s="282" t="n">
        <x:v>41525</x:v>
      </x:c>
      <x:c r="I193" s="256" t="str">
        <x:v>reported</x:v>
      </x:c>
      <x:c r="J193" s="256" t="str">
        <x:v>data/raw/reports/originals/Microsoft_FY2022_10K.pdf</x:v>
      </x:c>
      <x:c r="K193" s="256" t="str">
        <x:f>IFERROR(HYPERLINK("../data/raw/reports/highlighted/Microsoft_FY2022_10K_highlighted.pdf","Marked PDF page 59"),"Marked PDF page 59")</x:f>
        <x:v>Marked PDF page 59</x:v>
      </x:c>
      <x:c r="L193" s="256" t="str">
        <x:v>none</x:v>
      </x:c>
    </x:row>
    <x:row r="194" ht="24" customHeight="1">
      <x:c r="C194" s="256" t="str">
        <x:v>SRC-0562</x:v>
      </x:c>
      <x:c r="D194" s="256" t="str">
        <x:v>Historical Inputs!J27</x:v>
      </x:c>
      <x:c r="E194" s="256" t="n">
        <x:v>2022</x:v>
      </x:c>
      <x:c r="F194" s="256" t="n">
        <x:v>2023</x:v>
      </x:c>
      <x:c r="G194" s="256" t="n">
        <x:v>60</x:v>
      </x:c>
      <x:c r="H194" s="282" t="n">
        <x:v>45538</x:v>
      </x:c>
      <x:c r="I194" s="256" t="str">
        <x:v>reported</x:v>
      </x:c>
      <x:c r="J194" s="256" t="str">
        <x:v>data/raw/reports/originals/Microsoft_FY2023_10K.pdf</x:v>
      </x:c>
      <x:c r="K194" s="256" t="str">
        <x:f>IFERROR(HYPERLINK("../data/raw/reports/highlighted/Microsoft_FY2023_10K_highlighted.pdf","Marked PDF page 60"),"Marked PDF page 60")</x:f>
        <x:v>Marked PDF page 60</x:v>
      </x:c>
      <x:c r="L194" s="256" t="str">
        <x:v>none</x:v>
      </x:c>
    </x:row>
    <x:row r="195" ht="24" customHeight="1">
      <x:c r="C195" s="256" t="str">
        <x:v>SRC-0667</x:v>
      </x:c>
      <x:c r="D195" s="256" t="str">
        <x:v>Historical Inputs!K27</x:v>
      </x:c>
      <x:c r="E195" s="256" t="n">
        <x:v>2023</x:v>
      </x:c>
      <x:c r="F195" s="256" t="n">
        <x:v>2024</x:v>
      </x:c>
      <x:c r="G195" s="256" t="n">
        <x:v>58</x:v>
      </x:c>
      <x:c r="H195" s="282" t="n">
        <x:v>50901</x:v>
      </x:c>
      <x:c r="I195" s="256" t="str">
        <x:v>reported</x:v>
      </x:c>
      <x:c r="J195" s="256" t="str">
        <x:v>data/raw/reports/originals/Microsoft_FY2024_10K.pdf</x:v>
      </x:c>
      <x:c r="K195" s="256" t="str">
        <x:f>IFERROR(HYPERLINK("../data/raw/reports/highlighted/Microsoft_FY2024_10K_highlighted.pdf","Marked PDF page 58"),"Marked PDF page 58")</x:f>
        <x:v>Marked PDF page 58</x:v>
      </x:c>
      <x:c r="L195" s="256" t="str">
        <x:v>none</x:v>
      </x:c>
    </x:row>
    <x:row r="196" ht="24" customHeight="1">
      <x:c r="C196" s="256" t="str">
        <x:v>SRC-0776</x:v>
      </x:c>
      <x:c r="D196" s="256" t="str">
        <x:v>Historical Inputs!L27</x:v>
      </x:c>
      <x:c r="E196" s="256" t="n">
        <x:v>2024</x:v>
      </x:c>
      <x:c r="F196" s="256" t="n">
        <x:v>2025</x:v>
      </x:c>
      <x:c r="G196" s="256" t="n">
        <x:v>52</x:v>
      </x:c>
      <x:c r="H196" s="282" t="n">
        <x:v>57582</x:v>
      </x:c>
      <x:c r="I196" s="256" t="str">
        <x:v>reported</x:v>
      </x:c>
      <x:c r="J196" s="256" t="str">
        <x:v>data/raw/reports/originals/Microsoft_FY2025_10K.pdf</x:v>
      </x:c>
      <x:c r="K196" s="256" t="str">
        <x:f>IFERROR(HYPERLINK("../data/raw/reports/highlighted/Microsoft_FY2025_10K_highlighted.pdf","Marked PDF page 52"),"Marked PDF page 52")</x:f>
        <x:v>Marked PDF page 52</x:v>
      </x:c>
      <x:c r="L196" s="256" t="str">
        <x:v>none</x:v>
      </x:c>
    </x:row>
    <x:row r="197" ht="24" customHeight="1">
      <x:c r="C197" s="256" t="str">
        <x:v>SRC-0885</x:v>
      </x:c>
      <x:c r="D197" s="256" t="str">
        <x:v>Historical Inputs!M27</x:v>
      </x:c>
      <x:c r="E197" s="256" t="n">
        <x:v>2025</x:v>
      </x:c>
      <x:c r="F197" s="256" t="n">
        <x:v>2026</x:v>
      </x:c>
      <x:c r="G197" s="256" t="n">
        <x:v>52</x:v>
      </x:c>
      <x:c r="H197" s="282" t="n">
        <x:v>64555</x:v>
      </x:c>
      <x:c r="I197" s="256" t="str">
        <x:v>reported</x:v>
      </x:c>
      <x:c r="J197" s="256" t="str">
        <x:v>data/raw/reports/originals/Microsoft_FY2026_10K.pdf</x:v>
      </x:c>
      <x:c r="K197" s="256" t="str">
        <x:f>IFERROR(HYPERLINK("../data/raw/reports/highlighted/Microsoft_FY2026_10K_highlighted.pdf","Marked PDF page 52"),"Marked PDF page 52")</x:f>
        <x:v>Marked PDF page 52</x:v>
      </x:c>
      <x:c r="L197" s="256" t="str">
        <x:v>none</x:v>
      </x:c>
    </x:row>
    <x:row r="198" ht="24" customHeight="1">
      <x:c r="C198" s="256" t="str">
        <x:v>SRC-0994</x:v>
      </x:c>
      <x:c r="D198" s="256" t="str">
        <x:v>Historical Inputs!N27</x:v>
      </x:c>
      <x:c r="E198" s="256" t="n">
        <x:v>2026</x:v>
      </x:c>
      <x:c r="F198" s="256" t="n">
        <x:v>2026</x:v>
      </x:c>
      <x:c r="G198" s="256" t="n">
        <x:v>52</x:v>
      </x:c>
      <x:c r="H198" s="282" t="n">
        <x:v>72965</x:v>
      </x:c>
      <x:c r="I198" s="256" t="str">
        <x:v>reported</x:v>
      </x:c>
      <x:c r="J198" s="256" t="str">
        <x:v>data/raw/reports/originals/Microsoft_FY2026_10K.pdf</x:v>
      </x:c>
      <x:c r="K198" s="256" t="str">
        <x:f>IFERROR(HYPERLINK("../data/raw/reports/highlighted/Microsoft_FY2026_10K_highlighted.pdf","Marked PDF page 52"),"Marked PDF page 52")</x:f>
        <x:v>Marked PDF page 52</x:v>
      </x:c>
      <x:c r="L198" s="256" t="str">
        <x:v>none</x:v>
      </x:c>
    </x:row>
    <x:row r="199" ht="24" customHeight="1">
      <x:c r="C199" s="256" t="str">
        <x:v>SRC-0036</x:v>
      </x:c>
      <x:c r="D199" s="256" t="str">
        <x:v>Historical Inputs!E28</x:v>
      </x:c>
      <x:c r="E199" s="256" t="n">
        <x:v>2017</x:v>
      </x:c>
      <x:c r="F199" s="256" t="n">
        <x:v>2018</x:v>
      </x:c>
      <x:c r="G199" s="256" t="n">
        <x:v>53</x:v>
      </x:c>
      <x:c r="H199" s="282" t="n">
        <x:v>7684</x:v>
      </x:c>
      <x:c r="I199" s="256" t="str">
        <x:v>reported</x:v>
      </x:c>
      <x:c r="J199" s="256" t="str">
        <x:v>data/raw/reports/originals/Microsoft_FY2018_10K.pdf</x:v>
      </x:c>
      <x:c r="K199" s="256" t="str">
        <x:f>IFERROR(HYPERLINK("../data/raw/reports/highlighted/Microsoft_FY2018_10K_highlighted.pdf","Marked PDF page 53"),"Marked PDF page 53")</x:f>
        <x:v>Marked PDF page 53</x:v>
      </x:c>
      <x:c r="L199" s="256" t="str">
        <x:v>none</x:v>
      </x:c>
    </x:row>
    <x:row r="200" ht="24" customHeight="1">
      <x:c r="C200" s="256" t="str">
        <x:v>SRC-0141</x:v>
      </x:c>
      <x:c r="D200" s="256" t="str">
        <x:v>Historical Inputs!F28</x:v>
      </x:c>
      <x:c r="E200" s="256" t="n">
        <x:v>2018</x:v>
      </x:c>
      <x:c r="F200" s="256" t="n">
        <x:v>2019</x:v>
      </x:c>
      <x:c r="G200" s="256" t="n">
        <x:v>53</x:v>
      </x:c>
      <x:c r="H200" s="282" t="n">
        <x:v>8744</x:v>
      </x:c>
      <x:c r="I200" s="256" t="str">
        <x:v>reported</x:v>
      </x:c>
      <x:c r="J200" s="256" t="str">
        <x:v>data/raw/reports/originals/Microsoft_FY2019_10K.pdf</x:v>
      </x:c>
      <x:c r="K200" s="256" t="str">
        <x:f>IFERROR(HYPERLINK("../data/raw/reports/highlighted/Microsoft_FY2019_10K_highlighted.pdf","Marked PDF page 53"),"Marked PDF page 53")</x:f>
        <x:v>Marked PDF page 53</x:v>
      </x:c>
      <x:c r="L200" s="256" t="str">
        <x:v>none</x:v>
      </x:c>
    </x:row>
    <x:row r="201" ht="24" customHeight="1">
      <x:c r="C201" s="256" t="str">
        <x:v>SRC-0246</x:v>
      </x:c>
      <x:c r="D201" s="256" t="str">
        <x:v>Historical Inputs!G28</x:v>
      </x:c>
      <x:c r="E201" s="256" t="n">
        <x:v>2019</x:v>
      </x:c>
      <x:c r="F201" s="256" t="n">
        <x:v>2020</x:v>
      </x:c>
      <x:c r="G201" s="256" t="n">
        <x:v>57</x:v>
      </x:c>
      <x:c r="H201" s="282" t="n">
        <x:v>9351</x:v>
      </x:c>
      <x:c r="I201" s="256" t="str">
        <x:v>reported</x:v>
      </x:c>
      <x:c r="J201" s="256" t="str">
        <x:v>data/raw/reports/originals/Microsoft_FY2020_10K.pdf</x:v>
      </x:c>
      <x:c r="K201" s="256" t="str">
        <x:f>IFERROR(HYPERLINK("../data/raw/reports/highlighted/Microsoft_FY2020_10K_highlighted.pdf","Marked PDF page 57"),"Marked PDF page 57")</x:f>
        <x:v>Marked PDF page 57</x:v>
      </x:c>
      <x:c r="L201" s="256" t="str">
        <x:v>none</x:v>
      </x:c>
    </x:row>
    <x:row r="202" ht="24" customHeight="1">
      <x:c r="C202" s="256" t="str">
        <x:v>SRC-0351</x:v>
      </x:c>
      <x:c r="D202" s="256" t="str">
        <x:v>Historical Inputs!H28</x:v>
      </x:c>
      <x:c r="E202" s="256" t="n">
        <x:v>2020</x:v>
      </x:c>
      <x:c r="F202" s="256" t="n">
        <x:v>2021</x:v>
      </x:c>
      <x:c r="G202" s="256" t="n">
        <x:v>59</x:v>
      </x:c>
      <x:c r="H202" s="282" t="n">
        <x:v>10027</x:v>
      </x:c>
      <x:c r="I202" s="256" t="str">
        <x:v>reported</x:v>
      </x:c>
      <x:c r="J202" s="256" t="str">
        <x:v>data/raw/reports/originals/Microsoft_FY2021_10K.pdf</x:v>
      </x:c>
      <x:c r="K202" s="256" t="str">
        <x:f>IFERROR(HYPERLINK("../data/raw/reports/highlighted/Microsoft_FY2021_10K_highlighted.pdf","Marked PDF page 59"),"Marked PDF page 59")</x:f>
        <x:v>Marked PDF page 59</x:v>
      </x:c>
      <x:c r="L202" s="256" t="str">
        <x:v>none</x:v>
      </x:c>
    </x:row>
    <x:row r="203" ht="24" customHeight="1">
      <x:c r="C203" s="256" t="str">
        <x:v>SRC-0457</x:v>
      </x:c>
      <x:c r="D203" s="256" t="str">
        <x:v>Historical Inputs!I28</x:v>
      </x:c>
      <x:c r="E203" s="256" t="n">
        <x:v>2021</x:v>
      </x:c>
      <x:c r="F203" s="256" t="n">
        <x:v>2022</x:v>
      </x:c>
      <x:c r="G203" s="256" t="n">
        <x:v>59</x:v>
      </x:c>
      <x:c r="H203" s="282" t="n">
        <x:v>11666</x:v>
      </x:c>
      <x:c r="I203" s="256" t="str">
        <x:v>reported</x:v>
      </x:c>
      <x:c r="J203" s="256" t="str">
        <x:v>data/raw/reports/originals/Microsoft_FY2022_10K.pdf</x:v>
      </x:c>
      <x:c r="K203" s="256" t="str">
        <x:f>IFERROR(HYPERLINK("../data/raw/reports/highlighted/Microsoft_FY2022_10K_highlighted.pdf","Marked PDF page 59"),"Marked PDF page 59")</x:f>
        <x:v>Marked PDF page 59</x:v>
      </x:c>
      <x:c r="L203" s="256" t="str">
        <x:v>none</x:v>
      </x:c>
    </x:row>
    <x:row r="204" ht="24" customHeight="1">
      <x:c r="C204" s="256" t="str">
        <x:v>SRC-0563</x:v>
      </x:c>
      <x:c r="D204" s="256" t="str">
        <x:v>Historical Inputs!J28</x:v>
      </x:c>
      <x:c r="E204" s="256" t="n">
        <x:v>2022</x:v>
      </x:c>
      <x:c r="F204" s="256" t="n">
        <x:v>2023</x:v>
      </x:c>
      <x:c r="G204" s="256" t="n">
        <x:v>60</x:v>
      </x:c>
      <x:c r="H204" s="282" t="n">
        <x:v>13067</x:v>
      </x:c>
      <x:c r="I204" s="256" t="str">
        <x:v>reported</x:v>
      </x:c>
      <x:c r="J204" s="256" t="str">
        <x:v>data/raw/reports/originals/Microsoft_FY2023_10K.pdf</x:v>
      </x:c>
      <x:c r="K204" s="256" t="str">
        <x:f>IFERROR(HYPERLINK("../data/raw/reports/highlighted/Microsoft_FY2023_10K_highlighted.pdf","Marked PDF page 60"),"Marked PDF page 60")</x:f>
        <x:v>Marked PDF page 60</x:v>
      </x:c>
      <x:c r="L204" s="256" t="str">
        <x:v>none</x:v>
      </x:c>
    </x:row>
    <x:row r="205" ht="24" customHeight="1">
      <x:c r="C205" s="256" t="str">
        <x:v>SRC-0668</x:v>
      </x:c>
      <x:c r="D205" s="256" t="str">
        <x:v>Historical Inputs!K28</x:v>
      </x:c>
      <x:c r="E205" s="256" t="n">
        <x:v>2023</x:v>
      </x:c>
      <x:c r="F205" s="256" t="n">
        <x:v>2024</x:v>
      </x:c>
      <x:c r="G205" s="256" t="n">
        <x:v>58</x:v>
      </x:c>
      <x:c r="H205" s="282" t="n">
        <x:v>14745</x:v>
      </x:c>
      <x:c r="I205" s="256" t="str">
        <x:v>reported</x:v>
      </x:c>
      <x:c r="J205" s="256" t="str">
        <x:v>data/raw/reports/originals/Microsoft_FY2024_10K.pdf</x:v>
      </x:c>
      <x:c r="K205" s="256" t="str">
        <x:f>IFERROR(HYPERLINK("../data/raw/reports/highlighted/Microsoft_FY2024_10K_highlighted.pdf","Marked PDF page 58"),"Marked PDF page 58")</x:f>
        <x:v>Marked PDF page 58</x:v>
      </x:c>
      <x:c r="L205" s="256" t="str">
        <x:v>none</x:v>
      </x:c>
    </x:row>
    <x:row r="206" ht="24" customHeight="1">
      <x:c r="C206" s="256" t="str">
        <x:v>SRC-0777</x:v>
      </x:c>
      <x:c r="D206" s="256" t="str">
        <x:v>Historical Inputs!L28</x:v>
      </x:c>
      <x:c r="E206" s="256" t="n">
        <x:v>2024</x:v>
      </x:c>
      <x:c r="F206" s="256" t="n">
        <x:v>2025</x:v>
      </x:c>
      <x:c r="G206" s="256" t="n">
        <x:v>52</x:v>
      </x:c>
      <x:c r="H206" s="282" t="n">
        <x:v>19185</x:v>
      </x:c>
      <x:c r="I206" s="256" t="str">
        <x:v>reported</x:v>
      </x:c>
      <x:c r="J206" s="256" t="str">
        <x:v>data/raw/reports/originals/Microsoft_FY2025_10K.pdf</x:v>
      </x:c>
      <x:c r="K206" s="256" t="str">
        <x:f>IFERROR(HYPERLINK("../data/raw/reports/highlighted/Microsoft_FY2025_10K_highlighted.pdf","Marked PDF page 52"),"Marked PDF page 52")</x:f>
        <x:v>Marked PDF page 52</x:v>
      </x:c>
      <x:c r="L206" s="256" t="str">
        <x:v>none</x:v>
      </x:c>
    </x:row>
    <x:row r="207" ht="24" customHeight="1">
      <x:c r="C207" s="256" t="str">
        <x:v>SRC-0886</x:v>
      </x:c>
      <x:c r="D207" s="256" t="str">
        <x:v>Historical Inputs!M28</x:v>
      </x:c>
      <x:c r="E207" s="256" t="n">
        <x:v>2025</x:v>
      </x:c>
      <x:c r="F207" s="256" t="n">
        <x:v>2026</x:v>
      </x:c>
      <x:c r="G207" s="256" t="n">
        <x:v>52</x:v>
      </x:c>
      <x:c r="H207" s="282" t="n">
        <x:v>25020</x:v>
      </x:c>
      <x:c r="I207" s="256" t="str">
        <x:v>reported</x:v>
      </x:c>
      <x:c r="J207" s="256" t="str">
        <x:v>data/raw/reports/originals/Microsoft_FY2026_10K.pdf</x:v>
      </x:c>
      <x:c r="K207" s="256" t="str">
        <x:f>IFERROR(HYPERLINK("../data/raw/reports/highlighted/Microsoft_FY2026_10K_highlighted.pdf","Marked PDF page 52"),"Marked PDF page 52")</x:f>
        <x:v>Marked PDF page 52</x:v>
      </x:c>
      <x:c r="L207" s="256" t="str">
        <x:v>none</x:v>
      </x:c>
    </x:row>
    <x:row r="208" ht="24" customHeight="1">
      <x:c r="C208" s="256" t="str">
        <x:v>SRC-0995</x:v>
      </x:c>
      <x:c r="D208" s="256" t="str">
        <x:v>Historical Inputs!N28</x:v>
      </x:c>
      <x:c r="E208" s="256" t="n">
        <x:v>2026</x:v>
      </x:c>
      <x:c r="F208" s="256" t="n">
        <x:v>2026</x:v>
      </x:c>
      <x:c r="G208" s="256" t="n">
        <x:v>52</x:v>
      </x:c>
      <x:c r="H208" s="282" t="n">
        <x:v>26738</x:v>
      </x:c>
      <x:c r="I208" s="256" t="str">
        <x:v>reported</x:v>
      </x:c>
      <x:c r="J208" s="256" t="str">
        <x:v>data/raw/reports/originals/Microsoft_FY2026_10K.pdf</x:v>
      </x:c>
      <x:c r="K208" s="256" t="str">
        <x:f>IFERROR(HYPERLINK("../data/raw/reports/highlighted/Microsoft_FY2026_10K_highlighted.pdf","Marked PDF page 52"),"Marked PDF page 52")</x:f>
        <x:v>Marked PDF page 52</x:v>
      </x:c>
      <x:c r="L208" s="256" t="str">
        <x:v>none</x:v>
      </x:c>
    </x:row>
    <x:row r="209" ht="24" customHeight="1">
      <x:c r="C209" s="256" t="str">
        <x:v>SRC-0032</x:v>
      </x:c>
      <x:c r="D209" s="256" t="str">
        <x:v>Historical Inputs!E29</x:v>
      </x:c>
      <x:c r="E209" s="256" t="n">
        <x:v>2017</x:v>
      </x:c>
      <x:c r="F209" s="256" t="n">
        <x:v>2018</x:v>
      </x:c>
      <x:c r="G209" s="256" t="n">
        <x:v>53</x:v>
      </x:c>
      <x:c r="H209" s="282" t="n">
        <x:v>1049</x:v>
      </x:c>
      <x:c r="I209" s="256" t="str">
        <x:v>reported</x:v>
      </x:c>
      <x:c r="J209" s="256" t="str">
        <x:v>data/raw/reports/originals/Microsoft_FY2018_10K.pdf</x:v>
      </x:c>
      <x:c r="K209" s="256" t="str">
        <x:f>IFERROR(HYPERLINK("../data/raw/reports/highlighted/Microsoft_FY2018_10K_highlighted.pdf","Marked PDF page 53"),"Marked PDF page 53")</x:f>
        <x:v>Marked PDF page 53</x:v>
      </x:c>
      <x:c r="L209" s="256" t="str">
        <x:v>none</x:v>
      </x:c>
    </x:row>
    <x:row r="210" ht="24" customHeight="1">
      <x:c r="C210" s="256" t="str">
        <x:v>SRC-0137</x:v>
      </x:c>
      <x:c r="D210" s="256" t="str">
        <x:v>Historical Inputs!F29</x:v>
      </x:c>
      <x:c r="E210" s="256" t="n">
        <x:v>2018</x:v>
      </x:c>
      <x:c r="F210" s="256" t="n">
        <x:v>2019</x:v>
      </x:c>
      <x:c r="G210" s="256" t="n">
        <x:v>53</x:v>
      </x:c>
      <x:c r="H210" s="282" t="n">
        <x:v>3998</x:v>
      </x:c>
      <x:c r="I210" s="256" t="str">
        <x:v>reported</x:v>
      </x:c>
      <x:c r="J210" s="256" t="str">
        <x:v>data/raw/reports/originals/Microsoft_FY2019_10K.pdf</x:v>
      </x:c>
      <x:c r="K210" s="256" t="str">
        <x:f>IFERROR(HYPERLINK("../data/raw/reports/highlighted/Microsoft_FY2019_10K_highlighted.pdf","Marked PDF page 53"),"Marked PDF page 53")</x:f>
        <x:v>Marked PDF page 53</x:v>
      </x:c>
      <x:c r="L210" s="256" t="str">
        <x:v>none</x:v>
      </x:c>
    </x:row>
    <x:row r="211" ht="24" customHeight="1">
      <x:c r="C211" s="256" t="str">
        <x:v>SRC-0242</x:v>
      </x:c>
      <x:c r="D211" s="256" t="str">
        <x:v>Historical Inputs!G29</x:v>
      </x:c>
      <x:c r="E211" s="256" t="n">
        <x:v>2019</x:v>
      </x:c>
      <x:c r="F211" s="256" t="n">
        <x:v>2020</x:v>
      </x:c>
      <x:c r="G211" s="256" t="n">
        <x:v>57</x:v>
      </x:c>
      <x:c r="H211" s="282" t="n">
        <x:v>5516</x:v>
      </x:c>
      <x:c r="I211" s="256" t="str">
        <x:v>reported</x:v>
      </x:c>
      <x:c r="J211" s="256" t="str">
        <x:v>data/raw/reports/originals/Microsoft_FY2020_10K.pdf</x:v>
      </x:c>
      <x:c r="K211" s="256" t="str">
        <x:f>IFERROR(HYPERLINK("../data/raw/reports/highlighted/Microsoft_FY2020_10K_highlighted.pdf","Marked PDF page 57"),"Marked PDF page 57")</x:f>
        <x:v>Marked PDF page 57</x:v>
      </x:c>
      <x:c r="L211" s="256" t="str">
        <x:v>none</x:v>
      </x:c>
    </x:row>
    <x:row r="212" ht="24" customHeight="1">
      <x:c r="C212" s="256" t="str">
        <x:v>SRC-0347</x:v>
      </x:c>
      <x:c r="D212" s="256" t="str">
        <x:v>Historical Inputs!H29</x:v>
      </x:c>
      <x:c r="E212" s="256" t="n">
        <x:v>2020</x:v>
      </x:c>
      <x:c r="F212" s="256" t="n">
        <x:v>2021</x:v>
      </x:c>
      <x:c r="G212" s="256" t="n">
        <x:v>59</x:v>
      </x:c>
      <x:c r="H212" s="282" t="n">
        <x:v>3749</x:v>
      </x:c>
      <x:c r="I212" s="256" t="str">
        <x:v>reported</x:v>
      </x:c>
      <x:c r="J212" s="256" t="str">
        <x:v>data/raw/reports/originals/Microsoft_FY2021_10K.pdf</x:v>
      </x:c>
      <x:c r="K212" s="256" t="str">
        <x:f>IFERROR(HYPERLINK("../data/raw/reports/highlighted/Microsoft_FY2021_10K_highlighted.pdf","Marked PDF page 59"),"Marked PDF page 59")</x:f>
        <x:v>Marked PDF page 59</x:v>
      </x:c>
      <x:c r="L212" s="256" t="str">
        <x:v>none</x:v>
      </x:c>
    </x:row>
    <x:row r="213" ht="24" customHeight="1">
      <x:c r="C213" s="256" t="str">
        <x:v>SRC-0453</x:v>
      </x:c>
      <x:c r="D213" s="256" t="str">
        <x:v>Historical Inputs!I29</x:v>
      </x:c>
      <x:c r="E213" s="256" t="n">
        <x:v>2021</x:v>
      </x:c>
      <x:c r="F213" s="256" t="n">
        <x:v>2022</x:v>
      </x:c>
      <x:c r="G213" s="256" t="n">
        <x:v>59</x:v>
      </x:c>
      <x:c r="H213" s="282" t="n">
        <x:v>8072</x:v>
      </x:c>
      <x:c r="I213" s="256" t="str">
        <x:v>reported</x:v>
      </x:c>
      <x:c r="J213" s="256" t="str">
        <x:v>data/raw/reports/originals/Microsoft_FY2022_10K.pdf</x:v>
      </x:c>
      <x:c r="K213" s="256" t="str">
        <x:f>IFERROR(HYPERLINK("../data/raw/reports/highlighted/Microsoft_FY2022_10K_highlighted.pdf","Marked PDF page 59"),"Marked PDF page 59")</x:f>
        <x:v>Marked PDF page 59</x:v>
      </x:c>
      <x:c r="L213" s="256" t="str">
        <x:v>none</x:v>
      </x:c>
    </x:row>
    <x:row r="214" ht="24" customHeight="1">
      <x:c r="C214" s="256" t="str">
        <x:v>SRC-0559</x:v>
      </x:c>
      <x:c r="D214" s="256" t="str">
        <x:v>Historical Inputs!J29</x:v>
      </x:c>
      <x:c r="E214" s="256" t="n">
        <x:v>2022</x:v>
      </x:c>
      <x:c r="F214" s="256" t="n">
        <x:v>2023</x:v>
      </x:c>
      <x:c r="G214" s="256" t="n">
        <x:v>60</x:v>
      </x:c>
      <x:c r="H214" s="282" t="n">
        <x:v>2749</x:v>
      </x:c>
      <x:c r="I214" s="256" t="str">
        <x:v>reported</x:v>
      </x:c>
      <x:c r="J214" s="256" t="str">
        <x:v>data/raw/reports/originals/Microsoft_FY2023_10K.pdf</x:v>
      </x:c>
      <x:c r="K214" s="256" t="str">
        <x:f>IFERROR(HYPERLINK("../data/raw/reports/highlighted/Microsoft_FY2023_10K_highlighted.pdf","Marked PDF page 60"),"Marked PDF page 60")</x:f>
        <x:v>Marked PDF page 60</x:v>
      </x:c>
      <x:c r="L214" s="256" t="str">
        <x:v>none</x:v>
      </x:c>
    </x:row>
    <x:row r="215" ht="24" customHeight="1">
      <x:c r="C215" s="256" t="str">
        <x:v>SRC-0664</x:v>
      </x:c>
      <x:c r="D215" s="256" t="str">
        <x:v>Historical Inputs!K29</x:v>
      </x:c>
      <x:c r="E215" s="256" t="n">
        <x:v>2023</x:v>
      </x:c>
      <x:c r="F215" s="256" t="n">
        <x:v>2024</x:v>
      </x:c>
      <x:c r="G215" s="256" t="n">
        <x:v>58</x:v>
      </x:c>
      <x:c r="H215" s="282" t="n">
        <x:v>5247</x:v>
      </x:c>
      <x:c r="I215" s="256" t="str">
        <x:v>reported</x:v>
      </x:c>
      <x:c r="J215" s="256" t="str">
        <x:v>data/raw/reports/originals/Microsoft_FY2024_10K.pdf</x:v>
      </x:c>
      <x:c r="K215" s="256" t="str">
        <x:f>IFERROR(HYPERLINK("../data/raw/reports/highlighted/Microsoft_FY2024_10K_highlighted.pdf","Marked PDF page 58"),"Marked PDF page 58")</x:f>
        <x:v>Marked PDF page 58</x:v>
      </x:c>
      <x:c r="L215" s="256" t="str">
        <x:v>none</x:v>
      </x:c>
    </x:row>
    <x:row r="216" ht="24" customHeight="1">
      <x:c r="C216" s="256" t="str">
        <x:v>SRC-0773</x:v>
      </x:c>
      <x:c r="D216" s="256" t="str">
        <x:v>Historical Inputs!L29</x:v>
      </x:c>
      <x:c r="E216" s="256" t="n">
        <x:v>2024</x:v>
      </x:c>
      <x:c r="F216" s="256" t="n">
        <x:v>2025</x:v>
      </x:c>
      <x:c r="G216" s="256" t="n">
        <x:v>52</x:v>
      </x:c>
      <x:c r="H216" s="282" t="n">
        <x:v>2249</x:v>
      </x:c>
      <x:c r="I216" s="256" t="str">
        <x:v>reported</x:v>
      </x:c>
      <x:c r="J216" s="256" t="str">
        <x:v>data/raw/reports/originals/Microsoft_FY2025_10K.pdf</x:v>
      </x:c>
      <x:c r="K216" s="256" t="str">
        <x:f>IFERROR(HYPERLINK("../data/raw/reports/highlighted/Microsoft_FY2025_10K_highlighted.pdf","Marked PDF page 52"),"Marked PDF page 52")</x:f>
        <x:v>Marked PDF page 52</x:v>
      </x:c>
      <x:c r="L216" s="256" t="str">
        <x:v>none</x:v>
      </x:c>
    </x:row>
    <x:row r="217" ht="24" customHeight="1">
      <x:c r="C217" s="256" t="str">
        <x:v>SRC-0882</x:v>
      </x:c>
      <x:c r="D217" s="256" t="str">
        <x:v>Historical Inputs!M29</x:v>
      </x:c>
      <x:c r="E217" s="256" t="n">
        <x:v>2025</x:v>
      </x:c>
      <x:c r="F217" s="256" t="n">
        <x:v>2026</x:v>
      </x:c>
      <x:c r="G217" s="256" t="n">
        <x:v>52</x:v>
      </x:c>
      <x:c r="H217" s="282" t="n">
        <x:v>2999</x:v>
      </x:c>
      <x:c r="I217" s="256" t="str">
        <x:v>reported</x:v>
      </x:c>
      <x:c r="J217" s="256" t="str">
        <x:v>data/raw/reports/originals/Microsoft_FY2026_10K.pdf</x:v>
      </x:c>
      <x:c r="K217" s="256" t="str">
        <x:f>IFERROR(HYPERLINK("../data/raw/reports/highlighted/Microsoft_FY2026_10K_highlighted.pdf","Marked PDF page 52"),"Marked PDF page 52")</x:f>
        <x:v>Marked PDF page 52</x:v>
      </x:c>
      <x:c r="L217" s="256" t="str">
        <x:v>none</x:v>
      </x:c>
    </x:row>
    <x:row r="218" ht="24" customHeight="1">
      <x:c r="C218" s="256" t="str">
        <x:v>SRC-0991</x:v>
      </x:c>
      <x:c r="D218" s="256" t="str">
        <x:v>Historical Inputs!N29</x:v>
      </x:c>
      <x:c r="E218" s="256" t="n">
        <x:v>2026</x:v>
      </x:c>
      <x:c r="F218" s="256" t="n">
        <x:v>2026</x:v>
      </x:c>
      <x:c r="G218" s="256" t="n">
        <x:v>52</x:v>
      </x:c>
      <x:c r="H218" s="282" t="n">
        <x:v>9227</x:v>
      </x:c>
      <x:c r="I218" s="256" t="str">
        <x:v>reported</x:v>
      </x:c>
      <x:c r="J218" s="256" t="str">
        <x:v>data/raw/reports/originals/Microsoft_FY2026_10K.pdf</x:v>
      </x:c>
      <x:c r="K218" s="256" t="str">
        <x:f>IFERROR(HYPERLINK("../data/raw/reports/highlighted/Microsoft_FY2026_10K_highlighted.pdf","Marked PDF page 52"),"Marked PDF page 52")</x:f>
        <x:v>Marked PDF page 52</x:v>
      </x:c>
      <x:c r="L218" s="256" t="str">
        <x:v>none</x:v>
      </x:c>
    </x:row>
    <x:row r="219" ht="24" customHeight="1">
      <x:c r="C219" s="256" t="str">
        <x:v>SRC-0050</x:v>
      </x:c>
      <x:c r="D219" s="256" t="str">
        <x:v>Historical Inputs!E30</x:v>
      </x:c>
      <x:c r="E219" s="256" t="n">
        <x:v>2017</x:v>
      </x:c>
      <x:c r="F219" s="256" t="n">
        <x:v>2018</x:v>
      </x:c>
      <x:c r="G219" s="256" t="n">
        <x:v>53</x:v>
      </x:c>
      <x:c r="H219" s="282" t="n">
        <x:v>9072</x:v>
      </x:c>
      <x:c r="I219" s="256" t="str">
        <x:v>reported</x:v>
      </x:c>
      <x:c r="J219" s="256" t="str">
        <x:v>data/raw/reports/originals/Microsoft_FY2018_10K.pdf</x:v>
      </x:c>
      <x:c r="K219" s="256" t="str">
        <x:f>IFERROR(HYPERLINK("../data/raw/reports/highlighted/Microsoft_FY2018_10K_highlighted.pdf","Marked PDF page 53"),"Marked PDF page 53")</x:f>
        <x:v>Marked PDF page 53</x:v>
      </x:c>
      <x:c r="L219" s="256" t="str">
        <x:v>none</x:v>
      </x:c>
    </x:row>
    <x:row r="220" ht="24" customHeight="1">
      <x:c r="C220" s="256" t="str">
        <x:v>SRC-0155</x:v>
      </x:c>
      <x:c r="D220" s="256" t="str">
        <x:v>Historical Inputs!F30</x:v>
      </x:c>
      <x:c r="E220" s="256" t="n">
        <x:v>2018</x:v>
      </x:c>
      <x:c r="F220" s="256" t="n">
        <x:v>2019</x:v>
      </x:c>
      <x:c r="G220" s="256" t="n">
        <x:v>53</x:v>
      </x:c>
      <x:c r="H220" s="282" t="n">
        <x:v>0</x:v>
      </x:c>
      <x:c r="I220" s="256" t="str">
        <x:v>normalized_absence</x:v>
      </x:c>
      <x:c r="J220" s="256" t="str">
        <x:v>data/raw/reports/originals/Microsoft_FY2019_10K.pdf</x:v>
      </x:c>
      <x:c r="K220" s="256" t="str">
        <x:f>IFERROR(HYPERLINK("../data/raw/reports/highlighted/Microsoft_FY2019_10K_highlighted.pdf","Marked PDF page 53"),"Marked PDF page 53")</x:f>
        <x:v>Marked PDF page 53</x:v>
      </x:c>
      <x:c r="L220" s="256" t="str">
        <x:v>normalized_absence</x:v>
      </x:c>
    </x:row>
    <x:row r="221" ht="24" customHeight="1">
      <x:c r="C221" s="256" t="str">
        <x:v>SRC-0260</x:v>
      </x:c>
      <x:c r="D221" s="256" t="str">
        <x:v>Historical Inputs!G30</x:v>
      </x:c>
      <x:c r="E221" s="256" t="n">
        <x:v>2019</x:v>
      </x:c>
      <x:c r="F221" s="256" t="n">
        <x:v>2020</x:v>
      </x:c>
      <x:c r="G221" s="256" t="n">
        <x:v>57</x:v>
      </x:c>
      <x:c r="H221" s="282" t="n">
        <x:v>0</x:v>
      </x:c>
      <x:c r="I221" s="256" t="str">
        <x:v>normalized_absence</x:v>
      </x:c>
      <x:c r="J221" s="256" t="str">
        <x:v>data/raw/reports/originals/Microsoft_FY2020_10K.pdf</x:v>
      </x:c>
      <x:c r="K221" s="256" t="str">
        <x:f>IFERROR(HYPERLINK("../data/raw/reports/highlighted/Microsoft_FY2020_10K_highlighted.pdf","Marked PDF page 57"),"Marked PDF page 57")</x:f>
        <x:v>Marked PDF page 57</x:v>
      </x:c>
      <x:c r="L221" s="256" t="str">
        <x:v>normalized_absence</x:v>
      </x:c>
    </x:row>
    <x:row r="222" ht="24" customHeight="1">
      <x:c r="C222" s="256" t="str">
        <x:v>SRC-0365</x:v>
      </x:c>
      <x:c r="D222" s="256" t="str">
        <x:v>Historical Inputs!H30</x:v>
      </x:c>
      <x:c r="E222" s="256" t="n">
        <x:v>2020</x:v>
      </x:c>
      <x:c r="F222" s="256" t="n">
        <x:v>2021</x:v>
      </x:c>
      <x:c r="G222" s="256" t="n">
        <x:v>59</x:v>
      </x:c>
      <x:c r="H222" s="282" t="n">
        <x:v>0</x:v>
      </x:c>
      <x:c r="I222" s="256" t="str">
        <x:v>normalized_absence</x:v>
      </x:c>
      <x:c r="J222" s="256" t="str">
        <x:v>data/raw/reports/originals/Microsoft_FY2021_10K.pdf</x:v>
      </x:c>
      <x:c r="K222" s="256" t="str">
        <x:f>IFERROR(HYPERLINK("../data/raw/reports/highlighted/Microsoft_FY2021_10K_highlighted.pdf","Marked PDF page 59"),"Marked PDF page 59")</x:f>
        <x:v>Marked PDF page 59</x:v>
      </x:c>
      <x:c r="L222" s="256" t="str">
        <x:v>normalized_absence</x:v>
      </x:c>
    </x:row>
    <x:row r="223" ht="24" customHeight="1">
      <x:c r="C223" s="256" t="str">
        <x:v>SRC-0471</x:v>
      </x:c>
      <x:c r="D223" s="256" t="str">
        <x:v>Historical Inputs!I30</x:v>
      </x:c>
      <x:c r="E223" s="256" t="n">
        <x:v>2021</x:v>
      </x:c>
      <x:c r="F223" s="256" t="n">
        <x:v>2022</x:v>
      </x:c>
      <x:c r="G223" s="256" t="n">
        <x:v>59</x:v>
      </x:c>
      <x:c r="H223" s="282" t="n">
        <x:v>0</x:v>
      </x:c>
      <x:c r="I223" s="256" t="str">
        <x:v>normalized_absence</x:v>
      </x:c>
      <x:c r="J223" s="256" t="str">
        <x:v>data/raw/reports/originals/Microsoft_FY2022_10K.pdf</x:v>
      </x:c>
      <x:c r="K223" s="256" t="str">
        <x:f>IFERROR(HYPERLINK("../data/raw/reports/highlighted/Microsoft_FY2022_10K_highlighted.pdf","Marked PDF page 59"),"Marked PDF page 59")</x:f>
        <x:v>Marked PDF page 59</x:v>
      </x:c>
      <x:c r="L223" s="256" t="str">
        <x:v>normalized_absence</x:v>
      </x:c>
    </x:row>
    <x:row r="224" ht="24" customHeight="1">
      <x:c r="C224" s="256" t="str">
        <x:v>SRC-0577</x:v>
      </x:c>
      <x:c r="D224" s="256" t="str">
        <x:v>Historical Inputs!J30</x:v>
      </x:c>
      <x:c r="E224" s="256" t="n">
        <x:v>2022</x:v>
      </x:c>
      <x:c r="F224" s="256" t="n">
        <x:v>2023</x:v>
      </x:c>
      <x:c r="G224" s="256" t="n">
        <x:v>60</x:v>
      </x:c>
      <x:c r="H224" s="282" t="n">
        <x:v>0</x:v>
      </x:c>
      <x:c r="I224" s="256" t="str">
        <x:v>normalized_absence</x:v>
      </x:c>
      <x:c r="J224" s="256" t="str">
        <x:v>data/raw/reports/originals/Microsoft_FY2023_10K.pdf</x:v>
      </x:c>
      <x:c r="K224" s="256" t="str">
        <x:f>IFERROR(HYPERLINK("../data/raw/reports/highlighted/Microsoft_FY2023_10K_highlighted.pdf","Marked PDF page 60"),"Marked PDF page 60")</x:f>
        <x:v>Marked PDF page 60</x:v>
      </x:c>
      <x:c r="L224" s="256" t="str">
        <x:v>normalized_absence</x:v>
      </x:c>
    </x:row>
    <x:row r="225" ht="24" customHeight="1">
      <x:c r="C225" s="256" t="str">
        <x:v>SRC-0682</x:v>
      </x:c>
      <x:c r="D225" s="256" t="str">
        <x:v>Historical Inputs!K30</x:v>
      </x:c>
      <x:c r="E225" s="256" t="n">
        <x:v>2023</x:v>
      </x:c>
      <x:c r="F225" s="256" t="n">
        <x:v>2024</x:v>
      </x:c>
      <x:c r="G225" s="256" t="n">
        <x:v>58</x:v>
      </x:c>
      <x:c r="H225" s="282" t="n">
        <x:v>0</x:v>
      </x:c>
      <x:c r="I225" s="256" t="str">
        <x:v>reported</x:v>
      </x:c>
      <x:c r="J225" s="256" t="str">
        <x:v>data/raw/reports/originals/Microsoft_FY2024_10K.pdf</x:v>
      </x:c>
      <x:c r="K225" s="256" t="str">
        <x:f>IFERROR(HYPERLINK("../data/raw/reports/highlighted/Microsoft_FY2024_10K_highlighted.pdf","Marked PDF page 58"),"Marked PDF page 58")</x:f>
        <x:v>Marked PDF page 58</x:v>
      </x:c>
      <x:c r="L225" s="256" t="str">
        <x:v>none</x:v>
      </x:c>
    </x:row>
    <x:row r="226" ht="24" customHeight="1">
      <x:c r="C226" s="256" t="str">
        <x:v>SRC-0791</x:v>
      </x:c>
      <x:c r="D226" s="256" t="str">
        <x:v>Historical Inputs!L30</x:v>
      </x:c>
      <x:c r="E226" s="256" t="n">
        <x:v>2024</x:v>
      </x:c>
      <x:c r="F226" s="256" t="n">
        <x:v>2025</x:v>
      </x:c>
      <x:c r="G226" s="256" t="n">
        <x:v>52</x:v>
      </x:c>
      <x:c r="H226" s="282" t="n">
        <x:v>6693</x:v>
      </x:c>
      <x:c r="I226" s="256" t="str">
        <x:v>reported</x:v>
      </x:c>
      <x:c r="J226" s="256" t="str">
        <x:v>data/raw/reports/originals/Microsoft_FY2025_10K.pdf</x:v>
      </x:c>
      <x:c r="K226" s="256" t="str">
        <x:f>IFERROR(HYPERLINK("../data/raw/reports/highlighted/Microsoft_FY2025_10K_highlighted.pdf","Marked PDF page 52"),"Marked PDF page 52")</x:f>
        <x:v>Marked PDF page 52</x:v>
      </x:c>
      <x:c r="L226" s="256" t="str">
        <x:v>none</x:v>
      </x:c>
    </x:row>
    <x:row r="227" ht="24" customHeight="1">
      <x:c r="C227" s="256" t="str">
        <x:v>SRC-0900</x:v>
      </x:c>
      <x:c r="D227" s="256" t="str">
        <x:v>Historical Inputs!M30</x:v>
      </x:c>
      <x:c r="E227" s="256" t="n">
        <x:v>2025</x:v>
      </x:c>
      <x:c r="F227" s="256" t="n">
        <x:v>2026</x:v>
      </x:c>
      <x:c r="G227" s="256" t="n">
        <x:v>52</x:v>
      </x:c>
      <x:c r="H227" s="282" t="n">
        <x:v>0</x:v>
      </x:c>
      <x:c r="I227" s="256" t="str">
        <x:v>normalized_absence</x:v>
      </x:c>
      <x:c r="J227" s="256" t="str">
        <x:v>data/raw/reports/originals/Microsoft_FY2026_10K.pdf</x:v>
      </x:c>
      <x:c r="K227" s="256" t="str">
        <x:f>IFERROR(HYPERLINK("../data/raw/reports/highlighted/Microsoft_FY2026_10K_highlighted.pdf","Marked PDF page 52"),"Marked PDF page 52")</x:f>
        <x:v>Marked PDF page 52</x:v>
      </x:c>
      <x:c r="L227" s="256" t="str">
        <x:v>normalized_absence</x:v>
      </x:c>
    </x:row>
    <x:row r="228" ht="24" customHeight="1">
      <x:c r="C228" s="256" t="str">
        <x:v>SRC-1009</x:v>
      </x:c>
      <x:c r="D228" s="256" t="str">
        <x:v>Historical Inputs!N30</x:v>
      </x:c>
      <x:c r="E228" s="256" t="n">
        <x:v>2026</x:v>
      </x:c>
      <x:c r="F228" s="256" t="n">
        <x:v>2026</x:v>
      </x:c>
      <x:c r="G228" s="256" t="n">
        <x:v>52</x:v>
      </x:c>
      <x:c r="H228" s="282" t="n">
        <x:v>0</x:v>
      </x:c>
      <x:c r="I228" s="256" t="str">
        <x:v>normalized_absence</x:v>
      </x:c>
      <x:c r="J228" s="256" t="str">
        <x:v>data/raw/reports/originals/Microsoft_FY2026_10K.pdf</x:v>
      </x:c>
      <x:c r="K228" s="256" t="str">
        <x:f>IFERROR(HYPERLINK("../data/raw/reports/highlighted/Microsoft_FY2026_10K_highlighted.pdf","Marked PDF page 52"),"Marked PDF page 52")</x:f>
        <x:v>Marked PDF page 52</x:v>
      </x:c>
      <x:c r="L228" s="256" t="str">
        <x:v>normalized_absence</x:v>
      </x:c>
    </x:row>
    <x:row r="229" ht="24" customHeight="1">
      <x:c r="C229" s="256" t="str">
        <x:v>SRC-0038</x:v>
      </x:c>
      <x:c r="D229" s="256" t="str">
        <x:v>Historical Inputs!E31</x:v>
      </x:c>
      <x:c r="E229" s="256" t="n">
        <x:v>2017</x:v>
      </x:c>
      <x:c r="F229" s="256" t="n">
        <x:v>2018</x:v>
      </x:c>
      <x:c r="G229" s="256" t="n">
        <x:v>53</x:v>
      </x:c>
      <x:c r="H229" s="282" t="n">
        <x:v>76073</x:v>
      </x:c>
      <x:c r="I229" s="256" t="str">
        <x:v>reported</x:v>
      </x:c>
      <x:c r="J229" s="256" t="str">
        <x:v>data/raw/reports/originals/Microsoft_FY2018_10K.pdf</x:v>
      </x:c>
      <x:c r="K229" s="256" t="str">
        <x:f>IFERROR(HYPERLINK("../data/raw/reports/highlighted/Microsoft_FY2018_10K_highlighted.pdf","Marked PDF page 53"),"Marked PDF page 53")</x:f>
        <x:v>Marked PDF page 53</x:v>
      </x:c>
      <x:c r="L229" s="256" t="str">
        <x:v>none</x:v>
      </x:c>
    </x:row>
    <x:row r="230" ht="24" customHeight="1">
      <x:c r="C230" s="256" t="str">
        <x:v>SRC-0143</x:v>
      </x:c>
      <x:c r="D230" s="256" t="str">
        <x:v>Historical Inputs!F31</x:v>
      </x:c>
      <x:c r="E230" s="256" t="n">
        <x:v>2018</x:v>
      </x:c>
      <x:c r="F230" s="256" t="n">
        <x:v>2019</x:v>
      </x:c>
      <x:c r="G230" s="256" t="n">
        <x:v>53</x:v>
      </x:c>
      <x:c r="H230" s="282" t="n">
        <x:v>72242</x:v>
      </x:c>
      <x:c r="I230" s="256" t="str">
        <x:v>reported</x:v>
      </x:c>
      <x:c r="J230" s="256" t="str">
        <x:v>data/raw/reports/originals/Microsoft_FY2019_10K.pdf</x:v>
      </x:c>
      <x:c r="K230" s="256" t="str">
        <x:f>IFERROR(HYPERLINK("../data/raw/reports/highlighted/Microsoft_FY2019_10K_highlighted.pdf","Marked PDF page 53"),"Marked PDF page 53")</x:f>
        <x:v>Marked PDF page 53</x:v>
      </x:c>
      <x:c r="L230" s="256" t="str">
        <x:v>none</x:v>
      </x:c>
    </x:row>
    <x:row r="231" ht="24" customHeight="1">
      <x:c r="C231" s="256" t="str">
        <x:v>SRC-0248</x:v>
      </x:c>
      <x:c r="D231" s="256" t="str">
        <x:v>Historical Inputs!G31</x:v>
      </x:c>
      <x:c r="E231" s="256" t="n">
        <x:v>2019</x:v>
      </x:c>
      <x:c r="F231" s="256" t="n">
        <x:v>2020</x:v>
      </x:c>
      <x:c r="G231" s="256" t="n">
        <x:v>57</x:v>
      </x:c>
      <x:c r="H231" s="282" t="n">
        <x:v>66662</x:v>
      </x:c>
      <x:c r="I231" s="256" t="str">
        <x:v>reported</x:v>
      </x:c>
      <x:c r="J231" s="256" t="str">
        <x:v>data/raw/reports/originals/Microsoft_FY2020_10K.pdf</x:v>
      </x:c>
      <x:c r="K231" s="256" t="str">
        <x:f>IFERROR(HYPERLINK("../data/raw/reports/highlighted/Microsoft_FY2020_10K_highlighted.pdf","Marked PDF page 57"),"Marked PDF page 57")</x:f>
        <x:v>Marked PDF page 57</x:v>
      </x:c>
      <x:c r="L231" s="256" t="str">
        <x:v>none</x:v>
      </x:c>
    </x:row>
    <x:row r="232" ht="24" customHeight="1">
      <x:c r="C232" s="256" t="str">
        <x:v>SRC-0353</x:v>
      </x:c>
      <x:c r="D232" s="256" t="str">
        <x:v>Historical Inputs!H31</x:v>
      </x:c>
      <x:c r="E232" s="256" t="n">
        <x:v>2020</x:v>
      </x:c>
      <x:c r="F232" s="256" t="n">
        <x:v>2021</x:v>
      </x:c>
      <x:c r="G232" s="256" t="n">
        <x:v>59</x:v>
      </x:c>
      <x:c r="H232" s="282" t="n">
        <x:v>59578</x:v>
      </x:c>
      <x:c r="I232" s="256" t="str">
        <x:v>reported</x:v>
      </x:c>
      <x:c r="J232" s="256" t="str">
        <x:v>data/raw/reports/originals/Microsoft_FY2021_10K.pdf</x:v>
      </x:c>
      <x:c r="K232" s="256" t="str">
        <x:f>IFERROR(HYPERLINK("../data/raw/reports/highlighted/Microsoft_FY2021_10K_highlighted.pdf","Marked PDF page 59"),"Marked PDF page 59")</x:f>
        <x:v>Marked PDF page 59</x:v>
      </x:c>
      <x:c r="L232" s="256" t="str">
        <x:v>none</x:v>
      </x:c>
    </x:row>
    <x:row r="233" ht="24" customHeight="1">
      <x:c r="C233" s="256" t="str">
        <x:v>SRC-0459</x:v>
      </x:c>
      <x:c r="D233" s="256" t="str">
        <x:v>Historical Inputs!I31</x:v>
      </x:c>
      <x:c r="E233" s="256" t="n">
        <x:v>2021</x:v>
      </x:c>
      <x:c r="F233" s="256" t="n">
        <x:v>2022</x:v>
      </x:c>
      <x:c r="G233" s="256" t="n">
        <x:v>59</x:v>
      </x:c>
      <x:c r="H233" s="282" t="n">
        <x:v>50074</x:v>
      </x:c>
      <x:c r="I233" s="256" t="str">
        <x:v>reported</x:v>
      </x:c>
      <x:c r="J233" s="256" t="str">
        <x:v>data/raw/reports/originals/Microsoft_FY2022_10K.pdf</x:v>
      </x:c>
      <x:c r="K233" s="256" t="str">
        <x:f>IFERROR(HYPERLINK("../data/raw/reports/highlighted/Microsoft_FY2022_10K_highlighted.pdf","Marked PDF page 59"),"Marked PDF page 59")</x:f>
        <x:v>Marked PDF page 59</x:v>
      </x:c>
      <x:c r="L233" s="256" t="str">
        <x:v>none</x:v>
      </x:c>
    </x:row>
    <x:row r="234" ht="24" customHeight="1">
      <x:c r="C234" s="256" t="str">
        <x:v>SRC-0565</x:v>
      </x:c>
      <x:c r="D234" s="256" t="str">
        <x:v>Historical Inputs!J31</x:v>
      </x:c>
      <x:c r="E234" s="256" t="n">
        <x:v>2022</x:v>
      </x:c>
      <x:c r="F234" s="256" t="n">
        <x:v>2023</x:v>
      </x:c>
      <x:c r="G234" s="256" t="n">
        <x:v>60</x:v>
      </x:c>
      <x:c r="H234" s="282" t="n">
        <x:v>47032</x:v>
      </x:c>
      <x:c r="I234" s="256" t="str">
        <x:v>reported</x:v>
      </x:c>
      <x:c r="J234" s="256" t="str">
        <x:v>data/raw/reports/originals/Microsoft_FY2023_10K.pdf</x:v>
      </x:c>
      <x:c r="K234" s="256" t="str">
        <x:f>IFERROR(HYPERLINK("../data/raw/reports/highlighted/Microsoft_FY2023_10K_highlighted.pdf","Marked PDF page 60"),"Marked PDF page 60")</x:f>
        <x:v>Marked PDF page 60</x:v>
      </x:c>
      <x:c r="L234" s="256" t="str">
        <x:v>none</x:v>
      </x:c>
    </x:row>
    <x:row r="235" ht="24" customHeight="1">
      <x:c r="C235" s="256" t="str">
        <x:v>SRC-0670</x:v>
      </x:c>
      <x:c r="D235" s="256" t="str">
        <x:v>Historical Inputs!K31</x:v>
      </x:c>
      <x:c r="E235" s="256" t="n">
        <x:v>2023</x:v>
      </x:c>
      <x:c r="F235" s="256" t="n">
        <x:v>2024</x:v>
      </x:c>
      <x:c r="G235" s="256" t="n">
        <x:v>58</x:v>
      </x:c>
      <x:c r="H235" s="282" t="n">
        <x:v>41990</x:v>
      </x:c>
      <x:c r="I235" s="256" t="str">
        <x:v>reported</x:v>
      </x:c>
      <x:c r="J235" s="256" t="str">
        <x:v>data/raw/reports/originals/Microsoft_FY2024_10K.pdf</x:v>
      </x:c>
      <x:c r="K235" s="256" t="str">
        <x:f>IFERROR(HYPERLINK("../data/raw/reports/highlighted/Microsoft_FY2024_10K_highlighted.pdf","Marked PDF page 58"),"Marked PDF page 58")</x:f>
        <x:v>Marked PDF page 58</x:v>
      </x:c>
      <x:c r="L235" s="256" t="str">
        <x:v>none</x:v>
      </x:c>
    </x:row>
    <x:row r="236" ht="24" customHeight="1">
      <x:c r="C236" s="256" t="str">
        <x:v>SRC-0779</x:v>
      </x:c>
      <x:c r="D236" s="256" t="str">
        <x:v>Historical Inputs!L31</x:v>
      </x:c>
      <x:c r="E236" s="256" t="n">
        <x:v>2024</x:v>
      </x:c>
      <x:c r="F236" s="256" t="n">
        <x:v>2025</x:v>
      </x:c>
      <x:c r="G236" s="256" t="n">
        <x:v>52</x:v>
      </x:c>
      <x:c r="H236" s="282" t="n">
        <x:v>42688</x:v>
      </x:c>
      <x:c r="I236" s="256" t="str">
        <x:v>reported</x:v>
      </x:c>
      <x:c r="J236" s="256" t="str">
        <x:v>data/raw/reports/originals/Microsoft_FY2025_10K.pdf</x:v>
      </x:c>
      <x:c r="K236" s="256" t="str">
        <x:f>IFERROR(HYPERLINK("../data/raw/reports/highlighted/Microsoft_FY2025_10K_highlighted.pdf","Marked PDF page 52"),"Marked PDF page 52")</x:f>
        <x:v>Marked PDF page 52</x:v>
      </x:c>
      <x:c r="L236" s="256" t="str">
        <x:v>none</x:v>
      </x:c>
    </x:row>
    <x:row r="237" ht="24" customHeight="1">
      <x:c r="C237" s="256" t="str">
        <x:v>SRC-0888</x:v>
      </x:c>
      <x:c r="D237" s="256" t="str">
        <x:v>Historical Inputs!M31</x:v>
      </x:c>
      <x:c r="E237" s="256" t="n">
        <x:v>2025</x:v>
      </x:c>
      <x:c r="F237" s="256" t="n">
        <x:v>2026</x:v>
      </x:c>
      <x:c r="G237" s="256" t="n">
        <x:v>52</x:v>
      </x:c>
      <x:c r="H237" s="282" t="n">
        <x:v>40152</x:v>
      </x:c>
      <x:c r="I237" s="256" t="str">
        <x:v>reported</x:v>
      </x:c>
      <x:c r="J237" s="256" t="str">
        <x:v>data/raw/reports/originals/Microsoft_FY2026_10K.pdf</x:v>
      </x:c>
      <x:c r="K237" s="256" t="str">
        <x:f>IFERROR(HYPERLINK("../data/raw/reports/highlighted/Microsoft_FY2026_10K_highlighted.pdf","Marked PDF page 52"),"Marked PDF page 52")</x:f>
        <x:v>Marked PDF page 52</x:v>
      </x:c>
      <x:c r="L237" s="256" t="str">
        <x:v>none</x:v>
      </x:c>
    </x:row>
    <x:row r="238" ht="24" customHeight="1">
      <x:c r="C238" s="256" t="str">
        <x:v>SRC-0997</x:v>
      </x:c>
      <x:c r="D238" s="256" t="str">
        <x:v>Historical Inputs!N31</x:v>
      </x:c>
      <x:c r="E238" s="256" t="n">
        <x:v>2026</x:v>
      </x:c>
      <x:c r="F238" s="256" t="n">
        <x:v>2026</x:v>
      </x:c>
      <x:c r="G238" s="256" t="n">
        <x:v>52</x:v>
      </x:c>
      <x:c r="H238" s="282" t="n">
        <x:v>31067</x:v>
      </x:c>
      <x:c r="I238" s="256" t="str">
        <x:v>reported</x:v>
      </x:c>
      <x:c r="J238" s="256" t="str">
        <x:v>data/raw/reports/originals/Microsoft_FY2026_10K.pdf</x:v>
      </x:c>
      <x:c r="K238" s="256" t="str">
        <x:f>IFERROR(HYPERLINK("../data/raw/reports/highlighted/Microsoft_FY2026_10K_highlighted.pdf","Marked PDF page 52"),"Marked PDF page 52")</x:f>
        <x:v>Marked PDF page 52</x:v>
      </x:c>
      <x:c r="L238" s="256" t="str">
        <x:v>none</x:v>
      </x:c>
    </x:row>
    <x:row r="239" ht="24" customHeight="1">
      <x:c r="C239" s="256" t="str">
        <x:v>SRC-0024</x:v>
      </x:c>
      <x:c r="D239" s="256" t="str">
        <x:v>Historical Inputs!E32</x:v>
      </x:c>
      <x:c r="E239" s="256" t="n">
        <x:v>2017</x:v>
      </x:c>
      <x:c r="F239" s="256" t="n">
        <x:v>2018</x:v>
      </x:c>
      <x:c r="G239" s="256" t="n">
        <x:v>53</x:v>
      </x:c>
      <x:c r="H239" s="282" t="n">
        <x:v>23734</x:v>
      </x:c>
      <x:c r="I239" s="256" t="str">
        <x:v>reported</x:v>
      </x:c>
      <x:c r="J239" s="256" t="str">
        <x:v>data/raw/reports/originals/Microsoft_FY2018_10K.pdf</x:v>
      </x:c>
      <x:c r="K239" s="256" t="str">
        <x:f>IFERROR(HYPERLINK("../data/raw/reports/highlighted/Microsoft_FY2018_10K_highlighted.pdf","Marked PDF page 53"),"Marked PDF page 53")</x:f>
        <x:v>Marked PDF page 53</x:v>
      </x:c>
      <x:c r="L239" s="256" t="str">
        <x:v>none</x:v>
      </x:c>
    </x:row>
    <x:row r="240" ht="24" customHeight="1">
      <x:c r="C240" s="256" t="str">
        <x:v>SRC-0129</x:v>
      </x:c>
      <x:c r="D240" s="256" t="str">
        <x:v>Historical Inputs!F32</x:v>
      </x:c>
      <x:c r="E240" s="256" t="n">
        <x:v>2018</x:v>
      </x:c>
      <x:c r="F240" s="256" t="n">
        <x:v>2019</x:v>
      </x:c>
      <x:c r="G240" s="256" t="n">
        <x:v>53</x:v>
      </x:c>
      <x:c r="H240" s="282" t="n">
        <x:v>29460</x:v>
      </x:c>
      <x:c r="I240" s="256" t="str">
        <x:v>reported</x:v>
      </x:c>
      <x:c r="J240" s="256" t="str">
        <x:v>data/raw/reports/originals/Microsoft_FY2019_10K.pdf</x:v>
      </x:c>
      <x:c r="K240" s="256" t="str">
        <x:f>IFERROR(HYPERLINK("../data/raw/reports/highlighted/Microsoft_FY2019_10K_highlighted.pdf","Marked PDF page 53"),"Marked PDF page 53")</x:f>
        <x:v>Marked PDF page 53</x:v>
      </x:c>
      <x:c r="L240" s="256" t="str">
        <x:v>none</x:v>
      </x:c>
    </x:row>
    <x:row r="241" ht="24" customHeight="1">
      <x:c r="C241" s="256" t="str">
        <x:v>SRC-0234</x:v>
      </x:c>
      <x:c r="D241" s="256" t="str">
        <x:v>Historical Inputs!G32</x:v>
      </x:c>
      <x:c r="E241" s="256" t="n">
        <x:v>2019</x:v>
      </x:c>
      <x:c r="F241" s="256" t="n">
        <x:v>2020</x:v>
      </x:c>
      <x:c r="G241" s="256" t="n">
        <x:v>57</x:v>
      </x:c>
      <x:c r="H241" s="282" t="n">
        <x:v>36477</x:v>
      </x:c>
      <x:c r="I241" s="256" t="str">
        <x:v>reported</x:v>
      </x:c>
      <x:c r="J241" s="256" t="str">
        <x:v>data/raw/reports/originals/Microsoft_FY2020_10K.pdf</x:v>
      </x:c>
      <x:c r="K241" s="256" t="str">
        <x:f>IFERROR(HYPERLINK("../data/raw/reports/highlighted/Microsoft_FY2020_10K_highlighted.pdf","Marked PDF page 57"),"Marked PDF page 57")</x:f>
        <x:v>Marked PDF page 57</x:v>
      </x:c>
      <x:c r="L241" s="256" t="str">
        <x:v>none</x:v>
      </x:c>
    </x:row>
    <x:row r="242" ht="24" customHeight="1">
      <x:c r="C242" s="256" t="str">
        <x:v>SRC-0339</x:v>
      </x:c>
      <x:c r="D242" s="256" t="str">
        <x:v>Historical Inputs!H32</x:v>
      </x:c>
      <x:c r="E242" s="256" t="n">
        <x:v>2020</x:v>
      </x:c>
      <x:c r="F242" s="256" t="n">
        <x:v>2021</x:v>
      </x:c>
      <x:c r="G242" s="256" t="n">
        <x:v>59</x:v>
      </x:c>
      <x:c r="H242" s="282" t="n">
        <x:v>44151</x:v>
      </x:c>
      <x:c r="I242" s="256" t="str">
        <x:v>reported</x:v>
      </x:c>
      <x:c r="J242" s="256" t="str">
        <x:v>data/raw/reports/originals/Microsoft_FY2021_10K.pdf</x:v>
      </x:c>
      <x:c r="K242" s="256" t="str">
        <x:f>IFERROR(HYPERLINK("../data/raw/reports/highlighted/Microsoft_FY2021_10K_highlighted.pdf","Marked PDF page 59"),"Marked PDF page 59")</x:f>
        <x:v>Marked PDF page 59</x:v>
      </x:c>
      <x:c r="L242" s="256" t="str">
        <x:v>none</x:v>
      </x:c>
    </x:row>
    <x:row r="243" ht="24" customHeight="1">
      <x:c r="C243" s="256" t="str">
        <x:v>SRC-0445</x:v>
      </x:c>
      <x:c r="D243" s="256" t="str">
        <x:v>Historical Inputs!I32</x:v>
      </x:c>
      <x:c r="E243" s="256" t="n">
        <x:v>2021</x:v>
      </x:c>
      <x:c r="F243" s="256" t="n">
        <x:v>2022</x:v>
      </x:c>
      <x:c r="G243" s="256" t="n">
        <x:v>59</x:v>
      </x:c>
      <x:c r="H243" s="282" t="n">
        <x:v>59715</x:v>
      </x:c>
      <x:c r="I243" s="256" t="str">
        <x:v>reported</x:v>
      </x:c>
      <x:c r="J243" s="256" t="str">
        <x:v>data/raw/reports/originals/Microsoft_FY2022_10K.pdf</x:v>
      </x:c>
      <x:c r="K243" s="256" t="str">
        <x:f>IFERROR(HYPERLINK("../data/raw/reports/highlighted/Microsoft_FY2022_10K_highlighted.pdf","Marked PDF page 59"),"Marked PDF page 59")</x:f>
        <x:v>Marked PDF page 59</x:v>
      </x:c>
      <x:c r="L243" s="256" t="str">
        <x:v>none</x:v>
      </x:c>
    </x:row>
    <x:row r="244" ht="24" customHeight="1">
      <x:c r="C244" s="256" t="str">
        <x:v>SRC-0551</x:v>
      </x:c>
      <x:c r="D244" s="256" t="str">
        <x:v>Historical Inputs!J32</x:v>
      </x:c>
      <x:c r="E244" s="256" t="n">
        <x:v>2022</x:v>
      </x:c>
      <x:c r="F244" s="256" t="n">
        <x:v>2023</x:v>
      </x:c>
      <x:c r="G244" s="256" t="n">
        <x:v>60</x:v>
      </x:c>
      <x:c r="H244" s="282" t="n">
        <x:v>74398</x:v>
      </x:c>
      <x:c r="I244" s="256" t="str">
        <x:v>reported</x:v>
      </x:c>
      <x:c r="J244" s="256" t="str">
        <x:v>data/raw/reports/originals/Microsoft_FY2023_10K.pdf</x:v>
      </x:c>
      <x:c r="K244" s="256" t="str">
        <x:f>IFERROR(HYPERLINK("../data/raw/reports/highlighted/Microsoft_FY2023_10K_highlighted.pdf","Marked PDF page 60"),"Marked PDF page 60")</x:f>
        <x:v>Marked PDF page 60</x:v>
      </x:c>
      <x:c r="L244" s="256" t="str">
        <x:v>none</x:v>
      </x:c>
    </x:row>
    <x:row r="245" ht="24" customHeight="1">
      <x:c r="C245" s="256" t="str">
        <x:v>SRC-0656</x:v>
      </x:c>
      <x:c r="D245" s="256" t="str">
        <x:v>Historical Inputs!K32</x:v>
      </x:c>
      <x:c r="E245" s="256" t="n">
        <x:v>2023</x:v>
      </x:c>
      <x:c r="F245" s="256" t="n">
        <x:v>2024</x:v>
      </x:c>
      <x:c r="G245" s="256" t="n">
        <x:v>58</x:v>
      </x:c>
      <x:c r="H245" s="282" t="n">
        <x:v>95641</x:v>
      </x:c>
      <x:c r="I245" s="256" t="str">
        <x:v>reported</x:v>
      </x:c>
      <x:c r="J245" s="256" t="str">
        <x:v>data/raw/reports/originals/Microsoft_FY2024_10K.pdf</x:v>
      </x:c>
      <x:c r="K245" s="256" t="str">
        <x:f>IFERROR(HYPERLINK("../data/raw/reports/highlighted/Microsoft_FY2024_10K_highlighted.pdf","Marked PDF page 58"),"Marked PDF page 58")</x:f>
        <x:v>Marked PDF page 58</x:v>
      </x:c>
      <x:c r="L245" s="256" t="str">
        <x:v>none</x:v>
      </x:c>
    </x:row>
    <x:row r="246" ht="24" customHeight="1">
      <x:c r="C246" s="256" t="str">
        <x:v>SRC-0765</x:v>
      </x:c>
      <x:c r="D246" s="256" t="str">
        <x:v>Historical Inputs!L32</x:v>
      </x:c>
      <x:c r="E246" s="256" t="n">
        <x:v>2024</x:v>
      </x:c>
      <x:c r="F246" s="256" t="n">
        <x:v>2025</x:v>
      </x:c>
      <x:c r="G246" s="256" t="n">
        <x:v>52</x:v>
      </x:c>
      <x:c r="H246" s="282" t="n">
        <x:v>135591</x:v>
      </x:c>
      <x:c r="I246" s="256" t="str">
        <x:v>reported</x:v>
      </x:c>
      <x:c r="J246" s="256" t="str">
        <x:v>data/raw/reports/originals/Microsoft_FY2025_10K.pdf</x:v>
      </x:c>
      <x:c r="K246" s="256" t="str">
        <x:f>IFERROR(HYPERLINK("../data/raw/reports/highlighted/Microsoft_FY2025_10K_highlighted.pdf","Marked PDF page 52"),"Marked PDF page 52")</x:f>
        <x:v>Marked PDF page 52</x:v>
      </x:c>
      <x:c r="L246" s="256" t="str">
        <x:v>none</x:v>
      </x:c>
    </x:row>
    <x:row r="247" ht="24" customHeight="1">
      <x:c r="C247" s="256" t="str">
        <x:v>SRC-0874</x:v>
      </x:c>
      <x:c r="D247" s="256" t="str">
        <x:v>Historical Inputs!M32</x:v>
      </x:c>
      <x:c r="E247" s="256" t="n">
        <x:v>2025</x:v>
      </x:c>
      <x:c r="F247" s="256" t="n">
        <x:v>2026</x:v>
      </x:c>
      <x:c r="G247" s="256" t="n">
        <x:v>52</x:v>
      </x:c>
      <x:c r="H247" s="282" t="n">
        <x:v>204966</x:v>
      </x:c>
      <x:c r="I247" s="256" t="str">
        <x:v>reported</x:v>
      </x:c>
      <x:c r="J247" s="256" t="str">
        <x:v>data/raw/reports/originals/Microsoft_FY2026_10K.pdf</x:v>
      </x:c>
      <x:c r="K247" s="256" t="str">
        <x:f>IFERROR(HYPERLINK("../data/raw/reports/highlighted/Microsoft_FY2026_10K_highlighted.pdf","Marked PDF page 52"),"Marked PDF page 52")</x:f>
        <x:v>Marked PDF page 52</x:v>
      </x:c>
      <x:c r="L247" s="256" t="str">
        <x:v>none</x:v>
      </x:c>
    </x:row>
    <x:row r="248" ht="24" customHeight="1">
      <x:c r="C248" s="256" t="str">
        <x:v>SRC-0983</x:v>
      </x:c>
      <x:c r="D248" s="256" t="str">
        <x:v>Historical Inputs!N32</x:v>
      </x:c>
      <x:c r="E248" s="256" t="n">
        <x:v>2026</x:v>
      </x:c>
      <x:c r="F248" s="256" t="n">
        <x:v>2026</x:v>
      </x:c>
      <x:c r="G248" s="256" t="n">
        <x:v>52</x:v>
      </x:c>
      <x:c r="H248" s="282" t="n">
        <x:v>313076</x:v>
      </x:c>
      <x:c r="I248" s="256" t="str">
        <x:v>reported</x:v>
      </x:c>
      <x:c r="J248" s="256" t="str">
        <x:v>data/raw/reports/originals/Microsoft_FY2026_10K.pdf</x:v>
      </x:c>
      <x:c r="K248" s="256" t="str">
        <x:f>IFERROR(HYPERLINK("../data/raw/reports/highlighted/Microsoft_FY2026_10K_highlighted.pdf","Marked PDF page 52"),"Marked PDF page 52")</x:f>
        <x:v>Marked PDF page 52</x:v>
      </x:c>
      <x:c r="L248" s="256" t="str">
        <x:v>none</x:v>
      </x:c>
    </x:row>
    <x:row r="249" ht="24" customHeight="1">
      <x:c r="C249" s="256" t="str">
        <x:v>SRC-0090</x:v>
      </x:c>
      <x:c r="D249" s="256" t="str">
        <x:v>Historical Inputs!E33</x:v>
      </x:c>
      <x:c r="E249" s="256" t="n">
        <x:v>2017</x:v>
      </x:c>
      <x:c r="F249" s="256" t="n">
        <x:v>2019</x:v>
      </x:c>
      <x:c r="G249" s="256" t="n">
        <x:v>72</x:v>
      </x:c>
      <x:c r="H249" s="282" t="n">
        <x:v>6100</x:v>
      </x:c>
      <x:c r="I249" s="256" t="str">
        <x:v>reported_billion_to_million</x:v>
      </x:c>
      <x:c r="J249" s="256" t="str">
        <x:v>data/raw/reports/originals/Microsoft_FY2019_10K.pdf</x:v>
      </x:c>
      <x:c r="K249" s="256" t="str">
        <x:f>IFERROR(HYPERLINK("../data/raw/reports/highlighted/Microsoft_FY2019_10K_highlighted.pdf","Marked PDF page 72"),"Marked PDF page 72")</x:f>
        <x:v>Marked PDF page 72</x:v>
      </x:c>
      <x:c r="L249" s="256" t="str">
        <x:v>multiply by 1000</x:v>
      </x:c>
    </x:row>
    <x:row r="250" ht="24" customHeight="1">
      <x:c r="C250" s="256" t="str">
        <x:v>SRC-0195</x:v>
      </x:c>
      <x:c r="D250" s="256" t="str">
        <x:v>Historical Inputs!F33</x:v>
      </x:c>
      <x:c r="E250" s="256" t="n">
        <x:v>2018</x:v>
      </x:c>
      <x:c r="F250" s="256" t="n">
        <x:v>2020</x:v>
      </x:c>
      <x:c r="G250" s="256" t="n">
        <x:v>75</x:v>
      </x:c>
      <x:c r="H250" s="282" t="n">
        <x:v>7700</x:v>
      </x:c>
      <x:c r="I250" s="256" t="str">
        <x:v>reported_billion_to_million</x:v>
      </x:c>
      <x:c r="J250" s="256" t="str">
        <x:v>data/raw/reports/originals/Microsoft_FY2020_10K.pdf</x:v>
      </x:c>
      <x:c r="K250" s="256" t="str">
        <x:f>IFERROR(HYPERLINK("../data/raw/reports/highlighted/Microsoft_FY2020_10K_highlighted.pdf","Marked PDF page 75"),"Marked PDF page 75")</x:f>
        <x:v>Marked PDF page 75</x:v>
      </x:c>
      <x:c r="L250" s="256" t="str">
        <x:v>multiply by 1000</x:v>
      </x:c>
    </x:row>
    <x:row r="251" ht="24" customHeight="1">
      <x:c r="C251" s="256" t="str">
        <x:v>SRC-0300</x:v>
      </x:c>
      <x:c r="D251" s="256" t="str">
        <x:v>Historical Inputs!G33</x:v>
      </x:c>
      <x:c r="E251" s="256" t="n">
        <x:v>2019</x:v>
      </x:c>
      <x:c r="F251" s="256" t="n">
        <x:v>2021</x:v>
      </x:c>
      <x:c r="G251" s="256" t="n">
        <x:v>77</x:v>
      </x:c>
      <x:c r="H251" s="282" t="n">
        <x:v>9700</x:v>
      </x:c>
      <x:c r="I251" s="256" t="str">
        <x:v>reported_billion_to_million</x:v>
      </x:c>
      <x:c r="J251" s="256" t="str">
        <x:v>data/raw/reports/originals/Microsoft_FY2021_10K.pdf</x:v>
      </x:c>
      <x:c r="K251" s="256" t="str">
        <x:f>IFERROR(HYPERLINK("../data/raw/reports/highlighted/Microsoft_FY2021_10K_highlighted.pdf","Marked PDF page 77"),"Marked PDF page 77")</x:f>
        <x:v>Marked PDF page 77</x:v>
      </x:c>
      <x:c r="L251" s="256" t="str">
        <x:v>multiply by 1000</x:v>
      </x:c>
    </x:row>
    <x:row r="252" ht="24" customHeight="1">
      <x:c r="C252" s="256" t="str">
        <x:v>SRC-0406</x:v>
      </x:c>
      <x:c r="D252" s="256" t="str">
        <x:v>Historical Inputs!H33</x:v>
      </x:c>
      <x:c r="E252" s="256" t="n">
        <x:v>2020</x:v>
      </x:c>
      <x:c r="F252" s="256" t="n">
        <x:v>2022</x:v>
      </x:c>
      <x:c r="G252" s="256" t="n">
        <x:v>77</x:v>
      </x:c>
      <x:c r="H252" s="282" t="n">
        <x:v>10700</x:v>
      </x:c>
      <x:c r="I252" s="256" t="str">
        <x:v>reported_billion_to_million</x:v>
      </x:c>
      <x:c r="J252" s="256" t="str">
        <x:v>data/raw/reports/originals/Microsoft_FY2022_10K.pdf</x:v>
      </x:c>
      <x:c r="K252" s="256" t="str">
        <x:f>IFERROR(HYPERLINK("../data/raw/reports/highlighted/Microsoft_FY2022_10K_highlighted.pdf","Marked PDF page 77"),"Marked PDF page 77")</x:f>
        <x:v>Marked PDF page 77</x:v>
      </x:c>
      <x:c r="L252" s="256" t="str">
        <x:v>multiply by 1000</x:v>
      </x:c>
    </x:row>
    <x:row r="253" ht="24" customHeight="1">
      <x:c r="C253" s="256" t="str">
        <x:v>SRC-0512</x:v>
      </x:c>
      <x:c r="D253" s="256" t="str">
        <x:v>Historical Inputs!I33</x:v>
      </x:c>
      <x:c r="E253" s="256" t="n">
        <x:v>2021</x:v>
      </x:c>
      <x:c r="F253" s="256" t="n">
        <x:v>2023</x:v>
      </x:c>
      <x:c r="G253" s="256" t="n">
        <x:v>78</x:v>
      </x:c>
      <x:c r="H253" s="282" t="n">
        <x:v>9300</x:v>
      </x:c>
      <x:c r="I253" s="256" t="str">
        <x:v>reported_billion_to_million</x:v>
      </x:c>
      <x:c r="J253" s="256" t="str">
        <x:v>data/raw/reports/originals/Microsoft_FY2023_10K.pdf</x:v>
      </x:c>
      <x:c r="K253" s="256" t="str">
        <x:f>IFERROR(HYPERLINK("../data/raw/reports/highlighted/Microsoft_FY2023_10K_highlighted.pdf","Marked PDF page 78"),"Marked PDF page 78")</x:f>
        <x:v>Marked PDF page 78</x:v>
      </x:c>
      <x:c r="L253" s="256" t="str">
        <x:v>multiply by 1000</x:v>
      </x:c>
    </x:row>
    <x:row r="254" ht="24" customHeight="1">
      <x:c r="C254" s="256" t="str">
        <x:v>SRC-0617</x:v>
      </x:c>
      <x:c r="D254" s="256" t="str">
        <x:v>Historical Inputs!J33</x:v>
      </x:c>
      <x:c r="E254" s="256" t="n">
        <x:v>2022</x:v>
      </x:c>
      <x:c r="F254" s="256" t="n">
        <x:v>2024</x:v>
      </x:c>
      <x:c r="G254" s="256" t="n">
        <x:v>76</x:v>
      </x:c>
      <x:c r="H254" s="282" t="n">
        <x:v>12600</x:v>
      </x:c>
      <x:c r="I254" s="256" t="str">
        <x:v>reported_billion_to_million</x:v>
      </x:c>
      <x:c r="J254" s="256" t="str">
        <x:v>data/raw/reports/originals/Microsoft_FY2024_10K.pdf</x:v>
      </x:c>
      <x:c r="K254" s="256" t="str">
        <x:f>IFERROR(HYPERLINK("../data/raw/reports/highlighted/Microsoft_FY2024_10K_highlighted.pdf","Marked PDF page 76"),"Marked PDF page 76")</x:f>
        <x:v>Marked PDF page 76</x:v>
      </x:c>
      <x:c r="L254" s="256" t="str">
        <x:v>multiply by 1000</x:v>
      </x:c>
    </x:row>
    <x:row r="255" ht="24" customHeight="1">
      <x:c r="C255" s="256" t="str">
        <x:v>SRC-0722</x:v>
      </x:c>
      <x:c r="D255" s="256" t="str">
        <x:v>Historical Inputs!K33</x:v>
      </x:c>
      <x:c r="E255" s="256" t="n">
        <x:v>2023</x:v>
      </x:c>
      <x:c r="F255" s="256" t="n">
        <x:v>2025</x:v>
      </x:c>
      <x:c r="G255" s="256" t="n">
        <x:v>69</x:v>
      </x:c>
      <x:c r="H255" s="282" t="n">
        <x:v>11000</x:v>
      </x:c>
      <x:c r="I255" s="256" t="str">
        <x:v>reported_billion_to_million</x:v>
      </x:c>
      <x:c r="J255" s="256" t="str">
        <x:v>data/raw/reports/originals/Microsoft_FY2025_10K.pdf</x:v>
      </x:c>
      <x:c r="K255" s="256" t="str">
        <x:f>IFERROR(HYPERLINK("../data/raw/reports/highlighted/Microsoft_FY2025_10K_highlighted.pdf","Marked PDF page 69"),"Marked PDF page 69")</x:f>
        <x:v>Marked PDF page 69</x:v>
      </x:c>
      <x:c r="L255" s="256" t="str">
        <x:v>multiply by 1000</x:v>
      </x:c>
    </x:row>
    <x:row r="256" ht="24" customHeight="1">
      <x:c r="C256" s="256" t="str">
        <x:v>SRC-0831</x:v>
      </x:c>
      <x:c r="D256" s="256" t="str">
        <x:v>Historical Inputs!L33</x:v>
      </x:c>
      <x:c r="E256" s="256" t="n">
        <x:v>2024</x:v>
      </x:c>
      <x:c r="F256" s="256" t="n">
        <x:v>2026</x:v>
      </x:c>
      <x:c r="G256" s="256" t="n">
        <x:v>69</x:v>
      </x:c>
      <x:c r="H256" s="282" t="n">
        <x:v>15200</x:v>
      </x:c>
      <x:c r="I256" s="256" t="str">
        <x:v>reported_billion_to_million</x:v>
      </x:c>
      <x:c r="J256" s="256" t="str">
        <x:v>data/raw/reports/originals/Microsoft_FY2026_10K.pdf</x:v>
      </x:c>
      <x:c r="K256" s="256" t="str">
        <x:f>IFERROR(HYPERLINK("../data/raw/reports/highlighted/Microsoft_FY2026_10K_highlighted.pdf","Marked PDF page 69"),"Marked PDF page 69")</x:f>
        <x:v>Marked PDF page 69</x:v>
      </x:c>
      <x:c r="L256" s="256" t="str">
        <x:v>multiply by 1000</x:v>
      </x:c>
    </x:row>
    <x:row r="257" ht="24" customHeight="1">
      <x:c r="C257" s="256" t="str">
        <x:v>SRC-0940</x:v>
      </x:c>
      <x:c r="D257" s="256" t="str">
        <x:v>Historical Inputs!M33</x:v>
      </x:c>
      <x:c r="E257" s="256" t="n">
        <x:v>2025</x:v>
      </x:c>
      <x:c r="F257" s="256" t="n">
        <x:v>2026</x:v>
      </x:c>
      <x:c r="G257" s="256" t="n">
        <x:v>69</x:v>
      </x:c>
      <x:c r="H257" s="282" t="n">
        <x:v>22000</x:v>
      </x:c>
      <x:c r="I257" s="256" t="str">
        <x:v>reported_billion_to_million</x:v>
      </x:c>
      <x:c r="J257" s="256" t="str">
        <x:v>data/raw/reports/originals/Microsoft_FY2026_10K.pdf</x:v>
      </x:c>
      <x:c r="K257" s="256" t="str">
        <x:f>IFERROR(HYPERLINK("../data/raw/reports/highlighted/Microsoft_FY2026_10K_highlighted.pdf","Marked PDF page 69"),"Marked PDF page 69")</x:f>
        <x:v>Marked PDF page 69</x:v>
      </x:c>
      <x:c r="L257" s="256" t="str">
        <x:v>multiply by 1000</x:v>
      </x:c>
    </x:row>
    <x:row r="258" ht="24" customHeight="1">
      <x:c r="C258" s="256" t="str">
        <x:v>SRC-1049</x:v>
      </x:c>
      <x:c r="D258" s="256" t="str">
        <x:v>Historical Inputs!N33</x:v>
      </x:c>
      <x:c r="E258" s="256" t="n">
        <x:v>2026</x:v>
      </x:c>
      <x:c r="F258" s="256" t="n">
        <x:v>2026</x:v>
      </x:c>
      <x:c r="G258" s="256" t="n">
        <x:v>69</x:v>
      </x:c>
      <x:c r="H258" s="282" t="n">
        <x:v>34300</x:v>
      </x:c>
      <x:c r="I258" s="256" t="str">
        <x:v>reported_billion_to_million</x:v>
      </x:c>
      <x:c r="J258" s="256" t="str">
        <x:v>data/raw/reports/originals/Microsoft_FY2026_10K.pdf</x:v>
      </x:c>
      <x:c r="K258" s="256" t="str">
        <x:f>IFERROR(HYPERLINK("../data/raw/reports/highlighted/Microsoft_FY2026_10K_highlighted.pdf","Marked PDF page 69"),"Marked PDF page 69")</x:f>
        <x:v>Marked PDF page 69</x:v>
      </x:c>
      <x:c r="L258" s="256" t="str">
        <x:v>multiply by 1000</x:v>
      </x:c>
    </x:row>
    <x:row r="259" ht="24" customHeight="1">
      <x:c r="C259" s="256" t="str">
        <x:v>SRC-0091</x:v>
      </x:c>
      <x:c r="D259" s="256" t="str">
        <x:v>Historical Inputs!E34</x:v>
      </x:c>
      <x:c r="E259" s="256" t="n">
        <x:v>2017</x:v>
      </x:c>
      <x:c r="F259" s="256" t="n">
        <x:v>2019</x:v>
      </x:c>
      <x:c r="G259" s="256" t="n">
        <x:v>76</x:v>
      </x:c>
      <x:c r="H259" s="282" t="n">
        <x:v>1700</x:v>
      </x:c>
      <x:c r="I259" s="256" t="str">
        <x:v>reported_billion_to_million</x:v>
      </x:c>
      <x:c r="J259" s="256" t="str">
        <x:v>data/raw/reports/originals/Microsoft_FY2019_10K.pdf</x:v>
      </x:c>
      <x:c r="K259" s="256" t="str">
        <x:f>IFERROR(HYPERLINK("../data/raw/reports/highlighted/Microsoft_FY2019_10K_highlighted.pdf","Marked PDF page 76"),"Marked PDF page 76")</x:f>
        <x:v>Marked PDF page 76</x:v>
      </x:c>
      <x:c r="L259" s="256" t="str">
        <x:v>multiply by 1000</x:v>
      </x:c>
    </x:row>
    <x:row r="260" ht="24" customHeight="1">
      <x:c r="C260" s="256" t="str">
        <x:v>SRC-0196</x:v>
      </x:c>
      <x:c r="D260" s="256" t="str">
        <x:v>Historical Inputs!F34</x:v>
      </x:c>
      <x:c r="E260" s="256" t="n">
        <x:v>2018</x:v>
      </x:c>
      <x:c r="F260" s="256" t="n">
        <x:v>2020</x:v>
      </x:c>
      <x:c r="G260" s="256" t="n">
        <x:v>77</x:v>
      </x:c>
      <x:c r="H260" s="282" t="n">
        <x:v>2200</x:v>
      </x:c>
      <x:c r="I260" s="256" t="str">
        <x:v>reported_billion_to_million</x:v>
      </x:c>
      <x:c r="J260" s="256" t="str">
        <x:v>data/raw/reports/originals/Microsoft_FY2020_10K.pdf</x:v>
      </x:c>
      <x:c r="K260" s="256" t="str">
        <x:f>IFERROR(HYPERLINK("../data/raw/reports/highlighted/Microsoft_FY2020_10K_highlighted.pdf","Marked PDF page 77"),"Marked PDF page 77")</x:f>
        <x:v>Marked PDF page 77</x:v>
      </x:c>
      <x:c r="L260" s="256" t="str">
        <x:v>multiply by 1000</x:v>
      </x:c>
    </x:row>
    <x:row r="261" ht="24" customHeight="1">
      <x:c r="C261" s="256" t="str">
        <x:v>SRC-0301</x:v>
      </x:c>
      <x:c r="D261" s="256" t="str">
        <x:v>Historical Inputs!G34</x:v>
      </x:c>
      <x:c r="E261" s="256" t="n">
        <x:v>2019</x:v>
      </x:c>
      <x:c r="F261" s="256" t="n">
        <x:v>2021</x:v>
      </x:c>
      <x:c r="G261" s="256" t="n">
        <x:v>80</x:v>
      </x:c>
      <x:c r="H261" s="282" t="n">
        <x:v>1900</x:v>
      </x:c>
      <x:c r="I261" s="256" t="str">
        <x:v>reported_billion_to_million</x:v>
      </x:c>
      <x:c r="J261" s="256" t="str">
        <x:v>data/raw/reports/originals/Microsoft_FY2021_10K.pdf</x:v>
      </x:c>
      <x:c r="K261" s="256" t="str">
        <x:f>IFERROR(HYPERLINK("../data/raw/reports/highlighted/Microsoft_FY2021_10K_highlighted.pdf","Marked PDF page 80"),"Marked PDF page 80")</x:f>
        <x:v>Marked PDF page 80</x:v>
      </x:c>
      <x:c r="L261" s="256" t="str">
        <x:v>multiply by 1000</x:v>
      </x:c>
    </x:row>
    <x:row r="262" ht="24" customHeight="1">
      <x:c r="C262" s="256" t="str">
        <x:v>SRC-0407</x:v>
      </x:c>
      <x:c r="D262" s="256" t="str">
        <x:v>Historical Inputs!H34</x:v>
      </x:c>
      <x:c r="E262" s="256" t="n">
        <x:v>2020</x:v>
      </x:c>
      <x:c r="F262" s="256" t="n">
        <x:v>2022</x:v>
      </x:c>
      <x:c r="G262" s="256" t="n">
        <x:v>80</x:v>
      </x:c>
      <x:c r="H262" s="282" t="n">
        <x:v>1600</x:v>
      </x:c>
      <x:c r="I262" s="256" t="str">
        <x:v>reported_billion_to_million</x:v>
      </x:c>
      <x:c r="J262" s="256" t="str">
        <x:v>data/raw/reports/originals/Microsoft_FY2022_10K.pdf</x:v>
      </x:c>
      <x:c r="K262" s="256" t="str">
        <x:f>IFERROR(HYPERLINK("../data/raw/reports/highlighted/Microsoft_FY2022_10K_highlighted.pdf","Marked PDF page 80"),"Marked PDF page 80")</x:f>
        <x:v>Marked PDF page 80</x:v>
      </x:c>
      <x:c r="L262" s="256" t="str">
        <x:v>multiply by 1000</x:v>
      </x:c>
    </x:row>
    <x:row r="263" ht="24" customHeight="1">
      <x:c r="C263" s="256" t="str">
        <x:v>SRC-0513</x:v>
      </x:c>
      <x:c r="D263" s="256" t="str">
        <x:v>Historical Inputs!I34</x:v>
      </x:c>
      <x:c r="E263" s="256" t="n">
        <x:v>2021</x:v>
      </x:c>
      <x:c r="F263" s="256" t="n">
        <x:v>2023</x:v>
      </x:c>
      <x:c r="G263" s="256" t="n">
        <x:v>80</x:v>
      </x:c>
      <x:c r="H263" s="282" t="n">
        <x:v>1600</x:v>
      </x:c>
      <x:c r="I263" s="256" t="str">
        <x:v>reported_billion_to_million</x:v>
      </x:c>
      <x:c r="J263" s="256" t="str">
        <x:v>data/raw/reports/originals/Microsoft_FY2023_10K.pdf</x:v>
      </x:c>
      <x:c r="K263" s="256" t="str">
        <x:f>IFERROR(HYPERLINK("../data/raw/reports/highlighted/Microsoft_FY2023_10K_highlighted.pdf","Marked PDF page 80"),"Marked PDF page 80")</x:f>
        <x:v>Marked PDF page 80</x:v>
      </x:c>
      <x:c r="L263" s="256" t="str">
        <x:v>multiply by 1000</x:v>
      </x:c>
    </x:row>
    <x:row r="264" ht="24" customHeight="1">
      <x:c r="C264" s="256" t="str">
        <x:v>SRC-0618</x:v>
      </x:c>
      <x:c r="D264" s="256" t="str">
        <x:v>Historical Inputs!J34</x:v>
      </x:c>
      <x:c r="E264" s="256" t="n">
        <x:v>2022</x:v>
      </x:c>
      <x:c r="F264" s="256" t="n">
        <x:v>2024</x:v>
      </x:c>
      <x:c r="G264" s="256" t="n">
        <x:v>79</x:v>
      </x:c>
      <x:c r="H264" s="282" t="n">
        <x:v>2000</x:v>
      </x:c>
      <x:c r="I264" s="256" t="str">
        <x:v>reported_billion_to_million</x:v>
      </x:c>
      <x:c r="J264" s="256" t="str">
        <x:v>data/raw/reports/originals/Microsoft_FY2024_10K.pdf</x:v>
      </x:c>
      <x:c r="K264" s="256" t="str">
        <x:f>IFERROR(HYPERLINK("../data/raw/reports/highlighted/Microsoft_FY2024_10K_highlighted.pdf","Marked PDF page 79"),"Marked PDF page 79")</x:f>
        <x:v>Marked PDF page 79</x:v>
      </x:c>
      <x:c r="L264" s="256" t="str">
        <x:v>multiply by 1000</x:v>
      </x:c>
    </x:row>
    <x:row r="265" ht="24" customHeight="1">
      <x:c r="C265" s="256" t="str">
        <x:v>SRC-0723</x:v>
      </x:c>
      <x:c r="D265" s="256" t="str">
        <x:v>Historical Inputs!K34</x:v>
      </x:c>
      <x:c r="E265" s="256" t="n">
        <x:v>2023</x:v>
      </x:c>
      <x:c r="F265" s="256" t="n">
        <x:v>2025</x:v>
      </x:c>
      <x:c r="G265" s="256" t="n">
        <x:v>72</x:v>
      </x:c>
      <x:c r="H265" s="282" t="n">
        <x:v>2500</x:v>
      </x:c>
      <x:c r="I265" s="256" t="str">
        <x:v>reported_billion_to_million</x:v>
      </x:c>
      <x:c r="J265" s="256" t="str">
        <x:v>data/raw/reports/originals/Microsoft_FY2025_10K.pdf</x:v>
      </x:c>
      <x:c r="K265" s="256" t="str">
        <x:f>IFERROR(HYPERLINK("../data/raw/reports/highlighted/Microsoft_FY2025_10K_highlighted.pdf","Marked PDF page 72"),"Marked PDF page 72")</x:f>
        <x:v>Marked PDF page 72</x:v>
      </x:c>
      <x:c r="L265" s="256" t="str">
        <x:v>multiply by 1000</x:v>
      </x:c>
    </x:row>
    <x:row r="266" ht="24" customHeight="1">
      <x:c r="C266" s="256" t="str">
        <x:v>SRC-0832</x:v>
      </x:c>
      <x:c r="D266" s="256" t="str">
        <x:v>Historical Inputs!L34</x:v>
      </x:c>
      <x:c r="E266" s="256" t="n">
        <x:v>2024</x:v>
      </x:c>
      <x:c r="F266" s="256" t="n">
        <x:v>2026</x:v>
      </x:c>
      <x:c r="G266" s="256" t="n">
        <x:v>71</x:v>
      </x:c>
      <x:c r="H266" s="282" t="n">
        <x:v>4800</x:v>
      </x:c>
      <x:c r="I266" s="256" t="str">
        <x:v>reported_billion_to_million</x:v>
      </x:c>
      <x:c r="J266" s="256" t="str">
        <x:v>data/raw/reports/originals/Microsoft_FY2026_10K.pdf</x:v>
      </x:c>
      <x:c r="K266" s="256" t="str">
        <x:f>IFERROR(HYPERLINK("../data/raw/reports/highlighted/Microsoft_FY2026_10K_highlighted.pdf","Marked PDF page 71"),"Marked PDF page 71")</x:f>
        <x:v>Marked PDF page 71</x:v>
      </x:c>
      <x:c r="L266" s="256" t="str">
        <x:v>multiply by 1000</x:v>
      </x:c>
    </x:row>
    <x:row r="267" ht="24" customHeight="1">
      <x:c r="C267" s="256" t="str">
        <x:v>SRC-0941</x:v>
      </x:c>
      <x:c r="D267" s="256" t="str">
        <x:v>Historical Inputs!M34</x:v>
      </x:c>
      <x:c r="E267" s="256" t="n">
        <x:v>2025</x:v>
      </x:c>
      <x:c r="F267" s="256" t="n">
        <x:v>2026</x:v>
      </x:c>
      <x:c r="G267" s="256" t="n">
        <x:v>71</x:v>
      </x:c>
      <x:c r="H267" s="282" t="n">
        <x:v>6000</x:v>
      </x:c>
      <x:c r="I267" s="256" t="str">
        <x:v>reported_billion_to_million</x:v>
      </x:c>
      <x:c r="J267" s="256" t="str">
        <x:v>data/raw/reports/originals/Microsoft_FY2026_10K.pdf</x:v>
      </x:c>
      <x:c r="K267" s="256" t="str">
        <x:f>IFERROR(HYPERLINK("../data/raw/reports/highlighted/Microsoft_FY2026_10K_highlighted.pdf","Marked PDF page 71"),"Marked PDF page 71")</x:f>
        <x:v>Marked PDF page 71</x:v>
      </x:c>
      <x:c r="L267" s="256" t="str">
        <x:v>multiply by 1000</x:v>
      </x:c>
    </x:row>
    <x:row r="268" ht="24" customHeight="1">
      <x:c r="C268" s="256" t="str">
        <x:v>SRC-1050</x:v>
      </x:c>
      <x:c r="D268" s="256" t="str">
        <x:v>Historical Inputs!N34</x:v>
      </x:c>
      <x:c r="E268" s="256" t="n">
        <x:v>2026</x:v>
      </x:c>
      <x:c r="F268" s="256" t="n">
        <x:v>2026</x:v>
      </x:c>
      <x:c r="G268" s="256" t="n">
        <x:v>71</x:v>
      </x:c>
      <x:c r="H268" s="282" t="n">
        <x:v>4700</x:v>
      </x:c>
      <x:c r="I268" s="256" t="str">
        <x:v>reported_billion_to_million</x:v>
      </x:c>
      <x:c r="J268" s="256" t="str">
        <x:v>data/raw/reports/originals/Microsoft_FY2026_10K.pdf</x:v>
      </x:c>
      <x:c r="K268" s="256" t="str">
        <x:f>IFERROR(HYPERLINK("../data/raw/reports/highlighted/Microsoft_FY2026_10K_highlighted.pdf","Marked PDF page 71"),"Marked PDF page 71")</x:f>
        <x:v>Marked PDF page 71</x:v>
      </x:c>
      <x:c r="L268" s="256" t="str">
        <x:v>multiply by 1000</x:v>
      </x:c>
    </x:row>
    <x:row r="269" ht="24" customHeight="1">
      <x:c r="C269" s="256" t="str">
        <x:v>SRC-0094</x:v>
      </x:c>
      <x:c r="D269" s="256" t="str">
        <x:v>Historical Inputs!E35</x:v>
      </x:c>
      <x:c r="E269" s="256" t="n">
        <x:v>2017</x:v>
      </x:c>
      <x:c r="F269" s="256" t="n">
        <x:v>2018</x:v>
      </x:c>
      <x:c r="G269" s="256" t="n">
        <x:v>87</x:v>
      </x:c>
      <x:c r="H269" s="282" t="n">
        <x:v>2538</x:v>
      </x:c>
      <x:c r="I269" s="256" t="str">
        <x:v>reported</x:v>
      </x:c>
      <x:c r="J269" s="256" t="str">
        <x:v>data/raw/reports/originals/Microsoft_FY2018_10K.pdf</x:v>
      </x:c>
      <x:c r="K269" s="256" t="str">
        <x:f>IFERROR(HYPERLINK("../data/raw/reports/highlighted/Microsoft_FY2018_10K_highlighted.pdf","Marked PDF page 87"),"Marked PDF page 87")</x:f>
        <x:v>Marked PDF page 87</x:v>
      </x:c>
      <x:c r="L269" s="256" t="str">
        <x:v>none</x:v>
      </x:c>
    </x:row>
    <x:row r="270" ht="24" customHeight="1">
      <x:c r="C270" s="256" t="str">
        <x:v>SRC-0199</x:v>
      </x:c>
      <x:c r="D270" s="256" t="str">
        <x:v>Historical Inputs!F35</x:v>
      </x:c>
      <x:c r="E270" s="256" t="n">
        <x:v>2018</x:v>
      </x:c>
      <x:c r="F270" s="256" t="n">
        <x:v>2019</x:v>
      </x:c>
      <x:c r="G270" s="256" t="n">
        <x:v>83</x:v>
      </x:c>
      <x:c r="H270" s="282" t="n">
        <x:v>4301</x:v>
      </x:c>
      <x:c r="I270" s="256" t="str">
        <x:v>reported</x:v>
      </x:c>
      <x:c r="J270" s="256" t="str">
        <x:v>data/raw/reports/originals/Microsoft_FY2019_10K.pdf</x:v>
      </x:c>
      <x:c r="K270" s="256" t="str">
        <x:f>IFERROR(HYPERLINK("../data/raw/reports/highlighted/Microsoft_FY2019_10K_highlighted.pdf","Marked PDF page 83"),"Marked PDF page 83")</x:f>
        <x:v>Marked PDF page 83</x:v>
      </x:c>
      <x:c r="L270" s="256" t="str">
        <x:v>none</x:v>
      </x:c>
    </x:row>
    <x:row r="271" ht="24" customHeight="1">
      <x:c r="C271" s="256" t="str">
        <x:v>SRC-0304</x:v>
      </x:c>
      <x:c r="D271" s="256" t="str">
        <x:v>Historical Inputs!G35</x:v>
      </x:c>
      <x:c r="E271" s="256" t="n">
        <x:v>2019</x:v>
      </x:c>
      <x:c r="F271" s="256" t="n">
        <x:v>2020</x:v>
      </x:c>
      <x:c r="G271" s="256" t="n">
        <x:v>84</x:v>
      </x:c>
      <x:c r="H271" s="282" t="n">
        <x:v>6574</x:v>
      </x:c>
      <x:c r="I271" s="256" t="str">
        <x:v>reported</x:v>
      </x:c>
      <x:c r="J271" s="256" t="str">
        <x:v>data/raw/reports/originals/Microsoft_FY2020_10K.pdf</x:v>
      </x:c>
      <x:c r="K271" s="256" t="str">
        <x:f>IFERROR(HYPERLINK("../data/raw/reports/highlighted/Microsoft_FY2020_10K_highlighted.pdf","Marked PDF page 84"),"Marked PDF page 84")</x:f>
        <x:v>Marked PDF page 84</x:v>
      </x:c>
      <x:c r="L271" s="256" t="str">
        <x:v>none</x:v>
      </x:c>
    </x:row>
    <x:row r="272" ht="24" customHeight="1">
      <x:c r="C272" s="256" t="str">
        <x:v>SRC-0410</x:v>
      </x:c>
      <x:c r="D272" s="256" t="str">
        <x:v>Historical Inputs!H35</x:v>
      </x:c>
      <x:c r="E272" s="256" t="n">
        <x:v>2020</x:v>
      </x:c>
      <x:c r="F272" s="256" t="n">
        <x:v>2021</x:v>
      </x:c>
      <x:c r="G272" s="256" t="n">
        <x:v>87</x:v>
      </x:c>
      <x:c r="H272" s="282" t="n">
        <x:v>9496</x:v>
      </x:c>
      <x:c r="I272" s="256" t="str">
        <x:v>reported</x:v>
      </x:c>
      <x:c r="J272" s="256" t="str">
        <x:v>data/raw/reports/originals/Microsoft_FY2021_10K.pdf</x:v>
      </x:c>
      <x:c r="K272" s="256" t="str">
        <x:f>IFERROR(HYPERLINK("../data/raw/reports/highlighted/Microsoft_FY2021_10K_highlighted.pdf","Marked PDF page 87"),"Marked PDF page 87")</x:f>
        <x:v>Marked PDF page 87</x:v>
      </x:c>
      <x:c r="L272" s="256" t="str">
        <x:v>none</x:v>
      </x:c>
    </x:row>
    <x:row r="273" ht="24" customHeight="1">
      <x:c r="C273" s="256" t="str">
        <x:v>SRC-0516</x:v>
      </x:c>
      <x:c r="D273" s="256" t="str">
        <x:v>Historical Inputs!I35</x:v>
      </x:c>
      <x:c r="E273" s="256" t="n">
        <x:v>2021</x:v>
      </x:c>
      <x:c r="F273" s="256" t="n">
        <x:v>2022</x:v>
      </x:c>
      <x:c r="G273" s="256" t="n">
        <x:v>87</x:v>
      </x:c>
      <x:c r="H273" s="282" t="n">
        <x:v>12541</x:v>
      </x:c>
      <x:c r="I273" s="256" t="str">
        <x:v>reported</x:v>
      </x:c>
      <x:c r="J273" s="256" t="str">
        <x:v>data/raw/reports/originals/Microsoft_FY2022_10K.pdf</x:v>
      </x:c>
      <x:c r="K273" s="256" t="str">
        <x:f>IFERROR(HYPERLINK("../data/raw/reports/highlighted/Microsoft_FY2022_10K_highlighted.pdf","Marked PDF page 87"),"Marked PDF page 87")</x:f>
        <x:v>Marked PDF page 87</x:v>
      </x:c>
      <x:c r="L273" s="256" t="str">
        <x:v>none</x:v>
      </x:c>
    </x:row>
    <x:row r="274" ht="24" customHeight="1">
      <x:c r="C274" s="256" t="str">
        <x:v>SRC-0621</x:v>
      </x:c>
      <x:c r="D274" s="256" t="str">
        <x:v>Historical Inputs!J35</x:v>
      </x:c>
      <x:c r="E274" s="256" t="n">
        <x:v>2022</x:v>
      </x:c>
      <x:c r="F274" s="256" t="n">
        <x:v>2023</x:v>
      </x:c>
      <x:c r="G274" s="256" t="n">
        <x:v>87</x:v>
      </x:c>
      <x:c r="H274" s="282" t="n">
        <x:v>14902</x:v>
      </x:c>
      <x:c r="I274" s="256" t="str">
        <x:v>reported</x:v>
      </x:c>
      <x:c r="J274" s="256" t="str">
        <x:v>data/raw/reports/originals/Microsoft_FY2023_10K.pdf</x:v>
      </x:c>
      <x:c r="K274" s="256" t="str">
        <x:f>IFERROR(HYPERLINK("../data/raw/reports/highlighted/Microsoft_FY2023_10K_highlighted.pdf","Marked PDF page 87"),"Marked PDF page 87")</x:f>
        <x:v>Marked PDF page 87</x:v>
      </x:c>
      <x:c r="L274" s="256" t="str">
        <x:v>none</x:v>
      </x:c>
    </x:row>
    <x:row r="275" ht="24" customHeight="1">
      <x:c r="C275" s="256" t="str">
        <x:v>SRC-0726</x:v>
      </x:c>
      <x:c r="D275" s="256" t="str">
        <x:v>Historical Inputs!K35</x:v>
      </x:c>
      <x:c r="E275" s="256" t="n">
        <x:v>2023</x:v>
      </x:c>
      <x:c r="F275" s="256" t="n">
        <x:v>2024</x:v>
      </x:c>
      <x:c r="G275" s="256" t="n">
        <x:v>85</x:v>
      </x:c>
      <x:c r="H275" s="282" t="n">
        <x:v>17067</x:v>
      </x:c>
      <x:c r="I275" s="256" t="str">
        <x:v>reported</x:v>
      </x:c>
      <x:c r="J275" s="256" t="str">
        <x:v>data/raw/reports/originals/Microsoft_FY2024_10K.pdf</x:v>
      </x:c>
      <x:c r="K275" s="256" t="str">
        <x:f>IFERROR(HYPERLINK("../data/raw/reports/highlighted/Microsoft_FY2024_10K_highlighted.pdf","Marked PDF page 85"),"Marked PDF page 85")</x:f>
        <x:v>Marked PDF page 85</x:v>
      </x:c>
      <x:c r="L275" s="256" t="str">
        <x:v>none</x:v>
      </x:c>
    </x:row>
    <x:row r="276" ht="24" customHeight="1">
      <x:c r="C276" s="256" t="str">
        <x:v>SRC-0835</x:v>
      </x:c>
      <x:c r="D276" s="256" t="str">
        <x:v>Historical Inputs!L35</x:v>
      </x:c>
      <x:c r="E276" s="256" t="n">
        <x:v>2024</x:v>
      </x:c>
      <x:c r="F276" s="256" t="n">
        <x:v>2025</x:v>
      </x:c>
      <x:c r="G276" s="256" t="n">
        <x:v>78</x:v>
      </x:c>
      <x:c r="H276" s="282" t="n">
        <x:v>27145</x:v>
      </x:c>
      <x:c r="I276" s="256" t="str">
        <x:v>reported</x:v>
      </x:c>
      <x:c r="J276" s="256" t="str">
        <x:v>data/raw/reports/originals/Microsoft_FY2025_10K.pdf</x:v>
      </x:c>
      <x:c r="K276" s="256" t="str">
        <x:f>IFERROR(HYPERLINK("../data/raw/reports/highlighted/Microsoft_FY2025_10K_highlighted.pdf","Marked PDF page 78"),"Marked PDF page 78")</x:f>
        <x:v>Marked PDF page 78</x:v>
      </x:c>
      <x:c r="L276" s="256" t="str">
        <x:v>none</x:v>
      </x:c>
    </x:row>
    <x:row r="277" ht="24" customHeight="1">
      <x:c r="C277" s="256" t="str">
        <x:v>SRC-0944</x:v>
      </x:c>
      <x:c r="D277" s="256" t="str">
        <x:v>Historical Inputs!M35</x:v>
      </x:c>
      <x:c r="E277" s="256" t="n">
        <x:v>2025</x:v>
      </x:c>
      <x:c r="F277" s="256" t="n">
        <x:v>2026</x:v>
      </x:c>
      <x:c r="G277" s="256" t="n">
        <x:v>78</x:v>
      </x:c>
      <x:c r="H277" s="282" t="n">
        <x:v>46172</x:v>
      </x:c>
      <x:c r="I277" s="256" t="str">
        <x:v>reported</x:v>
      </x:c>
      <x:c r="J277" s="256" t="str">
        <x:v>data/raw/reports/originals/Microsoft_FY2026_10K.pdf</x:v>
      </x:c>
      <x:c r="K277" s="256" t="str">
        <x:f>IFERROR(HYPERLINK("../data/raw/reports/highlighted/Microsoft_FY2026_10K_highlighted.pdf","Marked PDF page 78"),"Marked PDF page 78")</x:f>
        <x:v>Marked PDF page 78</x:v>
      </x:c>
      <x:c r="L277" s="256" t="str">
        <x:v>none</x:v>
      </x:c>
    </x:row>
    <x:row r="278" ht="24" customHeight="1">
      <x:c r="C278" s="256" t="str">
        <x:v>SRC-1053</x:v>
      </x:c>
      <x:c r="D278" s="256" t="str">
        <x:v>Historical Inputs!N35</x:v>
      </x:c>
      <x:c r="E278" s="256" t="n">
        <x:v>2026</x:v>
      </x:c>
      <x:c r="F278" s="256" t="n">
        <x:v>2026</x:v>
      </x:c>
      <x:c r="G278" s="256" t="n">
        <x:v>78</x:v>
      </x:c>
      <x:c r="H278" s="282" t="n">
        <x:v>66594</x:v>
      </x:c>
      <x:c r="I278" s="256" t="str">
        <x:v>reported</x:v>
      </x:c>
      <x:c r="J278" s="256" t="str">
        <x:v>data/raw/reports/originals/Microsoft_FY2026_10K.pdf</x:v>
      </x:c>
      <x:c r="K278" s="256" t="str">
        <x:f>IFERROR(HYPERLINK("../data/raw/reports/highlighted/Microsoft_FY2026_10K_highlighted.pdf","Marked PDF page 78"),"Marked PDF page 78")</x:f>
        <x:v>Marked PDF page 78</x:v>
      </x:c>
      <x:c r="L278" s="256" t="str">
        <x:v>none</x:v>
      </x:c>
    </x:row>
    <x:row r="279" ht="24" customHeight="1">
      <x:c r="C279" s="256" t="str">
        <x:v>SRC-0096</x:v>
      </x:c>
      <x:c r="D279" s="256" t="str">
        <x:v>Historical Inputs!E36</x:v>
      </x:c>
      <x:c r="E279" s="256" t="n">
        <x:v>2017</x:v>
      </x:c>
      <x:c r="F279" s="256" t="n">
        <x:v>2019</x:v>
      </x:c>
      <x:c r="G279" s="256" t="n">
        <x:v>83</x:v>
      </x:c>
      <x:c r="H279" s="282" t="n">
        <x:v>1773</x:v>
      </x:c>
      <x:c r="I279" s="256" t="str">
        <x:v>reported</x:v>
      </x:c>
      <x:c r="J279" s="256" t="str">
        <x:v>data/raw/reports/originals/Microsoft_FY2019_10K.pdf</x:v>
      </x:c>
      <x:c r="K279" s="256" t="str">
        <x:f>IFERROR(HYPERLINK("../data/raw/reports/highlighted/Microsoft_FY2019_10K_highlighted.pdf","Marked PDF page 83"),"Marked PDF page 83")</x:f>
        <x:v>Marked PDF page 83</x:v>
      </x:c>
      <x:c r="L279" s="256" t="str">
        <x:v>none</x:v>
      </x:c>
    </x:row>
    <x:row r="280" ht="24" customHeight="1">
      <x:c r="C280" s="256" t="str">
        <x:v>SRC-0201</x:v>
      </x:c>
      <x:c r="D280" s="256" t="str">
        <x:v>Historical Inputs!F36</x:v>
      </x:c>
      <x:c r="E280" s="256" t="n">
        <x:v>2018</x:v>
      </x:c>
      <x:c r="F280" s="256" t="n">
        <x:v>2020</x:v>
      </x:c>
      <x:c r="G280" s="256" t="n">
        <x:v>83</x:v>
      </x:c>
      <x:c r="H280" s="282" t="n">
        <x:v>1933</x:v>
      </x:c>
      <x:c r="I280" s="256" t="str">
        <x:v>reported</x:v>
      </x:c>
      <x:c r="J280" s="256" t="str">
        <x:v>data/raw/reports/originals/Microsoft_FY2020_10K.pdf</x:v>
      </x:c>
      <x:c r="K280" s="256" t="str">
        <x:f>IFERROR(HYPERLINK("../data/raw/reports/highlighted/Microsoft_FY2020_10K_highlighted.pdf","Marked PDF page 83"),"Marked PDF page 83")</x:f>
        <x:v>Marked PDF page 83</x:v>
      </x:c>
      <x:c r="L280" s="256" t="str">
        <x:v>none</x:v>
      </x:c>
    </x:row>
    <x:row r="281" ht="24" customHeight="1">
      <x:c r="C281" s="256" t="str">
        <x:v>SRC-0306</x:v>
      </x:c>
      <x:c r="D281" s="256" t="str">
        <x:v>Historical Inputs!G36</x:v>
      </x:c>
      <x:c r="E281" s="256" t="n">
        <x:v>2019</x:v>
      </x:c>
      <x:c r="F281" s="256" t="n">
        <x:v>2021</x:v>
      </x:c>
      <x:c r="G281" s="256" t="n">
        <x:v>86</x:v>
      </x:c>
      <x:c r="H281" s="282" t="n">
        <x:v>2532</x:v>
      </x:c>
      <x:c r="I281" s="256" t="str">
        <x:v>reported</x:v>
      </x:c>
      <x:c r="J281" s="256" t="str">
        <x:v>data/raw/reports/originals/Microsoft_FY2021_10K.pdf</x:v>
      </x:c>
      <x:c r="K281" s="256" t="str">
        <x:f>IFERROR(HYPERLINK("../data/raw/reports/highlighted/Microsoft_FY2021_10K_highlighted.pdf","Marked PDF page 86"),"Marked PDF page 86")</x:f>
        <x:v>Marked PDF page 86</x:v>
      </x:c>
      <x:c r="L281" s="256" t="str">
        <x:v>none</x:v>
      </x:c>
    </x:row>
    <x:row r="282" ht="24" customHeight="1">
      <x:c r="C282" s="256" t="str">
        <x:v>SRC-0412</x:v>
      </x:c>
      <x:c r="D282" s="256" t="str">
        <x:v>Historical Inputs!H36</x:v>
      </x:c>
      <x:c r="E282" s="256" t="n">
        <x:v>2020</x:v>
      </x:c>
      <x:c r="F282" s="256" t="n">
        <x:v>2022</x:v>
      </x:c>
      <x:c r="G282" s="256" t="n">
        <x:v>86</x:v>
      </x:c>
      <x:c r="H282" s="282" t="n">
        <x:v>3467</x:v>
      </x:c>
      <x:c r="I282" s="256" t="str">
        <x:v>reported</x:v>
      </x:c>
      <x:c r="J282" s="256" t="str">
        <x:v>data/raw/reports/originals/Microsoft_FY2022_10K.pdf</x:v>
      </x:c>
      <x:c r="K282" s="256" t="str">
        <x:f>IFERROR(HYPERLINK("../data/raw/reports/highlighted/Microsoft_FY2022_10K_highlighted.pdf","Marked PDF page 86"),"Marked PDF page 86")</x:f>
        <x:v>Marked PDF page 86</x:v>
      </x:c>
      <x:c r="L282" s="256" t="str">
        <x:v>none</x:v>
      </x:c>
    </x:row>
    <x:row r="283" ht="24" customHeight="1">
      <x:c r="C283" s="256" t="str">
        <x:v>SRC-0518</x:v>
      </x:c>
      <x:c r="D283" s="256" t="str">
        <x:v>Historical Inputs!I36</x:v>
      </x:c>
      <x:c r="E283" s="256" t="n">
        <x:v>2021</x:v>
      </x:c>
      <x:c r="F283" s="256" t="n">
        <x:v>2023</x:v>
      </x:c>
      <x:c r="G283" s="256" t="n">
        <x:v>86</x:v>
      </x:c>
      <x:c r="H283" s="282" t="n">
        <x:v>3290</x:v>
      </x:c>
      <x:c r="I283" s="256" t="str">
        <x:v>reported</x:v>
      </x:c>
      <x:c r="J283" s="256" t="str">
        <x:v>data/raw/reports/originals/Microsoft_FY2023_10K.pdf</x:v>
      </x:c>
      <x:c r="K283" s="256" t="str">
        <x:f>IFERROR(HYPERLINK("../data/raw/reports/highlighted/Microsoft_FY2023_10K_highlighted.pdf","Marked PDF page 86"),"Marked PDF page 86")</x:f>
        <x:v>Marked PDF page 86</x:v>
      </x:c>
      <x:c r="L283" s="256" t="str">
        <x:v>none</x:v>
      </x:c>
    </x:row>
    <x:row r="284" ht="24" customHeight="1">
      <x:c r="C284" s="256" t="str">
        <x:v>SRC-0623</x:v>
      </x:c>
      <x:c r="D284" s="256" t="str">
        <x:v>Historical Inputs!J36</x:v>
      </x:c>
      <x:c r="E284" s="256" t="n">
        <x:v>2022</x:v>
      </x:c>
      <x:c r="F284" s="256" t="n">
        <x:v>2024</x:v>
      </x:c>
      <x:c r="G284" s="256" t="n">
        <x:v>85</x:v>
      </x:c>
      <x:c r="H284" s="282" t="n">
        <x:v>4234</x:v>
      </x:c>
      <x:c r="I284" s="256" t="str">
        <x:v>reported</x:v>
      </x:c>
      <x:c r="J284" s="256" t="str">
        <x:v>data/raw/reports/originals/Microsoft_FY2024_10K.pdf</x:v>
      </x:c>
      <x:c r="K284" s="256" t="str">
        <x:f>IFERROR(HYPERLINK("../data/raw/reports/highlighted/Microsoft_FY2024_10K_highlighted.pdf","Marked PDF page 85"),"Marked PDF page 85")</x:f>
        <x:v>Marked PDF page 85</x:v>
      </x:c>
      <x:c r="L284" s="256" t="str">
        <x:v>none</x:v>
      </x:c>
    </x:row>
    <x:row r="285" ht="24" customHeight="1">
      <x:c r="C285" s="256" t="str">
        <x:v>SRC-0728</x:v>
      </x:c>
      <x:c r="D285" s="256" t="str">
        <x:v>Historical Inputs!K36</x:v>
      </x:c>
      <x:c r="E285" s="256" t="n">
        <x:v>2023</x:v>
      </x:c>
      <x:c r="F285" s="256" t="n">
        <x:v>2025</x:v>
      </x:c>
      <x:c r="G285" s="256" t="n">
        <x:v>77</x:v>
      </x:c>
      <x:c r="H285" s="282" t="n">
        <x:v>3128</x:v>
      </x:c>
      <x:c r="I285" s="256" t="str">
        <x:v>reported</x:v>
      </x:c>
      <x:c r="J285" s="256" t="str">
        <x:v>data/raw/reports/originals/Microsoft_FY2025_10K.pdf</x:v>
      </x:c>
      <x:c r="K285" s="256" t="str">
        <x:f>IFERROR(HYPERLINK("../data/raw/reports/highlighted/Microsoft_FY2025_10K_highlighted.pdf","Marked PDF page 77"),"Marked PDF page 77")</x:f>
        <x:v>Marked PDF page 77</x:v>
      </x:c>
      <x:c r="L285" s="256" t="str">
        <x:v>none</x:v>
      </x:c>
    </x:row>
    <x:row r="286" ht="24" customHeight="1">
      <x:c r="C286" s="256" t="str">
        <x:v>SRC-0837</x:v>
      </x:c>
      <x:c r="D286" s="256" t="str">
        <x:v>Historical Inputs!L36</x:v>
      </x:c>
      <x:c r="E286" s="256" t="n">
        <x:v>2024</x:v>
      </x:c>
      <x:c r="F286" s="256" t="n">
        <x:v>2026</x:v>
      </x:c>
      <x:c r="G286" s="256" t="n">
        <x:v>78</x:v>
      </x:c>
      <x:c r="H286" s="282" t="n">
        <x:v>11633</x:v>
      </x:c>
      <x:c r="I286" s="256" t="str">
        <x:v>reported</x:v>
      </x:c>
      <x:c r="J286" s="256" t="str">
        <x:v>data/raw/reports/originals/Microsoft_FY2026_10K.pdf</x:v>
      </x:c>
      <x:c r="K286" s="256" t="str">
        <x:f>IFERROR(HYPERLINK("../data/raw/reports/highlighted/Microsoft_FY2026_10K_highlighted.pdf","Marked PDF page 78"),"Marked PDF page 78")</x:f>
        <x:v>Marked PDF page 78</x:v>
      </x:c>
      <x:c r="L286" s="256" t="str">
        <x:v>none</x:v>
      </x:c>
    </x:row>
    <x:row r="287" ht="24" customHeight="1">
      <x:c r="C287" s="256" t="str">
        <x:v>SRC-0946</x:v>
      </x:c>
      <x:c r="D287" s="256" t="str">
        <x:v>Historical Inputs!M36</x:v>
      </x:c>
      <x:c r="E287" s="256" t="n">
        <x:v>2025</x:v>
      </x:c>
      <x:c r="F287" s="256" t="n">
        <x:v>2026</x:v>
      </x:c>
      <x:c r="G287" s="256" t="n">
        <x:v>78</x:v>
      </x:c>
      <x:c r="H287" s="282" t="n">
        <x:v>20511</x:v>
      </x:c>
      <x:c r="I287" s="256" t="str">
        <x:v>reported</x:v>
      </x:c>
      <x:c r="J287" s="256" t="str">
        <x:v>data/raw/reports/originals/Microsoft_FY2026_10K.pdf</x:v>
      </x:c>
      <x:c r="K287" s="256" t="str">
        <x:f>IFERROR(HYPERLINK("../data/raw/reports/highlighted/Microsoft_FY2026_10K_highlighted.pdf","Marked PDF page 78"),"Marked PDF page 78")</x:f>
        <x:v>Marked PDF page 78</x:v>
      </x:c>
      <x:c r="L287" s="256" t="str">
        <x:v>none</x:v>
      </x:c>
    </x:row>
    <x:row r="288" ht="24" customHeight="1">
      <x:c r="C288" s="256" t="str">
        <x:v>SRC-1055</x:v>
      </x:c>
      <x:c r="D288" s="256" t="str">
        <x:v>Historical Inputs!N36</x:v>
      </x:c>
      <x:c r="E288" s="256" t="n">
        <x:v>2026</x:v>
      </x:c>
      <x:c r="F288" s="256" t="n">
        <x:v>2026</x:v>
      </x:c>
      <x:c r="G288" s="256" t="n">
        <x:v>78</x:v>
      </x:c>
      <x:c r="H288" s="282" t="n">
        <x:v>24608</x:v>
      </x:c>
      <x:c r="I288" s="256" t="str">
        <x:v>reported</x:v>
      </x:c>
      <x:c r="J288" s="256" t="str">
        <x:v>data/raw/reports/originals/Microsoft_FY2026_10K.pdf</x:v>
      </x:c>
      <x:c r="K288" s="256" t="str">
        <x:f>IFERROR(HYPERLINK("../data/raw/reports/highlighted/Microsoft_FY2026_10K_highlighted.pdf","Marked PDF page 78"),"Marked PDF page 78")</x:f>
        <x:v>Marked PDF page 78</x:v>
      </x:c>
      <x:c r="L288" s="256" t="str">
        <x:v>none</x:v>
      </x:c>
    </x:row>
    <x:row r="289" ht="24" customHeight="1">
      <x:c r="C289" s="256" t="str">
        <x:v>SRC-0095</x:v>
      </x:c>
      <x:c r="D289" s="256" t="str">
        <x:v>Historical Inputs!E37</x:v>
      </x:c>
      <x:c r="E289" s="256" t="n">
        <x:v>2017</x:v>
      </x:c>
      <x:c r="F289" s="256" t="n">
        <x:v>2019</x:v>
      </x:c>
      <x:c r="G289" s="256" t="n">
        <x:v>83</x:v>
      </x:c>
      <x:c r="H289" s="282" t="n">
        <x:v>46</x:v>
      </x:c>
      <x:c r="I289" s="256" t="str">
        <x:v>reported</x:v>
      </x:c>
      <x:c r="J289" s="256" t="str">
        <x:v>data/raw/reports/originals/Microsoft_FY2019_10K.pdf</x:v>
      </x:c>
      <x:c r="K289" s="256" t="str">
        <x:f>IFERROR(HYPERLINK("../data/raw/reports/highlighted/Microsoft_FY2019_10K_highlighted.pdf","Marked PDF page 83"),"Marked PDF page 83")</x:f>
        <x:v>Marked PDF page 83</x:v>
      </x:c>
      <x:c r="L289" s="256" t="str">
        <x:v>none</x:v>
      </x:c>
    </x:row>
    <x:row r="290" ht="24" customHeight="1">
      <x:c r="C290" s="256" t="str">
        <x:v>SRC-0200</x:v>
      </x:c>
      <x:c r="D290" s="256" t="str">
        <x:v>Historical Inputs!F37</x:v>
      </x:c>
      <x:c r="E290" s="256" t="n">
        <x:v>2018</x:v>
      </x:c>
      <x:c r="F290" s="256" t="n">
        <x:v>2020</x:v>
      </x:c>
      <x:c r="G290" s="256" t="n">
        <x:v>83</x:v>
      </x:c>
      <x:c r="H290" s="282" t="n">
        <x:v>144</x:v>
      </x:c>
      <x:c r="I290" s="256" t="str">
        <x:v>reported</x:v>
      </x:c>
      <x:c r="J290" s="256" t="str">
        <x:v>data/raw/reports/originals/Microsoft_FY2020_10K.pdf</x:v>
      </x:c>
      <x:c r="K290" s="256" t="str">
        <x:f>IFERROR(HYPERLINK("../data/raw/reports/highlighted/Microsoft_FY2020_10K_highlighted.pdf","Marked PDF page 83"),"Marked PDF page 83")</x:f>
        <x:v>Marked PDF page 83</x:v>
      </x:c>
      <x:c r="L290" s="256" t="str">
        <x:v>none</x:v>
      </x:c>
    </x:row>
    <x:row r="291" ht="24" customHeight="1">
      <x:c r="C291" s="256" t="str">
        <x:v>SRC-0305</x:v>
      </x:c>
      <x:c r="D291" s="256" t="str">
        <x:v>Historical Inputs!G37</x:v>
      </x:c>
      <x:c r="E291" s="256" t="n">
        <x:v>2019</x:v>
      </x:c>
      <x:c r="F291" s="256" t="n">
        <x:v>2021</x:v>
      </x:c>
      <x:c r="G291" s="256" t="n">
        <x:v>86</x:v>
      </x:c>
      <x:c r="H291" s="282" t="n">
        <x:v>221</x:v>
      </x:c>
      <x:c r="I291" s="256" t="str">
        <x:v>reported</x:v>
      </x:c>
      <x:c r="J291" s="256" t="str">
        <x:v>data/raw/reports/originals/Microsoft_FY2021_10K.pdf</x:v>
      </x:c>
      <x:c r="K291" s="256" t="str">
        <x:f>IFERROR(HYPERLINK("../data/raw/reports/highlighted/Microsoft_FY2021_10K_highlighted.pdf","Marked PDF page 86"),"Marked PDF page 86")</x:f>
        <x:v>Marked PDF page 86</x:v>
      </x:c>
      <x:c r="L291" s="256" t="str">
        <x:v>none</x:v>
      </x:c>
    </x:row>
    <x:row r="292" ht="24" customHeight="1">
      <x:c r="C292" s="256" t="str">
        <x:v>SRC-0411</x:v>
      </x:c>
      <x:c r="D292" s="256" t="str">
        <x:v>Historical Inputs!H37</x:v>
      </x:c>
      <x:c r="E292" s="256" t="n">
        <x:v>2020</x:v>
      </x:c>
      <x:c r="F292" s="256" t="n">
        <x:v>2022</x:v>
      </x:c>
      <x:c r="G292" s="256" t="n">
        <x:v>86</x:v>
      </x:c>
      <x:c r="H292" s="282" t="n">
        <x:v>409</x:v>
      </x:c>
      <x:c r="I292" s="256" t="str">
        <x:v>reported</x:v>
      </x:c>
      <x:c r="J292" s="256" t="str">
        <x:v>data/raw/reports/originals/Microsoft_FY2022_10K.pdf</x:v>
      </x:c>
      <x:c r="K292" s="256" t="str">
        <x:f>IFERROR(HYPERLINK("../data/raw/reports/highlighted/Microsoft_FY2022_10K_highlighted.pdf","Marked PDF page 86"),"Marked PDF page 86")</x:f>
        <x:v>Marked PDF page 86</x:v>
      </x:c>
      <x:c r="L292" s="256" t="str">
        <x:v>none</x:v>
      </x:c>
    </x:row>
    <x:row r="293" ht="24" customHeight="1">
      <x:c r="C293" s="256" t="str">
        <x:v>SRC-0517</x:v>
      </x:c>
      <x:c r="D293" s="256" t="str">
        <x:v>Historical Inputs!I37</x:v>
      </x:c>
      <x:c r="E293" s="256" t="n">
        <x:v>2021</x:v>
      </x:c>
      <x:c r="F293" s="256" t="n">
        <x:v>2023</x:v>
      </x:c>
      <x:c r="G293" s="256" t="n">
        <x:v>86</x:v>
      </x:c>
      <x:c r="H293" s="282" t="n">
        <x:v>648</x:v>
      </x:c>
      <x:c r="I293" s="256" t="str">
        <x:v>reported</x:v>
      </x:c>
      <x:c r="J293" s="256" t="str">
        <x:v>data/raw/reports/originals/Microsoft_FY2023_10K.pdf</x:v>
      </x:c>
      <x:c r="K293" s="256" t="str">
        <x:f>IFERROR(HYPERLINK("../data/raw/reports/highlighted/Microsoft_FY2023_10K_highlighted.pdf","Marked PDF page 86"),"Marked PDF page 86")</x:f>
        <x:v>Marked PDF page 86</x:v>
      </x:c>
      <x:c r="L293" s="256" t="str">
        <x:v>none</x:v>
      </x:c>
    </x:row>
    <x:row r="294" ht="24" customHeight="1">
      <x:c r="C294" s="256" t="str">
        <x:v>SRC-0622</x:v>
      </x:c>
      <x:c r="D294" s="256" t="str">
        <x:v>Historical Inputs!J37</x:v>
      </x:c>
      <x:c r="E294" s="256" t="n">
        <x:v>2022</x:v>
      </x:c>
      <x:c r="F294" s="256" t="n">
        <x:v>2024</x:v>
      </x:c>
      <x:c r="G294" s="256" t="n">
        <x:v>85</x:v>
      </x:c>
      <x:c r="H294" s="282" t="n">
        <x:v>896</x:v>
      </x:c>
      <x:c r="I294" s="256" t="str">
        <x:v>reported</x:v>
      </x:c>
      <x:c r="J294" s="256" t="str">
        <x:v>data/raw/reports/originals/Microsoft_FY2024_10K.pdf</x:v>
      </x:c>
      <x:c r="K294" s="256" t="str">
        <x:f>IFERROR(HYPERLINK("../data/raw/reports/highlighted/Microsoft_FY2024_10K_highlighted.pdf","Marked PDF page 85"),"Marked PDF page 85")</x:f>
        <x:v>Marked PDF page 85</x:v>
      </x:c>
      <x:c r="L294" s="256" t="str">
        <x:v>none</x:v>
      </x:c>
    </x:row>
    <x:row r="295" ht="24" customHeight="1">
      <x:c r="C295" s="256" t="str">
        <x:v>SRC-0727</x:v>
      </x:c>
      <x:c r="D295" s="256" t="str">
        <x:v>Historical Inputs!K37</x:v>
      </x:c>
      <x:c r="E295" s="256" t="n">
        <x:v>2023</x:v>
      </x:c>
      <x:c r="F295" s="256" t="n">
        <x:v>2025</x:v>
      </x:c>
      <x:c r="G295" s="256" t="n">
        <x:v>77</x:v>
      </x:c>
      <x:c r="H295" s="282" t="n">
        <x:v>1056</x:v>
      </x:c>
      <x:c r="I295" s="256" t="str">
        <x:v>reported</x:v>
      </x:c>
      <x:c r="J295" s="256" t="str">
        <x:v>data/raw/reports/originals/Microsoft_FY2025_10K.pdf</x:v>
      </x:c>
      <x:c r="K295" s="256" t="str">
        <x:f>IFERROR(HYPERLINK("../data/raw/reports/highlighted/Microsoft_FY2025_10K_highlighted.pdf","Marked PDF page 77"),"Marked PDF page 77")</x:f>
        <x:v>Marked PDF page 77</x:v>
      </x:c>
      <x:c r="L295" s="256" t="str">
        <x:v>none</x:v>
      </x:c>
    </x:row>
    <x:row r="296" ht="24" customHeight="1">
      <x:c r="C296" s="256" t="str">
        <x:v>SRC-0836</x:v>
      </x:c>
      <x:c r="D296" s="256" t="str">
        <x:v>Historical Inputs!L37</x:v>
      </x:c>
      <x:c r="E296" s="256" t="n">
        <x:v>2024</x:v>
      </x:c>
      <x:c r="F296" s="256" t="n">
        <x:v>2026</x:v>
      </x:c>
      <x:c r="G296" s="256" t="n">
        <x:v>78</x:v>
      </x:c>
      <x:c r="H296" s="282" t="n">
        <x:v>1286</x:v>
      </x:c>
      <x:c r="I296" s="256" t="str">
        <x:v>reported</x:v>
      </x:c>
      <x:c r="J296" s="256" t="str">
        <x:v>data/raw/reports/originals/Microsoft_FY2026_10K.pdf</x:v>
      </x:c>
      <x:c r="K296" s="256" t="str">
        <x:f>IFERROR(HYPERLINK("../data/raw/reports/highlighted/Microsoft_FY2026_10K_highlighted.pdf","Marked PDF page 78"),"Marked PDF page 78")</x:f>
        <x:v>Marked PDF page 78</x:v>
      </x:c>
      <x:c r="L296" s="256" t="str">
        <x:v>none</x:v>
      </x:c>
    </x:row>
    <x:row r="297" ht="24" customHeight="1">
      <x:c r="C297" s="256" t="str">
        <x:v>SRC-0945</x:v>
      </x:c>
      <x:c r="D297" s="256" t="str">
        <x:v>Historical Inputs!M37</x:v>
      </x:c>
      <x:c r="E297" s="256" t="n">
        <x:v>2025</x:v>
      </x:c>
      <x:c r="F297" s="256" t="n">
        <x:v>2026</x:v>
      </x:c>
      <x:c r="G297" s="256" t="n">
        <x:v>78</x:v>
      </x:c>
      <x:c r="H297" s="282" t="n">
        <x:v>2283</x:v>
      </x:c>
      <x:c r="I297" s="256" t="str">
        <x:v>reported</x:v>
      </x:c>
      <x:c r="J297" s="256" t="str">
        <x:v>data/raw/reports/originals/Microsoft_FY2026_10K.pdf</x:v>
      </x:c>
      <x:c r="K297" s="256" t="str">
        <x:f>IFERROR(HYPERLINK("../data/raw/reports/highlighted/Microsoft_FY2026_10K_highlighted.pdf","Marked PDF page 78"),"Marked PDF page 78")</x:f>
        <x:v>Marked PDF page 78</x:v>
      </x:c>
      <x:c r="L297" s="256" t="str">
        <x:v>none</x:v>
      </x:c>
    </x:row>
    <x:row r="298" ht="24" customHeight="1">
      <x:c r="C298" s="256" t="str">
        <x:v>SRC-1054</x:v>
      </x:c>
      <x:c r="D298" s="256" t="str">
        <x:v>Historical Inputs!N37</x:v>
      </x:c>
      <x:c r="E298" s="256" t="n">
        <x:v>2026</x:v>
      </x:c>
      <x:c r="F298" s="256" t="n">
        <x:v>2026</x:v>
      </x:c>
      <x:c r="G298" s="256" t="n">
        <x:v>78</x:v>
      </x:c>
      <x:c r="H298" s="282" t="n">
        <x:v>3101</x:v>
      </x:c>
      <x:c r="I298" s="256" t="str">
        <x:v>reported</x:v>
      </x:c>
      <x:c r="J298" s="256" t="str">
        <x:v>data/raw/reports/originals/Microsoft_FY2026_10K.pdf</x:v>
      </x:c>
      <x:c r="K298" s="256" t="str">
        <x:f>IFERROR(HYPERLINK("../data/raw/reports/highlighted/Microsoft_FY2026_10K_highlighted.pdf","Marked PDF page 78"),"Marked PDF page 78")</x:f>
        <x:v>Marked PDF page 78</x:v>
      </x:c>
      <x:c r="L298" s="256" t="str">
        <x:v>none</x:v>
      </x:c>
    </x:row>
    <x:row r="299" ht="24" customHeight="1">
      <x:c r="C299" s="256" t="str">
        <x:v>DERIVED-29-2017</x:v>
      </x:c>
      <x:c r="D299" s="256" t="str">
        <x:v>Historical Inputs!E38</x:v>
      </x:c>
      <x:c r="E299" s="256" t="n">
        <x:v>2017</x:v>
      </x:c>
      <x:c r="F299" s="256" t="str">
        <x:v>n.a.</x:v>
      </x:c>
      <x:c r="G299" s="256" t="str">
        <x:v>n.a.</x:v>
      </x:c>
      <x:c r="H299" s="282" t="str">
        <x:v>n.a.</x:v>
      </x:c>
      <x:c r="I299" s="256" t="str">
        <x:v>unavailable_disclosure</x:v>
      </x:c>
      <x:c r="J299" s="256" t="str"/>
      <x:c r="K299" s="256" t="str"/>
      <x:c r="L299" s="256" t="str"/>
    </x:row>
    <x:row r="300" ht="24" customHeight="1">
      <x:c r="C300" s="256" t="str">
        <x:v>DERIVED-29-2018</x:v>
      </x:c>
      <x:c r="D300" s="256" t="str">
        <x:v>Historical Inputs!F38</x:v>
      </x:c>
      <x:c r="E300" s="256" t="n">
        <x:v>2018</x:v>
      </x:c>
      <x:c r="F300" s="256" t="str">
        <x:v>n.a.</x:v>
      </x:c>
      <x:c r="G300" s="256" t="str">
        <x:v>n.a.</x:v>
      </x:c>
      <x:c r="H300" s="282" t="str">
        <x:v>n.a.</x:v>
      </x:c>
      <x:c r="I300" s="256" t="str">
        <x:v>unavailable_disclosure</x:v>
      </x:c>
      <x:c r="J300" s="256" t="str"/>
      <x:c r="K300" s="256" t="str"/>
      <x:c r="L300" s="256" t="str"/>
    </x:row>
    <x:row r="301" ht="24" customHeight="1">
      <x:c r="C301" s="256" t="str">
        <x:v>DERIVED-29-2019</x:v>
      </x:c>
      <x:c r="D301" s="256" t="str">
        <x:v>Historical Inputs!G38</x:v>
      </x:c>
      <x:c r="E301" s="256" t="n">
        <x:v>2019</x:v>
      </x:c>
      <x:c r="F301" s="256" t="str">
        <x:v>n.a.</x:v>
      </x:c>
      <x:c r="G301" s="256" t="str">
        <x:v>n.a.</x:v>
      </x:c>
      <x:c r="H301" s="282" t="str">
        <x:v>n.a.</x:v>
      </x:c>
      <x:c r="I301" s="256" t="str">
        <x:v>unavailable_disclosure</x:v>
      </x:c>
      <x:c r="J301" s="256" t="str"/>
      <x:c r="K301" s="256" t="str"/>
      <x:c r="L301" s="256" t="str"/>
    </x:row>
    <x:row r="302" ht="24" customHeight="1">
      <x:c r="C302" s="256" t="str">
        <x:v>DERIVED-29-2020</x:v>
      </x:c>
      <x:c r="D302" s="256" t="str">
        <x:v>Historical Inputs!H38</x:v>
      </x:c>
      <x:c r="E302" s="256" t="n">
        <x:v>2020</x:v>
      </x:c>
      <x:c r="F302" s="256" t="str">
        <x:v>n.a.</x:v>
      </x:c>
      <x:c r="G302" s="256" t="str">
        <x:v>n.a.</x:v>
      </x:c>
      <x:c r="H302" s="282" t="str">
        <x:v>n.a.</x:v>
      </x:c>
      <x:c r="I302" s="256" t="str">
        <x:v>unavailable_disclosure</x:v>
      </x:c>
      <x:c r="J302" s="256" t="str"/>
      <x:c r="K302" s="256" t="str"/>
      <x:c r="L302" s="256" t="str"/>
    </x:row>
    <x:row r="303" ht="24" customHeight="1">
      <x:c r="C303" s="256" t="str">
        <x:v>DERIVED-29-2021</x:v>
      </x:c>
      <x:c r="D303" s="256" t="str">
        <x:v>Historical Inputs!I38</x:v>
      </x:c>
      <x:c r="E303" s="256" t="n">
        <x:v>2021</x:v>
      </x:c>
      <x:c r="F303" s="256" t="str">
        <x:v>n.a.</x:v>
      </x:c>
      <x:c r="G303" s="256" t="str">
        <x:v>n.a.</x:v>
      </x:c>
      <x:c r="H303" s="282" t="str">
        <x:v>n.a.</x:v>
      </x:c>
      <x:c r="I303" s="256" t="str">
        <x:v>unavailable_disclosure</x:v>
      </x:c>
      <x:c r="J303" s="256" t="str"/>
      <x:c r="K303" s="256" t="str"/>
      <x:c r="L303" s="256" t="str"/>
    </x:row>
    <x:row r="304" ht="24" customHeight="1">
      <x:c r="C304" s="256" t="str">
        <x:v>DERIVED-29-2022</x:v>
      </x:c>
      <x:c r="D304" s="256" t="str">
        <x:v>Historical Inputs!J38</x:v>
      </x:c>
      <x:c r="E304" s="256" t="n">
        <x:v>2022</x:v>
      </x:c>
      <x:c r="F304" s="256" t="str">
        <x:v>n.a.</x:v>
      </x:c>
      <x:c r="G304" s="256" t="str">
        <x:v>n.a.</x:v>
      </x:c>
      <x:c r="H304" s="282" t="str">
        <x:v>n.a.</x:v>
      </x:c>
      <x:c r="I304" s="256" t="str">
        <x:v>unavailable_disclosure</x:v>
      </x:c>
      <x:c r="J304" s="256" t="str"/>
      <x:c r="K304" s="256" t="str"/>
      <x:c r="L304" s="256" t="str"/>
    </x:row>
    <x:row r="305" ht="24" customHeight="1">
      <x:c r="C305" s="256" t="str">
        <x:v>DERIVED-29-2023</x:v>
      </x:c>
      <x:c r="D305" s="256" t="str">
        <x:v>Historical Inputs!K38</x:v>
      </x:c>
      <x:c r="E305" s="256" t="n">
        <x:v>2023</x:v>
      </x:c>
      <x:c r="F305" s="256" t="str">
        <x:v>n.a.</x:v>
      </x:c>
      <x:c r="G305" s="256" t="str">
        <x:v>n.a.</x:v>
      </x:c>
      <x:c r="H305" s="282" t="str">
        <x:v>n.a.</x:v>
      </x:c>
      <x:c r="I305" s="256" t="str">
        <x:v>unavailable_disclosure</x:v>
      </x:c>
      <x:c r="J305" s="256" t="str"/>
      <x:c r="K305" s="256" t="str"/>
      <x:c r="L305" s="256" t="str"/>
    </x:row>
    <x:row r="306" ht="24" customHeight="1">
      <x:c r="C306" s="256" t="str">
        <x:v>DERIVED-29-2024</x:v>
      </x:c>
      <x:c r="D306" s="256" t="str">
        <x:v>Historical Inputs!L38</x:v>
      </x:c>
      <x:c r="E306" s="256" t="n">
        <x:v>2024</x:v>
      </x:c>
      <x:c r="F306" s="256" t="str">
        <x:v>n.a.</x:v>
      </x:c>
      <x:c r="G306" s="256" t="str">
        <x:v>n.a.</x:v>
      </x:c>
      <x:c r="H306" s="282" t="str">
        <x:v>n.a.</x:v>
      </x:c>
      <x:c r="I306" s="256" t="str">
        <x:v>unavailable_disclosure</x:v>
      </x:c>
      <x:c r="J306" s="256" t="str"/>
      <x:c r="K306" s="256" t="str"/>
      <x:c r="L306" s="256" t="str"/>
    </x:row>
    <x:row r="307" ht="24" customHeight="1">
      <x:c r="C307" s="256" t="str">
        <x:v>DERIVED-29-2025</x:v>
      </x:c>
      <x:c r="D307" s="256" t="str">
        <x:v>Historical Inputs!M38</x:v>
      </x:c>
      <x:c r="E307" s="256" t="n">
        <x:v>2025</x:v>
      </x:c>
      <x:c r="F307" s="256" t="str">
        <x:v>n.a.</x:v>
      </x:c>
      <x:c r="G307" s="256" t="str">
        <x:v>n.a.</x:v>
      </x:c>
      <x:c r="H307" s="282" t="str">
        <x:v>n.a.</x:v>
      </x:c>
      <x:c r="I307" s="256" t="str">
        <x:v>unavailable_disclosure</x:v>
      </x:c>
      <x:c r="J307" s="256" t="str"/>
      <x:c r="K307" s="256" t="str"/>
      <x:c r="L307" s="256" t="str"/>
    </x:row>
    <x:row r="308" ht="24" customHeight="1">
      <x:c r="C308" s="256" t="str">
        <x:v>SRC-1070</x:v>
      </x:c>
      <x:c r="D308" s="256" t="str">
        <x:v>Historical Inputs!N38</x:v>
      </x:c>
      <x:c r="E308" s="256" t="n">
        <x:v>2026</x:v>
      </x:c>
      <x:c r="F308" s="256" t="n">
        <x:v>2026</x:v>
      </x:c>
      <x:c r="G308" s="256" t="n">
        <x:v>69</x:v>
      </x:c>
      <x:c r="H308" s="282" t="n">
        <x:v>26700</x:v>
      </x:c>
      <x:c r="I308" s="256" t="str">
        <x:v>reported_billion_to_million</x:v>
      </x:c>
      <x:c r="J308" s="256" t="str">
        <x:v>data/raw/reports/originals/Microsoft_FY2026_10K.pdf</x:v>
      </x:c>
      <x:c r="K308" s="256" t="str">
        <x:f>IFERROR(HYPERLINK("../data/raw/reports/highlighted/Microsoft_FY2026_10K_highlighted.pdf","Marked PDF page 69"),"Marked PDF page 69")</x:f>
        <x:v>Marked PDF page 69</x:v>
      </x:c>
      <x:c r="L308" s="256" t="str">
        <x:v>multiply by 1000</x:v>
      </x:c>
    </x:row>
    <x:row r="309" ht="24" customHeight="1">
      <x:c r="C309" s="256" t="str">
        <x:v>DERIVED-30-2017</x:v>
      </x:c>
      <x:c r="D309" s="256" t="str">
        <x:v>Historical Inputs!E39</x:v>
      </x:c>
      <x:c r="E309" s="256" t="n">
        <x:v>2017</x:v>
      </x:c>
      <x:c r="F309" s="256" t="str">
        <x:v>n.a.</x:v>
      </x:c>
      <x:c r="G309" s="256" t="str">
        <x:v>n.a.</x:v>
      </x:c>
      <x:c r="H309" s="282" t="str">
        <x:v>n.a.</x:v>
      </x:c>
      <x:c r="I309" s="256" t="str">
        <x:v>unavailable_disclosure</x:v>
      </x:c>
      <x:c r="J309" s="256" t="str"/>
      <x:c r="K309" s="256" t="str"/>
      <x:c r="L309" s="256" t="str"/>
    </x:row>
    <x:row r="310" ht="24" customHeight="1">
      <x:c r="C310" s="256" t="str">
        <x:v>DERIVED-30-2018</x:v>
      </x:c>
      <x:c r="D310" s="256" t="str">
        <x:v>Historical Inputs!F39</x:v>
      </x:c>
      <x:c r="E310" s="256" t="n">
        <x:v>2018</x:v>
      </x:c>
      <x:c r="F310" s="256" t="str">
        <x:v>n.a.</x:v>
      </x:c>
      <x:c r="G310" s="256" t="str">
        <x:v>n.a.</x:v>
      </x:c>
      <x:c r="H310" s="282" t="str">
        <x:v>n.a.</x:v>
      </x:c>
      <x:c r="I310" s="256" t="str">
        <x:v>unavailable_disclosure</x:v>
      </x:c>
      <x:c r="J310" s="256" t="str"/>
      <x:c r="K310" s="256" t="str"/>
      <x:c r="L310" s="256" t="str"/>
    </x:row>
    <x:row r="311" ht="24" customHeight="1">
      <x:c r="C311" s="256" t="str">
        <x:v>DERIVED-30-2019</x:v>
      </x:c>
      <x:c r="D311" s="256" t="str">
        <x:v>Historical Inputs!G39</x:v>
      </x:c>
      <x:c r="E311" s="256" t="n">
        <x:v>2019</x:v>
      </x:c>
      <x:c r="F311" s="256" t="str">
        <x:v>n.a.</x:v>
      </x:c>
      <x:c r="G311" s="256" t="str">
        <x:v>n.a.</x:v>
      </x:c>
      <x:c r="H311" s="282" t="str">
        <x:v>n.a.</x:v>
      </x:c>
      <x:c r="I311" s="256" t="str">
        <x:v>unavailable_disclosure</x:v>
      </x:c>
      <x:c r="J311" s="256" t="str"/>
      <x:c r="K311" s="256" t="str"/>
      <x:c r="L311" s="256" t="str"/>
    </x:row>
    <x:row r="312" ht="24" customHeight="1">
      <x:c r="C312" s="256" t="str">
        <x:v>DERIVED-30-2020</x:v>
      </x:c>
      <x:c r="D312" s="256" t="str">
        <x:v>Historical Inputs!H39</x:v>
      </x:c>
      <x:c r="E312" s="256" t="n">
        <x:v>2020</x:v>
      </x:c>
      <x:c r="F312" s="256" t="str">
        <x:v>n.a.</x:v>
      </x:c>
      <x:c r="G312" s="256" t="str">
        <x:v>n.a.</x:v>
      </x:c>
      <x:c r="H312" s="282" t="str">
        <x:v>n.a.</x:v>
      </x:c>
      <x:c r="I312" s="256" t="str">
        <x:v>unavailable_disclosure</x:v>
      </x:c>
      <x:c r="J312" s="256" t="str"/>
      <x:c r="K312" s="256" t="str"/>
      <x:c r="L312" s="256" t="str"/>
    </x:row>
    <x:row r="313" ht="24" customHeight="1">
      <x:c r="C313" s="256" t="str">
        <x:v>DERIVED-30-2021</x:v>
      </x:c>
      <x:c r="D313" s="256" t="str">
        <x:v>Historical Inputs!I39</x:v>
      </x:c>
      <x:c r="E313" s="256" t="n">
        <x:v>2021</x:v>
      </x:c>
      <x:c r="F313" s="256" t="str">
        <x:v>n.a.</x:v>
      </x:c>
      <x:c r="G313" s="256" t="str">
        <x:v>n.a.</x:v>
      </x:c>
      <x:c r="H313" s="282" t="str">
        <x:v>n.a.</x:v>
      </x:c>
      <x:c r="I313" s="256" t="str">
        <x:v>unavailable_disclosure</x:v>
      </x:c>
      <x:c r="J313" s="256" t="str"/>
      <x:c r="K313" s="256" t="str"/>
      <x:c r="L313" s="256" t="str"/>
    </x:row>
    <x:row r="314" ht="24" customHeight="1">
      <x:c r="C314" s="256" t="str">
        <x:v>DERIVED-30-2022</x:v>
      </x:c>
      <x:c r="D314" s="256" t="str">
        <x:v>Historical Inputs!J39</x:v>
      </x:c>
      <x:c r="E314" s="256" t="n">
        <x:v>2022</x:v>
      </x:c>
      <x:c r="F314" s="256" t="str">
        <x:v>n.a.</x:v>
      </x:c>
      <x:c r="G314" s="256" t="str">
        <x:v>n.a.</x:v>
      </x:c>
      <x:c r="H314" s="282" t="str">
        <x:v>n.a.</x:v>
      </x:c>
      <x:c r="I314" s="256" t="str">
        <x:v>unavailable_disclosure</x:v>
      </x:c>
      <x:c r="J314" s="256" t="str"/>
      <x:c r="K314" s="256" t="str"/>
      <x:c r="L314" s="256" t="str"/>
    </x:row>
    <x:row r="315" ht="24" customHeight="1">
      <x:c r="C315" s="256" t="str">
        <x:v>DERIVED-30-2023</x:v>
      </x:c>
      <x:c r="D315" s="256" t="str">
        <x:v>Historical Inputs!K39</x:v>
      </x:c>
      <x:c r="E315" s="256" t="n">
        <x:v>2023</x:v>
      </x:c>
      <x:c r="F315" s="256" t="str">
        <x:v>n.a.</x:v>
      </x:c>
      <x:c r="G315" s="256" t="str">
        <x:v>n.a.</x:v>
      </x:c>
      <x:c r="H315" s="282" t="str">
        <x:v>n.a.</x:v>
      </x:c>
      <x:c r="I315" s="256" t="str">
        <x:v>unavailable_disclosure</x:v>
      </x:c>
      <x:c r="J315" s="256" t="str"/>
      <x:c r="K315" s="256" t="str"/>
      <x:c r="L315" s="256" t="str"/>
    </x:row>
    <x:row r="316" ht="24" customHeight="1">
      <x:c r="C316" s="256" t="str">
        <x:v>DERIVED-30-2024</x:v>
      </x:c>
      <x:c r="D316" s="256" t="str">
        <x:v>Historical Inputs!L39</x:v>
      </x:c>
      <x:c r="E316" s="256" t="n">
        <x:v>2024</x:v>
      </x:c>
      <x:c r="F316" s="256" t="str">
        <x:v>n.a.</x:v>
      </x:c>
      <x:c r="G316" s="256" t="str">
        <x:v>n.a.</x:v>
      </x:c>
      <x:c r="H316" s="282" t="str">
        <x:v>n.a.</x:v>
      </x:c>
      <x:c r="I316" s="256" t="str">
        <x:v>unavailable_disclosure</x:v>
      </x:c>
      <x:c r="J316" s="256" t="str"/>
      <x:c r="K316" s="256" t="str"/>
      <x:c r="L316" s="256" t="str"/>
    </x:row>
    <x:row r="317" ht="24" customHeight="1">
      <x:c r="C317" s="256" t="str">
        <x:v>DERIVED-30-2025</x:v>
      </x:c>
      <x:c r="D317" s="256" t="str">
        <x:v>Historical Inputs!M39</x:v>
      </x:c>
      <x:c r="E317" s="256" t="n">
        <x:v>2025</x:v>
      </x:c>
      <x:c r="F317" s="256" t="str">
        <x:v>n.a.</x:v>
      </x:c>
      <x:c r="G317" s="256" t="str">
        <x:v>n.a.</x:v>
      </x:c>
      <x:c r="H317" s="282" t="str">
        <x:v>n.a.</x:v>
      </x:c>
      <x:c r="I317" s="256" t="str">
        <x:v>unavailable_disclosure</x:v>
      </x:c>
      <x:c r="J317" s="256" t="str"/>
      <x:c r="K317" s="256" t="str"/>
      <x:c r="L317" s="256" t="str"/>
    </x:row>
    <x:row r="318" ht="24" customHeight="1">
      <x:c r="C318" s="256" t="str">
        <x:v>SRC-1075</x:v>
      </x:c>
      <x:c r="D318" s="256" t="str">
        <x:v>Historical Inputs!N39</x:v>
      </x:c>
      <x:c r="E318" s="256" t="n">
        <x:v>2026</x:v>
      </x:c>
      <x:c r="F318" s="256" t="n">
        <x:v>2026</x:v>
      </x:c>
      <x:c r="G318" s="256" t="n">
        <x:v>78</x:v>
      </x:c>
      <x:c r="H318" s="282" t="n">
        <x:v>5393</x:v>
      </x:c>
      <x:c r="I318" s="256" t="str">
        <x:v>reported</x:v>
      </x:c>
      <x:c r="J318" s="256" t="str">
        <x:v>data/raw/reports/originals/Microsoft_FY2026_10K.pdf</x:v>
      </x:c>
      <x:c r="K318" s="256" t="str">
        <x:f>IFERROR(HYPERLINK("../data/raw/reports/highlighted/Microsoft_FY2026_10K_highlighted.pdf","Marked PDF page 78"),"Marked PDF page 78")</x:f>
        <x:v>Marked PDF page 78</x:v>
      </x:c>
      <x:c r="L318" s="256" t="str">
        <x:v>none</x:v>
      </x:c>
    </x:row>
    <x:row r="319" ht="24" customHeight="1">
      <x:c r="C319" s="256" t="str">
        <x:v>DERIVED-31-2017</x:v>
      </x:c>
      <x:c r="D319" s="256" t="str">
        <x:v>Historical Inputs!E40</x:v>
      </x:c>
      <x:c r="E319" s="256" t="n">
        <x:v>2017</x:v>
      </x:c>
      <x:c r="F319" s="256" t="str">
        <x:v>n.a.</x:v>
      </x:c>
      <x:c r="G319" s="256" t="str">
        <x:v>n.a.</x:v>
      </x:c>
      <x:c r="H319" s="282" t="str">
        <x:v>n.a.</x:v>
      </x:c>
      <x:c r="I319" s="256" t="str">
        <x:v>unavailable_disclosure</x:v>
      </x:c>
      <x:c r="J319" s="256" t="str"/>
      <x:c r="K319" s="256" t="str"/>
      <x:c r="L319" s="256" t="str"/>
    </x:row>
    <x:row r="320" ht="24" customHeight="1">
      <x:c r="C320" s="256" t="str">
        <x:v>DERIVED-31-2018</x:v>
      </x:c>
      <x:c r="D320" s="256" t="str">
        <x:v>Historical Inputs!F40</x:v>
      </x:c>
      <x:c r="E320" s="256" t="n">
        <x:v>2018</x:v>
      </x:c>
      <x:c r="F320" s="256" t="str">
        <x:v>n.a.</x:v>
      </x:c>
      <x:c r="G320" s="256" t="str">
        <x:v>n.a.</x:v>
      </x:c>
      <x:c r="H320" s="282" t="str">
        <x:v>n.a.</x:v>
      </x:c>
      <x:c r="I320" s="256" t="str">
        <x:v>unavailable_disclosure</x:v>
      </x:c>
      <x:c r="J320" s="256" t="str"/>
      <x:c r="K320" s="256" t="str"/>
      <x:c r="L320" s="256" t="str"/>
    </x:row>
    <x:row r="321" ht="24" customHeight="1">
      <x:c r="C321" s="256" t="str">
        <x:v>DERIVED-31-2019</x:v>
      </x:c>
      <x:c r="D321" s="256" t="str">
        <x:v>Historical Inputs!G40</x:v>
      </x:c>
      <x:c r="E321" s="256" t="n">
        <x:v>2019</x:v>
      </x:c>
      <x:c r="F321" s="256" t="str">
        <x:v>n.a.</x:v>
      </x:c>
      <x:c r="G321" s="256" t="str">
        <x:v>n.a.</x:v>
      </x:c>
      <x:c r="H321" s="282" t="str">
        <x:v>n.a.</x:v>
      </x:c>
      <x:c r="I321" s="256" t="str">
        <x:v>unavailable_disclosure</x:v>
      </x:c>
      <x:c r="J321" s="256" t="str"/>
      <x:c r="K321" s="256" t="str"/>
      <x:c r="L321" s="256" t="str"/>
    </x:row>
    <x:row r="322" ht="24" customHeight="1">
      <x:c r="C322" s="256" t="str">
        <x:v>DERIVED-31-2020</x:v>
      </x:c>
      <x:c r="D322" s="256" t="str">
        <x:v>Historical Inputs!H40</x:v>
      </x:c>
      <x:c r="E322" s="256" t="n">
        <x:v>2020</x:v>
      </x:c>
      <x:c r="F322" s="256" t="str">
        <x:v>n.a.</x:v>
      </x:c>
      <x:c r="G322" s="256" t="str">
        <x:v>n.a.</x:v>
      </x:c>
      <x:c r="H322" s="282" t="str">
        <x:v>n.a.</x:v>
      </x:c>
      <x:c r="I322" s="256" t="str">
        <x:v>unavailable_disclosure</x:v>
      </x:c>
      <x:c r="J322" s="256" t="str"/>
      <x:c r="K322" s="256" t="str"/>
      <x:c r="L322" s="256" t="str"/>
    </x:row>
    <x:row r="323" ht="24" customHeight="1">
      <x:c r="C323" s="256" t="str">
        <x:v>DERIVED-31-2021</x:v>
      </x:c>
      <x:c r="D323" s="256" t="str">
        <x:v>Historical Inputs!I40</x:v>
      </x:c>
      <x:c r="E323" s="256" t="n">
        <x:v>2021</x:v>
      </x:c>
      <x:c r="F323" s="256" t="str">
        <x:v>n.a.</x:v>
      </x:c>
      <x:c r="G323" s="256" t="str">
        <x:v>n.a.</x:v>
      </x:c>
      <x:c r="H323" s="282" t="str">
        <x:v>n.a.</x:v>
      </x:c>
      <x:c r="I323" s="256" t="str">
        <x:v>unavailable_disclosure</x:v>
      </x:c>
      <x:c r="J323" s="256" t="str"/>
      <x:c r="K323" s="256" t="str"/>
      <x:c r="L323" s="256" t="str"/>
    </x:row>
    <x:row r="324" ht="24" customHeight="1">
      <x:c r="C324" s="256" t="str">
        <x:v>DERIVED-31-2022</x:v>
      </x:c>
      <x:c r="D324" s="256" t="str">
        <x:v>Historical Inputs!J40</x:v>
      </x:c>
      <x:c r="E324" s="256" t="n">
        <x:v>2022</x:v>
      </x:c>
      <x:c r="F324" s="256" t="str">
        <x:v>n.a.</x:v>
      </x:c>
      <x:c r="G324" s="256" t="str">
        <x:v>n.a.</x:v>
      </x:c>
      <x:c r="H324" s="282" t="str">
        <x:v>n.a.</x:v>
      </x:c>
      <x:c r="I324" s="256" t="str">
        <x:v>unavailable_disclosure</x:v>
      </x:c>
      <x:c r="J324" s="256" t="str"/>
      <x:c r="K324" s="256" t="str"/>
      <x:c r="L324" s="256" t="str"/>
    </x:row>
    <x:row r="325" ht="24" customHeight="1">
      <x:c r="C325" s="256" t="str">
        <x:v>DERIVED-31-2023</x:v>
      </x:c>
      <x:c r="D325" s="256" t="str">
        <x:v>Historical Inputs!K40</x:v>
      </x:c>
      <x:c r="E325" s="256" t="n">
        <x:v>2023</x:v>
      </x:c>
      <x:c r="F325" s="256" t="str">
        <x:v>n.a.</x:v>
      </x:c>
      <x:c r="G325" s="256" t="str">
        <x:v>n.a.</x:v>
      </x:c>
      <x:c r="H325" s="282" t="str">
        <x:v>n.a.</x:v>
      </x:c>
      <x:c r="I325" s="256" t="str">
        <x:v>unavailable_disclosure</x:v>
      </x:c>
      <x:c r="J325" s="256" t="str"/>
      <x:c r="K325" s="256" t="str"/>
      <x:c r="L325" s="256" t="str"/>
    </x:row>
    <x:row r="326" ht="24" customHeight="1">
      <x:c r="C326" s="256" t="str">
        <x:v>DERIVED-31-2024</x:v>
      </x:c>
      <x:c r="D326" s="256" t="str">
        <x:v>Historical Inputs!L40</x:v>
      </x:c>
      <x:c r="E326" s="256" t="n">
        <x:v>2024</x:v>
      </x:c>
      <x:c r="F326" s="256" t="str">
        <x:v>n.a.</x:v>
      </x:c>
      <x:c r="G326" s="256" t="str">
        <x:v>n.a.</x:v>
      </x:c>
      <x:c r="H326" s="282" t="str">
        <x:v>n.a.</x:v>
      </x:c>
      <x:c r="I326" s="256" t="str">
        <x:v>unavailable_disclosure</x:v>
      </x:c>
      <x:c r="J326" s="256" t="str"/>
      <x:c r="K326" s="256" t="str"/>
      <x:c r="L326" s="256" t="str"/>
    </x:row>
    <x:row r="327" ht="24" customHeight="1">
      <x:c r="C327" s="256" t="str">
        <x:v>DERIVED-31-2025</x:v>
      </x:c>
      <x:c r="D327" s="256" t="str">
        <x:v>Historical Inputs!M40</x:v>
      </x:c>
      <x:c r="E327" s="256" t="n">
        <x:v>2025</x:v>
      </x:c>
      <x:c r="F327" s="256" t="str">
        <x:v>n.a.</x:v>
      </x:c>
      <x:c r="G327" s="256" t="str">
        <x:v>n.a.</x:v>
      </x:c>
      <x:c r="H327" s="282" t="str">
        <x:v>n.a.</x:v>
      </x:c>
      <x:c r="I327" s="256" t="str">
        <x:v>unavailable_disclosure</x:v>
      </x:c>
      <x:c r="J327" s="256" t="str"/>
      <x:c r="K327" s="256" t="str"/>
      <x:c r="L327" s="256" t="str"/>
    </x:row>
    <x:row r="328" ht="24" customHeight="1">
      <x:c r="C328" s="256" t="str">
        <x:v>SRC-1076</x:v>
      </x:c>
      <x:c r="D328" s="256" t="str">
        <x:v>Historical Inputs!N40</x:v>
      </x:c>
      <x:c r="E328" s="256" t="n">
        <x:v>2026</x:v>
      </x:c>
      <x:c r="F328" s="256" t="n">
        <x:v>2026</x:v>
      </x:c>
      <x:c r="G328" s="256" t="n">
        <x:v>78</x:v>
      </x:c>
      <x:c r="H328" s="282" t="n">
        <x:v>4290</x:v>
      </x:c>
      <x:c r="I328" s="256" t="str">
        <x:v>reported</x:v>
      </x:c>
      <x:c r="J328" s="256" t="str">
        <x:v>data/raw/reports/originals/Microsoft_FY2026_10K.pdf</x:v>
      </x:c>
      <x:c r="K328" s="256" t="str">
        <x:f>IFERROR(HYPERLINK("../data/raw/reports/highlighted/Microsoft_FY2026_10K_highlighted.pdf","Marked PDF page 78"),"Marked PDF page 78")</x:f>
        <x:v>Marked PDF page 78</x:v>
      </x:c>
      <x:c r="L328" s="256" t="str">
        <x:v>none</x:v>
      </x:c>
    </x:row>
    <x:row r="329" ht="24" customHeight="1">
      <x:c r="C329" s="256" t="str">
        <x:v>SRC-0097</x:v>
      </x:c>
      <x:c r="D329" s="256" t="str">
        <x:v>Historical Inputs!E41</x:v>
      </x:c>
      <x:c r="E329" s="256" t="n">
        <x:v>2017</x:v>
      </x:c>
      <x:c r="F329" s="256" t="n">
        <x:v>2018</x:v>
      </x:c>
      <x:c r="G329" s="256" t="n">
        <x:v>87</x:v>
      </x:c>
      <x:c r="H329" s="282" t="n">
        <x:v>6795</x:v>
      </x:c>
      <x:c r="I329" s="256" t="str">
        <x:v>reported</x:v>
      </x:c>
      <x:c r="J329" s="256" t="str">
        <x:v>data/raw/reports/originals/Microsoft_FY2018_10K.pdf</x:v>
      </x:c>
      <x:c r="K329" s="256" t="str">
        <x:f>IFERROR(HYPERLINK("../data/raw/reports/highlighted/Microsoft_FY2018_10K_highlighted.pdf","Marked PDF page 87"),"Marked PDF page 87")</x:f>
        <x:v>Marked PDF page 87</x:v>
      </x:c>
      <x:c r="L329" s="256" t="str">
        <x:v>none</x:v>
      </x:c>
    </x:row>
    <x:row r="330" ht="24" customHeight="1">
      <x:c r="C330" s="256" t="str">
        <x:v>SRC-0202</x:v>
      </x:c>
      <x:c r="D330" s="256" t="str">
        <x:v>Historical Inputs!F41</x:v>
      </x:c>
      <x:c r="E330" s="256" t="n">
        <x:v>2018</x:v>
      </x:c>
      <x:c r="F330" s="256" t="n">
        <x:v>2019</x:v>
      </x:c>
      <x:c r="G330" s="256" t="n">
        <x:v>83</x:v>
      </x:c>
      <x:c r="H330" s="282" t="n">
        <x:v>6967</x:v>
      </x:c>
      <x:c r="I330" s="256" t="str">
        <x:v>reported</x:v>
      </x:c>
      <x:c r="J330" s="256" t="str">
        <x:v>data/raw/reports/originals/Microsoft_FY2019_10K.pdf</x:v>
      </x:c>
      <x:c r="K330" s="256" t="str">
        <x:f>IFERROR(HYPERLINK("../data/raw/reports/highlighted/Microsoft_FY2019_10K_highlighted.pdf","Marked PDF page 83"),"Marked PDF page 83")</x:f>
        <x:v>Marked PDF page 83</x:v>
      </x:c>
      <x:c r="L330" s="256" t="str">
        <x:v>none</x:v>
      </x:c>
    </x:row>
    <x:row r="331" ht="24" customHeight="1">
      <x:c r="C331" s="256" t="str">
        <x:v>SRC-0307</x:v>
      </x:c>
      <x:c r="D331" s="256" t="str">
        <x:v>Historical Inputs!G41</x:v>
      </x:c>
      <x:c r="E331" s="256" t="n">
        <x:v>2019</x:v>
      </x:c>
      <x:c r="F331" s="256" t="n">
        <x:v>2020</x:v>
      </x:c>
      <x:c r="G331" s="256" t="n">
        <x:v>84</x:v>
      </x:c>
      <x:c r="H331" s="282" t="n">
        <x:v>7703</x:v>
      </x:c>
      <x:c r="I331" s="256" t="str">
        <x:v>reported</x:v>
      </x:c>
      <x:c r="J331" s="256" t="str">
        <x:v>data/raw/reports/originals/Microsoft_FY2020_10K.pdf</x:v>
      </x:c>
      <x:c r="K331" s="256" t="str">
        <x:f>IFERROR(HYPERLINK("../data/raw/reports/highlighted/Microsoft_FY2020_10K_highlighted.pdf","Marked PDF page 84"),"Marked PDF page 84")</x:f>
        <x:v>Marked PDF page 84</x:v>
      </x:c>
      <x:c r="L331" s="256" t="str">
        <x:v>none</x:v>
      </x:c>
    </x:row>
    <x:row r="332" ht="24" customHeight="1">
      <x:c r="C332" s="256" t="str">
        <x:v>SRC-0413</x:v>
      </x:c>
      <x:c r="D332" s="256" t="str">
        <x:v>Historical Inputs!H41</x:v>
      </x:c>
      <x:c r="E332" s="256" t="n">
        <x:v>2020</x:v>
      </x:c>
      <x:c r="F332" s="256" t="n">
        <x:v>2021</x:v>
      </x:c>
      <x:c r="G332" s="256" t="n">
        <x:v>87</x:v>
      </x:c>
      <x:c r="H332" s="282" t="n">
        <x:v>9287</x:v>
      </x:c>
      <x:c r="I332" s="256" t="str">
        <x:v>reported</x:v>
      </x:c>
      <x:c r="J332" s="256" t="str">
        <x:v>data/raw/reports/originals/Microsoft_FY2021_10K.pdf</x:v>
      </x:c>
      <x:c r="K332" s="256" t="str">
        <x:f>IFERROR(HYPERLINK("../data/raw/reports/highlighted/Microsoft_FY2021_10K_highlighted.pdf","Marked PDF page 87"),"Marked PDF page 87")</x:f>
        <x:v>Marked PDF page 87</x:v>
      </x:c>
      <x:c r="L332" s="256" t="str">
        <x:v>none</x:v>
      </x:c>
    </x:row>
    <x:row r="333" ht="24" customHeight="1">
      <x:c r="C333" s="256" t="str">
        <x:v>SRC-0519</x:v>
      </x:c>
      <x:c r="D333" s="256" t="str">
        <x:v>Historical Inputs!I41</x:v>
      </x:c>
      <x:c r="E333" s="256" t="n">
        <x:v>2021</x:v>
      </x:c>
      <x:c r="F333" s="256" t="n">
        <x:v>2022</x:v>
      </x:c>
      <x:c r="G333" s="256" t="n">
        <x:v>87</x:v>
      </x:c>
      <x:c r="H333" s="282" t="n">
        <x:v>11591</x:v>
      </x:c>
      <x:c r="I333" s="256" t="str">
        <x:v>reported</x:v>
      </x:c>
      <x:c r="J333" s="256" t="str">
        <x:v>data/raw/reports/originals/Microsoft_FY2022_10K.pdf</x:v>
      </x:c>
      <x:c r="K333" s="256" t="str">
        <x:f>IFERROR(HYPERLINK("../data/raw/reports/highlighted/Microsoft_FY2022_10K_highlighted.pdf","Marked PDF page 87"),"Marked PDF page 87")</x:f>
        <x:v>Marked PDF page 87</x:v>
      </x:c>
      <x:c r="L333" s="256" t="str">
        <x:v>none</x:v>
      </x:c>
    </x:row>
    <x:row r="334" ht="24" customHeight="1">
      <x:c r="C334" s="256" t="str">
        <x:v>SRC-0624</x:v>
      </x:c>
      <x:c r="D334" s="256" t="str">
        <x:v>Historical Inputs!J41</x:v>
      </x:c>
      <x:c r="E334" s="256" t="n">
        <x:v>2022</x:v>
      </x:c>
      <x:c r="F334" s="256" t="n">
        <x:v>2023</x:v>
      </x:c>
      <x:c r="G334" s="256" t="n">
        <x:v>87</x:v>
      </x:c>
      <x:c r="H334" s="282" t="n">
        <x:v>13717</x:v>
      </x:c>
      <x:c r="I334" s="256" t="str">
        <x:v>reported</x:v>
      </x:c>
      <x:c r="J334" s="256" t="str">
        <x:v>data/raw/reports/originals/Microsoft_FY2023_10K.pdf</x:v>
      </x:c>
      <x:c r="K334" s="256" t="str">
        <x:f>IFERROR(HYPERLINK("../data/raw/reports/highlighted/Microsoft_FY2023_10K_highlighted.pdf","Marked PDF page 87"),"Marked PDF page 87")</x:f>
        <x:v>Marked PDF page 87</x:v>
      </x:c>
      <x:c r="L334" s="256" t="str">
        <x:v>none</x:v>
      </x:c>
    </x:row>
    <x:row r="335" ht="24" customHeight="1">
      <x:c r="C335" s="256" t="str">
        <x:v>SRC-0729</x:v>
      </x:c>
      <x:c r="D335" s="256" t="str">
        <x:v>Historical Inputs!K41</x:v>
      </x:c>
      <x:c r="E335" s="256" t="n">
        <x:v>2023</x:v>
      </x:c>
      <x:c r="F335" s="256" t="n">
        <x:v>2024</x:v>
      </x:c>
      <x:c r="G335" s="256" t="n">
        <x:v>85</x:v>
      </x:c>
      <x:c r="H335" s="282" t="n">
        <x:v>15137</x:v>
      </x:c>
      <x:c r="I335" s="256" t="str">
        <x:v>reported</x:v>
      </x:c>
      <x:c r="J335" s="256" t="str">
        <x:v>data/raw/reports/originals/Microsoft_FY2024_10K.pdf</x:v>
      </x:c>
      <x:c r="K335" s="256" t="str">
        <x:f>IFERROR(HYPERLINK("../data/raw/reports/highlighted/Microsoft_FY2024_10K_highlighted.pdf","Marked PDF page 85"),"Marked PDF page 85")</x:f>
        <x:v>Marked PDF page 85</x:v>
      </x:c>
      <x:c r="L335" s="256" t="str">
        <x:v>none</x:v>
      </x:c>
    </x:row>
    <x:row r="336" ht="24" customHeight="1">
      <x:c r="C336" s="256" t="str">
        <x:v>SRC-0838</x:v>
      </x:c>
      <x:c r="D336" s="256" t="str">
        <x:v>Historical Inputs!L41</x:v>
      </x:c>
      <x:c r="E336" s="256" t="n">
        <x:v>2024</x:v>
      </x:c>
      <x:c r="F336" s="256" t="n">
        <x:v>2025</x:v>
      </x:c>
      <x:c r="G336" s="256" t="n">
        <x:v>78</x:v>
      </x:c>
      <x:c r="H336" s="282" t="n">
        <x:v>19077</x:v>
      </x:c>
      <x:c r="I336" s="256" t="str">
        <x:v>reported</x:v>
      </x:c>
      <x:c r="J336" s="256" t="str">
        <x:v>data/raw/reports/originals/Microsoft_FY2025_10K.pdf</x:v>
      </x:c>
      <x:c r="K336" s="256" t="str">
        <x:f>IFERROR(HYPERLINK("../data/raw/reports/highlighted/Microsoft_FY2025_10K_highlighted.pdf","Marked PDF page 78"),"Marked PDF page 78")</x:f>
        <x:v>Marked PDF page 78</x:v>
      </x:c>
      <x:c r="L336" s="256" t="str">
        <x:v>none</x:v>
      </x:c>
    </x:row>
    <x:row r="337" ht="24" customHeight="1">
      <x:c r="C337" s="256" t="str">
        <x:v>SRC-0947</x:v>
      </x:c>
      <x:c r="D337" s="256" t="str">
        <x:v>Historical Inputs!M41</x:v>
      </x:c>
      <x:c r="E337" s="256" t="n">
        <x:v>2025</x:v>
      </x:c>
      <x:c r="F337" s="256" t="n">
        <x:v>2026</x:v>
      </x:c>
      <x:c r="G337" s="256" t="n">
        <x:v>78</x:v>
      </x:c>
      <x:c r="H337" s="282" t="n">
        <x:v>22861</x:v>
      </x:c>
      <x:c r="I337" s="256" t="str">
        <x:v>reported</x:v>
      </x:c>
      <x:c r="J337" s="256" t="str">
        <x:v>data/raw/reports/originals/Microsoft_FY2026_10K.pdf</x:v>
      </x:c>
      <x:c r="K337" s="256" t="str">
        <x:f>IFERROR(HYPERLINK("../data/raw/reports/highlighted/Microsoft_FY2026_10K_highlighted.pdf","Marked PDF page 78"),"Marked PDF page 78")</x:f>
        <x:v>Marked PDF page 78</x:v>
      </x:c>
      <x:c r="L337" s="256" t="str">
        <x:v>none</x:v>
      </x:c>
    </x:row>
    <x:row r="338" ht="24" customHeight="1">
      <x:c r="C338" s="256" t="str">
        <x:v>SRC-1056</x:v>
      </x:c>
      <x:c r="D338" s="256" t="str">
        <x:v>Historical Inputs!N41</x:v>
      </x:c>
      <x:c r="E338" s="256" t="n">
        <x:v>2026</x:v>
      </x:c>
      <x:c r="F338" s="256" t="n">
        <x:v>2026</x:v>
      </x:c>
      <x:c r="G338" s="256" t="n">
        <x:v>78</x:v>
      </x:c>
      <x:c r="H338" s="282" t="n">
        <x:v>21925</x:v>
      </x:c>
      <x:c r="I338" s="256" t="str">
        <x:v>reported</x:v>
      </x:c>
      <x:c r="J338" s="256" t="str">
        <x:v>data/raw/reports/originals/Microsoft_FY2026_10K.pdf</x:v>
      </x:c>
      <x:c r="K338" s="256" t="str">
        <x:f>IFERROR(HYPERLINK("../data/raw/reports/highlighted/Microsoft_FY2026_10K_highlighted.pdf","Marked PDF page 78"),"Marked PDF page 78")</x:f>
        <x:v>Marked PDF page 78</x:v>
      </x:c>
      <x:c r="L338" s="256" t="str">
        <x:v>none</x:v>
      </x:c>
    </x:row>
    <x:row r="339" ht="24" customHeight="1">
      <x:c r="C339" s="256" t="str">
        <x:v>SRC-0099</x:v>
      </x:c>
      <x:c r="D339" s="256" t="str">
        <x:v>Historical Inputs!E42</x:v>
      </x:c>
      <x:c r="E339" s="256" t="n">
        <x:v>2017</x:v>
      </x:c>
      <x:c r="F339" s="256" t="n">
        <x:v>2019</x:v>
      </x:c>
      <x:c r="G339" s="256" t="n">
        <x:v>82</x:v>
      </x:c>
      <x:c r="H339" s="282" t="n">
        <x:v>1412</x:v>
      </x:c>
      <x:c r="I339" s="256" t="str">
        <x:v>reported</x:v>
      </x:c>
      <x:c r="J339" s="256" t="str">
        <x:v>data/raw/reports/originals/Microsoft_FY2019_10K.pdf</x:v>
      </x:c>
      <x:c r="K339" s="256" t="str">
        <x:f>IFERROR(HYPERLINK("../data/raw/reports/highlighted/Microsoft_FY2019_10K_highlighted.pdf","Marked PDF page 82"),"Marked PDF page 82")</x:f>
        <x:v>Marked PDF page 82</x:v>
      </x:c>
      <x:c r="L339" s="256" t="str">
        <x:v>none</x:v>
      </x:c>
    </x:row>
    <x:row r="340" ht="24" customHeight="1">
      <x:c r="C340" s="256" t="str">
        <x:v>SRC-0204</x:v>
      </x:c>
      <x:c r="D340" s="256" t="str">
        <x:v>Historical Inputs!F42</x:v>
      </x:c>
      <x:c r="E340" s="256" t="n">
        <x:v>2018</x:v>
      </x:c>
      <x:c r="F340" s="256" t="n">
        <x:v>2020</x:v>
      </x:c>
      <x:c r="G340" s="256" t="n">
        <x:v>83</x:v>
      </x:c>
      <x:c r="H340" s="282" t="n">
        <x:v>1585</x:v>
      </x:c>
      <x:c r="I340" s="256" t="str">
        <x:v>reported</x:v>
      </x:c>
      <x:c r="J340" s="256" t="str">
        <x:v>data/raw/reports/originals/Microsoft_FY2020_10K.pdf</x:v>
      </x:c>
      <x:c r="K340" s="256" t="str">
        <x:f>IFERROR(HYPERLINK("../data/raw/reports/highlighted/Microsoft_FY2020_10K_highlighted.pdf","Marked PDF page 83"),"Marked PDF page 83")</x:f>
        <x:v>Marked PDF page 83</x:v>
      </x:c>
      <x:c r="L340" s="256" t="str">
        <x:v>none</x:v>
      </x:c>
    </x:row>
    <x:row r="341" ht="24" customHeight="1">
      <x:c r="C341" s="256" t="str">
        <x:v>SRC-0309</x:v>
      </x:c>
      <x:c r="D341" s="256" t="str">
        <x:v>Historical Inputs!G42</x:v>
      </x:c>
      <x:c r="E341" s="256" t="n">
        <x:v>2019</x:v>
      </x:c>
      <x:c r="F341" s="256" t="n">
        <x:v>2021</x:v>
      </x:c>
      <x:c r="G341" s="256" t="n">
        <x:v>86</x:v>
      </x:c>
      <x:c r="H341" s="282" t="n">
        <x:v>1707</x:v>
      </x:c>
      <x:c r="I341" s="256" t="str">
        <x:v>reported</x:v>
      </x:c>
      <x:c r="J341" s="256" t="str">
        <x:v>data/raw/reports/originals/Microsoft_FY2021_10K.pdf</x:v>
      </x:c>
      <x:c r="K341" s="256" t="str">
        <x:f>IFERROR(HYPERLINK("../data/raw/reports/highlighted/Microsoft_FY2021_10K_highlighted.pdf","Marked PDF page 86"),"Marked PDF page 86")</x:f>
        <x:v>Marked PDF page 86</x:v>
      </x:c>
      <x:c r="L341" s="256" t="str">
        <x:v>none</x:v>
      </x:c>
    </x:row>
    <x:row r="342" ht="24" customHeight="1">
      <x:c r="C342" s="256" t="str">
        <x:v>SRC-0415</x:v>
      </x:c>
      <x:c r="D342" s="256" t="str">
        <x:v>Historical Inputs!H42</x:v>
      </x:c>
      <x:c r="E342" s="256" t="n">
        <x:v>2020</x:v>
      </x:c>
      <x:c r="F342" s="256" t="n">
        <x:v>2022</x:v>
      </x:c>
      <x:c r="G342" s="256" t="n">
        <x:v>86</x:v>
      </x:c>
      <x:c r="H342" s="282" t="n">
        <x:v>2043</x:v>
      </x:c>
      <x:c r="I342" s="256" t="str">
        <x:v>reported</x:v>
      </x:c>
      <x:c r="J342" s="256" t="str">
        <x:v>data/raw/reports/originals/Microsoft_FY2022_10K.pdf</x:v>
      </x:c>
      <x:c r="K342" s="256" t="str">
        <x:f>IFERROR(HYPERLINK("../data/raw/reports/highlighted/Microsoft_FY2022_10K_highlighted.pdf","Marked PDF page 86"),"Marked PDF page 86")</x:f>
        <x:v>Marked PDF page 86</x:v>
      </x:c>
      <x:c r="L342" s="256" t="str">
        <x:v>none</x:v>
      </x:c>
    </x:row>
    <x:row r="343" ht="24" customHeight="1">
      <x:c r="C343" s="256" t="str">
        <x:v>SRC-0521</x:v>
      </x:c>
      <x:c r="D343" s="256" t="str">
        <x:v>Historical Inputs!I42</x:v>
      </x:c>
      <x:c r="E343" s="256" t="n">
        <x:v>2021</x:v>
      </x:c>
      <x:c r="F343" s="256" t="n">
        <x:v>2023</x:v>
      </x:c>
      <x:c r="G343" s="256" t="n">
        <x:v>86</x:v>
      </x:c>
      <x:c r="H343" s="282" t="n">
        <x:v>2127</x:v>
      </x:c>
      <x:c r="I343" s="256" t="str">
        <x:v>reported</x:v>
      </x:c>
      <x:c r="J343" s="256" t="str">
        <x:v>data/raw/reports/originals/Microsoft_FY2023_10K.pdf</x:v>
      </x:c>
      <x:c r="K343" s="256" t="str">
        <x:f>IFERROR(HYPERLINK("../data/raw/reports/highlighted/Microsoft_FY2023_10K_highlighted.pdf","Marked PDF page 86"),"Marked PDF page 86")</x:f>
        <x:v>Marked PDF page 86</x:v>
      </x:c>
      <x:c r="L343" s="256" t="str">
        <x:v>none</x:v>
      </x:c>
    </x:row>
    <x:row r="344" ht="24" customHeight="1">
      <x:c r="C344" s="256" t="str">
        <x:v>SRC-0626</x:v>
      </x:c>
      <x:c r="D344" s="256" t="str">
        <x:v>Historical Inputs!J42</x:v>
      </x:c>
      <x:c r="E344" s="256" t="n">
        <x:v>2022</x:v>
      </x:c>
      <x:c r="F344" s="256" t="n">
        <x:v>2024</x:v>
      </x:c>
      <x:c r="G344" s="256" t="n">
        <x:v>85</x:v>
      </x:c>
      <x:c r="H344" s="282" t="n">
        <x:v>2461</x:v>
      </x:c>
      <x:c r="I344" s="256" t="str">
        <x:v>reported</x:v>
      </x:c>
      <x:c r="J344" s="256" t="str">
        <x:v>data/raw/reports/originals/Microsoft_FY2024_10K.pdf</x:v>
      </x:c>
      <x:c r="K344" s="256" t="str">
        <x:f>IFERROR(HYPERLINK("../data/raw/reports/highlighted/Microsoft_FY2024_10K_highlighted.pdf","Marked PDF page 85"),"Marked PDF page 85")</x:f>
        <x:v>Marked PDF page 85</x:v>
      </x:c>
      <x:c r="L344" s="256" t="str">
        <x:v>none</x:v>
      </x:c>
    </x:row>
    <x:row r="345" ht="24" customHeight="1">
      <x:c r="C345" s="256" t="str">
        <x:v>SRC-0731</x:v>
      </x:c>
      <x:c r="D345" s="256" t="str">
        <x:v>Historical Inputs!K42</x:v>
      </x:c>
      <x:c r="E345" s="256" t="n">
        <x:v>2023</x:v>
      </x:c>
      <x:c r="F345" s="256" t="n">
        <x:v>2025</x:v>
      </x:c>
      <x:c r="G345" s="256" t="n">
        <x:v>77</x:v>
      </x:c>
      <x:c r="H345" s="282" t="n">
        <x:v>2875</x:v>
      </x:c>
      <x:c r="I345" s="256" t="str">
        <x:v>reported</x:v>
      </x:c>
      <x:c r="J345" s="256" t="str">
        <x:v>data/raw/reports/originals/Microsoft_FY2025_10K.pdf</x:v>
      </x:c>
      <x:c r="K345" s="256" t="str">
        <x:f>IFERROR(HYPERLINK("../data/raw/reports/highlighted/Microsoft_FY2025_10K_highlighted.pdf","Marked PDF page 77"),"Marked PDF page 77")</x:f>
        <x:v>Marked PDF page 77</x:v>
      </x:c>
      <x:c r="L345" s="256" t="str">
        <x:v>none</x:v>
      </x:c>
    </x:row>
    <x:row r="346" ht="24" customHeight="1">
      <x:c r="C346" s="256" t="str">
        <x:v>SRC-0840</x:v>
      </x:c>
      <x:c r="D346" s="256" t="str">
        <x:v>Historical Inputs!L42</x:v>
      </x:c>
      <x:c r="E346" s="256" t="n">
        <x:v>2024</x:v>
      </x:c>
      <x:c r="F346" s="256" t="n">
        <x:v>2026</x:v>
      </x:c>
      <x:c r="G346" s="256" t="n">
        <x:v>77</x:v>
      </x:c>
      <x:c r="H346" s="282" t="n">
        <x:v>3555</x:v>
      </x:c>
      <x:c r="I346" s="256" t="str">
        <x:v>reported</x:v>
      </x:c>
      <x:c r="J346" s="256" t="str">
        <x:v>data/raw/reports/originals/Microsoft_FY2026_10K.pdf</x:v>
      </x:c>
      <x:c r="K346" s="256" t="str">
        <x:f>IFERROR(HYPERLINK("../data/raw/reports/highlighted/Microsoft_FY2026_10K_highlighted.pdf","Marked PDF page 77"),"Marked PDF page 77")</x:f>
        <x:v>Marked PDF page 77</x:v>
      </x:c>
      <x:c r="L346" s="256" t="str">
        <x:v>none</x:v>
      </x:c>
    </x:row>
    <x:row r="347" ht="24" customHeight="1">
      <x:c r="C347" s="256" t="str">
        <x:v>SRC-0949</x:v>
      </x:c>
      <x:c r="D347" s="256" t="str">
        <x:v>Historical Inputs!M42</x:v>
      </x:c>
      <x:c r="E347" s="256" t="n">
        <x:v>2025</x:v>
      </x:c>
      <x:c r="F347" s="256" t="n">
        <x:v>2026</x:v>
      </x:c>
      <x:c r="G347" s="256" t="n">
        <x:v>77</x:v>
      </x:c>
      <x:c r="H347" s="282" t="n">
        <x:v>5524</x:v>
      </x:c>
      <x:c r="I347" s="256" t="str">
        <x:v>reported</x:v>
      </x:c>
      <x:c r="J347" s="256" t="str">
        <x:v>data/raw/reports/originals/Microsoft_FY2026_10K.pdf</x:v>
      </x:c>
      <x:c r="K347" s="256" t="str">
        <x:f>IFERROR(HYPERLINK("../data/raw/reports/highlighted/Microsoft_FY2026_10K_highlighted.pdf","Marked PDF page 77"),"Marked PDF page 77")</x:f>
        <x:v>Marked PDF page 77</x:v>
      </x:c>
      <x:c r="L347" s="256" t="str">
        <x:v>none</x:v>
      </x:c>
    </x:row>
    <x:row r="348" ht="24" customHeight="1">
      <x:c r="C348" s="256" t="str">
        <x:v>SRC-1058</x:v>
      </x:c>
      <x:c r="D348" s="256" t="str">
        <x:v>Historical Inputs!N42</x:v>
      </x:c>
      <x:c r="E348" s="256" t="n">
        <x:v>2026</x:v>
      </x:c>
      <x:c r="F348" s="256" t="n">
        <x:v>2026</x:v>
      </x:c>
      <x:c r="G348" s="256" t="n">
        <x:v>77</x:v>
      </x:c>
      <x:c r="H348" s="282" t="n">
        <x:v>6968</x:v>
      </x:c>
      <x:c r="I348" s="256" t="str">
        <x:v>reported</x:v>
      </x:c>
      <x:c r="J348" s="256" t="str">
        <x:v>data/raw/reports/originals/Microsoft_FY2026_10K.pdf</x:v>
      </x:c>
      <x:c r="K348" s="256" t="str">
        <x:f>IFERROR(HYPERLINK("../data/raw/reports/highlighted/Microsoft_FY2026_10K_highlighted.pdf","Marked PDF page 77"),"Marked PDF page 77")</x:f>
        <x:v>Marked PDF page 77</x:v>
      </x:c>
      <x:c r="L348" s="256" t="str">
        <x:v>none</x:v>
      </x:c>
    </x:row>
    <x:row r="349" ht="24" customHeight="1">
      <x:c r="C349" s="256" t="str">
        <x:v>DERIVED-34-2017</x:v>
      </x:c>
      <x:c r="D349" s="256" t="str">
        <x:v>Historical Inputs!E43</x:v>
      </x:c>
      <x:c r="E349" s="256" t="n">
        <x:v>2017</x:v>
      </x:c>
      <x:c r="F349" s="256" t="str">
        <x:v>n.a.</x:v>
      </x:c>
      <x:c r="G349" s="256" t="str">
        <x:v>n.a.</x:v>
      </x:c>
      <x:c r="H349" s="282" t="str">
        <x:v>n.a.</x:v>
      </x:c>
      <x:c r="I349" s="256" t="str">
        <x:v>unavailable_disclosure</x:v>
      </x:c>
      <x:c r="J349" s="256" t="str"/>
      <x:c r="K349" s="256" t="str"/>
      <x:c r="L349" s="256" t="str"/>
    </x:row>
    <x:row r="350" ht="24" customHeight="1">
      <x:c r="C350" s="256" t="str">
        <x:v>DERIVED-34-2018</x:v>
      </x:c>
      <x:c r="D350" s="256" t="str">
        <x:v>Historical Inputs!F43</x:v>
      </x:c>
      <x:c r="E350" s="256" t="n">
        <x:v>2018</x:v>
      </x:c>
      <x:c r="F350" s="256" t="str">
        <x:v>n.a.</x:v>
      </x:c>
      <x:c r="G350" s="256" t="str">
        <x:v>n.a.</x:v>
      </x:c>
      <x:c r="H350" s="282" t="str">
        <x:v>n.a.</x:v>
      </x:c>
      <x:c r="I350" s="256" t="str">
        <x:v>unavailable_disclosure</x:v>
      </x:c>
      <x:c r="J350" s="256" t="str"/>
      <x:c r="K350" s="256" t="str"/>
      <x:c r="L350" s="256" t="str"/>
    </x:row>
    <x:row r="351" ht="24" customHeight="1">
      <x:c r="C351" s="256" t="str">
        <x:v>DERIVED-34-2019</x:v>
      </x:c>
      <x:c r="D351" s="256" t="str">
        <x:v>Historical Inputs!G43</x:v>
      </x:c>
      <x:c r="E351" s="256" t="n">
        <x:v>2019</x:v>
      </x:c>
      <x:c r="F351" s="256" t="str">
        <x:v>n.a.</x:v>
      </x:c>
      <x:c r="G351" s="256" t="str">
        <x:v>n.a.</x:v>
      </x:c>
      <x:c r="H351" s="282" t="str">
        <x:v>n.a.</x:v>
      </x:c>
      <x:c r="I351" s="256" t="str">
        <x:v>unavailable_disclosure</x:v>
      </x:c>
      <x:c r="J351" s="256" t="str"/>
      <x:c r="K351" s="256" t="str"/>
      <x:c r="L351" s="256" t="str"/>
    </x:row>
    <x:row r="352" ht="24" customHeight="1">
      <x:c r="C352" s="256" t="str">
        <x:v>DERIVED-34-2020</x:v>
      </x:c>
      <x:c r="D352" s="256" t="str">
        <x:v>Historical Inputs!H43</x:v>
      </x:c>
      <x:c r="E352" s="256" t="n">
        <x:v>2020</x:v>
      </x:c>
      <x:c r="F352" s="256" t="str">
        <x:v>n.a.</x:v>
      </x:c>
      <x:c r="G352" s="256" t="str">
        <x:v>n.a.</x:v>
      </x:c>
      <x:c r="H352" s="282" t="str">
        <x:v>n.a.</x:v>
      </x:c>
      <x:c r="I352" s="256" t="str">
        <x:v>unavailable_disclosure</x:v>
      </x:c>
      <x:c r="J352" s="256" t="str"/>
      <x:c r="K352" s="256" t="str"/>
      <x:c r="L352" s="256" t="str"/>
    </x:row>
    <x:row r="353" ht="24" customHeight="1">
      <x:c r="C353" s="256" t="str">
        <x:v>DERIVED-34-2021</x:v>
      </x:c>
      <x:c r="D353" s="256" t="str">
        <x:v>Historical Inputs!I43</x:v>
      </x:c>
      <x:c r="E353" s="256" t="n">
        <x:v>2021</x:v>
      </x:c>
      <x:c r="F353" s="256" t="str">
        <x:v>n.a.</x:v>
      </x:c>
      <x:c r="G353" s="256" t="str">
        <x:v>n.a.</x:v>
      </x:c>
      <x:c r="H353" s="282" t="str">
        <x:v>n.a.</x:v>
      </x:c>
      <x:c r="I353" s="256" t="str">
        <x:v>unavailable_disclosure</x:v>
      </x:c>
      <x:c r="J353" s="256" t="str"/>
      <x:c r="K353" s="256" t="str"/>
      <x:c r="L353" s="256" t="str"/>
    </x:row>
    <x:row r="354" ht="24" customHeight="1">
      <x:c r="C354" s="256" t="str">
        <x:v>DERIVED-34-2022</x:v>
      </x:c>
      <x:c r="D354" s="256" t="str">
        <x:v>Historical Inputs!J43</x:v>
      </x:c>
      <x:c r="E354" s="256" t="n">
        <x:v>2022</x:v>
      </x:c>
      <x:c r="F354" s="256" t="str">
        <x:v>n.a.</x:v>
      </x:c>
      <x:c r="G354" s="256" t="str">
        <x:v>n.a.</x:v>
      </x:c>
      <x:c r="H354" s="282" t="str">
        <x:v>n.a.</x:v>
      </x:c>
      <x:c r="I354" s="256" t="str">
        <x:v>unavailable_disclosure</x:v>
      </x:c>
      <x:c r="J354" s="256" t="str"/>
      <x:c r="K354" s="256" t="str"/>
      <x:c r="L354" s="256" t="str"/>
    </x:row>
    <x:row r="355" ht="24" customHeight="1">
      <x:c r="C355" s="256" t="str">
        <x:v>DERIVED-34-2023</x:v>
      </x:c>
      <x:c r="D355" s="256" t="str">
        <x:v>Historical Inputs!K43</x:v>
      </x:c>
      <x:c r="E355" s="256" t="n">
        <x:v>2023</x:v>
      </x:c>
      <x:c r="F355" s="256" t="str">
        <x:v>n.a.</x:v>
      </x:c>
      <x:c r="G355" s="256" t="str">
        <x:v>n.a.</x:v>
      </x:c>
      <x:c r="H355" s="282" t="str">
        <x:v>n.a.</x:v>
      </x:c>
      <x:c r="I355" s="256" t="str">
        <x:v>unavailable_disclosure</x:v>
      </x:c>
      <x:c r="J355" s="256" t="str"/>
      <x:c r="K355" s="256" t="str"/>
      <x:c r="L355" s="256" t="str"/>
    </x:row>
    <x:row r="356" ht="24" customHeight="1">
      <x:c r="C356" s="256" t="str">
        <x:v>DERIVED-34-2024</x:v>
      </x:c>
      <x:c r="D356" s="256" t="str">
        <x:v>Historical Inputs!L43</x:v>
      </x:c>
      <x:c r="E356" s="256" t="n">
        <x:v>2024</x:v>
      </x:c>
      <x:c r="F356" s="256" t="str">
        <x:v>n.a.</x:v>
      </x:c>
      <x:c r="G356" s="256" t="str">
        <x:v>n.a.</x:v>
      </x:c>
      <x:c r="H356" s="282" t="str">
        <x:v>n.a.</x:v>
      </x:c>
      <x:c r="I356" s="256" t="str">
        <x:v>unavailable_disclosure</x:v>
      </x:c>
      <x:c r="J356" s="256" t="str"/>
      <x:c r="K356" s="256" t="str"/>
      <x:c r="L356" s="256" t="str"/>
    </x:row>
    <x:row r="357" ht="24" customHeight="1">
      <x:c r="C357" s="256" t="str">
        <x:v>DERIVED-34-2025</x:v>
      </x:c>
      <x:c r="D357" s="256" t="str">
        <x:v>Historical Inputs!M43</x:v>
      </x:c>
      <x:c r="E357" s="256" t="n">
        <x:v>2025</x:v>
      </x:c>
      <x:c r="F357" s="256" t="str">
        <x:v>n.a.</x:v>
      </x:c>
      <x:c r="G357" s="256" t="str">
        <x:v>n.a.</x:v>
      </x:c>
      <x:c r="H357" s="282" t="str">
        <x:v>n.a.</x:v>
      </x:c>
      <x:c r="I357" s="256" t="str">
        <x:v>unavailable_disclosure</x:v>
      </x:c>
      <x:c r="J357" s="256" t="str"/>
      <x:c r="K357" s="256" t="str"/>
      <x:c r="L357" s="256" t="str"/>
    </x:row>
    <x:row r="358" ht="24" customHeight="1">
      <x:c r="C358" s="256" t="str">
        <x:v>SRC-1071</x:v>
      </x:c>
      <x:c r="D358" s="256" t="str">
        <x:v>Historical Inputs!N43</x:v>
      </x:c>
      <x:c r="E358" s="256" t="n">
        <x:v>2026</x:v>
      </x:c>
      <x:c r="F358" s="256" t="n">
        <x:v>2026</x:v>
      </x:c>
      <x:c r="G358" s="256" t="n">
        <x:v>72</x:v>
      </x:c>
      <x:c r="H358" s="282" t="n">
        <x:v>46136</x:v>
      </x:c>
      <x:c r="I358" s="256" t="str">
        <x:v>reported</x:v>
      </x:c>
      <x:c r="J358" s="256" t="str">
        <x:v>data/raw/reports/originals/Microsoft_FY2026_10K.pdf</x:v>
      </x:c>
      <x:c r="K358" s="256" t="str">
        <x:f>IFERROR(HYPERLINK("../data/raw/reports/highlighted/Microsoft_FY2026_10K_highlighted.pdf","Marked PDF page 72"),"Marked PDF page 72")</x:f>
        <x:v>Marked PDF page 72</x:v>
      </x:c>
      <x:c r="L358" s="256" t="str">
        <x:v>none</x:v>
      </x:c>
    </x:row>
    <x:row r="359" ht="24" customHeight="1">
      <x:c r="C359" s="256" t="str">
        <x:v>DERIVED-35-2017</x:v>
      </x:c>
      <x:c r="D359" s="256" t="str">
        <x:v>Historical Inputs!E44</x:v>
      </x:c>
      <x:c r="E359" s="256" t="n">
        <x:v>2017</x:v>
      </x:c>
      <x:c r="F359" s="256" t="str">
        <x:v>n.a.</x:v>
      </x:c>
      <x:c r="G359" s="256" t="str">
        <x:v>n.a.</x:v>
      </x:c>
      <x:c r="H359" s="282" t="str">
        <x:v>n.a.</x:v>
      </x:c>
      <x:c r="I359" s="256" t="str">
        <x:v>unavailable_disclosure</x:v>
      </x:c>
      <x:c r="J359" s="256" t="str"/>
      <x:c r="K359" s="256" t="str"/>
      <x:c r="L359" s="256" t="str"/>
    </x:row>
    <x:row r="360" ht="24" customHeight="1">
      <x:c r="C360" s="256" t="str">
        <x:v>DERIVED-35-2018</x:v>
      </x:c>
      <x:c r="D360" s="256" t="str">
        <x:v>Historical Inputs!F44</x:v>
      </x:c>
      <x:c r="E360" s="256" t="n">
        <x:v>2018</x:v>
      </x:c>
      <x:c r="F360" s="256" t="str">
        <x:v>n.a.</x:v>
      </x:c>
      <x:c r="G360" s="256" t="str">
        <x:v>n.a.</x:v>
      </x:c>
      <x:c r="H360" s="282" t="str">
        <x:v>n.a.</x:v>
      </x:c>
      <x:c r="I360" s="256" t="str">
        <x:v>unavailable_disclosure</x:v>
      </x:c>
      <x:c r="J360" s="256" t="str"/>
      <x:c r="K360" s="256" t="str"/>
      <x:c r="L360" s="256" t="str"/>
    </x:row>
    <x:row r="361" ht="24" customHeight="1">
      <x:c r="C361" s="256" t="str">
        <x:v>DERIVED-35-2019</x:v>
      </x:c>
      <x:c r="D361" s="256" t="str">
        <x:v>Historical Inputs!G44</x:v>
      </x:c>
      <x:c r="E361" s="256" t="n">
        <x:v>2019</x:v>
      </x:c>
      <x:c r="F361" s="256" t="str">
        <x:v>n.a.</x:v>
      </x:c>
      <x:c r="G361" s="256" t="str">
        <x:v>n.a.</x:v>
      </x:c>
      <x:c r="H361" s="282" t="str">
        <x:v>n.a.</x:v>
      </x:c>
      <x:c r="I361" s="256" t="str">
        <x:v>unavailable_disclosure</x:v>
      </x:c>
      <x:c r="J361" s="256" t="str"/>
      <x:c r="K361" s="256" t="str"/>
      <x:c r="L361" s="256" t="str"/>
    </x:row>
    <x:row r="362" ht="24" customHeight="1">
      <x:c r="C362" s="256" t="str">
        <x:v>DERIVED-35-2020</x:v>
      </x:c>
      <x:c r="D362" s="256" t="str">
        <x:v>Historical Inputs!H44</x:v>
      </x:c>
      <x:c r="E362" s="256" t="n">
        <x:v>2020</x:v>
      </x:c>
      <x:c r="F362" s="256" t="str">
        <x:v>n.a.</x:v>
      </x:c>
      <x:c r="G362" s="256" t="str">
        <x:v>n.a.</x:v>
      </x:c>
      <x:c r="H362" s="282" t="str">
        <x:v>n.a.</x:v>
      </x:c>
      <x:c r="I362" s="256" t="str">
        <x:v>unavailable_disclosure</x:v>
      </x:c>
      <x:c r="J362" s="256" t="str"/>
      <x:c r="K362" s="256" t="str"/>
      <x:c r="L362" s="256" t="str"/>
    </x:row>
    <x:row r="363" ht="24" customHeight="1">
      <x:c r="C363" s="256" t="str">
        <x:v>DERIVED-35-2021</x:v>
      </x:c>
      <x:c r="D363" s="256" t="str">
        <x:v>Historical Inputs!I44</x:v>
      </x:c>
      <x:c r="E363" s="256" t="n">
        <x:v>2021</x:v>
      </x:c>
      <x:c r="F363" s="256" t="str">
        <x:v>n.a.</x:v>
      </x:c>
      <x:c r="G363" s="256" t="str">
        <x:v>n.a.</x:v>
      </x:c>
      <x:c r="H363" s="282" t="str">
        <x:v>n.a.</x:v>
      </x:c>
      <x:c r="I363" s="256" t="str">
        <x:v>unavailable_disclosure</x:v>
      </x:c>
      <x:c r="J363" s="256" t="str"/>
      <x:c r="K363" s="256" t="str"/>
      <x:c r="L363" s="256" t="str"/>
    </x:row>
    <x:row r="364" ht="24" customHeight="1">
      <x:c r="C364" s="256" t="str">
        <x:v>DERIVED-35-2022</x:v>
      </x:c>
      <x:c r="D364" s="256" t="str">
        <x:v>Historical Inputs!J44</x:v>
      </x:c>
      <x:c r="E364" s="256" t="n">
        <x:v>2022</x:v>
      </x:c>
      <x:c r="F364" s="256" t="str">
        <x:v>n.a.</x:v>
      </x:c>
      <x:c r="G364" s="256" t="str">
        <x:v>n.a.</x:v>
      </x:c>
      <x:c r="H364" s="282" t="str">
        <x:v>n.a.</x:v>
      </x:c>
      <x:c r="I364" s="256" t="str">
        <x:v>unavailable_disclosure</x:v>
      </x:c>
      <x:c r="J364" s="256" t="str"/>
      <x:c r="K364" s="256" t="str"/>
      <x:c r="L364" s="256" t="str"/>
    </x:row>
    <x:row r="365" ht="24" customHeight="1">
      <x:c r="C365" s="256" t="str">
        <x:v>SRC-0732</x:v>
      </x:c>
      <x:c r="D365" s="256" t="str">
        <x:v>Historical Inputs!K44</x:v>
      </x:c>
      <x:c r="E365" s="256" t="n">
        <x:v>2023</x:v>
      </x:c>
      <x:c r="F365" s="256" t="n">
        <x:v>2025</x:v>
      </x:c>
      <x:c r="G365" s="256" t="n">
        <x:v>62</x:v>
      </x:c>
      <x:c r="H365" s="282" t="n">
        <x:v>1968</x:v>
      </x:c>
      <x:c r="I365" s="256" t="str">
        <x:v>reported_magnitude</x:v>
      </x:c>
      <x:c r="J365" s="256" t="str">
        <x:v>data/raw/reports/originals/Microsoft_FY2025_10K.pdf</x:v>
      </x:c>
      <x:c r="K365" s="256" t="str">
        <x:f>IFERROR(HYPERLINK("../data/raw/reports/highlighted/Microsoft_FY2025_10K_highlighted.pdf","Marked PDF page 62"),"Marked PDF page 62")</x:f>
        <x:v>Marked PDF page 62</x:v>
      </x:c>
      <x:c r="L365" s="256" t="str">
        <x:v>absolute magnitude</x:v>
      </x:c>
    </x:row>
    <x:row r="366" ht="24" customHeight="1">
      <x:c r="C366" s="256" t="str">
        <x:v>SRC-0841</x:v>
      </x:c>
      <x:c r="D366" s="256" t="str">
        <x:v>Historical Inputs!L44</x:v>
      </x:c>
      <x:c r="E366" s="256" t="n">
        <x:v>2024</x:v>
      </x:c>
      <x:c r="F366" s="256" t="n">
        <x:v>2026</x:v>
      </x:c>
      <x:c r="G366" s="256" t="n">
        <x:v>62</x:v>
      </x:c>
      <x:c r="H366" s="282" t="n">
        <x:v>2935</x:v>
      </x:c>
      <x:c r="I366" s="256" t="str">
        <x:v>reported_magnitude</x:v>
      </x:c>
      <x:c r="J366" s="256" t="str">
        <x:v>data/raw/reports/originals/Microsoft_FY2026_10K.pdf</x:v>
      </x:c>
      <x:c r="K366" s="256" t="str">
        <x:f>IFERROR(HYPERLINK("../data/raw/reports/highlighted/Microsoft_FY2026_10K_highlighted.pdf","Marked PDF page 62"),"Marked PDF page 62")</x:f>
        <x:v>Marked PDF page 62</x:v>
      </x:c>
      <x:c r="L366" s="256" t="str">
        <x:v>absolute magnitude</x:v>
      </x:c>
    </x:row>
    <x:row r="367" ht="24" customHeight="1">
      <x:c r="C367" s="256" t="str">
        <x:v>SRC-0950</x:v>
      </x:c>
      <x:c r="D367" s="256" t="str">
        <x:v>Historical Inputs!M44</x:v>
      </x:c>
      <x:c r="E367" s="256" t="n">
        <x:v>2025</x:v>
      </x:c>
      <x:c r="F367" s="256" t="n">
        <x:v>2026</x:v>
      </x:c>
      <x:c r="G367" s="256" t="n">
        <x:v>62</x:v>
      </x:c>
      <x:c r="H367" s="282" t="n">
        <x:v>2385</x:v>
      </x:c>
      <x:c r="I367" s="256" t="str">
        <x:v>reported_magnitude</x:v>
      </x:c>
      <x:c r="J367" s="256" t="str">
        <x:v>data/raw/reports/originals/Microsoft_FY2026_10K.pdf</x:v>
      </x:c>
      <x:c r="K367" s="256" t="str">
        <x:f>IFERROR(HYPERLINK("../data/raw/reports/highlighted/Microsoft_FY2026_10K_highlighted.pdf","Marked PDF page 62"),"Marked PDF page 62")</x:f>
        <x:v>Marked PDF page 62</x:v>
      </x:c>
      <x:c r="L367" s="256" t="str">
        <x:v>absolute magnitude</x:v>
      </x:c>
    </x:row>
    <x:row r="368" ht="24" customHeight="1">
      <x:c r="C368" s="256" t="str">
        <x:v>SRC-1059</x:v>
      </x:c>
      <x:c r="D368" s="256" t="str">
        <x:v>Historical Inputs!N44</x:v>
      </x:c>
      <x:c r="E368" s="256" t="n">
        <x:v>2026</x:v>
      </x:c>
      <x:c r="F368" s="256" t="n">
        <x:v>2026</x:v>
      </x:c>
      <x:c r="G368" s="256" t="n">
        <x:v>62</x:v>
      </x:c>
      <x:c r="H368" s="282" t="n">
        <x:v>3051</x:v>
      </x:c>
      <x:c r="I368" s="256" t="str">
        <x:v>reported_magnitude</x:v>
      </x:c>
      <x:c r="J368" s="256" t="str">
        <x:v>data/raw/reports/originals/Microsoft_FY2026_10K.pdf</x:v>
      </x:c>
      <x:c r="K368" s="256" t="str">
        <x:f>IFERROR(HYPERLINK("../data/raw/reports/highlighted/Microsoft_FY2026_10K_highlighted.pdf","Marked PDF page 62"),"Marked PDF page 62")</x:f>
        <x:v>Marked PDF page 62</x:v>
      </x:c>
      <x:c r="L368" s="256" t="str">
        <x:v>absolute magnitude</x:v>
      </x:c>
    </x:row>
    <x:row r="369" ht="24" customHeight="1">
      <x:c r="C369" s="256" t="str">
        <x:v>DERIVED-36-2017</x:v>
      </x:c>
      <x:c r="D369" s="256" t="str">
        <x:v>Historical Inputs!E45</x:v>
      </x:c>
      <x:c r="E369" s="256" t="n">
        <x:v>2017</x:v>
      </x:c>
      <x:c r="F369" s="256" t="str">
        <x:v>n.a.</x:v>
      </x:c>
      <x:c r="G369" s="256" t="str">
        <x:v>n.a.</x:v>
      </x:c>
      <x:c r="H369" s="282" t="str">
        <x:v>n.a.</x:v>
      </x:c>
      <x:c r="I369" s="256" t="str">
        <x:v>unavailable_disclosure</x:v>
      </x:c>
      <x:c r="J369" s="256" t="str"/>
      <x:c r="K369" s="256" t="str"/>
      <x:c r="L369" s="256" t="str"/>
    </x:row>
    <x:row r="370" ht="24" customHeight="1">
      <x:c r="C370" s="256" t="str">
        <x:v>DERIVED-36-2018</x:v>
      </x:c>
      <x:c r="D370" s="256" t="str">
        <x:v>Historical Inputs!F45</x:v>
      </x:c>
      <x:c r="E370" s="256" t="n">
        <x:v>2018</x:v>
      </x:c>
      <x:c r="F370" s="256" t="str">
        <x:v>n.a.</x:v>
      </x:c>
      <x:c r="G370" s="256" t="str">
        <x:v>n.a.</x:v>
      </x:c>
      <x:c r="H370" s="282" t="str">
        <x:v>n.a.</x:v>
      </x:c>
      <x:c r="I370" s="256" t="str">
        <x:v>unavailable_disclosure</x:v>
      </x:c>
      <x:c r="J370" s="256" t="str"/>
      <x:c r="K370" s="256" t="str"/>
      <x:c r="L370" s="256" t="str"/>
    </x:row>
    <x:row r="371" ht="24" customHeight="1">
      <x:c r="C371" s="256" t="str">
        <x:v>DERIVED-36-2019</x:v>
      </x:c>
      <x:c r="D371" s="256" t="str">
        <x:v>Historical Inputs!G45</x:v>
      </x:c>
      <x:c r="E371" s="256" t="n">
        <x:v>2019</x:v>
      </x:c>
      <x:c r="F371" s="256" t="str">
        <x:v>n.a.</x:v>
      </x:c>
      <x:c r="G371" s="256" t="str">
        <x:v>n.a.</x:v>
      </x:c>
      <x:c r="H371" s="282" t="str">
        <x:v>n.a.</x:v>
      </x:c>
      <x:c r="I371" s="256" t="str">
        <x:v>unavailable_disclosure</x:v>
      </x:c>
      <x:c r="J371" s="256" t="str"/>
      <x:c r="K371" s="256" t="str"/>
      <x:c r="L371" s="256" t="str"/>
    </x:row>
    <x:row r="372" ht="24" customHeight="1">
      <x:c r="C372" s="256" t="str">
        <x:v>DERIVED-36-2020</x:v>
      </x:c>
      <x:c r="D372" s="256" t="str">
        <x:v>Historical Inputs!H45</x:v>
      </x:c>
      <x:c r="E372" s="256" t="n">
        <x:v>2020</x:v>
      </x:c>
      <x:c r="F372" s="256" t="str">
        <x:v>n.a.</x:v>
      </x:c>
      <x:c r="G372" s="256" t="str">
        <x:v>n.a.</x:v>
      </x:c>
      <x:c r="H372" s="282" t="str">
        <x:v>n.a.</x:v>
      </x:c>
      <x:c r="I372" s="256" t="str">
        <x:v>unavailable_disclosure</x:v>
      </x:c>
      <x:c r="J372" s="256" t="str"/>
      <x:c r="K372" s="256" t="str"/>
      <x:c r="L372" s="256" t="str"/>
    </x:row>
    <x:row r="373" ht="24" customHeight="1">
      <x:c r="C373" s="256" t="str">
        <x:v>DERIVED-36-2021</x:v>
      </x:c>
      <x:c r="D373" s="256" t="str">
        <x:v>Historical Inputs!I45</x:v>
      </x:c>
      <x:c r="E373" s="256" t="n">
        <x:v>2021</x:v>
      </x:c>
      <x:c r="F373" s="256" t="str">
        <x:v>n.a.</x:v>
      </x:c>
      <x:c r="G373" s="256" t="str">
        <x:v>n.a.</x:v>
      </x:c>
      <x:c r="H373" s="282" t="str">
        <x:v>n.a.</x:v>
      </x:c>
      <x:c r="I373" s="256" t="str">
        <x:v>unavailable_disclosure</x:v>
      </x:c>
      <x:c r="J373" s="256" t="str"/>
      <x:c r="K373" s="256" t="str"/>
      <x:c r="L373" s="256" t="str"/>
    </x:row>
    <x:row r="374" ht="24" customHeight="1">
      <x:c r="C374" s="256" t="str">
        <x:v>DERIVED-36-2022</x:v>
      </x:c>
      <x:c r="D374" s="256" t="str">
        <x:v>Historical Inputs!J45</x:v>
      </x:c>
      <x:c r="E374" s="256" t="n">
        <x:v>2022</x:v>
      </x:c>
      <x:c r="F374" s="256" t="str">
        <x:v>n.a.</x:v>
      </x:c>
      <x:c r="G374" s="256" t="str">
        <x:v>n.a.</x:v>
      </x:c>
      <x:c r="H374" s="282" t="str">
        <x:v>n.a.</x:v>
      </x:c>
      <x:c r="I374" s="256" t="str">
        <x:v>unavailable_disclosure</x:v>
      </x:c>
      <x:c r="J374" s="256" t="str"/>
      <x:c r="K374" s="256" t="str"/>
      <x:c r="L374" s="256" t="str"/>
    </x:row>
    <x:row r="375" ht="24" customHeight="1">
      <x:c r="C375" s="256" t="str">
        <x:v>DERIVED-36-2023</x:v>
      </x:c>
      <x:c r="D375" s="256" t="str">
        <x:v>Historical Inputs!K45</x:v>
      </x:c>
      <x:c r="E375" s="256" t="n">
        <x:v>2023</x:v>
      </x:c>
      <x:c r="F375" s="256" t="str">
        <x:v>n.a.</x:v>
      </x:c>
      <x:c r="G375" s="256" t="str">
        <x:v>n.a.</x:v>
      </x:c>
      <x:c r="H375" s="282" t="str">
        <x:v>n.a.</x:v>
      </x:c>
      <x:c r="I375" s="256" t="str">
        <x:v>unavailable_disclosure</x:v>
      </x:c>
      <x:c r="J375" s="256" t="str"/>
      <x:c r="K375" s="256" t="str"/>
      <x:c r="L375" s="256" t="str"/>
    </x:row>
    <x:row r="376" ht="24" customHeight="1">
      <x:c r="C376" s="256" t="str">
        <x:v>DERIVED-36-2024</x:v>
      </x:c>
      <x:c r="D376" s="256" t="str">
        <x:v>Historical Inputs!L45</x:v>
      </x:c>
      <x:c r="E376" s="256" t="n">
        <x:v>2024</x:v>
      </x:c>
      <x:c r="F376" s="256" t="str">
        <x:v>n.a.</x:v>
      </x:c>
      <x:c r="G376" s="256" t="str">
        <x:v>n.a.</x:v>
      </x:c>
      <x:c r="H376" s="282" t="str">
        <x:v>n.a.</x:v>
      </x:c>
      <x:c r="I376" s="256" t="str">
        <x:v>unavailable_disclosure</x:v>
      </x:c>
      <x:c r="J376" s="256" t="str"/>
      <x:c r="K376" s="256" t="str"/>
      <x:c r="L376" s="256" t="str"/>
    </x:row>
    <x:row r="377" ht="24" customHeight="1">
      <x:c r="C377" s="256" t="str">
        <x:v>DERIVED-36-2025</x:v>
      </x:c>
      <x:c r="D377" s="256" t="str">
        <x:v>Historical Inputs!M45</x:v>
      </x:c>
      <x:c r="E377" s="256" t="n">
        <x:v>2025</x:v>
      </x:c>
      <x:c r="F377" s="256" t="str">
        <x:v>n.a.</x:v>
      </x:c>
      <x:c r="G377" s="256" t="str">
        <x:v>n.a.</x:v>
      </x:c>
      <x:c r="H377" s="282" t="str">
        <x:v>n.a.</x:v>
      </x:c>
      <x:c r="I377" s="256" t="str">
        <x:v>unavailable_disclosure</x:v>
      </x:c>
      <x:c r="J377" s="256" t="str"/>
      <x:c r="K377" s="256" t="str"/>
      <x:c r="L377" s="256" t="str"/>
    </x:row>
    <x:row r="378" ht="24" customHeight="1">
      <x:c r="C378" s="256" t="str">
        <x:v>SRC-1069</x:v>
      </x:c>
      <x:c r="D378" s="256" t="str">
        <x:v>Historical Inputs!N45</x:v>
      </x:c>
      <x:c r="E378" s="256" t="n">
        <x:v>2026</x:v>
      </x:c>
      <x:c r="F378" s="256" t="n">
        <x:v>2026</x:v>
      </x:c>
      <x:c r="G378" s="256" t="n">
        <x:v>69</x:v>
      </x:c>
      <x:c r="H378" s="282" t="n">
        <x:v>10546</x:v>
      </x:c>
      <x:c r="I378" s="256" t="str">
        <x:v>reported</x:v>
      </x:c>
      <x:c r="J378" s="256" t="str">
        <x:v>data/raw/reports/originals/Microsoft_FY2026_10K.pdf</x:v>
      </x:c>
      <x:c r="K378" s="256" t="str">
        <x:f>IFERROR(HYPERLINK("../data/raw/reports/highlighted/Microsoft_FY2026_10K_highlighted.pdf","Marked PDF page 69"),"Marked PDF page 69")</x:f>
        <x:v>Marked PDF page 69</x:v>
      </x:c>
      <x:c r="L378" s="256" t="str">
        <x:v>none</x:v>
      </x:c>
    </x:row>
    <x:row r="379" ht="24" customHeight="1">
      <x:c r="C379" s="256" t="str">
        <x:v>SRC-0100</x:v>
      </x:c>
      <x:c r="D379" s="256" t="str">
        <x:v>Historical Inputs!E46</x:v>
      </x:c>
      <x:c r="E379" s="256" t="n">
        <x:v>2017</x:v>
      </x:c>
      <x:c r="F379" s="256" t="n">
        <x:v>2019</x:v>
      </x:c>
      <x:c r="G379" s="256" t="n">
        <x:v>90</x:v>
      </x:c>
      <x:c r="H379" s="282" t="n">
        <x:v>29870</x:v>
      </x:c>
      <x:c r="I379" s="256" t="str">
        <x:v>reported</x:v>
      </x:c>
      <x:c r="J379" s="256" t="str">
        <x:v>data/raw/reports/originals/Microsoft_FY2019_10K.pdf</x:v>
      </x:c>
      <x:c r="K379" s="256" t="str">
        <x:f>IFERROR(HYPERLINK("../data/raw/reports/highlighted/Microsoft_FY2019_10K_highlighted.pdf","Marked PDF page 90"),"Marked PDF page 90")</x:f>
        <x:v>Marked PDF page 90</x:v>
      </x:c>
      <x:c r="L379" s="256" t="str">
        <x:v>none</x:v>
      </x:c>
    </x:row>
    <x:row r="380" ht="24" customHeight="1">
      <x:c r="C380" s="256" t="str">
        <x:v>SRC-0205</x:v>
      </x:c>
      <x:c r="D380" s="256" t="str">
        <x:v>Historical Inputs!F46</x:v>
      </x:c>
      <x:c r="E380" s="256" t="n">
        <x:v>2018</x:v>
      </x:c>
      <x:c r="F380" s="256" t="n">
        <x:v>2020</x:v>
      </x:c>
      <x:c r="G380" s="256" t="n">
        <x:v>91</x:v>
      </x:c>
      <x:c r="H380" s="282" t="n">
        <x:v>35865</x:v>
      </x:c>
      <x:c r="I380" s="256" t="str">
        <x:v>reported</x:v>
      </x:c>
      <x:c r="J380" s="256" t="str">
        <x:v>data/raw/reports/originals/Microsoft_FY2020_10K.pdf</x:v>
      </x:c>
      <x:c r="K380" s="256" t="str">
        <x:f>IFERROR(HYPERLINK("../data/raw/reports/highlighted/Microsoft_FY2020_10K_highlighted.pdf","Marked PDF page 91"),"Marked PDF page 91")</x:f>
        <x:v>Marked PDF page 91</x:v>
      </x:c>
      <x:c r="L380" s="256" t="str">
        <x:v>none</x:v>
      </x:c>
    </x:row>
    <x:row r="381" ht="24" customHeight="1">
      <x:c r="C381" s="256" t="str">
        <x:v>SRC-0310</x:v>
      </x:c>
      <x:c r="D381" s="256" t="str">
        <x:v>Historical Inputs!G46</x:v>
      </x:c>
      <x:c r="E381" s="256" t="n">
        <x:v>2019</x:v>
      </x:c>
      <x:c r="F381" s="256" t="n">
        <x:v>2021</x:v>
      </x:c>
      <x:c r="G381" s="256" t="n">
        <x:v>94</x:v>
      </x:c>
      <x:c r="H381" s="282" t="n">
        <x:v>41160</x:v>
      </x:c>
      <x:c r="I381" s="256" t="str">
        <x:v>reported</x:v>
      </x:c>
      <x:c r="J381" s="256" t="str">
        <x:v>data/raw/reports/originals/Microsoft_FY2021_10K.pdf</x:v>
      </x:c>
      <x:c r="K381" s="256" t="str">
        <x:f>IFERROR(HYPERLINK("../data/raw/reports/highlighted/Microsoft_FY2021_10K_highlighted.pdf","Marked PDF page 94"),"Marked PDF page 94")</x:f>
        <x:v>Marked PDF page 94</x:v>
      </x:c>
      <x:c r="L381" s="256" t="str">
        <x:v>none</x:v>
      </x:c>
    </x:row>
    <x:row r="382" ht="24" customHeight="1">
      <x:c r="C382" s="256" t="str">
        <x:v>SRC-0416</x:v>
      </x:c>
      <x:c r="D382" s="256" t="str">
        <x:v>Historical Inputs!H46</x:v>
      </x:c>
      <x:c r="E382" s="256" t="n">
        <x:v>2020</x:v>
      </x:c>
      <x:c r="F382" s="256" t="n">
        <x:v>2022</x:v>
      </x:c>
      <x:c r="G382" s="256" t="n">
        <x:v>94</x:v>
      </x:c>
      <x:c r="H382" s="282" t="n">
        <x:v>46398</x:v>
      </x:c>
      <x:c r="I382" s="256" t="str">
        <x:v>reported</x:v>
      </x:c>
      <x:c r="J382" s="256" t="str">
        <x:v>data/raw/reports/originals/Microsoft_FY2022_10K.pdf</x:v>
      </x:c>
      <x:c r="K382" s="256" t="str">
        <x:f>IFERROR(HYPERLINK("../data/raw/reports/highlighted/Microsoft_FY2022_10K_highlighted.pdf","Marked PDF page 94"),"Marked PDF page 94")</x:f>
        <x:v>Marked PDF page 94</x:v>
      </x:c>
      <x:c r="L382" s="256" t="str">
        <x:v>none</x:v>
      </x:c>
    </x:row>
    <x:row r="383" ht="24" customHeight="1">
      <x:c r="C383" s="256" t="str">
        <x:v>SRC-0522</x:v>
      </x:c>
      <x:c r="D383" s="256" t="str">
        <x:v>Historical Inputs!I46</x:v>
      </x:c>
      <x:c r="E383" s="256" t="n">
        <x:v>2021</x:v>
      </x:c>
      <x:c r="F383" s="256" t="n">
        <x:v>2023</x:v>
      </x:c>
      <x:c r="G383" s="256" t="n">
        <x:v>94</x:v>
      </x:c>
      <x:c r="H383" s="282" t="n">
        <x:v>53915</x:v>
      </x:c>
      <x:c r="I383" s="256" t="str">
        <x:v>reported</x:v>
      </x:c>
      <x:c r="J383" s="256" t="str">
        <x:v>data/raw/reports/originals/Microsoft_FY2023_10K.pdf</x:v>
      </x:c>
      <x:c r="K383" s="256" t="str">
        <x:f>IFERROR(HYPERLINK("../data/raw/reports/highlighted/Microsoft_FY2023_10K_highlighted.pdf","Marked PDF page 94"),"Marked PDF page 94")</x:f>
        <x:v>Marked PDF page 94</x:v>
      </x:c>
      <x:c r="L383" s="256" t="str">
        <x:v>none</x:v>
      </x:c>
    </x:row>
    <x:row r="384" ht="24" customHeight="1">
      <x:c r="C384" s="256" t="str">
        <x:v>SRC-0627</x:v>
      </x:c>
      <x:c r="D384" s="256" t="str">
        <x:v>Historical Inputs!J46</x:v>
      </x:c>
      <x:c r="E384" s="256" t="n">
        <x:v>2022</x:v>
      </x:c>
      <x:c r="F384" s="256" t="n">
        <x:v>2024</x:v>
      </x:c>
      <x:c r="G384" s="256" t="n">
        <x:v>92</x:v>
      </x:c>
      <x:c r="H384" s="282" t="n">
        <x:v>63364</x:v>
      </x:c>
      <x:c r="I384" s="256" t="str">
        <x:v>reported</x:v>
      </x:c>
      <x:c r="J384" s="256" t="str">
        <x:v>data/raw/reports/originals/Microsoft_FY2024_10K.pdf</x:v>
      </x:c>
      <x:c r="K384" s="256" t="str">
        <x:f>IFERROR(HYPERLINK("../data/raw/reports/highlighted/Microsoft_FY2024_10K_highlighted.pdf","Marked PDF page 92"),"Marked PDF page 92")</x:f>
        <x:v>Marked PDF page 92</x:v>
      </x:c>
      <x:c r="L384" s="256" t="str">
        <x:v>none</x:v>
      </x:c>
    </x:row>
    <x:row r="385" ht="24" customHeight="1">
      <x:c r="C385" s="256" t="str">
        <x:v>SRC-0733</x:v>
      </x:c>
      <x:c r="D385" s="256" t="str">
        <x:v>Historical Inputs!K46</x:v>
      </x:c>
      <x:c r="E385" s="256" t="n">
        <x:v>2023</x:v>
      </x:c>
      <x:c r="F385" s="256" t="n">
        <x:v>2025</x:v>
      </x:c>
      <x:c r="G385" s="256" t="n">
        <x:v>84</x:v>
      </x:c>
      <x:c r="H385" s="282" t="n">
        <x:v>94151</x:v>
      </x:c>
      <x:c r="I385" s="256" t="str">
        <x:v>reported</x:v>
      </x:c>
      <x:c r="J385" s="256" t="str">
        <x:v>data/raw/reports/originals/Microsoft_FY2025_10K.pdf</x:v>
      </x:c>
      <x:c r="K385" s="256" t="str">
        <x:f>IFERROR(HYPERLINK("../data/raw/reports/highlighted/Microsoft_FY2025_10K_highlighted.pdf","Marked PDF page 84"),"Marked PDF page 84")</x:f>
        <x:v>Marked PDF page 84</x:v>
      </x:c>
      <x:c r="L385" s="256" t="str">
        <x:v>none</x:v>
      </x:c>
    </x:row>
    <x:row r="386" ht="24" customHeight="1">
      <x:c r="C386" s="256" t="str">
        <x:v>SRC-0842</x:v>
      </x:c>
      <x:c r="D386" s="256" t="str">
        <x:v>Historical Inputs!L46</x:v>
      </x:c>
      <x:c r="E386" s="256" t="n">
        <x:v>2024</x:v>
      </x:c>
      <x:c r="F386" s="256" t="n">
        <x:v>2026</x:v>
      </x:c>
      <x:c r="G386" s="256" t="n">
        <x:v>84</x:v>
      </x:c>
      <x:c r="H386" s="282" t="n">
        <x:v>106820</x:v>
      </x:c>
      <x:c r="I386" s="256" t="str">
        <x:v>reported</x:v>
      </x:c>
      <x:c r="J386" s="256" t="str">
        <x:v>data/raw/reports/originals/Microsoft_FY2026_10K.pdf</x:v>
      </x:c>
      <x:c r="K386" s="256" t="str">
        <x:f>IFERROR(HYPERLINK("../data/raw/reports/highlighted/Microsoft_FY2026_10K_highlighted.pdf","Marked PDF page 84"),"Marked PDF page 84")</x:f>
        <x:v>Marked PDF page 84</x:v>
      </x:c>
      <x:c r="L386" s="256" t="str">
        <x:v>none</x:v>
      </x:c>
    </x:row>
    <x:row r="387" ht="24" customHeight="1">
      <x:c r="C387" s="256" t="str">
        <x:v>SRC-0951</x:v>
      </x:c>
      <x:c r="D387" s="256" t="str">
        <x:v>Historical Inputs!M46</x:v>
      </x:c>
      <x:c r="E387" s="256" t="n">
        <x:v>2025</x:v>
      </x:c>
      <x:c r="F387" s="256" t="n">
        <x:v>2026</x:v>
      </x:c>
      <x:c r="G387" s="256" t="n">
        <x:v>84</x:v>
      </x:c>
      <x:c r="H387" s="282" t="n">
        <x:v>120810</x:v>
      </x:c>
      <x:c r="I387" s="256" t="str">
        <x:v>reported</x:v>
      </x:c>
      <x:c r="J387" s="256" t="str">
        <x:v>data/raw/reports/originals/Microsoft_FY2026_10K.pdf</x:v>
      </x:c>
      <x:c r="K387" s="256" t="str">
        <x:f>IFERROR(HYPERLINK("../data/raw/reports/highlighted/Microsoft_FY2026_10K_highlighted.pdf","Marked PDF page 84"),"Marked PDF page 84")</x:f>
        <x:v>Marked PDF page 84</x:v>
      </x:c>
      <x:c r="L387" s="256" t="str">
        <x:v>none</x:v>
      </x:c>
    </x:row>
    <x:row r="388" ht="24" customHeight="1">
      <x:c r="C388" s="256" t="str">
        <x:v>SRC-1060</x:v>
      </x:c>
      <x:c r="D388" s="256" t="str">
        <x:v>Historical Inputs!N46</x:v>
      </x:c>
      <x:c r="E388" s="256" t="n">
        <x:v>2026</x:v>
      </x:c>
      <x:c r="F388" s="256" t="n">
        <x:v>2026</x:v>
      </x:c>
      <x:c r="G388" s="256" t="n">
        <x:v>84</x:v>
      </x:c>
      <x:c r="H388" s="282" t="n">
        <x:v>139996</x:v>
      </x:c>
      <x:c r="I388" s="256" t="str">
        <x:v>reported</x:v>
      </x:c>
      <x:c r="J388" s="256" t="str">
        <x:v>data/raw/reports/originals/Microsoft_FY2026_10K.pdf</x:v>
      </x:c>
      <x:c r="K388" s="256" t="str">
        <x:f>IFERROR(HYPERLINK("../data/raw/reports/highlighted/Microsoft_FY2026_10K_highlighted.pdf","Marked PDF page 84"),"Marked PDF page 84")</x:f>
        <x:v>Marked PDF page 84</x:v>
      </x:c>
      <x:c r="L388" s="256" t="str">
        <x:v>none</x:v>
      </x:c>
    </x:row>
    <x:row r="389" ht="24" customHeight="1">
      <x:c r="C389" s="256" t="str">
        <x:v>SRC-0102</x:v>
      </x:c>
      <x:c r="D389" s="256" t="str">
        <x:v>Historical Inputs!E47</x:v>
      </x:c>
      <x:c r="E389" s="256" t="n">
        <x:v>2017</x:v>
      </x:c>
      <x:c r="F389" s="256" t="n">
        <x:v>2019</x:v>
      </x:c>
      <x:c r="G389" s="256" t="n">
        <x:v>90</x:v>
      </x:c>
      <x:c r="H389" s="282" t="n">
        <x:v>27407</x:v>
      </x:c>
      <x:c r="I389" s="256" t="str">
        <x:v>reported</x:v>
      </x:c>
      <x:c r="J389" s="256" t="str">
        <x:v>data/raw/reports/originals/Microsoft_FY2019_10K.pdf</x:v>
      </x:c>
      <x:c r="K389" s="256" t="str">
        <x:f>IFERROR(HYPERLINK("../data/raw/reports/highlighted/Microsoft_FY2019_10K_highlighted.pdf","Marked PDF page 90"),"Marked PDF page 90")</x:f>
        <x:v>Marked PDF page 90</x:v>
      </x:c>
      <x:c r="L389" s="256" t="str">
        <x:v>none</x:v>
      </x:c>
    </x:row>
    <x:row r="390" ht="24" customHeight="1">
      <x:c r="C390" s="256" t="str">
        <x:v>SRC-0207</x:v>
      </x:c>
      <x:c r="D390" s="256" t="str">
        <x:v>Historical Inputs!F47</x:v>
      </x:c>
      <x:c r="E390" s="256" t="n">
        <x:v>2018</x:v>
      </x:c>
      <x:c r="F390" s="256" t="n">
        <x:v>2020</x:v>
      </x:c>
      <x:c r="G390" s="256" t="n">
        <x:v>91</x:v>
      </x:c>
      <x:c r="H390" s="282" t="n">
        <x:v>32219</x:v>
      </x:c>
      <x:c r="I390" s="256" t="str">
        <x:v>reported</x:v>
      </x:c>
      <x:c r="J390" s="256" t="str">
        <x:v>data/raw/reports/originals/Microsoft_FY2020_10K.pdf</x:v>
      </x:c>
      <x:c r="K390" s="256" t="str">
        <x:f>IFERROR(HYPERLINK("../data/raw/reports/highlighted/Microsoft_FY2020_10K_highlighted.pdf","Marked PDF page 91"),"Marked PDF page 91")</x:f>
        <x:v>Marked PDF page 91</x:v>
      </x:c>
      <x:c r="L390" s="256" t="str">
        <x:v>none</x:v>
      </x:c>
    </x:row>
    <x:row r="391" ht="24" customHeight="1">
      <x:c r="C391" s="256" t="str">
        <x:v>SRC-0312</x:v>
      </x:c>
      <x:c r="D391" s="256" t="str">
        <x:v>Historical Inputs!G47</x:v>
      </x:c>
      <x:c r="E391" s="256" t="n">
        <x:v>2019</x:v>
      </x:c>
      <x:c r="F391" s="256" t="n">
        <x:v>2021</x:v>
      </x:c>
      <x:c r="G391" s="256" t="n">
        <x:v>94</x:v>
      </x:c>
      <x:c r="H391" s="282" t="n">
        <x:v>38985</x:v>
      </x:c>
      <x:c r="I391" s="256" t="str">
        <x:v>reported</x:v>
      </x:c>
      <x:c r="J391" s="256" t="str">
        <x:v>data/raw/reports/originals/Microsoft_FY2021_10K.pdf</x:v>
      </x:c>
      <x:c r="K391" s="256" t="str">
        <x:f>IFERROR(HYPERLINK("../data/raw/reports/highlighted/Microsoft_FY2021_10K_highlighted.pdf","Marked PDF page 94"),"Marked PDF page 94")</x:f>
        <x:v>Marked PDF page 94</x:v>
      </x:c>
      <x:c r="L391" s="256" t="str">
        <x:v>none</x:v>
      </x:c>
    </x:row>
    <x:row r="392" ht="24" customHeight="1">
      <x:c r="C392" s="256" t="str">
        <x:v>SRC-0418</x:v>
      </x:c>
      <x:c r="D392" s="256" t="str">
        <x:v>Historical Inputs!H47</x:v>
      </x:c>
      <x:c r="E392" s="256" t="n">
        <x:v>2020</x:v>
      </x:c>
      <x:c r="F392" s="256" t="n">
        <x:v>2022</x:v>
      </x:c>
      <x:c r="G392" s="256" t="n">
        <x:v>94</x:v>
      </x:c>
      <x:c r="H392" s="282" t="n">
        <x:v>48366</x:v>
      </x:c>
      <x:c r="I392" s="256" t="str">
        <x:v>reported</x:v>
      </x:c>
      <x:c r="J392" s="256" t="str">
        <x:v>data/raw/reports/originals/Microsoft_FY2022_10K.pdf</x:v>
      </x:c>
      <x:c r="K392" s="256" t="str">
        <x:f>IFERROR(HYPERLINK("../data/raw/reports/highlighted/Microsoft_FY2022_10K_highlighted.pdf","Marked PDF page 94"),"Marked PDF page 94")</x:f>
        <x:v>Marked PDF page 94</x:v>
      </x:c>
      <x:c r="L392" s="256" t="str">
        <x:v>none</x:v>
      </x:c>
    </x:row>
    <x:row r="393" ht="24" customHeight="1">
      <x:c r="C393" s="256" t="str">
        <x:v>SRC-0524</x:v>
      </x:c>
      <x:c r="D393" s="256" t="str">
        <x:v>Historical Inputs!I47</x:v>
      </x:c>
      <x:c r="E393" s="256" t="n">
        <x:v>2021</x:v>
      </x:c>
      <x:c r="F393" s="256" t="n">
        <x:v>2023</x:v>
      </x:c>
      <x:c r="G393" s="256" t="n">
        <x:v>94</x:v>
      </x:c>
      <x:c r="H393" s="282" t="n">
        <x:v>59728</x:v>
      </x:c>
      <x:c r="I393" s="256" t="str">
        <x:v>reported</x:v>
      </x:c>
      <x:c r="J393" s="256" t="str">
        <x:v>data/raw/reports/originals/Microsoft_FY2023_10K.pdf</x:v>
      </x:c>
      <x:c r="K393" s="256" t="str">
        <x:f>IFERROR(HYPERLINK("../data/raw/reports/highlighted/Microsoft_FY2023_10K_highlighted.pdf","Marked PDF page 94"),"Marked PDF page 94")</x:f>
        <x:v>Marked PDF page 94</x:v>
      </x:c>
      <x:c r="L393" s="256" t="str">
        <x:v>none</x:v>
      </x:c>
    </x:row>
    <x:row r="394" ht="24" customHeight="1">
      <x:c r="C394" s="256" t="str">
        <x:v>SRC-0629</x:v>
      </x:c>
      <x:c r="D394" s="256" t="str">
        <x:v>Historical Inputs!J47</x:v>
      </x:c>
      <x:c r="E394" s="256" t="n">
        <x:v>2022</x:v>
      </x:c>
      <x:c r="F394" s="256" t="n">
        <x:v>2024</x:v>
      </x:c>
      <x:c r="G394" s="256" t="n">
        <x:v>92</x:v>
      </x:c>
      <x:c r="H394" s="282" t="n">
        <x:v>74965</x:v>
      </x:c>
      <x:c r="I394" s="256" t="str">
        <x:v>reported</x:v>
      </x:c>
      <x:c r="J394" s="256" t="str">
        <x:v>data/raw/reports/originals/Microsoft_FY2024_10K.pdf</x:v>
      </x:c>
      <x:c r="K394" s="256" t="str">
        <x:f>IFERROR(HYPERLINK("../data/raw/reports/highlighted/Microsoft_FY2024_10K_highlighted.pdf","Marked PDF page 92"),"Marked PDF page 92")</x:f>
        <x:v>Marked PDF page 92</x:v>
      </x:c>
      <x:c r="L394" s="256" t="str">
        <x:v>none</x:v>
      </x:c>
    </x:row>
    <x:row r="395" ht="24" customHeight="1">
      <x:c r="C395" s="256" t="str">
        <x:v>SRC-0736</x:v>
      </x:c>
      <x:c r="D395" s="256" t="str">
        <x:v>Historical Inputs!K47</x:v>
      </x:c>
      <x:c r="E395" s="256" t="n">
        <x:v>2023</x:v>
      </x:c>
      <x:c r="F395" s="256" t="n">
        <x:v>2025</x:v>
      </x:c>
      <x:c r="G395" s="256" t="n">
        <x:v>84</x:v>
      </x:c>
      <x:c r="H395" s="282" t="n">
        <x:v>72944</x:v>
      </x:c>
      <x:c r="I395" s="256" t="str">
        <x:v>reported</x:v>
      </x:c>
      <x:c r="J395" s="256" t="str">
        <x:v>data/raw/reports/originals/Microsoft_FY2025_10K.pdf</x:v>
      </x:c>
      <x:c r="K395" s="256" t="str">
        <x:f>IFERROR(HYPERLINK("../data/raw/reports/highlighted/Microsoft_FY2025_10K_highlighted.pdf","Marked PDF page 84"),"Marked PDF page 84")</x:f>
        <x:v>Marked PDF page 84</x:v>
      </x:c>
      <x:c r="L395" s="256" t="str">
        <x:v>none</x:v>
      </x:c>
    </x:row>
    <x:row r="396" ht="24" customHeight="1">
      <x:c r="C396" s="256" t="str">
        <x:v>SRC-0845</x:v>
      </x:c>
      <x:c r="D396" s="256" t="str">
        <x:v>Historical Inputs!L47</x:v>
      </x:c>
      <x:c r="E396" s="256" t="n">
        <x:v>2024</x:v>
      </x:c>
      <x:c r="F396" s="256" t="n">
        <x:v>2026</x:v>
      </x:c>
      <x:c r="G396" s="256" t="n">
        <x:v>84</x:v>
      </x:c>
      <x:c r="H396" s="282" t="n">
        <x:v>87464</x:v>
      </x:c>
      <x:c r="I396" s="256" t="str">
        <x:v>reported</x:v>
      </x:c>
      <x:c r="J396" s="256" t="str">
        <x:v>data/raw/reports/originals/Microsoft_FY2026_10K.pdf</x:v>
      </x:c>
      <x:c r="K396" s="256" t="str">
        <x:f>IFERROR(HYPERLINK("../data/raw/reports/highlighted/Microsoft_FY2026_10K_highlighted.pdf","Marked PDF page 84"),"Marked PDF page 84")</x:f>
        <x:v>Marked PDF page 84</x:v>
      </x:c>
      <x:c r="L396" s="256" t="str">
        <x:v>none</x:v>
      </x:c>
    </x:row>
    <x:row r="397" ht="24" customHeight="1">
      <x:c r="C397" s="256" t="str">
        <x:v>SRC-0954</x:v>
      </x:c>
      <x:c r="D397" s="256" t="str">
        <x:v>Historical Inputs!M47</x:v>
      </x:c>
      <x:c r="E397" s="256" t="n">
        <x:v>2025</x:v>
      </x:c>
      <x:c r="F397" s="256" t="n">
        <x:v>2026</x:v>
      </x:c>
      <x:c r="G397" s="256" t="n">
        <x:v>84</x:v>
      </x:c>
      <x:c r="H397" s="282" t="n">
        <x:v>106265</x:v>
      </x:c>
      <x:c r="I397" s="256" t="str">
        <x:v>reported</x:v>
      </x:c>
      <x:c r="J397" s="256" t="str">
        <x:v>data/raw/reports/originals/Microsoft_FY2026_10K.pdf</x:v>
      </x:c>
      <x:c r="K397" s="256" t="str">
        <x:f>IFERROR(HYPERLINK("../data/raw/reports/highlighted/Microsoft_FY2026_10K_highlighted.pdf","Marked PDF page 84"),"Marked PDF page 84")</x:f>
        <x:v>Marked PDF page 84</x:v>
      </x:c>
      <x:c r="L397" s="256" t="str">
        <x:v>none</x:v>
      </x:c>
    </x:row>
    <x:row r="398" ht="24" customHeight="1">
      <x:c r="C398" s="256" t="str">
        <x:v>SRC-1063</x:v>
      </x:c>
      <x:c r="D398" s="256" t="str">
        <x:v>Historical Inputs!N47</x:v>
      </x:c>
      <x:c r="E398" s="256" t="n">
        <x:v>2026</x:v>
      </x:c>
      <x:c r="F398" s="256" t="n">
        <x:v>2026</x:v>
      </x:c>
      <x:c r="G398" s="256" t="n">
        <x:v>84</x:v>
      </x:c>
      <x:c r="H398" s="282" t="n">
        <x:v>137791</x:v>
      </x:c>
      <x:c r="I398" s="256" t="str">
        <x:v>reported</x:v>
      </x:c>
      <x:c r="J398" s="256" t="str">
        <x:v>data/raw/reports/originals/Microsoft_FY2026_10K.pdf</x:v>
      </x:c>
      <x:c r="K398" s="256" t="str">
        <x:f>IFERROR(HYPERLINK("../data/raw/reports/highlighted/Microsoft_FY2026_10K_highlighted.pdf","Marked PDF page 84"),"Marked PDF page 84")</x:f>
        <x:v>Marked PDF page 84</x:v>
      </x:c>
      <x:c r="L398" s="256" t="str">
        <x:v>none</x:v>
      </x:c>
    </x:row>
    <x:row r="399" ht="24" customHeight="1">
      <x:c r="C399" s="256" t="str">
        <x:v>SRC-0104</x:v>
      </x:c>
      <x:c r="D399" s="256" t="str">
        <x:v>Historical Inputs!E48</x:v>
      </x:c>
      <x:c r="E399" s="256" t="n">
        <x:v>2017</x:v>
      </x:c>
      <x:c r="F399" s="256" t="n">
        <x:v>2019</x:v>
      </x:c>
      <x:c r="G399" s="256" t="n">
        <x:v>90</x:v>
      </x:c>
      <x:c r="H399" s="282" t="n">
        <x:v>39294</x:v>
      </x:c>
      <x:c r="I399" s="256" t="str">
        <x:v>reported</x:v>
      </x:c>
      <x:c r="J399" s="256" t="str">
        <x:v>data/raw/reports/originals/Microsoft_FY2019_10K.pdf</x:v>
      </x:c>
      <x:c r="K399" s="256" t="str">
        <x:f>IFERROR(HYPERLINK("../data/raw/reports/highlighted/Microsoft_FY2019_10K_highlighted.pdf","Marked PDF page 90"),"Marked PDF page 90")</x:f>
        <x:v>Marked PDF page 90</x:v>
      </x:c>
      <x:c r="L399" s="256" t="str">
        <x:v>none</x:v>
      </x:c>
    </x:row>
    <x:row r="400" ht="24" customHeight="1">
      <x:c r="C400" s="256" t="str">
        <x:v>SRC-0209</x:v>
      </x:c>
      <x:c r="D400" s="256" t="str">
        <x:v>Historical Inputs!F48</x:v>
      </x:c>
      <x:c r="E400" s="256" t="n">
        <x:v>2018</x:v>
      </x:c>
      <x:c r="F400" s="256" t="n">
        <x:v>2020</x:v>
      </x:c>
      <x:c r="G400" s="256" t="n">
        <x:v>91</x:v>
      </x:c>
      <x:c r="H400" s="282" t="n">
        <x:v>42276</x:v>
      </x:c>
      <x:c r="I400" s="256" t="str">
        <x:v>reported</x:v>
      </x:c>
      <x:c r="J400" s="256" t="str">
        <x:v>data/raw/reports/originals/Microsoft_FY2020_10K.pdf</x:v>
      </x:c>
      <x:c r="K400" s="256" t="str">
        <x:f>IFERROR(HYPERLINK("../data/raw/reports/highlighted/Microsoft_FY2020_10K_highlighted.pdf","Marked PDF page 91"),"Marked PDF page 91")</x:f>
        <x:v>Marked PDF page 91</x:v>
      </x:c>
      <x:c r="L400" s="256" t="str">
        <x:v>none</x:v>
      </x:c>
    </x:row>
    <x:row r="401" ht="24" customHeight="1">
      <x:c r="C401" s="256" t="str">
        <x:v>SRC-0314</x:v>
      </x:c>
      <x:c r="D401" s="256" t="str">
        <x:v>Historical Inputs!G48</x:v>
      </x:c>
      <x:c r="E401" s="256" t="n">
        <x:v>2019</x:v>
      </x:c>
      <x:c r="F401" s="256" t="n">
        <x:v>2021</x:v>
      </x:c>
      <x:c r="G401" s="256" t="n">
        <x:v>94</x:v>
      </x:c>
      <x:c r="H401" s="282" t="n">
        <x:v>45698</x:v>
      </x:c>
      <x:c r="I401" s="256" t="str">
        <x:v>reported</x:v>
      </x:c>
      <x:c r="J401" s="256" t="str">
        <x:v>data/raw/reports/originals/Microsoft_FY2021_10K.pdf</x:v>
      </x:c>
      <x:c r="K401" s="256" t="str">
        <x:f>IFERROR(HYPERLINK("../data/raw/reports/highlighted/Microsoft_FY2021_10K_highlighted.pdf","Marked PDF page 94"),"Marked PDF page 94")</x:f>
        <x:v>Marked PDF page 94</x:v>
      </x:c>
      <x:c r="L401" s="256" t="str">
        <x:v>none</x:v>
      </x:c>
    </x:row>
    <x:row r="402" ht="24" customHeight="1">
      <x:c r="C402" s="256" t="str">
        <x:v>SRC-0420</x:v>
      </x:c>
      <x:c r="D402" s="256" t="str">
        <x:v>Historical Inputs!H48</x:v>
      </x:c>
      <x:c r="E402" s="256" t="n">
        <x:v>2020</x:v>
      </x:c>
      <x:c r="F402" s="256" t="n">
        <x:v>2022</x:v>
      </x:c>
      <x:c r="G402" s="256" t="n">
        <x:v>94</x:v>
      </x:c>
      <x:c r="H402" s="282" t="n">
        <x:v>48251</x:v>
      </x:c>
      <x:c r="I402" s="256" t="str">
        <x:v>reported</x:v>
      </x:c>
      <x:c r="J402" s="256" t="str">
        <x:v>data/raw/reports/originals/Microsoft_FY2022_10K.pdf</x:v>
      </x:c>
      <x:c r="K402" s="256" t="str">
        <x:f>IFERROR(HYPERLINK("../data/raw/reports/highlighted/Microsoft_FY2022_10K_highlighted.pdf","Marked PDF page 94"),"Marked PDF page 94")</x:f>
        <x:v>Marked PDF page 94</x:v>
      </x:c>
      <x:c r="L402" s="256" t="str">
        <x:v>none</x:v>
      </x:c>
    </x:row>
    <x:row r="403" ht="24" customHeight="1">
      <x:c r="C403" s="256" t="str">
        <x:v>SRC-0526</x:v>
      </x:c>
      <x:c r="D403" s="256" t="str">
        <x:v>Historical Inputs!I48</x:v>
      </x:c>
      <x:c r="E403" s="256" t="n">
        <x:v>2021</x:v>
      </x:c>
      <x:c r="F403" s="256" t="n">
        <x:v>2023</x:v>
      </x:c>
      <x:c r="G403" s="256" t="n">
        <x:v>94</x:v>
      </x:c>
      <x:c r="H403" s="282" t="n">
        <x:v>54445</x:v>
      </x:c>
      <x:c r="I403" s="256" t="str">
        <x:v>reported</x:v>
      </x:c>
      <x:c r="J403" s="256" t="str">
        <x:v>data/raw/reports/originals/Microsoft_FY2023_10K.pdf</x:v>
      </x:c>
      <x:c r="K403" s="256" t="str">
        <x:f>IFERROR(HYPERLINK("../data/raw/reports/highlighted/Microsoft_FY2023_10K_highlighted.pdf","Marked PDF page 94"),"Marked PDF page 94")</x:f>
        <x:v>Marked PDF page 94</x:v>
      </x:c>
      <x:c r="L403" s="256" t="str">
        <x:v>none</x:v>
      </x:c>
    </x:row>
    <x:row r="404" ht="24" customHeight="1">
      <x:c r="C404" s="256" t="str">
        <x:v>SRC-0631</x:v>
      </x:c>
      <x:c r="D404" s="256" t="str">
        <x:v>Historical Inputs!J48</x:v>
      </x:c>
      <x:c r="E404" s="256" t="n">
        <x:v>2022</x:v>
      </x:c>
      <x:c r="F404" s="256" t="n">
        <x:v>2024</x:v>
      </x:c>
      <x:c r="G404" s="256" t="n">
        <x:v>92</x:v>
      </x:c>
      <x:c r="H404" s="282" t="n">
        <x:v>59941</x:v>
      </x:c>
      <x:c r="I404" s="256" t="str">
        <x:v>reported</x:v>
      </x:c>
      <x:c r="J404" s="256" t="str">
        <x:v>data/raw/reports/originals/Microsoft_FY2024_10K.pdf</x:v>
      </x:c>
      <x:c r="K404" s="256" t="str">
        <x:f>IFERROR(HYPERLINK("../data/raw/reports/highlighted/Microsoft_FY2024_10K_highlighted.pdf","Marked PDF page 92"),"Marked PDF page 92")</x:f>
        <x:v>Marked PDF page 92</x:v>
      </x:c>
      <x:c r="L404" s="256" t="str">
        <x:v>none</x:v>
      </x:c>
    </x:row>
    <x:row r="405" ht="24" customHeight="1">
      <x:c r="C405" s="256" t="str">
        <x:v>SRC-0739</x:v>
      </x:c>
      <x:c r="D405" s="256" t="str">
        <x:v>Historical Inputs!K48</x:v>
      </x:c>
      <x:c r="E405" s="256" t="n">
        <x:v>2023</x:v>
      </x:c>
      <x:c r="F405" s="256" t="n">
        <x:v>2025</x:v>
      </x:c>
      <x:c r="G405" s="256" t="n">
        <x:v>84</x:v>
      </x:c>
      <x:c r="H405" s="282" t="n">
        <x:v>44820</x:v>
      </x:c>
      <x:c r="I405" s="256" t="str">
        <x:v>reported</x:v>
      </x:c>
      <x:c r="J405" s="256" t="str">
        <x:v>data/raw/reports/originals/Microsoft_FY2025_10K.pdf</x:v>
      </x:c>
      <x:c r="K405" s="256" t="str">
        <x:f>IFERROR(HYPERLINK("../data/raw/reports/highlighted/Microsoft_FY2025_10K_highlighted.pdf","Marked PDF page 84"),"Marked PDF page 84")</x:f>
        <x:v>Marked PDF page 84</x:v>
      </x:c>
      <x:c r="L405" s="256" t="str">
        <x:v>none</x:v>
      </x:c>
    </x:row>
    <x:row r="406" ht="24" customHeight="1">
      <x:c r="C406" s="256" t="str">
        <x:v>SRC-0848</x:v>
      </x:c>
      <x:c r="D406" s="256" t="str">
        <x:v>Historical Inputs!L48</x:v>
      </x:c>
      <x:c r="E406" s="256" t="n">
        <x:v>2024</x:v>
      </x:c>
      <x:c r="F406" s="256" t="n">
        <x:v>2026</x:v>
      </x:c>
      <x:c r="G406" s="256" t="n">
        <x:v>84</x:v>
      </x:c>
      <x:c r="H406" s="282" t="n">
        <x:v>50838</x:v>
      </x:c>
      <x:c r="I406" s="256" t="str">
        <x:v>reported</x:v>
      </x:c>
      <x:c r="J406" s="256" t="str">
        <x:v>data/raw/reports/originals/Microsoft_FY2026_10K.pdf</x:v>
      </x:c>
      <x:c r="K406" s="256" t="str">
        <x:f>IFERROR(HYPERLINK("../data/raw/reports/highlighted/Microsoft_FY2026_10K_highlighted.pdf","Marked PDF page 84"),"Marked PDF page 84")</x:f>
        <x:v>Marked PDF page 84</x:v>
      </x:c>
      <x:c r="L406" s="256" t="str">
        <x:v>none</x:v>
      </x:c>
    </x:row>
    <x:row r="407" ht="24" customHeight="1">
      <x:c r="C407" s="256" t="str">
        <x:v>SRC-0957</x:v>
      </x:c>
      <x:c r="D407" s="256" t="str">
        <x:v>Historical Inputs!M48</x:v>
      </x:c>
      <x:c r="E407" s="256" t="n">
        <x:v>2025</x:v>
      </x:c>
      <x:c r="F407" s="256" t="n">
        <x:v>2026</x:v>
      </x:c>
      <x:c r="G407" s="256" t="n">
        <x:v>84</x:v>
      </x:c>
      <x:c r="H407" s="282" t="n">
        <x:v>54649</x:v>
      </x:c>
      <x:c r="I407" s="256" t="str">
        <x:v>reported</x:v>
      </x:c>
      <x:c r="J407" s="256" t="str">
        <x:v>data/raw/reports/originals/Microsoft_FY2026_10K.pdf</x:v>
      </x:c>
      <x:c r="K407" s="256" t="str">
        <x:f>IFERROR(HYPERLINK("../data/raw/reports/highlighted/Microsoft_FY2026_10K_highlighted.pdf","Marked PDF page 84"),"Marked PDF page 84")</x:f>
        <x:v>Marked PDF page 84</x:v>
      </x:c>
      <x:c r="L407" s="256" t="str">
        <x:v>none</x:v>
      </x:c>
    </x:row>
    <x:row r="408" ht="24" customHeight="1">
      <x:c r="C408" s="256" t="str">
        <x:v>SRC-1066</x:v>
      </x:c>
      <x:c r="D408" s="256" t="str">
        <x:v>Historical Inputs!N48</x:v>
      </x:c>
      <x:c r="E408" s="256" t="n">
        <x:v>2026</x:v>
      </x:c>
      <x:c r="F408" s="256" t="n">
        <x:v>2026</x:v>
      </x:c>
      <x:c r="G408" s="256" t="n">
        <x:v>84</x:v>
      </x:c>
      <x:c r="H408" s="282" t="n">
        <x:v>54052</x:v>
      </x:c>
      <x:c r="I408" s="256" t="str">
        <x:v>reported</x:v>
      </x:c>
      <x:c r="J408" s="256" t="str">
        <x:v>data/raw/reports/originals/Microsoft_FY2026_10K.pdf</x:v>
      </x:c>
      <x:c r="K408" s="256" t="str">
        <x:f>IFERROR(HYPERLINK("../data/raw/reports/highlighted/Microsoft_FY2026_10K_highlighted.pdf","Marked PDF page 84"),"Marked PDF page 84")</x:f>
        <x:v>Marked PDF page 84</x:v>
      </x:c>
      <x:c r="L408" s="256" t="str">
        <x:v>none</x:v>
      </x:c>
    </x:row>
    <x:row r="409" ht="24" customHeight="1">
      <x:c r="C409" s="256" t="str">
        <x:v>DCF-SHARES</x:v>
      </x:c>
      <x:c r="D409" s="256" t="str">
        <x:v>Market Inputs!E11</x:v>
      </x:c>
      <x:c r="E409" s="256" t="n">
        <x:v>2026</x:v>
      </x:c>
      <x:c r="F409" s="256" t="n">
        <x:v>2026</x:v>
      </x:c>
      <x:c r="G409" s="256" t="n">
        <x:v>1</x:v>
      </x:c>
      <x:c r="H409" s="282" t="n">
        <x:v>7425.545491</x:v>
      </x:c>
      <x:c r="I409" s="256" t="str">
        <x:v>reported</x:v>
      </x:c>
      <x:c r="J409" s="256" t="str">
        <x:v>data/raw/reports/originals/Microsoft_FY2026_10K.pdf</x:v>
      </x:c>
      <x:c r="K409" s="256" t="str">
        <x:f>IFERROR(HYPERLINK("../data/raw/reports/highlighted/Microsoft_FY2026_10K_highlighted.pdf","Marked PDF page 1"),"Marked PDF page 1")</x:f>
        <x:v>Marked PDF page 1</x:v>
      </x:c>
      <x:c r="L409" s="256" t="str">
        <x:v>shares divided by 1000000</x:v>
      </x:c>
    </x:row>
    <x:row r="410" ht="24" customHeight="1">
      <x:c r="C410" s="256" t="str">
        <x:v>DCF-DEBT-FV</x:v>
      </x:c>
      <x:c r="D410" s="256" t="str">
        <x:v>Market Inputs!E14</x:v>
      </x:c>
      <x:c r="E410" s="256" t="n">
        <x:v>2026</x:v>
      </x:c>
      <x:c r="F410" s="256" t="n">
        <x:v>2026</x:v>
      </x:c>
      <x:c r="G410" s="256" t="n">
        <x:v>72</x:v>
      </x:c>
      <x:c r="H410" s="282" t="n">
        <x:v>36500</x:v>
      </x:c>
      <x:c r="I410" s="256" t="str">
        <x:v>reported_billion_to_million</x:v>
      </x:c>
      <x:c r="J410" s="256" t="str">
        <x:v>data/raw/reports/originals/Microsoft_FY2026_10K.pdf</x:v>
      </x:c>
      <x:c r="K410" s="256" t="str">
        <x:f>IFERROR(HYPERLINK("../data/raw/reports/highlighted/Microsoft_FY2026_10K_highlighted.pdf","Marked PDF page 72"),"Marked PDF page 72")</x:f>
        <x:v>Marked PDF page 72</x:v>
      </x:c>
      <x:c r="L410" s="256" t="str">
        <x:v>USD billions multiplied by 1000</x:v>
      </x:c>
    </x:row>
  </x:sheetData>
  <x:pageMargins left="0.7" right="0.7" top="0.75" bottom="0.75" header="0.3" footer="0.3"/>
  <x:legacyDrawing xmlns:r="http://schemas.openxmlformats.org/officeDocument/2006/relationships" r:id="R87ddbd58b4c040fa"/>
</x:worksheet>
</file>

<file path=xl/worksheets/sheet32.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47" hidden="0" customWidth="1"/>
    <x:col min="4" max="4" width="27" hidden="0" customWidth="1"/>
    <x:col min="5" max="5" width="22"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Audit</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t="str">
        <x:v>Case selected</x:v>
      </x:c>
      <x:c r="D4" s="136"/>
      <x:c r="E4" s="141" t="str">
        <x:f>CHOOSE('DCF'!$E$5,"Base","Upside","Downside")</x:f>
        <x:v>Base</x:v>
      </x:c>
      <x:c r="F4" s="143"/>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56" t="str">
        <x:v>Check</x:v>
      </x:c>
      <x:c r="D8" s="158" t="str">
        <x:v>Residual or observation</x:v>
      </x:c>
      <x:c r="E8" s="160" t="str">
        <x:v>Status</x:v>
      </x:c>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t="str">
        <x:v>Actual segment sum</x:v>
      </x:c>
      <x:c r="D9" s="240" t="n">
        <x:f>SUM('Historical Inputs'!N46,'Historical Inputs'!N47,'Historical Inputs'!N48)-'Historical Inputs'!N9</x:f>
        <x:v>0</x:v>
      </x:c>
      <x:c r="E9" s="136" t="str">
        <x:f>IF(ABS(D9)&lt;=1e-8,"PASS","CHECK")</x:f>
        <x:v>PASS</x:v>
      </x:c>
      <x:c r="F9" s="136"/>
      <x:c r="G9" s="136"/>
      <x:c r="H9" s="136"/>
      <x:c r="I9" s="136"/>
      <x:c r="J9" s="136"/>
      <x:c r="K9" s="136"/>
      <x:c r="L9" s="136"/>
      <x:c r="M9" s="136"/>
      <x:c r="N9" s="136"/>
      <x:c r="O9" s="136"/>
      <x:c r="P9" s="136"/>
      <x:c r="Q9" s="136"/>
      <x:c r="R9" s="136"/>
      <x:c r="S9" s="136"/>
      <x:c r="T9" s="136"/>
      <x:c r="U9" s="136"/>
      <x:c r="V9" s="136"/>
      <x:c r="W9" s="136"/>
      <x:c r="X9" s="136"/>
      <x:c r="Y9" s="136"/>
      <x:c r="Z9" s="136"/>
    </x:row>
    <x:row r="10" ht="24" customHeight="1">
      <x:c r="A10" s="136"/>
      <x:c r="B10" s="136"/>
      <x:c r="C10" s="136" t="str">
        <x:v>Enterprise to equity</x:v>
      </x:c>
      <x:c r="D10" s="240" t="n">
        <x:f>'DCF'!E26-'DCF'!E24-'Equity Bridge'!E17</x:f>
        <x:v>0</x:v>
      </x:c>
      <x:c r="E10" s="136" t="str">
        <x:f>IF(ABS(D10)&lt;=1e-8,"PASS","CHECK")</x:f>
        <x:v>PASS</x:v>
      </x:c>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24" customHeight="1">
      <x:c r="A11" s="136"/>
      <x:c r="B11" s="136"/>
      <x:c r="C11" s="136" t="str">
        <x:v>Native WACC/g centre</x:v>
      </x:c>
      <x:c r="D11" s="240" t="n">
        <x:f>'DCF'!I44-'DCF'!E28</x:f>
        <x:v>0</x:v>
      </x:c>
      <x:c r="E11" s="136" t="str">
        <x:f>IF(ABS(D11)&lt;=1e-7,"PASS","CHECK")</x:f>
        <x:v>PASS</x:v>
      </x:c>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24" customHeight="1">
      <x:c r="A12" s="136"/>
      <x:c r="B12" s="136"/>
      <x:c r="C12" s="136" t="str">
        <x:v>Base native scenario to independent Python</x:v>
      </x:c>
      <x:c r="D12" s="240" t="n">
        <x:f>'DCF'!F53-286.3522546915523</x:f>
        <x:v>7.389644451905042e-13</x:v>
      </x:c>
      <x:c r="E12" s="136" t="str">
        <x:f>IF(ABS(D12)&lt;=0.000001,"PASS","CHECK")</x:f>
        <x:v>PASS</x:v>
      </x:c>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24" customHeight="1">
      <x:c r="A13" s="136"/>
      <x:c r="B13" s="136"/>
      <x:c r="C13" s="136" t="str">
        <x:v>Upside native scenario to independent Python</x:v>
      </x:c>
      <x:c r="D13" s="240" t="n">
        <x:f>'DCF'!G54-390.99452467720823</x:f>
        <x:v>1.0231815394945443e-12</x:v>
      </x:c>
      <x:c r="E13" s="136" t="str">
        <x:f>IF(ABS(D13)&lt;=0.000001,"PASS","CHECK")</x:f>
        <x:v>PASS</x:v>
      </x:c>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24" customHeight="1">
      <x:c r="A14" s="136"/>
      <x:c r="B14" s="136"/>
      <x:c r="C14" s="136" t="str">
        <x:v>Downside native scenario to independent Python</x:v>
      </x:c>
      <x:c r="D14" s="240" t="n">
        <x:f>'DCF'!H55-169.91140129916607</x:f>
        <x:v>3.410605131648481e-13</x:v>
      </x:c>
      <x:c r="E14" s="136" t="str">
        <x:f>IF(ABS(D14)&lt;=0.000001,"PASS","CHECK")</x:f>
        <x:v>PASS</x:v>
      </x:c>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24" customHeight="1">
      <x:c r="A15" s="136"/>
      <x:c r="B15" s="136"/>
      <x:c r="C15" s="136" t="str">
        <x:v>OLS beta to independent NumPy</x:v>
      </x:c>
      <x:c r="D15" s="240" t="n">
        <x:f>'Beta HC3'!E12-1.1278117341104905</x:f>
        <x:v>-3.552713678800501e-15</x:v>
      </x:c>
      <x:c r="E15" s="136" t="str">
        <x:f>IF(ABS(D15)&lt;=1e-9,"PASS","CHECK")</x:f>
        <x:v>PASS</x:v>
      </x:c>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24" customHeight="1">
      <x:c r="A16" s="136"/>
      <x:c r="B16" s="136"/>
      <x:c r="C16" s="136" t="str">
        <x:v>HC3 beta standard error to independent NumPy</x:v>
      </x:c>
      <x:c r="D16" s="240" t="n">
        <x:f>'Beta HC3'!E19-0.039593033765066454</x:f>
        <x:v>-1.5959455978986625e-16</x:v>
      </x:c>
      <x:c r="E16" s="136" t="str">
        <x:f>IF(ABS(D16)&lt;=1e-9,"PASS","CHECK")</x:f>
        <x:v>PASS</x:v>
      </x:c>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24" customHeight="1">
      <x:c r="A17" s="136"/>
      <x:c r="B17" s="136"/>
      <x:c r="C17" s="136" t="str">
        <x:v>HAC beta standard error to independent NumPy</x:v>
      </x:c>
      <x:c r="D17" s="240" t="n">
        <x:f>'Beta HC3'!E29-0.05019281738109273</x:f>
        <x:v>-3.3306690738754696e-16</x:v>
      </x:c>
      <x:c r="E17" s="136" t="str">
        <x:f>IF(ABS(D17)&lt;=1e-9,"PASS","CHECK")</x:f>
        <x:v>PASS</x:v>
      </x:c>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24" customHeight="1">
      <x:c r="A18" s="136"/>
      <x:c r="B18" s="136"/>
      <x:c r="C18" s="136" t="str">
        <x:v>Reverse growth residual</x:v>
      </x:c>
      <x:c r="D18" s="240" t="n">
        <x:f>'Reverse Growth'!E18</x:f>
        <x:v>-4.6566128730773926e-9</x:v>
      </x:c>
      <x:c r="E18" s="136" t="str">
        <x:f>IF(ABS(D18)&lt;=0.00001,"PASS","CHECK")</x:f>
        <x:v>PASS</x:v>
      </x:c>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24" customHeight="1">
      <x:c r="A19" s="136"/>
      <x:c r="B19" s="136"/>
      <x:c r="C19" s="136" t="str">
        <x:v>Reverse WACC residual</x:v>
      </x:c>
      <x:c r="D19" s="240" t="n">
        <x:f>'Reverse WACC'!E18</x:f>
        <x:v>-8.102506399154663e-8</x:v>
      </x:c>
      <x:c r="E19" s="136" t="str">
        <x:f>IF(ABS(D19)&lt;=0.00001,"PASS","CHECK")</x:f>
        <x:v>PASS</x:v>
      </x:c>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24" customHeight="1">
      <x:c r="A20" s="136"/>
      <x:c r="B20" s="136"/>
      <x:c r="C20" s="136" t="str">
        <x:v>Reverse stable growth residual</x:v>
      </x:c>
      <x:c r="D20" s="240" t="n">
        <x:f>'Reverse Terminal g'!E18</x:f>
        <x:v>0</x:v>
      </x:c>
      <x:c r="E20" s="136" t="str">
        <x:f>IF(ABS(D20)&lt;=0.00001,"PASS","CHECK")</x:f>
        <x:v>PASS</x:v>
      </x:c>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24" customHeight="1">
      <x:c r="A21" s="136"/>
      <x:c r="B21" s="136"/>
      <x:c r="C21" s="136" t="str">
        <x:v>Reverse margin residual</x:v>
      </x:c>
      <x:c r="D21" s="240" t="n">
        <x:f>'Reverse Margin'!E8+'Reverse Margin'!E11*'Reverse Margin'!E12-'Reverse Margin'!E9</x:f>
        <x:v>0</x:v>
      </x:c>
      <x:c r="E21" s="136" t="str">
        <x:f>IF(ABS(D21)&lt;=0.00001,"PASS","CHECK")</x:f>
        <x:v>PASS</x:v>
      </x:c>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24" customHeight="1">
      <x:c r="A22" s="136"/>
      <x:c r="B22" s="136"/>
      <x:c r="C22" s="136" t="str">
        <x:v>Reverse cash capex residual</x:v>
      </x:c>
      <x:c r="D22" s="240" t="n">
        <x:f>'Reverse Capex'!E17</x:f>
        <x:v>0</x:v>
      </x:c>
      <x:c r="E22" s="136" t="str">
        <x:f>IF(ABS(D22)&lt;=0.00001,"PASS","CHECK")</x:f>
        <x:v>PASS</x:v>
      </x:c>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24" customHeight="1">
      <x:c r="A23" s="136"/>
      <x:c r="B23" s="136"/>
      <x:c r="C23" s="136" t="str">
        <x:v>Reverse NWC residual</x:v>
      </x:c>
      <x:c r="D23" s="240" t="n">
        <x:f>'Reverse NWC'!E17</x:f>
        <x:v>0</x:v>
      </x:c>
      <x:c r="E23" s="136" t="str">
        <x:f>IF(ABS(D23)&lt;=0.00001,"PASS","CHECK")</x:f>
        <x:v>PASS</x:v>
      </x:c>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24" customHeight="1">
      <x:c r="A24" s="136"/>
      <x:c r="B24" s="136"/>
      <x:c r="C24" s="136" t="str">
        <x:v>Reverse tax residual</x:v>
      </x:c>
      <x:c r="D24" s="240" t="n">
        <x:f>'Reverse Tax'!E17</x:f>
        <x:v>0</x:v>
      </x:c>
      <x:c r="E24" s="136" t="str">
        <x:f>IF(ABS(D24)&lt;=0.00001,"PASS","CHECK")</x:f>
        <x:v>PASS</x:v>
      </x:c>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24" customHeight="1">
      <x:c r="A25" s="136"/>
      <x:c r="B25" s="136"/>
      <x:c r="C25" s="136" t="str">
        <x:v>Reverse lease residual</x:v>
      </x:c>
      <x:c r="D25" s="240" t="n">
        <x:f>'Reverse Leases'!E17</x:f>
        <x:v>0</x:v>
      </x:c>
      <x:c r="E25" s="136" t="str">
        <x:f>IF(ABS(D25)&lt;=0.00001,"PASS","CHECK")</x:f>
        <x:v>PASS</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24" customHeight="1">
      <x:c r="A26" s="136"/>
      <x:c r="B26" s="136"/>
      <x:c r="C26" s="136" t="str">
        <x:v>MC first draw to independent Python</x:v>
      </x:c>
      <x:c r="D26" s="240" t="n">
        <x:f>'Monte Carlo'!K32-288.55845493933157</x:f>
        <x:v>4.547473508864641e-13</x:v>
      </x:c>
      <x:c r="E26" s="136" t="str">
        <x:f>IF(ABS(D26)&lt;=0.000001,"PASS","CHECK")</x:f>
        <x:v>PASS</x:v>
      </x:c>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24" customHeight="1">
      <x:c r="A27" s="136"/>
      <x:c r="B27" s="136"/>
      <x:c r="C27" s="136" t="str">
        <x:v>MC median to independent Python</x:v>
      </x:c>
      <x:c r="D27" s="240" t="n">
        <x:f>'Monte Carlo'!E21-283.9161011835868</x:f>
        <x:v>3.410605131648481e-13</x:v>
      </x:c>
      <x:c r="E27" s="136" t="str">
        <x:f>IF(ABS(D27)&lt;=0.000001,"PASS","CHECK")</x:f>
        <x:v>PASS</x:v>
      </x:c>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24" customHeight="1">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24" customHeight="1">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24" customHeight="1">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24" customHeight="1">
      <x:c r="A31" s="136"/>
      <x:c r="B31" s="136"/>
      <x:c r="C31" s="136" t="str">
        <x:v>Reported source records</x:v>
      </x:c>
      <x:c r="D31" s="136"/>
      <x:c r="E31" s="181" t="n">
        <x:v>344</x:v>
      </x:c>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24" customHeight="1">
      <x:c r="A32" s="136"/>
      <x:c r="B32" s="136"/>
      <x:c r="C32" s="136" t="str">
        <x:v>Unavailable prior disclosures</x:v>
      </x:c>
      <x:c r="D32" s="136"/>
      <x:c r="E32" s="181" t="n">
        <x:v>51</x:v>
      </x:c>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24" customHeight="1">
      <x:c r="A33" s="136"/>
      <x:c r="B33" s="136"/>
      <x:c r="C33" s="136" t="str">
        <x:v>Valid terminal economics</x:v>
      </x:c>
      <x:c r="D33" s="136"/>
      <x:c r="E33" s="243" t="str">
        <x:f>IF(AND('DCF'!E6&gt;'DCF'!E7,'Terminal Value'!E12&gt;'DCF'!E7),"PASS","INVALID INPUTS")</x:f>
        <x:v>PASS</x:v>
      </x:c>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24" customHeight="1">
      <x:c r="A34" s="136"/>
      <x:c r="B34" s="136"/>
      <x:c r="C34" s="136" t="str">
        <x:v>Model data last observation</x:v>
      </x:c>
      <x:c r="D34" s="136"/>
      <x:c r="E34" s="274" t="d">
        <x:v>2026-10-08T00:00:00.000Z</x:v>
      </x:c>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24" customHeight="1">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24" customHeight="1">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24" customHeight="1">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24" customHeight="1">
      <x:c r="A38" s="136"/>
      <x:c r="B38" s="136"/>
      <x:c r="C38" s="167" t="str">
        <x:v>Selected case observations</x:v>
      </x:c>
      <x:c r="D38" s="170"/>
      <x:c r="E38" s="170"/>
      <x:c r="F38" s="170"/>
      <x:c r="G38" s="170"/>
      <x:c r="H38" s="170"/>
      <x:c r="I38" s="170"/>
      <x:c r="J38" s="170"/>
      <x:c r="K38" s="170"/>
      <x:c r="L38" s="173"/>
      <x:c r="M38" s="136"/>
      <x:c r="N38" s="136"/>
      <x:c r="O38" s="136"/>
      <x:c r="P38" s="136"/>
      <x:c r="Q38" s="136"/>
      <x:c r="R38" s="136"/>
      <x:c r="S38" s="136"/>
      <x:c r="T38" s="136"/>
      <x:c r="U38" s="136"/>
      <x:c r="V38" s="136"/>
      <x:c r="W38" s="136"/>
      <x:c r="X38" s="136"/>
      <x:c r="Y38" s="136"/>
      <x:c r="Z38" s="136"/>
    </x:row>
    <x:row r="39" ht="24" customHeight="1">
      <x:c r="A39" s="136"/>
      <x:c r="B39" s="136"/>
      <x:c r="C39" s="174" t="str">
        <x:v>Baseline comparisons use an independent NumPy/SciPy calculation with the frozen input JSON and seed. Differences after edits indicate that the baseline comparison must be rerun, rather than automatically an Excel error.</x:v>
      </x:c>
      <x:c r="D39" s="174"/>
      <x:c r="E39" s="174"/>
      <x:c r="F39" s="174"/>
      <x:c r="G39" s="174"/>
      <x:c r="H39" s="174"/>
      <x:c r="I39" s="174"/>
      <x:c r="J39" s="174"/>
      <x:c r="K39" s="174"/>
      <x:c r="L39" s="174"/>
      <x:c r="M39" s="136"/>
      <x:c r="N39" s="136"/>
      <x:c r="O39" s="136"/>
      <x:c r="P39" s="136"/>
      <x:c r="Q39" s="136"/>
      <x:c r="R39" s="136"/>
      <x:c r="S39" s="136"/>
      <x:c r="T39" s="136"/>
      <x:c r="U39" s="136"/>
      <x:c r="V39" s="136"/>
      <x:c r="W39" s="136"/>
      <x:c r="X39" s="136"/>
      <x:c r="Y39" s="136"/>
      <x:c r="Z39" s="136"/>
    </x:row>
    <x:row r="40" ht="24" customHeight="1">
      <x:c r="A40" s="136"/>
      <x:c r="B40" s="136"/>
      <x:c r="C40" s="174"/>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t="str">
        <x:v>PASS means a numerical identity or independent baseline matches its stated tolerance. It does not approve an investment conclusion or waive the economic feasibility checks on reverse sheets.</x:v>
      </x:c>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74"/>
      <x:c r="D43" s="174"/>
      <x:c r="E43" s="174"/>
      <x:c r="F43" s="174"/>
      <x:c r="G43" s="174"/>
      <x:c r="H43" s="174"/>
      <x:c r="I43" s="174"/>
      <x:c r="J43" s="174"/>
      <x:c r="K43" s="174"/>
      <x:c r="L43" s="174"/>
      <x:c r="M43" s="136"/>
      <x:c r="N43" s="136"/>
      <x:c r="O43" s="136"/>
      <x:c r="P43" s="136"/>
      <x:c r="Q43" s="136"/>
      <x:c r="R43" s="136"/>
      <x:c r="S43" s="136"/>
      <x:c r="T43" s="136"/>
      <x:c r="U43" s="136"/>
      <x:c r="V43" s="136"/>
      <x:c r="W43" s="136"/>
      <x:c r="X43" s="136"/>
      <x:c r="Y43" s="136"/>
      <x:c r="Z43" s="136"/>
    </x:row>
    <x:row r="44" ht="24" customHeight="1">
      <x:c r="A44" s="136"/>
      <x:c r="B44" s="136"/>
      <x:c r="C44" s="174"/>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t="str">
        <x:v>Source metadata includes explicit unavailable records. The model does not calculate a detailed historical NWC series from missing note components, and all selected raw observations remain at or before the valuation cutoff.</x:v>
      </x:c>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74"/>
      <x:c r="D47" s="174"/>
      <x:c r="E47" s="174"/>
      <x:c r="F47" s="174"/>
      <x:c r="G47" s="174"/>
      <x:c r="H47" s="174"/>
      <x:c r="I47" s="174"/>
      <x:c r="J47" s="174"/>
      <x:c r="K47" s="174"/>
      <x:c r="L47" s="174"/>
      <x:c r="M47" s="136"/>
      <x:c r="N47" s="136"/>
      <x:c r="O47" s="136"/>
      <x:c r="P47" s="136"/>
      <x:c r="Q47" s="136"/>
      <x:c r="R47" s="136"/>
      <x:c r="S47" s="136"/>
      <x:c r="T47" s="136"/>
      <x:c r="U47" s="136"/>
      <x:c r="V47" s="136"/>
      <x:c r="W47" s="136"/>
      <x:c r="X47" s="136"/>
      <x:c r="Y47" s="136"/>
      <x:c r="Z47" s="136"/>
    </x:row>
    <x:row r="48" ht="24" customHeight="1">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24" customHeight="1">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24" customHeight="1">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E4:F4"/>
    <x:mergeCell ref="C39:L41"/>
    <x:mergeCell ref="C42:L44"/>
    <x:mergeCell ref="C45:L47"/>
  </x:mergeCells>
  <x:pageMargins left="0.7" right="0.7" top="0.75" bottom="0.75" header="0.3" footer="0.3"/>
  <x:legacyDrawing xmlns:r="http://schemas.openxmlformats.org/officeDocument/2006/relationships" r:id="R720e9909471e4e0f"/>
</x:worksheet>
</file>

<file path=xl/worksheets/sheet33.xml><?xml version="1.0" encoding="utf-8"?>
<x:worksheet xmlns:x="http://schemas.openxmlformats.org/spreadsheetml/2006/main">
  <x:sheetPr>
    <x:tabColor rgb="FFBFBFBF"/>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210"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Python Code</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x:c r="D4" s="136"/>
      <x:c r="E4" s="136"/>
      <x:c r="F4" s="136"/>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t="str">
        <x:v>Copy all code lines from C10 down into src/valuation.py; retain indentation and blank lines.</x:v>
      </x:c>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t="str">
        <x:v>From the project folder: pip install -r requirements.txt</x:v>
      </x:c>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36" t="str">
        <x:v>python src/valuation.py --excel deliverables/Microsoft_DCF_ReverseDCF_Model.xlsx</x:v>
      </x:c>
      <x:c r="D7" s="136"/>
      <x:c r="E7" s="136"/>
      <x:c r="F7" s="136"/>
      <x:c r="G7" s="136"/>
      <x:c r="H7" s="136"/>
      <x:c r="I7" s="136"/>
      <x:c r="J7" s="136"/>
      <x:c r="K7" s="136"/>
      <x:c r="L7" s="136"/>
      <x:c r="M7" s="136"/>
      <x:c r="N7" s="136"/>
      <x:c r="O7" s="136"/>
      <x:c r="P7" s="136"/>
      <x:c r="Q7" s="136"/>
      <x:c r="R7" s="136"/>
      <x:c r="S7" s="136"/>
      <x:c r="T7" s="136"/>
      <x:c r="U7" s="136"/>
      <x:c r="V7" s="136"/>
      <x:c r="W7" s="136"/>
      <x:c r="X7" s="136"/>
      <x:c r="Y7" s="136"/>
      <x:c r="Z7" s="136"/>
    </x:row>
    <x:row r="8" ht="24" customHeight="1">
      <x:c r="A8" s="136"/>
      <x:c r="B8" s="136"/>
      <x:c r="C8" s="136"/>
      <x:c r="D8" s="136"/>
      <x:c r="E8" s="136"/>
      <x:c r="F8" s="136"/>
      <x:c r="G8" s="136"/>
      <x:c r="H8" s="136"/>
      <x:c r="I8" s="136"/>
      <x:c r="J8" s="136"/>
      <x:c r="K8" s="136"/>
      <x:c r="L8" s="136"/>
      <x:c r="M8" s="136"/>
      <x:c r="N8" s="136"/>
      <x:c r="O8" s="136"/>
      <x:c r="P8" s="136"/>
      <x:c r="Q8" s="136"/>
      <x:c r="R8" s="136"/>
      <x:c r="S8" s="136"/>
      <x:c r="T8" s="136"/>
      <x:c r="U8" s="136"/>
      <x:c r="V8" s="136"/>
      <x:c r="W8" s="136"/>
      <x:c r="X8" s="136"/>
      <x:c r="Y8" s="136"/>
      <x:c r="Z8" s="136"/>
    </x:row>
    <x:row r="9" ht="24" customHeight="1">
      <x:c r="A9" s="136"/>
      <x:c r="B9" s="136"/>
      <x:c r="C9" s="136"/>
      <x:c r="D9" s="136"/>
      <x:c r="E9" s="136"/>
      <x:c r="F9" s="136"/>
      <x:c r="G9" s="136"/>
      <x:c r="H9" s="136"/>
      <x:c r="I9" s="136"/>
      <x:c r="J9" s="136"/>
      <x:c r="K9" s="136"/>
      <x:c r="L9" s="136"/>
      <x:c r="M9" s="136"/>
      <x:c r="N9" s="136"/>
      <x:c r="O9" s="136"/>
      <x:c r="P9" s="136"/>
      <x:c r="Q9" s="136"/>
      <x:c r="R9" s="136"/>
      <x:c r="S9" s="136"/>
      <x:c r="T9" s="136"/>
      <x:c r="U9" s="136"/>
      <x:c r="V9" s="136"/>
      <x:c r="W9" s="136"/>
      <x:c r="X9" s="136"/>
      <x:c r="Y9" s="136"/>
      <x:c r="Z9" s="136"/>
    </x:row>
    <x:row r="10" ht="18" customHeight="1">
      <x:c r="A10" s="136"/>
      <x:c r="B10" s="136"/>
      <x:c r="C10" s="283" t="str">
        <x:v>"""Microsoft DCF, reverse DCF, OLS/HC3 and deterministic Monte Carlo.</x:v>
      </x:c>
      <x:c r="D10" s="136"/>
      <x:c r="E10" s="136"/>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ht="18" customHeight="1">
      <x:c r="A11" s="136"/>
      <x:c r="B11" s="136"/>
      <x:c r="C11" s="283" t="str"/>
      <x:c r="D11" s="136"/>
      <x:c r="E11" s="136"/>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ht="18" customHeight="1">
      <x:c r="A12" s="136"/>
      <x:c r="B12" s="136"/>
      <x:c r="C12" s="283" t="str">
        <x:v>Amounts are USD millions and shares are millions. Raw observations end on</x:v>
      </x:c>
      <x:c r="D12" s="136"/>
      <x:c r="E12" s="136"/>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ht="18" customHeight="1">
      <x:c r="A13" s="136"/>
      <x:c r="B13" s="136"/>
      <x:c r="C13" s="283" t="str">
        <x:v>8 October 2026. This file is also reproduced line by line in the Excel workbook.</x:v>
      </x:c>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ht="18" customHeight="1">
      <x:c r="A14" s="136"/>
      <x:c r="B14" s="136"/>
      <x:c r="C14" s="283" t="str">
        <x:v>"""</x:v>
      </x:c>
      <x:c r="D14" s="136"/>
      <x:c r="E14" s="136"/>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ht="18" customHeight="1">
      <x:c r="A15" s="136"/>
      <x:c r="B15" s="136"/>
      <x:c r="C15" s="283" t="str">
        <x:v>from __future__ import annotations</x:v>
      </x:c>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ht="18" customHeight="1">
      <x:c r="A16" s="136"/>
      <x:c r="B16" s="136"/>
      <x:c r="C16" s="283" t="str"/>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ht="18" customHeight="1">
      <x:c r="A17" s="136"/>
      <x:c r="B17" s="136"/>
      <x:c r="C17" s="283" t="str">
        <x:v>import argparse</x:v>
      </x:c>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ht="18" customHeight="1">
      <x:c r="A18" s="136"/>
      <x:c r="B18" s="136"/>
      <x:c r="C18" s="283" t="str">
        <x:v>import csv</x:v>
      </x:c>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ht="18" customHeight="1">
      <x:c r="A19" s="136"/>
      <x:c r="B19" s="136"/>
      <x:c r="C19" s="283" t="str">
        <x:v>import json</x:v>
      </x:c>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ht="18" customHeight="1">
      <x:c r="A20" s="136"/>
      <x:c r="B20" s="136"/>
      <x:c r="C20" s="283" t="str">
        <x:v>import math</x:v>
      </x:c>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ht="18" customHeight="1">
      <x:c r="A21" s="136"/>
      <x:c r="B21" s="136"/>
      <x:c r="C21" s="283" t="str">
        <x:v>from pathlib import Path</x:v>
      </x:c>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ht="18" customHeight="1">
      <x:c r="A22" s="136"/>
      <x:c r="B22" s="136"/>
      <x:c r="C22" s="283" t="str">
        <x:v>import xml.etree.ElementTree as ET</x:v>
      </x:c>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ht="18" customHeight="1">
      <x:c r="A23" s="136"/>
      <x:c r="B23" s="136"/>
      <x:c r="C23" s="283" t="str">
        <x:v>import zipfile</x:v>
      </x:c>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ht="18" customHeight="1">
      <x:c r="A24" s="136"/>
      <x:c r="B24" s="136"/>
      <x:c r="C24" s="283" t="str"/>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ht="18" customHeight="1">
      <x:c r="A25" s="136"/>
      <x:c r="B25" s="136"/>
      <x:c r="C25" s="283" t="str">
        <x:v>import numpy as np</x:v>
      </x:c>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ht="18" customHeight="1">
      <x:c r="A26" s="136"/>
      <x:c r="B26" s="136"/>
      <x:c r="C26" s="283" t="str">
        <x:v>from scipy import stats</x:v>
      </x:c>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ht="18" customHeight="1">
      <x:c r="A27" s="136"/>
      <x:c r="B27" s="136"/>
      <x:c r="C27" s="283" t="str"/>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ht="18" customHeight="1">
      <x:c r="A28" s="136"/>
      <x:c r="B28" s="136"/>
      <x:c r="C28" s="283" t="str"/>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ht="18" customHeight="1">
      <x:c r="A29" s="136"/>
      <x:c r="B29" s="136"/>
      <x:c r="C29" s="283" t="str">
        <x:v>def project_root() -&gt; Path:</x:v>
      </x:c>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ht="18" customHeight="1">
      <x:c r="A30" s="136"/>
      <x:c r="B30" s="136"/>
      <x:c r="C30" s="283" t="str">
        <x:v>    for location in [Path(__file__).resolve().parent, Path.cwd()]:</x:v>
      </x:c>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ht="18" customHeight="1">
      <x:c r="A31" s="136"/>
      <x:c r="B31" s="136"/>
      <x:c r="C31" s="283" t="str">
        <x:v>        for candidate in [location, *location.parents]:</x:v>
      </x:c>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ht="18" customHeight="1">
      <x:c r="A32" s="136"/>
      <x:c r="B32" s="136"/>
      <x:c r="C32" s="283" t="str">
        <x:v>            if (candidate / "data/processed/model_inputs.json").exists():</x:v>
      </x:c>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ht="18" customHeight="1">
      <x:c r="A33" s="136"/>
      <x:c r="B33" s="136"/>
      <x:c r="C33" s="283" t="str">
        <x:v>                return candidate</x:v>
      </x:c>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ht="18" customHeight="1">
      <x:c r="A34" s="136"/>
      <x:c r="B34" s="136"/>
      <x:c r="C34" s="283" t="str">
        <x:v>    raise FileNotFoundError("Keep data/processed beside your project, then run this script from VSCode.")</x:v>
      </x:c>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ht="18" customHeight="1">
      <x:c r="A35" s="136"/>
      <x:c r="B35" s="136"/>
      <x:c r="C35" s="283" t="str"/>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ht="18" customHeight="1">
      <x:c r="A36" s="136"/>
      <x:c r="B36" s="136"/>
      <x:c r="C36" s="283" t="str"/>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ht="18" customHeight="1">
      <x:c r="A37" s="136"/>
      <x:c r="B37" s="136"/>
      <x:c r="C37" s="283" t="str">
        <x:v>def regression(prices: list[dict]) -&gt; dict:</x:v>
      </x:c>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ht="18" customHeight="1">
      <x:c r="A38" s="136"/>
      <x:c r="B38" s="136"/>
      <x:c r="C38" s="283" t="str">
        <x:v>    """Market model with intercept, plus OLS, HC3 and Newey-West lag 5."""</x:v>
      </x:c>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ht="18" customHeight="1">
      <x:c r="A39" s="136"/>
      <x:c r="B39" s="136"/>
      <x:c r="C39" s="283" t="str">
        <x:v>    stock = np.array([float(x["msft_adjusted_close"]) for x in prices])</x:v>
      </x:c>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ht="18" customHeight="1">
      <x:c r="A40" s="136"/>
      <x:c r="B40" s="136"/>
      <x:c r="C40" s="283" t="str">
        <x:v>    market = np.array([float(x["spy_adjusted_close"]) for x in prices])</x:v>
      </x:c>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ht="18" customHeight="1">
      <x:c r="A41" s="136"/>
      <x:c r="B41" s="136"/>
      <x:c r="C41" s="283" t="str">
        <x:v>    y, x = stock[1:] / stock[:-1] - 1, market[1:] / market[:-1] - 1</x:v>
      </x:c>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ht="18" customHeight="1">
      <x:c r="A42" s="136"/>
      <x:c r="B42" s="136"/>
      <x:c r="C42" s="283" t="str">
        <x:v>    X = np.column_stack([np.ones(len(x)), x])</x:v>
      </x:c>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18" customHeight="1">
      <x:c r="A43" s="136"/>
      <x:c r="B43" s="136"/>
      <x:c r="C43" s="283" t="str">
        <x:v>    inverse = np.linalg.inv(X.T @ X)</x:v>
      </x:c>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18" customHeight="1">
      <x:c r="A44" s="136"/>
      <x:c r="B44" s="136"/>
      <x:c r="C44" s="283" t="str">
        <x:v>    b = inverse @ X.T @ y</x:v>
      </x:c>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ht="18" customHeight="1">
      <x:c r="A45" s="136"/>
      <x:c r="B45" s="136"/>
      <x:c r="C45" s="283" t="str">
        <x:v>    errors = y - X @ b</x:v>
      </x:c>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ht="18" customHeight="1">
      <x:c r="A46" s="136"/>
      <x:c r="B46" s="136"/>
      <x:c r="C46" s="283" t="str">
        <x:v>    leverage = np.einsum("ij,jk,ik-&gt;i", X, inverse, X)</x:v>
      </x:c>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ht="18" customHeight="1">
      <x:c r="A47" s="136"/>
      <x:c r="B47" s="136"/>
      <x:c r="C47" s="283" t="str">
        <x:v>    meat_hc3 = X.T @ ((errors / (1 - leverage))[:, None] ** 2 * X)</x:v>
      </x:c>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ht="18" customHeight="1">
      <x:c r="A48" s="136"/>
      <x:c r="B48" s="136"/>
      <x:c r="C48" s="283" t="str">
        <x:v>    cov_hc3 = inverse @ meat_hc3 @ inverse</x:v>
      </x:c>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ht="18" customHeight="1">
      <x:c r="A49" s="136"/>
      <x:c r="B49" s="136"/>
      <x:c r="C49" s="283" t="str">
        <x:v>    cov_ols = inverse * (errors @ errors / (len(x) - 2))</x:v>
      </x:c>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ht="18" customHeight="1">
      <x:c r="A50" s="136"/>
      <x:c r="B50" s="136"/>
      <x:c r="C50" s="283" t="str">
        <x:v>    scores = X * errors[:, None]</x:v>
      </x:c>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ht="18" customHeight="1">
      <x:c r="A51" s="136"/>
      <x:c r="B51" s="136"/>
      <x:c r="C51" s="283" t="str">
        <x:v>    meat_hac = scores.T @ scores</x:v>
      </x:c>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18" customHeight="1">
      <x:c r="A52" s="136"/>
      <x:c r="B52" s="136"/>
      <x:c r="C52" s="283" t="str">
        <x:v>    for lag in range(1, 6):</x:v>
      </x:c>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18" customHeight="1">
      <x:c r="A53" s="136"/>
      <x:c r="B53" s="136"/>
      <x:c r="C53" s="283" t="str">
        <x:v>        gamma = scores[lag:].T @ scores[:-lag]</x:v>
      </x:c>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18" customHeight="1">
      <x:c r="A54" s="136"/>
      <x:c r="B54" s="136"/>
      <x:c r="C54" s="283" t="str">
        <x:v>        meat_hac += (1 - lag / 6) * (gamma + gamma.T)</x:v>
      </x:c>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18" customHeight="1">
      <x:c r="A55" s="136"/>
      <x:c r="B55" s="136"/>
      <x:c r="C55" s="283" t="str">
        <x:v>    cov_hac = inverse @ meat_hac @ inverse * len(x) / (len(x) - 2)</x:v>
      </x:c>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18" customHeight="1">
      <x:c r="A56" s="136"/>
      <x:c r="B56" s="136"/>
      <x:c r="C56" s="283" t="str">
        <x:v>    critical = float(stats.t.ppf(0.975, len(x) - 2))</x:v>
      </x:c>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18" customHeight="1">
      <x:c r="A57" s="136"/>
      <x:c r="B57" s="136"/>
      <x:c r="C57" s="283" t="str">
        <x:v>    sxx = float(np.sum((x - x.mean()) ** 2))</x:v>
      </x:c>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18" customHeight="1">
      <x:c r="A58" s="136"/>
      <x:c r="B58" s="136"/>
      <x:c r="C58" s="283" t="str">
        <x:v>    sse, sst = float(errors @ errors), float(np.sum((y - y.mean()) ** 2))</x:v>
      </x:c>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18" customHeight="1">
      <x:c r="A59" s="136"/>
      <x:c r="B59" s="136"/>
      <x:c r="C59" s="283" t="str">
        <x:v>    se = np.sqrt(np.diag(cov_hc3))</x:v>
      </x:c>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18" customHeight="1">
      <x:c r="A60" s="136"/>
      <x:c r="B60" s="136"/>
      <x:c r="C60" s="283" t="str">
        <x:v>    return {"n": len(x), "alpha": float(b[0]), "beta": float(b[1]),</x:v>
      </x:c>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18" customHeight="1">
      <x:c r="A61" s="136"/>
      <x:c r="B61" s="136"/>
      <x:c r="C61" s="283" t="str">
        <x:v>            "beta_blume": float(2 / 3 * b[1] + 1 / 3), "r_squared": 1 - sse / sst,</x:v>
      </x:c>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18" customHeight="1">
      <x:c r="A62" s="136"/>
      <x:c r="B62" s="136"/>
      <x:c r="C62" s="283" t="str">
        <x:v>            "ols_se_alpha": float(np.sqrt(cov_ols[0, 0])), "ols_se_beta": float(np.sqrt(cov_ols[1, 1])),</x:v>
      </x:c>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18" customHeight="1">
      <x:c r="A63" s="136"/>
      <x:c r="B63" s="136"/>
      <x:c r="C63" s="283" t="str">
        <x:v>            "hc3_se_alpha": float(se[0]), "hc3_se_beta": float(se[1]),</x:v>
      </x:c>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18" customHeight="1">
      <x:c r="A64" s="136"/>
      <x:c r="B64" s="136"/>
      <x:c r="C64" s="283" t="str">
        <x:v>            "hac5_se_beta": float(np.sqrt(cov_hac[1, 1])), "critical_t": critical,</x:v>
      </x:c>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18" customHeight="1">
      <x:c r="A65" s="136"/>
      <x:c r="B65" s="136"/>
      <x:c r="C65" s="283" t="str">
        <x:v>            "hc3_beta_lower": float(b[1] - critical * se[1]),</x:v>
      </x:c>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18" customHeight="1">
      <x:c r="A66" s="136"/>
      <x:c r="B66" s="136"/>
      <x:c r="C66" s="283" t="str">
        <x:v>            "hc3_beta_upper": float(b[1] + critical * se[1]),</x:v>
      </x:c>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18" customHeight="1">
      <x:c r="A67" s="136"/>
      <x:c r="B67" s="136"/>
      <x:c r="C67" s="283" t="str">
        <x:v>            "hc3_beta_p_value": float(2 * stats.t.sf(abs(b[1] / se[1]), len(x) - 2)),</x:v>
      </x:c>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18" customHeight="1">
      <x:c r="A68" s="136"/>
      <x:c r="B68" s="136"/>
      <x:c r="C68" s="283" t="str">
        <x:v>            "sxx": sxx, "sse": sse, "sst": sst,</x:v>
      </x:c>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18" customHeight="1">
      <x:c r="A69" s="136"/>
      <x:c r="B69" s="136"/>
      <x:c r="C69" s="283" t="str">
        <x:v>            "mean_x": float(x.mean()), "mean_y": float(y.mean()),</x:v>
      </x:c>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18" customHeight="1">
      <x:c r="A70" s="136"/>
      <x:c r="B70" s="136"/>
      <x:c r="C70" s="283" t="str">
        <x:v>            "x": x.tolist(), "y": y.tolist(), "residuals": errors.tolist(),</x:v>
      </x:c>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18" customHeight="1">
      <x:c r="A71" s="136"/>
      <x:c r="B71" s="136"/>
      <x:c r="C71" s="283" t="str">
        <x:v>            "leverage": leverage.tolist()}</x:v>
      </x:c>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18" customHeight="1">
      <x:c r="A72" s="136"/>
      <x:c r="B72" s="136"/>
      <x:c r="C72" s="283" t="str"/>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18" customHeight="1">
      <x:c r="A73" s="136"/>
      <x:c r="B73" s="136"/>
      <x:c r="C73" s="283" t="str"/>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18" customHeight="1">
      <x:c r="A74" s="136"/>
      <x:c r="B74" s="136"/>
      <x:c r="C74" s="283" t="str">
        <x:v>def wacc(inputs: dict, beta: float) -&gt; dict:</x:v>
      </x:c>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18" customHeight="1">
      <x:c r="A75" s="136"/>
      <x:c r="B75" s="136"/>
      <x:c r="C75" s="283" t="str">
        <x:v>    control, market = inputs["controls"], inputs["market"]</x:v>
      </x:c>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18" customHeight="1">
      <x:c r="A76" s="136"/>
      <x:c r="B76" s="136"/>
      <x:c r="C76" s="283" t="str">
        <x:v>    selected_beta = {1: beta, 2: 2 / 3 * beta + 1 / 3, 3: control["manual_beta"]}[int(control["beta_mode"])]</x:v>
      </x:c>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18" customHeight="1">
      <x:c r="A77" s="136"/>
      <x:c r="B77" s="136"/>
      <x:c r="C77" s="283" t="str">
        <x:v>    equity = market["price"] * control["point_shares"]</x:v>
      </x:c>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18" customHeight="1">
      <x:c r="A78" s="136"/>
      <x:c r="B78" s="136"/>
      <x:c r="C78" s="283" t="str">
        <x:v>    debt = control["debt_fair_value"] + control["finance_lease_liability"]</x:v>
      </x:c>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18" customHeight="1">
      <x:c r="A79" s="136"/>
      <x:c r="B79" s="136"/>
      <x:c r="C79" s="283" t="str">
        <x:v>    equity_weight = equity / (equity + debt)</x:v>
      </x:c>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18" customHeight="1">
      <x:c r="A80" s="136"/>
      <x:c r="B80" s="136"/>
      <x:c r="C80" s="283" t="str">
        <x:v>    ke = market["riskfree"] + selected_beta * market["erp"]</x:v>
      </x:c>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18" customHeight="1">
      <x:c r="A81" s="136"/>
      <x:c r="B81" s="136"/>
      <x:c r="C81" s="283" t="str">
        <x:v>    kd = market["riskfree"] + market["debt_spread"]</x:v>
      </x:c>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18" customHeight="1">
      <x:c r="A82" s="136"/>
      <x:c r="B82" s="136"/>
      <x:c r="C82" s="283" t="str">
        <x:v>    calculated = equity_weight * ke + (1 - equity_weight) * kd * (1 - control["marginal_tax"])</x:v>
      </x:c>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18" customHeight="1">
      <x:c r="A83" s="136"/>
      <x:c r="B83" s="136"/>
      <x:c r="C83" s="283" t="str">
        <x:v>    chosen = calculated if control["wacc_override"] is None else control["wacc_override"]</x:v>
      </x:c>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18" customHeight="1">
      <x:c r="A84" s="136"/>
      <x:c r="B84" s="136"/>
      <x:c r="C84" s="283" t="str">
        <x:v>    return {"beta": selected_beta, "ke": ke, "kd": kd, "equity_weight": equity_weight,</x:v>
      </x:c>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18" customHeight="1">
      <x:c r="A85" s="136"/>
      <x:c r="B85" s="136"/>
      <x:c r="C85" s="283" t="str">
        <x:v>            "debt_weight": 1 - equity_weight, "calculated": calculated, "selected": chosen,</x:v>
      </x:c>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18" customHeight="1">
      <x:c r="A86" s="136"/>
      <x:c r="B86" s="136"/>
      <x:c r="C86" s="283" t="str">
        <x:v>            "market_equity": equity, "market_debt": debt}</x:v>
      </x:c>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18" customHeight="1">
      <x:c r="A87" s="136"/>
      <x:c r="B87" s="136"/>
      <x:c r="C87" s="283" t="str"/>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18" customHeight="1">
      <x:c r="A88" s="136"/>
      <x:c r="B88" s="136"/>
      <x:c r="C88" s="283" t="str"/>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18" customHeight="1">
      <x:c r="A89" s="136"/>
      <x:c r="B89" s="136"/>
      <x:c r="C89" s="283" t="str">
        <x:v>def bridge(inputs: dict) -&gt; dict:</x:v>
      </x:c>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18" customHeight="1">
      <x:c r="A90" s="136"/>
      <x:c r="B90" s="136"/>
      <x:c r="C90" s="283" t="str">
        <x:v>    c = inputs["controls"]</x:v>
      </x:c>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18" customHeight="1">
      <x:c r="A91" s="136"/>
      <x:c r="B91" s="136"/>
      <x:c r="C91" s="283" t="str">
        <x:v>    excess_cash = max(c["liquid_assets"] - c["operating_cash_reserve"], 0)</x:v>
      </x:c>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18" customHeight="1">
      <x:c r="A92" s="136"/>
      <x:c r="B92" s="136"/>
      <x:c r="C92" s="283" t="str">
        <x:v>    investments = c["equity_investments"] * c["investment_haircut_factor"]</x:v>
      </x:c>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18" customHeight="1">
      <x:c r="A93" s="136"/>
      <x:c r="B93" s="136"/>
      <x:c r="C93" s="283" t="str">
        <x:v>    adjustment = excess_cash + investments - c["debt_fair_value"] - c["finance_lease_liability"]</x:v>
      </x:c>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18" customHeight="1">
      <x:c r="A94" s="136"/>
      <x:c r="B94" s="136"/>
      <x:c r="C94" s="283" t="str">
        <x:v>    shares = c["point_shares"] + c["incremental_share_proxy"]</x:v>
      </x:c>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18" customHeight="1">
      <x:c r="A95" s="136"/>
      <x:c r="B95" s="136"/>
      <x:c r="C95" s="283" t="str">
        <x:v>    target = inputs["market"]["price"] * shares - adjustment</x:v>
      </x:c>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18" customHeight="1">
      <x:c r="A96" s="136"/>
      <x:c r="B96" s="136"/>
      <x:c r="C96" s="283" t="str">
        <x:v>    return {"excess_cash": excess_cash, "investments": investments,</x:v>
      </x:c>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18" customHeight="1">
      <x:c r="A97" s="136"/>
      <x:c r="B97" s="136"/>
      <x:c r="C97" s="283" t="str">
        <x:v>            "adjustment": adjustment, "shares": shares, "market_enterprise_value": target}</x:v>
      </x:c>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18" customHeight="1">
      <x:c r="A98" s="136"/>
      <x:c r="B98" s="136"/>
      <x:c r="C98" s="283" t="str"/>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18" customHeight="1">
      <x:c r="A99" s="136"/>
      <x:c r="B99" s="136"/>
      <x:c r="C99" s="283" t="str"/>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18" customHeight="1">
      <x:c r="A100" s="136"/>
      <x:c r="B100" s="136"/>
      <x:c r="C100" s="283" t="str">
        <x:v>def forecast(inputs: dict, case: str, growth=None, margin_shift=0.0,</x:v>
      </x:c>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18" customHeight="1">
      <x:c r="A101" s="136"/>
      <x:c r="B101" s="136"/>
      <x:c r="C101" s="283" t="str">
        <x:v>             capex_scale=1.0, nwc_shift=0.0, tax_shift=0.0, lease_scale=1.0) -&gt; dict:</x:v>
      </x:c>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18" customHeight="1">
      <x:c r="A102" s="136"/>
      <x:c r="B102" s="136"/>
      <x:c r="C102" s="283" t="str">
        <x:v>    p = inputs["cases"][case]</x:v>
      </x:c>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18" customHeight="1">
      <x:c r="A103" s="136"/>
      <x:c r="B103" s="136"/>
      <x:c r="C103" s="283" t="str">
        <x:v>    segments = np.asarray(inputs["initial"]["segment_revenue"], dtype=float).copy()</x:v>
      </x:c>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18" customHeight="1">
      <x:c r="A104" s="136"/>
      <x:c r="B104" s="136"/>
      <x:c r="C104" s="283" t="str">
        <x:v>    revenue, segment_rows = [], []</x:v>
      </x:c>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18" customHeight="1">
      <x:c r="A105" s="136"/>
      <x:c r="B105" s="136"/>
      <x:c r="C105" s="283" t="str">
        <x:v>    for i in range(5):</x:v>
      </x:c>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18" customHeight="1">
      <x:c r="A106" s="136"/>
      <x:c r="B106" s="136"/>
      <x:c r="C106" s="283" t="str">
        <x:v>        segments = segments * (1 + np.array([p["pbp_growth"][i], p["ic_growth"][i], p["mpc_growth"][i]]))</x:v>
      </x:c>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18" customHeight="1">
      <x:c r="A107" s="136"/>
      <x:c r="B107" s="136"/>
      <x:c r="C107" s="283" t="str">
        <x:v>        segment_rows.append(segments.tolist())</x:v>
      </x:c>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18" customHeight="1">
      <x:c r="A108" s="136"/>
      <x:c r="B108" s="136"/>
      <x:c r="C108" s="283" t="str">
        <x:v>        revenue.append(float(segments.sum()))</x:v>
      </x:c>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18" customHeight="1">
      <x:c r="A109" s="136"/>
      <x:c r="B109" s="136"/>
      <x:c r="C109" s="283" t="str">
        <x:v>    if growth is not None:</x:v>
      </x:c>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18" customHeight="1">
      <x:c r="A110" s="136"/>
      <x:c r="B110" s="136"/>
      <x:c r="C110" s="283" t="str">
        <x:v>        revenue = [inputs["initial"]["revenue"] * (1 + growth) ** (i + 1) for i in range(5)]</x:v>
      </x:c>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18" customHeight="1">
      <x:c r="A111" s="136"/>
      <x:c r="B111" s="136"/>
      <x:c r="C111" s="283" t="str">
        <x:v>    revenue = np.asarray(revenue)</x:v>
      </x:c>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18" customHeight="1">
      <x:c r="A112" s="136"/>
      <x:c r="B112" s="136"/>
      <x:c r="C112" s="283" t="str">
        <x:v>    margin = np.asarray(p["ebit_margin"]) + margin_shift</x:v>
      </x:c>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18" customHeight="1">
      <x:c r="A113" s="136"/>
      <x:c r="B113" s="136"/>
      <x:c r="C113" s="283" t="str">
        <x:v>    tax = np.asarray(p["tax_rate"]) + tax_shift</x:v>
      </x:c>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18" customHeight="1">
      <x:c r="A114" s="136"/>
      <x:c r="B114" s="136"/>
      <x:c r="C114" s="283" t="str">
        <x:v>    ebit = revenue * margin</x:v>
      </x:c>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18" customHeight="1">
      <x:c r="A115" s="136"/>
      <x:c r="B115" s="136"/>
      <x:c r="C115" s="283" t="str">
        <x:v>    nopat = ebit * (1 - tax)</x:v>
      </x:c>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18" customHeight="1">
      <x:c r="A116" s="136"/>
      <x:c r="B116" s="136"/>
      <x:c r="C116" s="283" t="str">
        <x:v>    da = revenue * np.asarray(p["da_ratio"])</x:v>
      </x:c>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18" customHeight="1">
      <x:c r="A117" s="136"/>
      <x:c r="B117" s="136"/>
      <x:c r="C117" s="283" t="str">
        <x:v>    cash_capex = revenue * np.asarray(p["cash_capex_ratio"]) * capex_scale</x:v>
      </x:c>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18" customHeight="1">
      <x:c r="A118" s="136"/>
      <x:c r="B118" s="136"/>
      <x:c r="C118" s="283" t="str">
        <x:v>    capitalized_interest = revenue * np.asarray(p["capitalized_interest_ratio"])</x:v>
      </x:c>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18" customHeight="1">
      <x:c r="A119" s="136"/>
      <x:c r="B119" s="136"/>
      <x:c r="C119" s="283" t="str">
        <x:v>    finance_additions = revenue * np.asarray(p["finance_lease_add_ratio"]) * lease_scale</x:v>
      </x:c>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18" customHeight="1">
      <x:c r="A120" s="136"/>
      <x:c r="B120" s="136"/>
      <x:c r="C120" s="283" t="str">
        <x:v>    nwc = revenue * (np.asarray(p["nwc_ratio"]) + nwc_shift)</x:v>
      </x:c>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row r="121" ht="18" customHeight="1">
      <x:c r="C121" s="284" t="str">
        <x:v>    change_nwc = np.diff(np.r_[inputs["initial"]["nwc"], nwc])</x:v>
      </x:c>
    </x:row>
    <x:row r="122" ht="18" customHeight="1">
      <x:c r="C122" s="284" t="str">
        <x:v>    economic_capex = cash_capex - capitalized_interest + finance_additions</x:v>
      </x:c>
    </x:row>
    <x:row r="123" ht="18" customHeight="1">
      <x:c r="C123" s="284" t="str">
        <x:v>    fcff = nopat + da - economic_capex - change_nwc</x:v>
      </x:c>
    </x:row>
    <x:row r="124" ht="18" customHeight="1">
      <x:c r="C124" s="284" t="str">
        <x:v>    return {"revenue": revenue.tolist(), "segments": segment_rows, "ebit": ebit.tolist(),</x:v>
      </x:c>
    </x:row>
    <x:row r="125" ht="18" customHeight="1">
      <x:c r="C125" s="284" t="str">
        <x:v>            "nopat": nopat.tolist(), "da": da.tolist(), "cash_capex": cash_capex.tolist(),</x:v>
      </x:c>
    </x:row>
    <x:row r="126" ht="18" customHeight="1">
      <x:c r="C126" s="284" t="str">
        <x:v>            "capitalized_interest": capitalized_interest.tolist(), "finance_additions": finance_additions.tolist(),</x:v>
      </x:c>
    </x:row>
    <x:row r="127" ht="18" customHeight="1">
      <x:c r="C127" s="284" t="str">
        <x:v>            "economic_capex": economic_capex.tolist(), "nwc": nwc.tolist(),</x:v>
      </x:c>
    </x:row>
    <x:row r="128" ht="18" customHeight="1">
      <x:c r="C128" s="284" t="str">
        <x:v>            "change_nwc": change_nwc.tolist(), "fcff": fcff.tolist()}</x:v>
      </x:c>
    </x:row>
    <x:row r="129" ht="18" customHeight="1">
      <x:c r="C129" s="284" t="str"/>
    </x:row>
    <x:row r="130" ht="18" customHeight="1">
      <x:c r="C130" s="284" t="str"/>
    </x:row>
    <x:row r="131" ht="18" customHeight="1">
      <x:c r="C131" s="284" t="str">
        <x:v>def value(inputs: dict, case: str, discount: float, **shock) -&gt; dict:</x:v>
      </x:c>
    </x:row>
    <x:row r="132" ht="18" customHeight="1">
      <x:c r="C132" s="284" t="str">
        <x:v>    growth = shock.pop("terminal_growth", inputs["cases"][case]["terminal_growth"])</x:v>
      </x:c>
    </x:row>
    <x:row r="133" ht="18" customHeight="1">
      <x:c r="C133" s="284" t="str">
        <x:v>    roic = shock.pop("terminal_roic", inputs["cases"][case]["terminal_roic"])</x:v>
      </x:c>
    </x:row>
    <x:row r="134" ht="18" customHeight="1">
      <x:c r="C134" s="284" t="str">
        <x:v>    margin_shift = shock.get("margin_shift", 0.0)</x:v>
      </x:c>
    </x:row>
    <x:row r="135" ht="18" customHeight="1">
      <x:c r="C135" s="284" t="str">
        <x:v>    tax_shift = shock.get("tax_shift", 0.0)</x:v>
      </x:c>
    </x:row>
    <x:row r="136" ht="18" customHeight="1">
      <x:c r="C136" s="284" t="str">
        <x:v>    stable_margin = shock.pop("stable_margin", inputs["cases"][case]["terminal_margin"] + margin_shift)</x:v>
      </x:c>
    </x:row>
    <x:row r="137" ht="18" customHeight="1">
      <x:c r="C137" s="284" t="str">
        <x:v>    control = inputs["controls"]</x:v>
      </x:c>
    </x:row>
    <x:row r="138" ht="18" customHeight="1">
      <x:c r="C138" s="284" t="str">
        <x:v>    if not (discount &gt; growth and roic &gt; growth):</x:v>
      </x:c>
    </x:row>
    <x:row r="139" ht="18" customHeight="1">
      <x:c r="C139" s="284" t="str">
        <x:v>        raise ValueError("Require WACC &gt; terminal growth and terminal ROIC &gt; growth")</x:v>
      </x:c>
    </x:row>
    <x:row r="140" ht="18" customHeight="1">
      <x:c r="C140" s="284" t="str">
        <x:v>    f = forecast(inputs, case, **shock)</x:v>
      </x:c>
    </x:row>
    <x:row r="141" ht="18" customHeight="1">
      <x:c r="C141" s="284" t="str">
        <x:v>    fraction = control["stub_fraction"]</x:v>
      </x:c>
    </x:row>
    <x:row r="142" ht="18" customHeight="1">
      <x:c r="C142" s="284" t="str">
        <x:v>    weights = np.array([fraction, 1, 1, 1, 1])</x:v>
      </x:c>
    </x:row>
    <x:row r="143" ht="18" customHeight="1">
      <x:c r="C143" s="284" t="str">
        <x:v>    end = fraction + np.arange(5)</x:v>
      </x:c>
    </x:row>
    <x:row r="144" ht="18" customHeight="1">
      <x:c r="C144" s="284" t="str">
        <x:v>    mid = np.r_[fraction / 2, fraction + np.arange(4) + 0.5]</x:v>
      </x:c>
    </x:row>
    <x:row r="145" ht="18" customHeight="1">
      <x:c r="C145" s="284" t="str">
        <x:v>    timing = mid if int(control["timing_mode"]) == 1 else end</x:v>
      </x:c>
    </x:row>
    <x:row r="146" ht="18" customHeight="1">
      <x:c r="C146" s="284" t="str">
        <x:v>    df = (1 + discount) ** timing</x:v>
      </x:c>
    </x:row>
    <x:row r="147" ht="18" customHeight="1">
      <x:c r="C147" s="284" t="str">
        <x:v>    pv = np.asarray(f["fcff"]) * weights / df</x:v>
      </x:c>
    </x:row>
    <x:row r="148" ht="18" customHeight="1">
      <x:c r="C148" s="284" t="str">
        <x:v>    stable_revenue = f["revenue"][-1] * (1 + growth)</x:v>
      </x:c>
    </x:row>
    <x:row r="149" ht="18" customHeight="1">
      <x:c r="C149" s="284" t="str">
        <x:v>    stable_nopat = stable_revenue * stable_margin * (1 - control["terminal_tax"] - tax_shift)</x:v>
      </x:c>
    </x:row>
    <x:row r="150" ht="18" customHeight="1">
      <x:c r="C150" s="284" t="str">
        <x:v>    reinvestment = stable_nopat * growth / roic</x:v>
      </x:c>
    </x:row>
    <x:row r="151" ht="18" customHeight="1">
      <x:c r="C151" s="284" t="str">
        <x:v>    stable_fcff = stable_nopat - reinvestment</x:v>
      </x:c>
    </x:row>
    <x:row r="152" ht="18" customHeight="1">
      <x:c r="C152" s="284" t="str">
        <x:v>    terminal_value = stable_fcff / (discount - growth)</x:v>
      </x:c>
    </x:row>
    <x:row r="153" ht="18" customHeight="1">
      <x:c r="C153" s="284" t="str">
        <x:v>    terminal_df = (1 + discount) ** end[-1]</x:v>
      </x:c>
    </x:row>
    <x:row r="154" ht="18" customHeight="1">
      <x:c r="C154" s="284" t="str">
        <x:v>    terminal_pv = terminal_value / terminal_df</x:v>
      </x:c>
    </x:row>
    <x:row r="155" ht="18" customHeight="1">
      <x:c r="C155" s="284" t="str">
        <x:v>    enterprise = float(pv.sum() + terminal_pv)</x:v>
      </x:c>
    </x:row>
    <x:row r="156" ht="18" customHeight="1">
      <x:c r="C156" s="284" t="str">
        <x:v>    b = bridge(inputs)</x:v>
      </x:c>
    </x:row>
    <x:row r="157" ht="18" customHeight="1">
      <x:c r="C157" s="284" t="str">
        <x:v>    equity = enterprise + b["adjustment"]</x:v>
      </x:c>
    </x:row>
    <x:row r="158" ht="18" customHeight="1">
      <x:c r="C158" s="284" t="str">
        <x:v>    return {"case": case, "wacc": discount, "terminal_growth": growth, "terminal_roic": roic,</x:v>
      </x:c>
    </x:row>
    <x:row r="159" ht="18" customHeight="1">
      <x:c r="C159" s="284" t="str">
        <x:v>            "forecast": f, "timing": timing.tolist(), "cashflow_weights": weights.tolist(),</x:v>
      </x:c>
    </x:row>
    <x:row r="160" ht="18" customHeight="1">
      <x:c r="C160" s="284" t="str">
        <x:v>            "discount_factors": df.tolist(), "pv_cashflows": pv.tolist(),</x:v>
      </x:c>
    </x:row>
    <x:row r="161" ht="18" customHeight="1">
      <x:c r="C161" s="284" t="str">
        <x:v>            "pv_explicit": float(pv.sum()), "terminal_revenue": stable_revenue,</x:v>
      </x:c>
    </x:row>
    <x:row r="162" ht="18" customHeight="1">
      <x:c r="C162" s="284" t="str">
        <x:v>            "terminal_nopat": stable_nopat, "terminal_reinvestment": reinvestment,</x:v>
      </x:c>
    </x:row>
    <x:row r="163" ht="18" customHeight="1">
      <x:c r="C163" s="284" t="str">
        <x:v>            "terminal_fcff": stable_fcff, "terminal_value": terminal_value,</x:v>
      </x:c>
    </x:row>
    <x:row r="164" ht="18" customHeight="1">
      <x:c r="C164" s="284" t="str">
        <x:v>            "terminal_df": terminal_df, "pv_terminal": terminal_pv,</x:v>
      </x:c>
    </x:row>
    <x:row r="165" ht="18" customHeight="1">
      <x:c r="C165" s="284" t="str">
        <x:v>            "terminal_share": terminal_pv / enterprise, "enterprise_value": enterprise,</x:v>
      </x:c>
    </x:row>
    <x:row r="166" ht="18" customHeight="1">
      <x:c r="C166" s="284" t="str">
        <x:v>            "equity_value": equity, "fair_price": equity / b["shares"],</x:v>
      </x:c>
    </x:row>
    <x:row r="167" ht="18" customHeight="1">
      <x:c r="C167" s="284" t="str">
        <x:v>            "upside": equity / b["shares"] / inputs["market"]["price"] - 1}</x:v>
      </x:c>
    </x:row>
    <x:row r="168" ht="18" customHeight="1">
      <x:c r="C168" s="284" t="str"/>
    </x:row>
    <x:row r="169" ht="18" customHeight="1">
      <x:c r="C169" s="284" t="str"/>
    </x:row>
    <x:row r="170" ht="18" customHeight="1">
      <x:c r="C170" s="284" t="str">
        <x:v>def bisect(function, low: float, high: float, iterations=48):</x:v>
      </x:c>
    </x:row>
    <x:row r="171" ht="18" customHeight="1">
      <x:c r="C171" s="284" t="str">
        <x:v>    fl, fh = function(low), function(high)</x:v>
      </x:c>
    </x:row>
    <x:row r="172" ht="18" customHeight="1">
      <x:c r="C172" s="284" t="str">
        <x:v>    if fl * fh &gt; 0:</x:v>
      </x:c>
    </x:row>
    <x:row r="173" ht="18" customHeight="1">
      <x:c r="C173" s="284" t="str">
        <x:v>        return None</x:v>
      </x:c>
    </x:row>
    <x:row r="174" ht="18" customHeight="1">
      <x:c r="C174" s="284" t="str">
        <x:v>    for _ in range(iterations):</x:v>
      </x:c>
    </x:row>
    <x:row r="175" ht="18" customHeight="1">
      <x:c r="C175" s="284" t="str">
        <x:v>        midpoint = (low + high) / 2</x:v>
      </x:c>
    </x:row>
    <x:row r="176" ht="18" customHeight="1">
      <x:c r="C176" s="284" t="str">
        <x:v>        fm = function(midpoint)</x:v>
      </x:c>
    </x:row>
    <x:row r="177" ht="18" customHeight="1">
      <x:c r="C177" s="284" t="str">
        <x:v>        if fl * fm &lt;= 0:</x:v>
      </x:c>
    </x:row>
    <x:row r="178" ht="18" customHeight="1">
      <x:c r="C178" s="284" t="str">
        <x:v>            high, fh = midpoint, fm</x:v>
      </x:c>
    </x:row>
    <x:row r="179" ht="18" customHeight="1">
      <x:c r="C179" s="284" t="str">
        <x:v>        else:</x:v>
      </x:c>
    </x:row>
    <x:row r="180" ht="18" customHeight="1">
      <x:c r="C180" s="284" t="str">
        <x:v>            low, fl = midpoint, fm</x:v>
      </x:c>
    </x:row>
    <x:row r="181" ht="18" customHeight="1">
      <x:c r="C181" s="284" t="str">
        <x:v>    return (low + high) / 2</x:v>
      </x:c>
    </x:row>
    <x:row r="182" ht="18" customHeight="1">
      <x:c r="C182" s="284" t="str"/>
    </x:row>
    <x:row r="183" ht="18" customHeight="1">
      <x:c r="C183" s="284" t="str"/>
    </x:row>
    <x:row r="184" ht="18" customHeight="1">
      <x:c r="C184" s="284" t="str">
        <x:v>def reverse(inputs: dict, case: str, discount: float) -&gt; dict:</x:v>
      </x:c>
    </x:row>
    <x:row r="185" ht="18" customHeight="1">
      <x:c r="C185" s="284" t="str">
        <x:v>    baseline = value(inputs, case, discount)</x:v>
      </x:c>
    </x:row>
    <x:row r="186" ht="18" customHeight="1">
      <x:c r="C186" s="284" t="str">
        <x:v>    target = bridge(inputs)["market_enterprise_value"]</x:v>
      </x:c>
    </x:row>
    <x:row r="187" ht="18" customHeight="1">
      <x:c r="C187" s="284" t="str">
        <x:v>    gap = target - baseline["enterprise_value"]</x:v>
      </x:c>
    </x:row>
    <x:row r="188" ht="18" customHeight="1">
      <x:c r="C188" s="284" t="str">
        <x:v>    p, c, f = inputs["cases"][case], inputs["controls"], baseline["forecast"]</x:v>
      </x:c>
    </x:row>
    <x:row r="189" ht="18" customHeight="1">
      <x:c r="C189" s="284" t="str">
        <x:v>    rev = np.asarray(f["revenue"])</x:v>
      </x:c>
    </x:row>
    <x:row r="190" ht="18" customHeight="1">
      <x:c r="C190" s="284" t="str">
        <x:v>    weighted_df = np.asarray(baseline["cashflow_weights"]) / np.asarray(baseline["discount_factors"])</x:v>
      </x:c>
    </x:row>
    <x:row r="191" ht="18" customHeight="1">
      <x:c r="C191" s="284" t="str">
        <x:v>    terminal_coefficient = baseline["terminal_revenue"] * (1 - c["terminal_tax"]) * (1 - p["terminal_growth"] / p["terminal_roic"]) / ((discount - p["terminal_growth"]) * baseline["terminal_df"])</x:v>
      </x:c>
    </x:row>
    <x:row r="192" ht="18" customHeight="1">
      <x:c r="C192" s="284" t="str">
        <x:v>    margin_slope = float(np.sum(rev * (1 - np.asarray(p["tax_rate"])) * weighted_df) + terminal_coefficient)</x:v>
      </x:c>
    </x:row>
    <x:row r="193" ht="18" customHeight="1">
      <x:c r="C193" s="284" t="str">
        <x:v>    capex_slope = -float(np.sum(np.asarray(f["cash_capex"]) * weighted_df))</x:v>
      </x:c>
    </x:row>
    <x:row r="194" ht="18" customHeight="1">
      <x:c r="C194" s="284" t="str">
        <x:v>    lease_slope = -float(np.sum(np.asarray(f["finance_additions"]) * weighted_df))</x:v>
      </x:c>
    </x:row>
    <x:row r="195" ht="18" customHeight="1">
      <x:c r="C195" s="284" t="str">
        <x:v>    nwc_slope = -float(np.sum(np.diff(np.r_[0.0, rev]) * weighted_df))</x:v>
      </x:c>
    </x:row>
    <x:row r="196" ht="18" customHeight="1">
      <x:c r="C196" s="284" t="str">
        <x:v>    tax_slope = -float(np.sum(np.asarray(f["ebit"]) * weighted_df) + baseline["terminal_revenue"] * p["terminal_margin"] * (1 - p["terminal_growth"] / p["terminal_roic"]) / ((discount - p["terminal_growth"]) * baseline["terminal_df"]))</x:v>
      </x:c>
    </x:row>
    <x:row r="197" ht="18" customHeight="1">
      <x:c r="C197" s="284" t="str">
        <x:v>    required_terminal_pv = target - baseline["pv_explicit"]</x:v>
      </x:c>
    </x:row>
    <x:row r="198" ht="18" customHeight="1">
      <x:c r="C198" s="284" t="str">
        <x:v>    required_fcff = required_terminal_pv * baseline["terminal_df"] * (discount - p["terminal_growth"])</x:v>
      </x:c>
    </x:row>
    <x:row r="199" ht="18" customHeight="1">
      <x:c r="C199" s="284" t="str">
        <x:v>    nopat_pv = baseline["terminal_nopat"] / ((discount - p["terminal_growth"]) * baseline["terminal_df"])</x:v>
      </x:c>
    </x:row>
    <x:row r="200" ht="18" customHeight="1">
      <x:c r="C200" s="284" t="str">
        <x:v>    roic_denominator = 1 - required_terminal_pv / nopat_pv</x:v>
      </x:c>
    </x:row>
    <x:row r="201" ht="18" customHeight="1">
      <x:c r="C201" s="284" t="str">
        <x:v>    required_roic = p["terminal_growth"] / roic_denominator if roic_denominator &gt; 0 else None</x:v>
      </x:c>
    </x:row>
    <x:row r="202" ht="18" customHeight="1">
      <x:c r="C202" s="284" t="str">
        <x:v>    growth = bisect(lambda x: value(inputs, case, discount, growth=x)["enterprise_value"] - target, -0.15, 0.75)</x:v>
      </x:c>
    </x:row>
    <x:row r="203" ht="18" customHeight="1">
      <x:c r="C203" s="284" t="str">
        <x:v>    implied_wacc = bisect(lambda x: value(inputs, case, x)["enterprise_value"] - target, p["terminal_growth"] + 0.001, 0.30)</x:v>
      </x:c>
    </x:row>
    <x:row r="204" ht="18" customHeight="1">
      <x:c r="C204" s="284" t="str">
        <x:v>    implied_g = bisect(lambda x: value(inputs, case, discount, terminal_growth=x)["enterprise_value"] - target, 0.0, min(discount, p["terminal_roic"]) - 0.001)</x:v>
      </x:c>
    </x:row>
    <x:row r="205" ht="18" customHeight="1">
      <x:c r="C205" s="284" t="str">
        <x:v>    return {"market_enterprise_value": target, "valuation_gap": gap,</x:v>
      </x:c>
    </x:row>
    <x:row r="206" ht="18" customHeight="1">
      <x:c r="C206" s="284" t="str">
        <x:v>            "growth": growth, "margin_shift": gap / margin_slope,</x:v>
      </x:c>
    </x:row>
    <x:row r="207" ht="18" customHeight="1">
      <x:c r="C207" s="284" t="str">
        <x:v>            "terminal_margin_only": p["terminal_margin"] + gap / terminal_coefficient,</x:v>
      </x:c>
    </x:row>
    <x:row r="208" ht="18" customHeight="1">
      <x:c r="C208" s="284" t="str">
        <x:v>            "forecast_margin_only_shift": gap / (margin_slope - terminal_coefficient),</x:v>
      </x:c>
    </x:row>
    <x:row r="209" ht="18" customHeight="1">
      <x:c r="C209" s="284" t="str">
        <x:v>            "capex_scale": 1 + gap / capex_slope, "lease_scale": 1 + gap / lease_slope,</x:v>
      </x:c>
    </x:row>
    <x:row r="210" ht="18" customHeight="1">
      <x:c r="C210" s="284" t="str">
        <x:v>            "nwc_shift": gap / nwc_slope, "dso_change_days": 365 * gap / nwc_slope,</x:v>
      </x:c>
    </x:row>
    <x:row r="211" ht="18" customHeight="1">
      <x:c r="C211" s="284" t="str">
        <x:v>            "tax_shift": gap / tax_slope, "wacc": implied_wacc,</x:v>
      </x:c>
    </x:row>
    <x:row r="212" ht="18" customHeight="1">
      <x:c r="C212" s="284" t="str">
        <x:v>            "terminal_growth": implied_g, "terminal_roic": required_roic,</x:v>
      </x:c>
    </x:row>
    <x:row r="213" ht="18" customHeight="1">
      <x:c r="C213" s="284" t="str">
        <x:v>            "roic_limit_price": (baseline["pv_explicit"] + nopat_pv + bridge(inputs)["adjustment"]) / bridge(inputs)["shares"],</x:v>
      </x:c>
    </x:row>
    <x:row r="214" ht="18" customHeight="1">
      <x:c r="C214" s="284" t="str">
        <x:v>            "required_terminal_fcff": required_fcff,</x:v>
      </x:c>
    </x:row>
    <x:row r="215" ht="18" customHeight="1">
      <x:c r="C215" s="284" t="str">
        <x:v>            "required_terminal_fcff_margin": required_fcff / baseline["terminal_revenue"],</x:v>
      </x:c>
    </x:row>
    <x:row r="216" ht="18" customHeight="1">
      <x:c r="C216" s="284" t="str">
        <x:v>            "required_exit_multiple": required_terminal_pv * baseline["terminal_df"] / (f["ebit"][-1] + f["da"][-1]),</x:v>
      </x:c>
    </x:row>
    <x:row r="217" ht="18" customHeight="1">
      <x:c r="C217" s="284" t="str">
        <x:v>            "required_shares": baseline["equity_value"] / inputs["market"]["price"],</x:v>
      </x:c>
    </x:row>
    <x:row r="218" ht="18" customHeight="1">
      <x:c r="C218" s="284" t="str">
        <x:v>            "derivatives": {"margin": margin_slope, "capex": capex_slope, "lease": lease_slope,</x:v>
      </x:c>
    </x:row>
    <x:row r="219" ht="18" customHeight="1">
      <x:c r="C219" s="284" t="str">
        <x:v>                            "nwc": nwc_slope, "tax": tax_slope, "terminal_margin": terminal_coefficient}}</x:v>
      </x:c>
    </x:row>
    <x:row r="220" ht="18" customHeight="1">
      <x:c r="C220" s="284" t="str"/>
    </x:row>
    <x:row r="221" ht="18" customHeight="1">
      <x:c r="C221" s="284" t="str"/>
    </x:row>
    <x:row r="222" ht="18" customHeight="1">
      <x:c r="C222" s="284" t="str">
        <x:v>def triangular(u: np.ndarray, low: float, mode: float, high: float) -&gt; np.ndarray:</x:v>
      </x:c>
    </x:row>
    <x:row r="223" ht="18" customHeight="1">
      <x:c r="C223" s="284" t="str">
        <x:v>    if not low &lt;= mode &lt;= high or not low &lt; high:</x:v>
      </x:c>
    </x:row>
    <x:row r="224" ht="18" customHeight="1">
      <x:c r="C224" s="284" t="str">
        <x:v>        raise ValueError("Triangular bounds must satisfy low &lt;= mode &lt;= high and low &lt; high")</x:v>
      </x:c>
    </x:row>
    <x:row r="225" ht="18" customHeight="1">
      <x:c r="C225" s="284" t="str">
        <x:v>    split = (mode - low) / (high - low)</x:v>
      </x:c>
    </x:row>
    <x:row r="226" ht="18" customHeight="1">
      <x:c r="C226" s="284" t="str">
        <x:v>    return np.where(u &lt; split, low + np.sqrt(u * (high - low) * (mode - low)),</x:v>
      </x:c>
    </x:row>
    <x:row r="227" ht="18" customHeight="1">
      <x:c r="C227" s="284" t="str">
        <x:v>                    high - np.sqrt((1 - u) * (high - low) * (high - mode)))</x:v>
      </x:c>
    </x:row>
    <x:row r="228" ht="18" customHeight="1">
      <x:c r="C228" s="284" t="str"/>
    </x:row>
    <x:row r="229" ht="18" customHeight="1">
      <x:c r="C229" s="284" t="str"/>
    </x:row>
    <x:row r="230" ht="18" customHeight="1">
      <x:c r="C230" s="284" t="str">
        <x:v>def monte_carlo(inputs: dict, case: str, discount: float, uniforms: np.ndarray) -&gt; dict:</x:v>
      </x:c>
    </x:row>
    <x:row r="231" ht="18" customHeight="1">
      <x:c r="C231" s="284" t="str">
        <x:v>    baseline = value(inputs, case, discount)</x:v>
      </x:c>
    </x:row>
    <x:row r="232" ht="18" customHeight="1">
      <x:c r="C232" s="284" t="str">
        <x:v>    base_cagr = (baseline["forecast"]["revenue"][-1] / inputs["initial"]["revenue"]) ** 0.2 - 1</x:v>
      </x:c>
    </x:row>
    <x:row r="233" ht="18" customHeight="1">
      <x:c r="C233" s="284" t="str">
        <x:v>    p = inputs["cases"][case]</x:v>
      </x:c>
    </x:row>
    <x:row r="234" ht="18" customHeight="1">
      <x:c r="C234" s="284" t="str">
        <x:v>    bounds = [[base_cagr - 0.05, base_cagr, base_cagr + 0.05], [-0.05, 0, 0.05],</x:v>
      </x:c>
    </x:row>
    <x:row r="235" ht="18" customHeight="1">
      <x:c r="C235" s="284" t="str">
        <x:v>              [0.85, 1, 1.20], [discount - 0.015, discount, discount + 0.015],</x:v>
      </x:c>
    </x:row>
    <x:row r="236" ht="18" customHeight="1">
      <x:c r="C236" s="284" t="str">
        <x:v>              [p["terminal_growth"] - 0.01, p["terminal_growth"], p["terminal_growth"] + 0.01]]</x:v>
      </x:c>
    </x:row>
    <x:row r="237" ht="18" customHeight="1">
      <x:c r="C237" s="284" t="str">
        <x:v>    draws = np.column_stack([triangular(uniforms[:, i], *bounds[i]) for i in range(5)])</x:v>
      </x:c>
    </x:row>
    <x:row r="238" ht="18" customHeight="1">
      <x:c r="C238" s="284" t="str">
        <x:v>    prices = np.array([value(inputs, case, float(row[3]), growth=float(row[0]),</x:v>
      </x:c>
    </x:row>
    <x:row r="239" ht="18" customHeight="1">
      <x:c r="C239" s="284" t="str">
        <x:v>                             margin_shift=float(row[1]), capex_scale=float(row[2]),</x:v>
      </x:c>
    </x:row>
    <x:row r="240" ht="18" customHeight="1">
      <x:c r="C240" s="284" t="str">
        <x:v>                             terminal_growth=float(row[4]))["fair_price"] for row in draws])</x:v>
      </x:c>
    </x:row>
    <x:row r="241" ht="18" customHeight="1">
      <x:c r="C241" s="284" t="str">
        <x:v>    return {"seed": 20261008, "draws": draws.tolist(), "prices": prices.tolist(), "bounds": bounds,</x:v>
      </x:c>
    </x:row>
    <x:row r="242" ht="18" customHeight="1">
      <x:c r="C242" s="284" t="str">
        <x:v>            "percentiles": {str(q): float(np.quantile(prices, q)) for q in [0.05, 0.25, 0.5, 0.75, 0.95]},</x:v>
      </x:c>
    </x:row>
    <x:row r="243" ht="18" customHeight="1">
      <x:c r="C243" s="284" t="str">
        <x:v>            "mean": float(prices.mean()), "share_above_market": float(np.mean(prices &gt; inputs["market"]["price"]))}</x:v>
      </x:c>
    </x:row>
    <x:row r="244" ht="18" customHeight="1">
      <x:c r="C244" s="284" t="str"/>
    </x:row>
    <x:row r="245" ht="18" customHeight="1">
      <x:c r="C245" s="284" t="str"/>
    </x:row>
    <x:row r="246" ht="18" customHeight="1">
      <x:c r="C246" s="284" t="str">
        <x:v>def xlsx_inputs(path: Path, inputs: dict, mapping: dict) -&gt; dict:</x:v>
      </x:c>
    </x:row>
    <x:row r="247" ht="18" customHeight="1">
      <x:c r="C247" s="284" t="str">
        <x:v>    """Read editable source cells, never rely on formula caches to recalculate."""</x:v>
      </x:c>
    </x:row>
    <x:row r="248" ht="18" customHeight="1">
      <x:c r="C248" s="284" t="str">
        <x:v>    result = json.loads(json.dumps(inputs))</x:v>
      </x:c>
    </x:row>
    <x:row r="249" ht="18" customHeight="1">
      <x:c r="C249" s="284" t="str">
        <x:v>    result.setdefault("historical_inputs", {})</x:v>
      </x:c>
    </x:row>
    <x:row r="250" ht="18" customHeight="1">
      <x:c r="C250" s="284" t="str">
        <x:v>    ns = {"s": "http://schemas.openxmlformats.org/spreadsheetml/2006/main", "r": "http://schemas.openxmlformats.org/officeDocument/2006/relationships"}</x:v>
      </x:c>
    </x:row>
    <x:row r="251" ht="18" customHeight="1">
      <x:c r="C251" s="284" t="str">
        <x:v>    with zipfile.ZipFile(path) as archive:</x:v>
      </x:c>
    </x:row>
    <x:row r="252" ht="18" customHeight="1">
      <x:c r="C252" s="284" t="str">
        <x:v>        book = ET.fromstring(archive.read("xl/workbook.xml"))</x:v>
      </x:c>
    </x:row>
    <x:row r="253" ht="18" customHeight="1">
      <x:c r="C253" s="284" t="str">
        <x:v>        relations = {x.attrib["Id"]: x.attrib["Target"] for x in ET.fromstring(archive.read("xl/_rels/workbook.xml.rels"))}</x:v>
      </x:c>
    </x:row>
    <x:row r="254" ht="18" customHeight="1">
      <x:c r="C254" s="284" t="str">
        <x:v>        names = {}</x:v>
      </x:c>
    </x:row>
    <x:row r="255" ht="18" customHeight="1">
      <x:c r="C255" s="284" t="str">
        <x:v>        for sheet in book.find("s:sheets", ns):</x:v>
      </x:c>
    </x:row>
    <x:row r="256" ht="18" customHeight="1">
      <x:c r="C256" s="284" t="str">
        <x:v>            target = relations[sheet.attrib["{" + ns["r"] + "}id"]]</x:v>
      </x:c>
    </x:row>
    <x:row r="257" ht="18" customHeight="1">
      <x:c r="C257" s="284" t="str">
        <x:v>            names[sheet.attrib["name"]] = target.lstrip("/") if target.startswith("/") else "xl/" + target</x:v>
      </x:c>
    </x:row>
    <x:row r="258" ht="18" customHeight="1">
      <x:c r="C258" s="284" t="str">
        <x:v>        shared = []</x:v>
      </x:c>
    </x:row>
    <x:row r="259" ht="18" customHeight="1">
      <x:c r="C259" s="284" t="str">
        <x:v>        if "xl/sharedStrings.xml" in archive.namelist():</x:v>
      </x:c>
    </x:row>
    <x:row r="260" ht="18" customHeight="1">
      <x:c r="C260" s="284" t="str">
        <x:v>            shared = ["".join(x.itertext()) for x in ET.fromstring(archive.read("xl/sharedStrings.xml"))]</x:v>
      </x:c>
    </x:row>
    <x:row r="261" ht="18" customHeight="1">
      <x:c r="C261" s="284" t="str">
        <x:v>        tables = {}</x:v>
      </x:c>
    </x:row>
    <x:row r="262" ht="18" customHeight="1">
      <x:c r="C262" s="284" t="str">
        <x:v>        for name in {x["sheet"] for x in mapping["cells"]}:</x:v>
      </x:c>
    </x:row>
    <x:row r="263" ht="18" customHeight="1">
      <x:c r="C263" s="284" t="str">
        <x:v>            tables[name] = {cell.attrib["r"]: cell for cell in ET.fromstring(archive.read(names[name])).findall(".//s:c", ns)}</x:v>
      </x:c>
    </x:row>
    <x:row r="264" ht="18" customHeight="1">
      <x:c r="C264" s="284" t="str">
        <x:v>        for item in mapping["cells"]:</x:v>
      </x:c>
    </x:row>
    <x:row r="265" ht="18" customHeight="1">
      <x:c r="C265" s="284" t="str">
        <x:v>            cell = tables[item["sheet"]].get(item["cell"])</x:v>
      </x:c>
    </x:row>
    <x:row r="266" ht="18" customHeight="1">
      <x:c r="C266" s="284" t="str">
        <x:v>            value = None if cell is None else cell.findtext("s:v", None, ns)</x:v>
      </x:c>
    </x:row>
    <x:row r="267" ht="18" customHeight="1">
      <x:c r="C267" s="284" t="str">
        <x:v>            if cell is not None and cell.find("s:f", ns) is not None:</x:v>
      </x:c>
    </x:row>
    <x:row r="268" ht="18" customHeight="1">
      <x:c r="C268" s="284" t="str">
        <x:v>                raise ValueError(f"Editable cell {item['sheet']}!{item['cell']} contains a formula. Supply a numeric driver.")</x:v>
      </x:c>
    </x:row>
    <x:row r="269" ht="18" customHeight="1">
      <x:c r="C269" s="284" t="str">
        <x:v>            if value is not None:</x:v>
      </x:c>
    </x:row>
    <x:row r="270" ht="18" customHeight="1">
      <x:c r="C270" s="284" t="str">
        <x:v>                value = shared[int(value)] if cell.attrib.get("t") == "s" else float(value)</x:v>
      </x:c>
    </x:row>
    <x:row r="271" ht="18" customHeight="1">
      <x:c r="C271" s="284" t="str">
        <x:v>            if cell is not None and cell.attrib.get("t") == "inlineStr":</x:v>
      </x:c>
    </x:row>
    <x:row r="272" ht="18" customHeight="1">
      <x:c r="C272" s="284" t="str">
        <x:v>                value = "".join(cell.find("s:is", ns).itertext())</x:v>
      </x:c>
    </x:row>
    <x:row r="273" ht="18" customHeight="1">
      <x:c r="C273" s="284" t="str">
        <x:v>            target = result</x:v>
      </x:c>
    </x:row>
    <x:row r="274" ht="18" customHeight="1">
      <x:c r="C274" s="284" t="str">
        <x:v>            keys = item["key"]</x:v>
      </x:c>
    </x:row>
    <x:row r="275" ht="18" customHeight="1">
      <x:c r="C275" s="284" t="str">
        <x:v>            for key in keys[:-1]:</x:v>
      </x:c>
    </x:row>
    <x:row r="276" ht="18" customHeight="1">
      <x:c r="C276" s="284" t="str">
        <x:v>                target = target[key] if not isinstance(target, list) else target[int(key)]</x:v>
      </x:c>
    </x:row>
    <x:row r="277" ht="18" customHeight="1">
      <x:c r="C277" s="284" t="str">
        <x:v>            if isinstance(target, list):</x:v>
      </x:c>
    </x:row>
    <x:row r="278" ht="18" customHeight="1">
      <x:c r="C278" s="284" t="str">
        <x:v>                target[int(keys[-1])] = value</x:v>
      </x:c>
    </x:row>
    <x:row r="279" ht="18" customHeight="1">
      <x:c r="C279" s="284" t="str">
        <x:v>            else:</x:v>
      </x:c>
    </x:row>
    <x:row r="280" ht="18" customHeight="1">
      <x:c r="C280" s="284" t="str">
        <x:v>                target[keys[-1]] = value</x:v>
      </x:c>
    </x:row>
    <x:row r="281" ht="18" customHeight="1">
      <x:c r="C281" s="284" t="str">
        <x:v>    h = result["historical_inputs"]</x:v>
      </x:c>
    </x:row>
    <x:row r="282" ht="18" customHeight="1">
      <x:c r="C282" s="284" t="str">
        <x:v>    if h:</x:v>
      </x:c>
    </x:row>
    <x:row r="283" ht="18" customHeight="1">
      <x:c r="C283" s="284" t="str">
        <x:v>        result["initial"]["revenue"] = h["revenue"]</x:v>
      </x:c>
    </x:row>
    <x:row r="284" ht="18" customHeight="1">
      <x:c r="C284" s="284" t="str">
        <x:v>        result["initial"]["segment_revenue"] = [h[x] for x in ["pbp_revenue", "ic_revenue", "mpc_revenue"]]</x:v>
      </x:c>
    </x:row>
    <x:row r="285" ht="18" customHeight="1">
      <x:c r="C285" s="284" t="str">
        <x:v>        result["initial"]["nwc"] = (h["receivables"] + h["inventory"] + h["other_current_assets"]</x:v>
      </x:c>
    </x:row>
    <x:row r="286" ht="18" customHeight="1">
      <x:c r="C286" s="284" t="str">
        <x:v>            - h["payables"] + h["capex_payables"] - h["compensation"] - h["current_deferred_rev"]</x:v>
      </x:c>
    </x:row>
    <x:row r="287" ht="18" customHeight="1">
      <x:c r="C287" s="284" t="str">
        <x:v>            - h["other_current_liab"] + h["op_lease_current"] + h["finance_lease_current"])</x:v>
      </x:c>
    </x:row>
    <x:row r="288" ht="18" customHeight="1">
      <x:c r="C288" s="284" t="str">
        <x:v>        result["controls"]["liquid_assets"] = h["cash"] + h["st_investments"]</x:v>
      </x:c>
    </x:row>
    <x:row r="289" ht="18" customHeight="1">
      <x:c r="C289" s="284" t="str">
        <x:v>        result["controls"]["equity_investments"] = h["equity_investments"]</x:v>
      </x:c>
    </x:row>
    <x:row r="290" ht="18" customHeight="1">
      <x:c r="C290" s="284" t="str">
        <x:v>        result["controls"]["finance_lease_liability"] = h["finance_lease_liab"]</x:v>
      </x:c>
    </x:row>
    <x:row r="291" ht="18" customHeight="1">
      <x:c r="C291" s="284" t="str">
        <x:v>    return result</x:v>
      </x:c>
    </x:row>
    <x:row r="292" ht="18" customHeight="1">
      <x:c r="C292" s="284" t="str"/>
    </x:row>
    <x:row r="293" ht="18" customHeight="1">
      <x:c r="C293" s="284" t="str"/>
    </x:row>
    <x:row r="294" ht="18" customHeight="1">
      <x:c r="C294" s="284" t="str">
        <x:v>def main():</x:v>
      </x:c>
    </x:row>
    <x:row r="295" ht="18" customHeight="1">
      <x:c r="C295" s="284" t="str">
        <x:v>    parser = argparse.ArgumentParser(description=__doc__)</x:v>
      </x:c>
    </x:row>
    <x:row r="296" ht="18" customHeight="1">
      <x:c r="C296" s="284" t="str">
        <x:v>    parser.add_argument("--case", choices=["Base", "Upside", "Downside"], default=None)</x:v>
      </x:c>
    </x:row>
    <x:row r="297" ht="18" customHeight="1">
      <x:c r="C297" s="284" t="str">
        <x:v>    parser.add_argument("--excel", type=Path)</x:v>
      </x:c>
    </x:row>
    <x:row r="298" ht="18" customHeight="1">
      <x:c r="C298" s="284" t="str">
        <x:v>    parser.add_argument("--output", type=Path)</x:v>
      </x:c>
    </x:row>
    <x:row r="299" ht="18" customHeight="1">
      <x:c r="C299" s="284" t="str">
        <x:v>    args = parser.parse_args()</x:v>
      </x:c>
    </x:row>
    <x:row r="300" ht="18" customHeight="1">
      <x:c r="C300" s="284" t="str">
        <x:v>    root = project_root()</x:v>
      </x:c>
    </x:row>
    <x:row r="301" ht="18" customHeight="1">
      <x:c r="C301" s="284" t="str">
        <x:v>    inputs = json.loads((root / "data/processed/model_inputs.json").read_text())</x:v>
      </x:c>
    </x:row>
    <x:row r="302" ht="18" customHeight="1">
      <x:c r="C302" s="284" t="str">
        <x:v>    if args.excel:</x:v>
      </x:c>
    </x:row>
    <x:row r="303" ht="18" customHeight="1">
      <x:c r="C303" s="284" t="str">
        <x:v>        inputs = xlsx_inputs(args.excel, inputs, json.loads((root / "data/processed/excel_input_map.json").read_text()))</x:v>
      </x:c>
    </x:row>
    <x:row r="304" ht="18" customHeight="1">
      <x:c r="C304" s="284" t="str">
        <x:v>    case = args.case or ["Base", "Upside", "Downside"][int(inputs["controls"]["case_number"]) - 1]</x:v>
      </x:c>
    </x:row>
    <x:row r="305" ht="18" customHeight="1">
      <x:c r="C305" s="284" t="str">
        <x:v>    prices = list(csv.DictReader((root / "data/processed/market_prices.csv").open()))</x:v>
      </x:c>
    </x:row>
    <x:row r="306" ht="18" customHeight="1">
      <x:c r="C306" s="284" t="str">
        <x:v>    beta = regression(prices)</x:v>
      </x:c>
    </x:row>
    <x:row r="307" ht="18" customHeight="1">
      <x:c r="C307" s="284" t="str">
        <x:v>    rates = wacc(inputs, beta["beta"])</x:v>
      </x:c>
    </x:row>
    <x:row r="308" ht="18" customHeight="1">
      <x:c r="C308" s="284" t="str">
        <x:v>    discount = rates["selected"]</x:v>
      </x:c>
    </x:row>
    <x:row r="309" ht="18" customHeight="1">
      <x:c r="C309" s="284" t="str">
        <x:v>    uniforms = np.array(list(csv.reader((root / "data/processed/monte_carlo_uniforms.csv").open())), dtype=float)</x:v>
      </x:c>
    </x:row>
    <x:row r="310" ht="18" customHeight="1">
      <x:c r="C310" s="284" t="str">
        <x:v>    result = {"valuation_date": inputs["market"]["valuation_date"], "selected_case": case,</x:v>
      </x:c>
    </x:row>
    <x:row r="311" ht="18" customHeight="1">
      <x:c r="C311" s="284" t="str">
        <x:v>              "wacc": rates, "bridge": bridge(inputs),</x:v>
      </x:c>
    </x:row>
    <x:row r="312" ht="18" customHeight="1">
      <x:c r="C312" s="284" t="str">
        <x:v>              "beta": {k: v for k, v in beta.items() if not isinstance(v, list)},</x:v>
      </x:c>
    </x:row>
    <x:row r="313" ht="18" customHeight="1">
      <x:c r="C313" s="284" t="str">
        <x:v>              "selected": value(inputs, case, discount), "reverse": reverse(inputs, case, discount),</x:v>
      </x:c>
    </x:row>
    <x:row r="314" ht="18" customHeight="1">
      <x:c r="C314" s="284" t="str">
        <x:v>              "cases": {name: value(inputs, name, discount) for name in inputs["cases"]},</x:v>
      </x:c>
    </x:row>
    <x:row r="315" ht="18" customHeight="1">
      <x:c r="C315" s="284" t="str">
        <x:v>              "monte_carlo": monte_carlo(inputs, case, discount, uniforms)}</x:v>
      </x:c>
    </x:row>
    <x:row r="316" ht="18" customHeight="1">
      <x:c r="C316" s="284" t="str">
        <x:v>    output = args.output or root / "data/processed/python_results.json"</x:v>
      </x:c>
    </x:row>
    <x:row r="317" ht="18" customHeight="1">
      <x:c r="C317" s="284" t="str">
        <x:v>    output.parent.mkdir(parents=True, exist_ok=True)</x:v>
      </x:c>
    </x:row>
    <x:row r="318" ht="18" customHeight="1">
      <x:c r="C318" s="284" t="str">
        <x:v>    output.write_text(json.dumps(result, indent=2), encoding="utf-8")</x:v>
      </x:c>
    </x:row>
    <x:row r="319" ht="18" customHeight="1">
      <x:c r="C319" s="284" t="str">
        <x:v>    print(json.dumps({"case": case, "wacc": discount, "price": result["selected"]["fair_price"],</x:v>
      </x:c>
    </x:row>
    <x:row r="320" ht="18" customHeight="1">
      <x:c r="C320" s="284" t="str">
        <x:v>                      "market_price": inputs["market"]["price"], "beta": beta["beta"],</x:v>
      </x:c>
    </x:row>
    <x:row r="321" ht="18" customHeight="1">
      <x:c r="C321" s="284" t="str">
        <x:v>                      "hc3_se_beta": beta["hc3_se_beta"], "reverse": result["reverse"]}, indent=2))</x:v>
      </x:c>
    </x:row>
    <x:row r="322" ht="18" customHeight="1">
      <x:c r="C322" s="284" t="str"/>
    </x:row>
    <x:row r="323" ht="18" customHeight="1">
      <x:c r="C323" s="284" t="str"/>
    </x:row>
    <x:row r="324" ht="18" customHeight="1">
      <x:c r="C324" s="284" t="str">
        <x:v>if __name__ == "__main__":</x:v>
      </x:c>
    </x:row>
    <x:row r="325" ht="18" customHeight="1">
      <x:c r="C325" s="284" t="str">
        <x:v>    main()</x:v>
      </x:c>
    </x:row>
    <x:row r="326" ht="18" customHeight="1">
      <x:c r="C326" s="284" t="str"/>
    </x:row>
  </x:sheetData>
  <x:pageMargins left="0.7" right="0.7" top="0.75" bottom="0.75" header="0.3" footer="0.3"/>
  <x:legacyDrawing xmlns:r="http://schemas.openxmlformats.org/officeDocument/2006/relationships" r:id="R16b46f1c552f410c"/>
</x:worksheet>
</file>

<file path=xl/worksheets/sheet34.xml><?xml version="1.0" encoding="utf-8"?>
<x:worksheet xmlns:x="http://schemas.openxmlformats.org/spreadsheetml/2006/main">
  <x:sheetPr>
    <x:tabColor rgb="FFBFBFBF"/>
  </x:sheetPr>
  <x:sheetViews>
    <x:sheetView showGridLines="0" workbookViewId="0"/>
  </x:sheetViews>
  <x:sheetFormatPr defaultRowHeight="15"/>
  <x:cols>
    <x:col min="1" max="1" width="2.5" hidden="0" customWidth="1"/>
    <x:col min="2" max="2" width="2.5" hidden="0" customWidth="1"/>
    <x:col min="3" max="3" width="4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s>
  <x:sheetData>
    <x:row r="1" ht="24" customHeight="1">
      <x:c r="A1" s="136"/>
      <x:c r="B1" s="136"/>
      <x:c r="C1" s="136"/>
      <x:c r="D1" s="136"/>
      <x:c r="E1" s="136"/>
      <x:c r="F1" s="136"/>
      <x:c r="G1" s="136"/>
      <x:c r="H1" s="136"/>
      <x:c r="I1" s="136"/>
      <x:c r="J1" s="136"/>
      <x:c r="K1" s="136"/>
      <x:c r="L1" s="136"/>
      <x:c r="M1" s="136"/>
      <x:c r="N1" s="136"/>
      <x:c r="O1" s="136"/>
      <x:c r="P1" s="136"/>
      <x:c r="Q1" s="136"/>
      <x:c r="R1" s="136"/>
      <x:c r="S1" s="136"/>
      <x:c r="T1" s="136"/>
      <x:c r="U1" s="136"/>
      <x:c r="V1" s="136"/>
      <x:c r="W1" s="136"/>
      <x:c r="X1" s="136"/>
      <x:c r="Y1" s="136"/>
      <x:c r="Z1" s="136"/>
    </x:row>
    <x:row r="2" ht="30" customHeight="1">
      <x:c r="A2" s="136"/>
      <x:c r="B2" s="136"/>
      <x:c r="C2" s="179" t="str">
        <x:v>Model Guide</x:v>
      </x:c>
      <x:c r="D2" s="179"/>
      <x:c r="E2" s="179"/>
      <x:c r="F2" s="179"/>
      <x:c r="G2" s="179"/>
      <x:c r="H2" s="179"/>
      <x:c r="I2" s="179"/>
      <x:c r="J2" s="179"/>
      <x:c r="K2" s="179"/>
      <x:c r="L2" s="179"/>
      <x:c r="M2" s="179"/>
      <x:c r="N2" s="179"/>
      <x:c r="O2" s="138"/>
      <x:c r="P2" s="138"/>
      <x:c r="Q2" s="138"/>
      <x:c r="R2" s="138"/>
      <x:c r="S2" s="138"/>
      <x:c r="T2" s="138"/>
      <x:c r="U2" s="138"/>
      <x:c r="V2" s="138"/>
      <x:c r="W2" s="138"/>
      <x:c r="X2" s="138"/>
      <x:c r="Y2" s="138"/>
      <x:c r="Z2" s="138"/>
    </x:row>
    <x:row r="3" ht="24" customHeight="1">
      <x:c r="A3" s="136"/>
      <x:c r="B3" s="136"/>
      <x:c r="C3" s="139" t="str">
        <x:v>Valuation date 8 Oct 2026. USD millions unless stated.</x:v>
      </x:c>
      <x:c r="D3" s="139"/>
      <x:c r="E3" s="139"/>
      <x:c r="F3" s="139"/>
      <x:c r="G3" s="139"/>
      <x:c r="H3" s="139"/>
      <x:c r="I3" s="139"/>
      <x:c r="J3" s="139"/>
      <x:c r="K3" s="139"/>
      <x:c r="L3" s="139"/>
      <x:c r="M3" s="139"/>
      <x:c r="N3" s="139"/>
      <x:c r="O3" s="136"/>
      <x:c r="P3" s="136"/>
      <x:c r="Q3" s="136"/>
      <x:c r="R3" s="136"/>
      <x:c r="S3" s="136"/>
      <x:c r="T3" s="136"/>
      <x:c r="U3" s="136"/>
      <x:c r="V3" s="136"/>
      <x:c r="W3" s="136"/>
      <x:c r="X3" s="136"/>
      <x:c r="Y3" s="136"/>
      <x:c r="Z3" s="136"/>
    </x:row>
    <x:row r="4" ht="24" customHeight="1">
      <x:c r="A4" s="136"/>
      <x:c r="B4" s="136"/>
      <x:c r="C4" s="136"/>
      <x:c r="D4" s="136"/>
      <x:c r="E4" s="136"/>
      <x:c r="F4" s="136"/>
      <x:c r="G4" s="136"/>
      <x:c r="H4" s="136"/>
      <x:c r="I4" s="136"/>
      <x:c r="J4" s="136"/>
      <x:c r="K4" s="136"/>
      <x:c r="L4" s="136"/>
      <x:c r="M4" s="136"/>
      <x:c r="N4" s="136"/>
      <x:c r="O4" s="136"/>
      <x:c r="P4" s="136"/>
      <x:c r="Q4" s="136"/>
      <x:c r="R4" s="136"/>
      <x:c r="S4" s="136"/>
      <x:c r="T4" s="136"/>
      <x:c r="U4" s="136"/>
      <x:c r="V4" s="136"/>
      <x:c r="W4" s="136"/>
      <x:c r="X4" s="136"/>
      <x:c r="Y4" s="136"/>
      <x:c r="Z4" s="136"/>
    </x:row>
    <x:row r="5" ht="24" customHeight="1">
      <x:c r="A5" s="136"/>
      <x:c r="B5" s="136"/>
      <x:c r="C5" s="136"/>
      <x:c r="D5" s="136"/>
      <x:c r="E5" s="136"/>
      <x:c r="F5" s="136"/>
      <x:c r="G5" s="136"/>
      <x:c r="H5" s="136"/>
      <x:c r="I5" s="136"/>
      <x:c r="J5" s="136"/>
      <x:c r="K5" s="136"/>
      <x:c r="L5" s="136"/>
      <x:c r="M5" s="136"/>
      <x:c r="N5" s="136"/>
      <x:c r="O5" s="136"/>
      <x:c r="P5" s="136"/>
      <x:c r="Q5" s="136"/>
      <x:c r="R5" s="136"/>
      <x:c r="S5" s="136"/>
      <x:c r="T5" s="136"/>
      <x:c r="U5" s="136"/>
      <x:c r="V5" s="136"/>
      <x:c r="W5" s="136"/>
      <x:c r="X5" s="136"/>
      <x:c r="Y5" s="136"/>
      <x:c r="Z5" s="136"/>
    </x:row>
    <x:row r="6" ht="24" customHeight="1">
      <x:c r="A6" s="136"/>
      <x:c r="B6" s="136"/>
      <x:c r="C6" s="136"/>
      <x:c r="D6" s="136"/>
      <x:c r="E6" s="136"/>
      <x:c r="F6" s="136"/>
      <x:c r="G6" s="136"/>
      <x:c r="H6" s="136"/>
      <x:c r="I6" s="136"/>
      <x:c r="J6" s="136"/>
      <x:c r="K6" s="136"/>
      <x:c r="L6" s="136"/>
      <x:c r="M6" s="136"/>
      <x:c r="N6" s="136"/>
      <x:c r="O6" s="136"/>
      <x:c r="P6" s="136"/>
      <x:c r="Q6" s="136"/>
      <x:c r="R6" s="136"/>
      <x:c r="S6" s="136"/>
      <x:c r="T6" s="136"/>
      <x:c r="U6" s="136"/>
      <x:c r="V6" s="136"/>
      <x:c r="W6" s="136"/>
      <x:c r="X6" s="136"/>
      <x:c r="Y6" s="136"/>
      <x:c r="Z6" s="136"/>
    </x:row>
    <x:row r="7" ht="24" customHeight="1">
      <x:c r="A7" s="136"/>
      <x:c r="B7" s="136"/>
      <x:c r="C7" s="167" t="str">
        <x:v>Navigation</x:v>
      </x:c>
      <x:c r="D7" s="170"/>
      <x:c r="E7" s="170"/>
      <x:c r="F7" s="170"/>
      <x:c r="G7" s="170"/>
      <x:c r="H7" s="170"/>
      <x:c r="I7" s="170"/>
      <x:c r="J7" s="170"/>
      <x:c r="K7" s="170"/>
      <x:c r="L7" s="173"/>
      <x:c r="M7" s="136"/>
      <x:c r="N7" s="136"/>
      <x:c r="O7" s="136"/>
      <x:c r="P7" s="136"/>
      <x:c r="Q7" s="136"/>
      <x:c r="R7" s="136"/>
      <x:c r="S7" s="136"/>
      <x:c r="T7" s="136"/>
      <x:c r="U7" s="136"/>
      <x:c r="V7" s="136"/>
      <x:c r="W7" s="136"/>
      <x:c r="X7" s="136"/>
      <x:c r="Y7" s="136"/>
      <x:c r="Z7" s="136"/>
    </x:row>
    <x:row r="8" ht="24" customHeight="1">
      <x:c r="A8" s="136"/>
      <x:c r="B8" s="136"/>
      <x:c r="C8" s="174" t="str">
        <x:v>Start at Overview; change the single case selector DCF!E5. Edit blue annual/stable assumptions, then review DCF, Sensitivity and individual reverse sheets.</x:v>
      </x:c>
      <x:c r="D8" s="174"/>
      <x:c r="E8" s="174"/>
      <x:c r="F8" s="174"/>
      <x:c r="G8" s="174"/>
      <x:c r="H8" s="174"/>
      <x:c r="I8" s="174"/>
      <x:c r="J8" s="174"/>
      <x:c r="K8" s="174"/>
      <x:c r="L8" s="174"/>
      <x:c r="M8" s="136"/>
      <x:c r="N8" s="136"/>
      <x:c r="O8" s="136"/>
      <x:c r="P8" s="136"/>
      <x:c r="Q8" s="136"/>
      <x:c r="R8" s="136"/>
      <x:c r="S8" s="136"/>
      <x:c r="T8" s="136"/>
      <x:c r="U8" s="136"/>
      <x:c r="V8" s="136"/>
      <x:c r="W8" s="136"/>
      <x:c r="X8" s="136"/>
      <x:c r="Y8" s="136"/>
      <x:c r="Z8" s="136"/>
    </x:row>
    <x:row r="9" ht="24" customHeight="1">
      <x:c r="A9" s="136"/>
      <x:c r="B9" s="136"/>
      <x:c r="C9" s="174"/>
      <x:c r="D9" s="174"/>
      <x:c r="E9" s="174"/>
      <x:c r="F9" s="174"/>
      <x:c r="G9" s="174"/>
      <x:c r="H9" s="174"/>
      <x:c r="I9" s="174"/>
      <x:c r="J9" s="174"/>
      <x:c r="K9" s="174"/>
      <x:c r="L9" s="174"/>
      <x:c r="M9" s="136"/>
      <x:c r="N9" s="136"/>
      <x:c r="O9" s="136"/>
      <x:c r="P9" s="136"/>
      <x:c r="Q9" s="136"/>
      <x:c r="R9" s="136"/>
      <x:c r="S9" s="136"/>
      <x:c r="T9" s="136"/>
      <x:c r="U9" s="136"/>
      <x:c r="V9" s="136"/>
      <x:c r="W9" s="136"/>
      <x:c r="X9" s="136"/>
      <x:c r="Y9" s="136"/>
      <x:c r="Z9" s="136"/>
    </x:row>
    <x:row r="10" ht="24" customHeight="1">
      <x:c r="A10" s="136"/>
      <x:c r="B10" s="136"/>
      <x:c r="C10" s="174"/>
      <x:c r="D10" s="174"/>
      <x:c r="E10" s="174"/>
      <x:c r="F10" s="174"/>
      <x:c r="G10" s="174"/>
      <x:c r="H10" s="174"/>
      <x:c r="I10" s="174"/>
      <x:c r="J10" s="174"/>
      <x:c r="K10" s="174"/>
      <x:c r="L10" s="174"/>
      <x:c r="M10" s="136"/>
      <x:c r="N10" s="136"/>
      <x:c r="O10" s="136"/>
      <x:c r="P10" s="136"/>
      <x:c r="Q10" s="136"/>
      <x:c r="R10" s="136"/>
      <x:c r="S10" s="136"/>
      <x:c r="T10" s="136"/>
      <x:c r="U10" s="136"/>
      <x:c r="V10" s="136"/>
      <x:c r="W10" s="136"/>
      <x:c r="X10" s="136"/>
      <x:c r="Y10" s="136"/>
      <x:c r="Z10" s="136"/>
    </x:row>
    <x:row r="11" ht="24" customHeight="1">
      <x:c r="A11" s="136"/>
      <x:c r="B11" s="136"/>
      <x:c r="C11" s="167" t="str">
        <x:v>Model units</x:v>
      </x:c>
      <x:c r="D11" s="170"/>
      <x:c r="E11" s="170"/>
      <x:c r="F11" s="170"/>
      <x:c r="G11" s="170"/>
      <x:c r="H11" s="170"/>
      <x:c r="I11" s="170"/>
      <x:c r="J11" s="170"/>
      <x:c r="K11" s="170"/>
      <x:c r="L11" s="173"/>
      <x:c r="M11" s="136"/>
      <x:c r="N11" s="136"/>
      <x:c r="O11" s="136"/>
      <x:c r="P11" s="136"/>
      <x:c r="Q11" s="136"/>
      <x:c r="R11" s="136"/>
      <x:c r="S11" s="136"/>
      <x:c r="T11" s="136"/>
      <x:c r="U11" s="136"/>
      <x:c r="V11" s="136"/>
      <x:c r="W11" s="136"/>
      <x:c r="X11" s="136"/>
      <x:c r="Y11" s="136"/>
      <x:c r="Z11" s="136"/>
    </x:row>
    <x:row r="12" ht="24" customHeight="1">
      <x:c r="A12" s="136"/>
      <x:c r="B12" s="136"/>
      <x:c r="C12" s="174" t="str">
        <x:v>USD millions for statements and value; million shares for denominator; USD/share for quotes; decimal rates with percentage formatting. FY:27 means year ending 30 June 2027.</x:v>
      </x:c>
      <x:c r="D12" s="174"/>
      <x:c r="E12" s="174"/>
      <x:c r="F12" s="174"/>
      <x:c r="G12" s="174"/>
      <x:c r="H12" s="174"/>
      <x:c r="I12" s="174"/>
      <x:c r="J12" s="174"/>
      <x:c r="K12" s="174"/>
      <x:c r="L12" s="174"/>
      <x:c r="M12" s="136"/>
      <x:c r="N12" s="136"/>
      <x:c r="O12" s="136"/>
      <x:c r="P12" s="136"/>
      <x:c r="Q12" s="136"/>
      <x:c r="R12" s="136"/>
      <x:c r="S12" s="136"/>
      <x:c r="T12" s="136"/>
      <x:c r="U12" s="136"/>
      <x:c r="V12" s="136"/>
      <x:c r="W12" s="136"/>
      <x:c r="X12" s="136"/>
      <x:c r="Y12" s="136"/>
      <x:c r="Z12" s="136"/>
    </x:row>
    <x:row r="13" ht="24" customHeight="1">
      <x:c r="A13" s="136"/>
      <x:c r="B13" s="136"/>
      <x:c r="C13" s="174"/>
      <x:c r="D13" s="174"/>
      <x:c r="E13" s="174"/>
      <x:c r="F13" s="174"/>
      <x:c r="G13" s="174"/>
      <x:c r="H13" s="174"/>
      <x:c r="I13" s="174"/>
      <x:c r="J13" s="174"/>
      <x:c r="K13" s="174"/>
      <x:c r="L13" s="174"/>
      <x:c r="M13" s="136"/>
      <x:c r="N13" s="136"/>
      <x:c r="O13" s="136"/>
      <x:c r="P13" s="136"/>
      <x:c r="Q13" s="136"/>
      <x:c r="R13" s="136"/>
      <x:c r="S13" s="136"/>
      <x:c r="T13" s="136"/>
      <x:c r="U13" s="136"/>
      <x:c r="V13" s="136"/>
      <x:c r="W13" s="136"/>
      <x:c r="X13" s="136"/>
      <x:c r="Y13" s="136"/>
      <x:c r="Z13" s="136"/>
    </x:row>
    <x:row r="14" ht="24" customHeight="1">
      <x:c r="A14" s="136"/>
      <x:c r="B14" s="136"/>
      <x:c r="C14" s="174"/>
      <x:c r="D14" s="174"/>
      <x:c r="E14" s="174"/>
      <x:c r="F14" s="174"/>
      <x:c r="G14" s="174"/>
      <x:c r="H14" s="174"/>
      <x:c r="I14" s="174"/>
      <x:c r="J14" s="174"/>
      <x:c r="K14" s="174"/>
      <x:c r="L14" s="174"/>
      <x:c r="M14" s="136"/>
      <x:c r="N14" s="136"/>
      <x:c r="O14" s="136"/>
      <x:c r="P14" s="136"/>
      <x:c r="Q14" s="136"/>
      <x:c r="R14" s="136"/>
      <x:c r="S14" s="136"/>
      <x:c r="T14" s="136"/>
      <x:c r="U14" s="136"/>
      <x:c r="V14" s="136"/>
      <x:c r="W14" s="136"/>
      <x:c r="X14" s="136"/>
      <x:c r="Y14" s="136"/>
      <x:c r="Z14" s="136"/>
    </x:row>
    <x:row r="15" ht="24" customHeight="1">
      <x:c r="A15" s="136"/>
      <x:c r="B15" s="136"/>
      <x:c r="C15" s="167" t="str">
        <x:v>Uniform table rows</x:v>
      </x:c>
      <x:c r="D15" s="170"/>
      <x:c r="E15" s="170"/>
      <x:c r="F15" s="170"/>
      <x:c r="G15" s="170"/>
      <x:c r="H15" s="170"/>
      <x:c r="I15" s="170"/>
      <x:c r="J15" s="170"/>
      <x:c r="K15" s="170"/>
      <x:c r="L15" s="173"/>
      <x:c r="M15" s="136"/>
      <x:c r="N15" s="136"/>
      <x:c r="O15" s="136"/>
      <x:c r="P15" s="136"/>
      <x:c r="Q15" s="136"/>
      <x:c r="R15" s="136"/>
      <x:c r="S15" s="136"/>
      <x:c r="T15" s="136"/>
      <x:c r="U15" s="136"/>
      <x:c r="V15" s="136"/>
      <x:c r="W15" s="136"/>
      <x:c r="X15" s="136"/>
      <x:c r="Y15" s="136"/>
      <x:c r="Z15" s="136"/>
    </x:row>
    <x:row r="16" ht="24" customHeight="1">
      <x:c r="A16" s="136"/>
      <x:c r="B16" s="136"/>
      <x:c r="C16" s="174" t="str">
        <x:v>All table rows are 24 pt. Narrative panels merge several 24 pt rows, so expanded explanations do not change table row geometry. Title rows are 30 pt.</x:v>
      </x:c>
      <x:c r="D16" s="174"/>
      <x:c r="E16" s="174"/>
      <x:c r="F16" s="174"/>
      <x:c r="G16" s="174"/>
      <x:c r="H16" s="174"/>
      <x:c r="I16" s="174"/>
      <x:c r="J16" s="174"/>
      <x:c r="K16" s="174"/>
      <x:c r="L16" s="174"/>
      <x:c r="M16" s="136"/>
      <x:c r="N16" s="136"/>
      <x:c r="O16" s="136"/>
      <x:c r="P16" s="136"/>
      <x:c r="Q16" s="136"/>
      <x:c r="R16" s="136"/>
      <x:c r="S16" s="136"/>
      <x:c r="T16" s="136"/>
      <x:c r="U16" s="136"/>
      <x:c r="V16" s="136"/>
      <x:c r="W16" s="136"/>
      <x:c r="X16" s="136"/>
      <x:c r="Y16" s="136"/>
      <x:c r="Z16" s="136"/>
    </x:row>
    <x:row r="17" ht="24" customHeight="1">
      <x:c r="A17" s="136"/>
      <x:c r="B17" s="136"/>
      <x:c r="C17" s="174"/>
      <x:c r="D17" s="174"/>
      <x:c r="E17" s="174"/>
      <x:c r="F17" s="174"/>
      <x:c r="G17" s="174"/>
      <x:c r="H17" s="174"/>
      <x:c r="I17" s="174"/>
      <x:c r="J17" s="174"/>
      <x:c r="K17" s="174"/>
      <x:c r="L17" s="174"/>
      <x:c r="M17" s="136"/>
      <x:c r="N17" s="136"/>
      <x:c r="O17" s="136"/>
      <x:c r="P17" s="136"/>
      <x:c r="Q17" s="136"/>
      <x:c r="R17" s="136"/>
      <x:c r="S17" s="136"/>
      <x:c r="T17" s="136"/>
      <x:c r="U17" s="136"/>
      <x:c r="V17" s="136"/>
      <x:c r="W17" s="136"/>
      <x:c r="X17" s="136"/>
      <x:c r="Y17" s="136"/>
      <x:c r="Z17" s="136"/>
    </x:row>
    <x:row r="18" ht="24" customHeight="1">
      <x:c r="A18" s="136"/>
      <x:c r="B18" s="136"/>
      <x:c r="C18" s="174"/>
      <x:c r="D18" s="174"/>
      <x:c r="E18" s="174"/>
      <x:c r="F18" s="174"/>
      <x:c r="G18" s="174"/>
      <x:c r="H18" s="174"/>
      <x:c r="I18" s="174"/>
      <x:c r="J18" s="174"/>
      <x:c r="K18" s="174"/>
      <x:c r="L18" s="174"/>
      <x:c r="M18" s="136"/>
      <x:c r="N18" s="136"/>
      <x:c r="O18" s="136"/>
      <x:c r="P18" s="136"/>
      <x:c r="Q18" s="136"/>
      <x:c r="R18" s="136"/>
      <x:c r="S18" s="136"/>
      <x:c r="T18" s="136"/>
      <x:c r="U18" s="136"/>
      <x:c r="V18" s="136"/>
      <x:c r="W18" s="136"/>
      <x:c r="X18" s="136"/>
      <x:c r="Y18" s="136"/>
      <x:c r="Z18" s="136"/>
    </x:row>
    <x:row r="19" ht="24" customHeight="1">
      <x:c r="A19" s="136"/>
      <x:c r="B19" s="136"/>
      <x:c r="C19" s="167" t="str">
        <x:v>Input colours</x:v>
      </x:c>
      <x:c r="D19" s="170"/>
      <x:c r="E19" s="170"/>
      <x:c r="F19" s="170"/>
      <x:c r="G19" s="170"/>
      <x:c r="H19" s="170"/>
      <x:c r="I19" s="170"/>
      <x:c r="J19" s="170"/>
      <x:c r="K19" s="170"/>
      <x:c r="L19" s="173"/>
      <x:c r="M19" s="136"/>
      <x:c r="N19" s="136"/>
      <x:c r="O19" s="136"/>
      <x:c r="P19" s="136"/>
      <x:c r="Q19" s="136"/>
      <x:c r="R19" s="136"/>
      <x:c r="S19" s="136"/>
      <x:c r="T19" s="136"/>
      <x:c r="U19" s="136"/>
      <x:c r="V19" s="136"/>
      <x:c r="W19" s="136"/>
      <x:c r="X19" s="136"/>
      <x:c r="Y19" s="136"/>
      <x:c r="Z19" s="136"/>
    </x:row>
    <x:row r="20" ht="24" customHeight="1">
      <x:c r="A20" s="136"/>
      <x:c r="B20" s="136"/>
      <x:c r="C20" s="174" t="str">
        <x:v>Blue numeric inputs; black formulas across all sheets. Bold black identifies output labels. Notes are native Excel Notes, visible on hover or Review / Notes.</x:v>
      </x:c>
      <x:c r="D20" s="174"/>
      <x:c r="E20" s="174"/>
      <x:c r="F20" s="174"/>
      <x:c r="G20" s="174"/>
      <x:c r="H20" s="174"/>
      <x:c r="I20" s="174"/>
      <x:c r="J20" s="174"/>
      <x:c r="K20" s="174"/>
      <x:c r="L20" s="174"/>
      <x:c r="M20" s="136"/>
      <x:c r="N20" s="136"/>
      <x:c r="O20" s="136"/>
      <x:c r="P20" s="136"/>
      <x:c r="Q20" s="136"/>
      <x:c r="R20" s="136"/>
      <x:c r="S20" s="136"/>
      <x:c r="T20" s="136"/>
      <x:c r="U20" s="136"/>
      <x:c r="V20" s="136"/>
      <x:c r="W20" s="136"/>
      <x:c r="X20" s="136"/>
      <x:c r="Y20" s="136"/>
      <x:c r="Z20" s="136"/>
    </x:row>
    <x:row r="21" ht="24" customHeight="1">
      <x:c r="A21" s="136"/>
      <x:c r="B21" s="136"/>
      <x:c r="C21" s="174"/>
      <x:c r="D21" s="174"/>
      <x:c r="E21" s="174"/>
      <x:c r="F21" s="174"/>
      <x:c r="G21" s="174"/>
      <x:c r="H21" s="174"/>
      <x:c r="I21" s="174"/>
      <x:c r="J21" s="174"/>
      <x:c r="K21" s="174"/>
      <x:c r="L21" s="174"/>
      <x:c r="M21" s="136"/>
      <x:c r="N21" s="136"/>
      <x:c r="O21" s="136"/>
      <x:c r="P21" s="136"/>
      <x:c r="Q21" s="136"/>
      <x:c r="R21" s="136"/>
      <x:c r="S21" s="136"/>
      <x:c r="T21" s="136"/>
      <x:c r="U21" s="136"/>
      <x:c r="V21" s="136"/>
      <x:c r="W21" s="136"/>
      <x:c r="X21" s="136"/>
      <x:c r="Y21" s="136"/>
      <x:c r="Z21" s="136"/>
    </x:row>
    <x:row r="22" ht="24" customHeight="1">
      <x:c r="A22" s="136"/>
      <x:c r="B22" s="136"/>
      <x:c r="C22" s="174"/>
      <x:c r="D22" s="174"/>
      <x:c r="E22" s="174"/>
      <x:c r="F22" s="174"/>
      <x:c r="G22" s="174"/>
      <x:c r="H22" s="174"/>
      <x:c r="I22" s="174"/>
      <x:c r="J22" s="174"/>
      <x:c r="K22" s="174"/>
      <x:c r="L22" s="174"/>
      <x:c r="M22" s="136"/>
      <x:c r="N22" s="136"/>
      <x:c r="O22" s="136"/>
      <x:c r="P22" s="136"/>
      <x:c r="Q22" s="136"/>
      <x:c r="R22" s="136"/>
      <x:c r="S22" s="136"/>
      <x:c r="T22" s="136"/>
      <x:c r="U22" s="136"/>
      <x:c r="V22" s="136"/>
      <x:c r="W22" s="136"/>
      <x:c r="X22" s="136"/>
      <x:c r="Y22" s="136"/>
      <x:c r="Z22" s="136"/>
    </x:row>
    <x:row r="23" ht="24" customHeight="1">
      <x:c r="A23" s="136"/>
      <x:c r="B23" s="136"/>
      <x:c r="C23" s="167" t="str">
        <x:v>FCFF policy</x:v>
      </x:c>
      <x:c r="D23" s="170"/>
      <x:c r="E23" s="170"/>
      <x:c r="F23" s="170"/>
      <x:c r="G23" s="170"/>
      <x:c r="H23" s="170"/>
      <x:c r="I23" s="170"/>
      <x:c r="J23" s="170"/>
      <x:c r="K23" s="170"/>
      <x:c r="L23" s="173"/>
      <x:c r="M23" s="136"/>
      <x:c r="N23" s="136"/>
      <x:c r="O23" s="136"/>
      <x:c r="P23" s="136"/>
      <x:c r="Q23" s="136"/>
      <x:c r="R23" s="136"/>
      <x:c r="S23" s="136"/>
      <x:c r="T23" s="136"/>
      <x:c r="U23" s="136"/>
      <x:c r="V23" s="136"/>
      <x:c r="W23" s="136"/>
      <x:c r="X23" s="136"/>
      <x:c r="Y23" s="136"/>
      <x:c r="Z23" s="136"/>
    </x:row>
    <x:row r="24" ht="24" customHeight="1">
      <x:c r="A24" s="136"/>
      <x:c r="B24" s="136"/>
      <x:c r="C24" s="174" t="str">
        <x:v>SBC is expensed inside operating profit and never added back. Finance lease assets are economic reinvestment; lease financing liabilities enter the bridge. Capitalized financing interest is removed from cash capex.</x:v>
      </x:c>
      <x:c r="D24" s="174"/>
      <x:c r="E24" s="174"/>
      <x:c r="F24" s="174"/>
      <x:c r="G24" s="174"/>
      <x:c r="H24" s="174"/>
      <x:c r="I24" s="174"/>
      <x:c r="J24" s="174"/>
      <x:c r="K24" s="174"/>
      <x:c r="L24" s="174"/>
      <x:c r="M24" s="136"/>
      <x:c r="N24" s="136"/>
      <x:c r="O24" s="136"/>
      <x:c r="P24" s="136"/>
      <x:c r="Q24" s="136"/>
      <x:c r="R24" s="136"/>
      <x:c r="S24" s="136"/>
      <x:c r="T24" s="136"/>
      <x:c r="U24" s="136"/>
      <x:c r="V24" s="136"/>
      <x:c r="W24" s="136"/>
      <x:c r="X24" s="136"/>
      <x:c r="Y24" s="136"/>
      <x:c r="Z24" s="136"/>
    </x:row>
    <x:row r="25" ht="24" customHeight="1">
      <x:c r="A25" s="136"/>
      <x:c r="B25" s="136"/>
      <x:c r="C25" s="174"/>
      <x:c r="D25" s="174"/>
      <x:c r="E25" s="174"/>
      <x:c r="F25" s="174"/>
      <x:c r="G25" s="174"/>
      <x:c r="H25" s="174"/>
      <x:c r="I25" s="174"/>
      <x:c r="J25" s="174"/>
      <x:c r="K25" s="174"/>
      <x:c r="L25" s="174"/>
      <x:c r="M25" s="136"/>
      <x:c r="N25" s="136"/>
      <x:c r="O25" s="136"/>
      <x:c r="P25" s="136"/>
      <x:c r="Q25" s="136"/>
      <x:c r="R25" s="136"/>
      <x:c r="S25" s="136"/>
      <x:c r="T25" s="136"/>
      <x:c r="U25" s="136"/>
      <x:c r="V25" s="136"/>
      <x:c r="W25" s="136"/>
      <x:c r="X25" s="136"/>
      <x:c r="Y25" s="136"/>
      <x:c r="Z25" s="136"/>
    </x:row>
    <x:row r="26" ht="24" customHeight="1">
      <x:c r="A26" s="136"/>
      <x:c r="B26" s="136"/>
      <x:c r="C26" s="174"/>
      <x:c r="D26" s="174"/>
      <x:c r="E26" s="174"/>
      <x:c r="F26" s="174"/>
      <x:c r="G26" s="174"/>
      <x:c r="H26" s="174"/>
      <x:c r="I26" s="174"/>
      <x:c r="J26" s="174"/>
      <x:c r="K26" s="174"/>
      <x:c r="L26" s="174"/>
      <x:c r="M26" s="136"/>
      <x:c r="N26" s="136"/>
      <x:c r="O26" s="136"/>
      <x:c r="P26" s="136"/>
      <x:c r="Q26" s="136"/>
      <x:c r="R26" s="136"/>
      <x:c r="S26" s="136"/>
      <x:c r="T26" s="136"/>
      <x:c r="U26" s="136"/>
      <x:c r="V26" s="136"/>
      <x:c r="W26" s="136"/>
      <x:c r="X26" s="136"/>
      <x:c r="Y26" s="136"/>
      <x:c r="Z26" s="136"/>
    </x:row>
    <x:row r="27" ht="24" customHeight="1">
      <x:c r="A27" s="136"/>
      <x:c r="B27" s="136"/>
      <x:c r="C27" s="167" t="str">
        <x:v>Stable period</x:v>
      </x:c>
      <x:c r="D27" s="170"/>
      <x:c r="E27" s="170"/>
      <x:c r="F27" s="170"/>
      <x:c r="G27" s="170"/>
      <x:c r="H27" s="170"/>
      <x:c r="I27" s="170"/>
      <x:c r="J27" s="170"/>
      <x:c r="K27" s="170"/>
      <x:c r="L27" s="173"/>
      <x:c r="M27" s="136"/>
      <x:c r="N27" s="136"/>
      <x:c r="O27" s="136"/>
      <x:c r="P27" s="136"/>
      <x:c r="Q27" s="136"/>
      <x:c r="R27" s="136"/>
      <x:c r="S27" s="136"/>
      <x:c r="T27" s="136"/>
      <x:c r="U27" s="136"/>
      <x:c r="V27" s="136"/>
      <x:c r="W27" s="136"/>
      <x:c r="X27" s="136"/>
      <x:c r="Y27" s="136"/>
      <x:c r="Z27" s="136"/>
    </x:row>
    <x:row r="28" ht="24" customHeight="1">
      <x:c r="A28" s="136"/>
      <x:c r="B28" s="136"/>
      <x:c r="C28" s="174" t="str">
        <x:v>Normalized NOPAT = final revenue x (1+g) x margin x (1-tax). Required reinvestment = NOPAT x g / ROIC. Stable FCFF = NOPAT x (1-g/ROIC). Require WACC &gt; g and ROIC &gt; g.</x:v>
      </x:c>
      <x:c r="D28" s="174"/>
      <x:c r="E28" s="174"/>
      <x:c r="F28" s="174"/>
      <x:c r="G28" s="174"/>
      <x:c r="H28" s="174"/>
      <x:c r="I28" s="174"/>
      <x:c r="J28" s="174"/>
      <x:c r="K28" s="174"/>
      <x:c r="L28" s="174"/>
      <x:c r="M28" s="136"/>
      <x:c r="N28" s="136"/>
      <x:c r="O28" s="136"/>
      <x:c r="P28" s="136"/>
      <x:c r="Q28" s="136"/>
      <x:c r="R28" s="136"/>
      <x:c r="S28" s="136"/>
      <x:c r="T28" s="136"/>
      <x:c r="U28" s="136"/>
      <x:c r="V28" s="136"/>
      <x:c r="W28" s="136"/>
      <x:c r="X28" s="136"/>
      <x:c r="Y28" s="136"/>
      <x:c r="Z28" s="136"/>
    </x:row>
    <x:row r="29" ht="24" customHeight="1">
      <x:c r="A29" s="136"/>
      <x:c r="B29" s="136"/>
      <x:c r="C29" s="174"/>
      <x:c r="D29" s="174"/>
      <x:c r="E29" s="174"/>
      <x:c r="F29" s="174"/>
      <x:c r="G29" s="174"/>
      <x:c r="H29" s="174"/>
      <x:c r="I29" s="174"/>
      <x:c r="J29" s="174"/>
      <x:c r="K29" s="174"/>
      <x:c r="L29" s="174"/>
      <x:c r="M29" s="136"/>
      <x:c r="N29" s="136"/>
      <x:c r="O29" s="136"/>
      <x:c r="P29" s="136"/>
      <x:c r="Q29" s="136"/>
      <x:c r="R29" s="136"/>
      <x:c r="S29" s="136"/>
      <x:c r="T29" s="136"/>
      <x:c r="U29" s="136"/>
      <x:c r="V29" s="136"/>
      <x:c r="W29" s="136"/>
      <x:c r="X29" s="136"/>
      <x:c r="Y29" s="136"/>
      <x:c r="Z29" s="136"/>
    </x:row>
    <x:row r="30" ht="24" customHeight="1">
      <x:c r="A30" s="136"/>
      <x:c r="B30" s="136"/>
      <x:c r="C30" s="174"/>
      <x:c r="D30" s="174"/>
      <x:c r="E30" s="174"/>
      <x:c r="F30" s="174"/>
      <x:c r="G30" s="174"/>
      <x:c r="H30" s="174"/>
      <x:c r="I30" s="174"/>
      <x:c r="J30" s="174"/>
      <x:c r="K30" s="174"/>
      <x:c r="L30" s="174"/>
      <x:c r="M30" s="136"/>
      <x:c r="N30" s="136"/>
      <x:c r="O30" s="136"/>
      <x:c r="P30" s="136"/>
      <x:c r="Q30" s="136"/>
      <x:c r="R30" s="136"/>
      <x:c r="S30" s="136"/>
      <x:c r="T30" s="136"/>
      <x:c r="U30" s="136"/>
      <x:c r="V30" s="136"/>
      <x:c r="W30" s="136"/>
      <x:c r="X30" s="136"/>
      <x:c r="Y30" s="136"/>
      <x:c r="Z30" s="136"/>
    </x:row>
    <x:row r="31" ht="24" customHeight="1">
      <x:c r="A31" s="136"/>
      <x:c r="B31" s="136"/>
      <x:c r="C31" s="167" t="str">
        <x:v>Source trail</x:v>
      </x:c>
      <x:c r="D31" s="170"/>
      <x:c r="E31" s="170"/>
      <x:c r="F31" s="170"/>
      <x:c r="G31" s="170"/>
      <x:c r="H31" s="170"/>
      <x:c r="I31" s="170"/>
      <x:c r="J31" s="170"/>
      <x:c r="K31" s="170"/>
      <x:c r="L31" s="173"/>
      <x:c r="M31" s="136"/>
      <x:c r="N31" s="136"/>
      <x:c r="O31" s="136"/>
      <x:c r="P31" s="136"/>
      <x:c r="Q31" s="136"/>
      <x:c r="R31" s="136"/>
      <x:c r="S31" s="136"/>
      <x:c r="T31" s="136"/>
      <x:c r="U31" s="136"/>
      <x:c r="V31" s="136"/>
      <x:c r="W31" s="136"/>
      <x:c r="X31" s="136"/>
      <x:c r="Y31" s="136"/>
      <x:c r="Z31" s="136"/>
    </x:row>
    <x:row r="32" ht="24" customHeight="1">
      <x:c r="A32" s="136"/>
      <x:c r="B32" s="136"/>
      <x:c r="C32" s="174" t="str">
        <x:v>Source Catalog and docs/source_crosswalk.csv identify original PDF, marked copy, one-based PDF page, conversion and Excel cells. Missing prior note disclosures stay n.a. Original PDF text is preserved.</x:v>
      </x:c>
      <x:c r="D32" s="174"/>
      <x:c r="E32" s="174"/>
      <x:c r="F32" s="174"/>
      <x:c r="G32" s="174"/>
      <x:c r="H32" s="174"/>
      <x:c r="I32" s="174"/>
      <x:c r="J32" s="174"/>
      <x:c r="K32" s="174"/>
      <x:c r="L32" s="174"/>
      <x:c r="M32" s="136"/>
      <x:c r="N32" s="136"/>
      <x:c r="O32" s="136"/>
      <x:c r="P32" s="136"/>
      <x:c r="Q32" s="136"/>
      <x:c r="R32" s="136"/>
      <x:c r="S32" s="136"/>
      <x:c r="T32" s="136"/>
      <x:c r="U32" s="136"/>
      <x:c r="V32" s="136"/>
      <x:c r="W32" s="136"/>
      <x:c r="X32" s="136"/>
      <x:c r="Y32" s="136"/>
      <x:c r="Z32" s="136"/>
    </x:row>
    <x:row r="33" ht="24" customHeight="1">
      <x:c r="A33" s="136"/>
      <x:c r="B33" s="136"/>
      <x:c r="C33" s="174"/>
      <x:c r="D33" s="174"/>
      <x:c r="E33" s="174"/>
      <x:c r="F33" s="174"/>
      <x:c r="G33" s="174"/>
      <x:c r="H33" s="174"/>
      <x:c r="I33" s="174"/>
      <x:c r="J33" s="174"/>
      <x:c r="K33" s="174"/>
      <x:c r="L33" s="174"/>
      <x:c r="M33" s="136"/>
      <x:c r="N33" s="136"/>
      <x:c r="O33" s="136"/>
      <x:c r="P33" s="136"/>
      <x:c r="Q33" s="136"/>
      <x:c r="R33" s="136"/>
      <x:c r="S33" s="136"/>
      <x:c r="T33" s="136"/>
      <x:c r="U33" s="136"/>
      <x:c r="V33" s="136"/>
      <x:c r="W33" s="136"/>
      <x:c r="X33" s="136"/>
      <x:c r="Y33" s="136"/>
      <x:c r="Z33" s="136"/>
    </x:row>
    <x:row r="34" ht="24" customHeight="1">
      <x:c r="A34" s="136"/>
      <x:c r="B34" s="136"/>
      <x:c r="C34" s="174"/>
      <x:c r="D34" s="174"/>
      <x:c r="E34" s="174"/>
      <x:c r="F34" s="174"/>
      <x:c r="G34" s="174"/>
      <x:c r="H34" s="174"/>
      <x:c r="I34" s="174"/>
      <x:c r="J34" s="174"/>
      <x:c r="K34" s="174"/>
      <x:c r="L34" s="174"/>
      <x:c r="M34" s="136"/>
      <x:c r="N34" s="136"/>
      <x:c r="O34" s="136"/>
      <x:c r="P34" s="136"/>
      <x:c r="Q34" s="136"/>
      <x:c r="R34" s="136"/>
      <x:c r="S34" s="136"/>
      <x:c r="T34" s="136"/>
      <x:c r="U34" s="136"/>
      <x:c r="V34" s="136"/>
      <x:c r="W34" s="136"/>
      <x:c r="X34" s="136"/>
      <x:c r="Y34" s="136"/>
      <x:c r="Z34" s="136"/>
    </x:row>
    <x:row r="35" ht="24" customHeight="1">
      <x:c r="A35" s="136"/>
      <x:c r="B35" s="136"/>
      <x:c r="C35" s="167" t="str">
        <x:v>Python replay</x:v>
      </x:c>
      <x:c r="D35" s="170"/>
      <x:c r="E35" s="170"/>
      <x:c r="F35" s="170"/>
      <x:c r="G35" s="170"/>
      <x:c r="H35" s="170"/>
      <x:c r="I35" s="170"/>
      <x:c r="J35" s="170"/>
      <x:c r="K35" s="170"/>
      <x:c r="L35" s="173"/>
      <x:c r="M35" s="136"/>
      <x:c r="N35" s="136"/>
      <x:c r="O35" s="136"/>
      <x:c r="P35" s="136"/>
      <x:c r="Q35" s="136"/>
      <x:c r="R35" s="136"/>
      <x:c r="S35" s="136"/>
      <x:c r="T35" s="136"/>
      <x:c r="U35" s="136"/>
      <x:c r="V35" s="136"/>
      <x:c r="W35" s="136"/>
      <x:c r="X35" s="136"/>
      <x:c r="Y35" s="136"/>
      <x:c r="Z35" s="136"/>
    </x:row>
    <x:row r="36" ht="24" customHeight="1">
      <x:c r="A36" s="136"/>
      <x:c r="B36" s="136"/>
      <x:c r="C36" s="174" t="str">
        <x:v>Copy Python Code from C10 through the last code line to src/valuation.py. Keep the project data/processed folder beside src. Install requirements.txt then run python src/valuation.py --excel deliverables/Microsoft_DCF_ReverseDCF_Model.xlsx.</x:v>
      </x:c>
      <x:c r="D36" s="174"/>
      <x:c r="E36" s="174"/>
      <x:c r="F36" s="174"/>
      <x:c r="G36" s="174"/>
      <x:c r="H36" s="174"/>
      <x:c r="I36" s="174"/>
      <x:c r="J36" s="174"/>
      <x:c r="K36" s="174"/>
      <x:c r="L36" s="174"/>
      <x:c r="M36" s="136"/>
      <x:c r="N36" s="136"/>
      <x:c r="O36" s="136"/>
      <x:c r="P36" s="136"/>
      <x:c r="Q36" s="136"/>
      <x:c r="R36" s="136"/>
      <x:c r="S36" s="136"/>
      <x:c r="T36" s="136"/>
      <x:c r="U36" s="136"/>
      <x:c r="V36" s="136"/>
      <x:c r="W36" s="136"/>
      <x:c r="X36" s="136"/>
      <x:c r="Y36" s="136"/>
      <x:c r="Z36" s="136"/>
    </x:row>
    <x:row r="37" ht="24" customHeight="1">
      <x:c r="A37" s="136"/>
      <x:c r="B37" s="136"/>
      <x:c r="C37" s="174"/>
      <x:c r="D37" s="174"/>
      <x:c r="E37" s="174"/>
      <x:c r="F37" s="174"/>
      <x:c r="G37" s="174"/>
      <x:c r="H37" s="174"/>
      <x:c r="I37" s="174"/>
      <x:c r="J37" s="174"/>
      <x:c r="K37" s="174"/>
      <x:c r="L37" s="174"/>
      <x:c r="M37" s="136"/>
      <x:c r="N37" s="136"/>
      <x:c r="O37" s="136"/>
      <x:c r="P37" s="136"/>
      <x:c r="Q37" s="136"/>
      <x:c r="R37" s="136"/>
      <x:c r="S37" s="136"/>
      <x:c r="T37" s="136"/>
      <x:c r="U37" s="136"/>
      <x:c r="V37" s="136"/>
      <x:c r="W37" s="136"/>
      <x:c r="X37" s="136"/>
      <x:c r="Y37" s="136"/>
      <x:c r="Z37" s="136"/>
    </x:row>
    <x:row r="38" ht="24" customHeight="1">
      <x:c r="A38" s="136"/>
      <x:c r="B38" s="136"/>
      <x:c r="C38" s="174"/>
      <x:c r="D38" s="174"/>
      <x:c r="E38" s="174"/>
      <x:c r="F38" s="174"/>
      <x:c r="G38" s="174"/>
      <x:c r="H38" s="174"/>
      <x:c r="I38" s="174"/>
      <x:c r="J38" s="174"/>
      <x:c r="K38" s="174"/>
      <x:c r="L38" s="174"/>
      <x:c r="M38" s="136"/>
      <x:c r="N38" s="136"/>
      <x:c r="O38" s="136"/>
      <x:c r="P38" s="136"/>
      <x:c r="Q38" s="136"/>
      <x:c r="R38" s="136"/>
      <x:c r="S38" s="136"/>
      <x:c r="T38" s="136"/>
      <x:c r="U38" s="136"/>
      <x:c r="V38" s="136"/>
      <x:c r="W38" s="136"/>
      <x:c r="X38" s="136"/>
      <x:c r="Y38" s="136"/>
      <x:c r="Z38" s="136"/>
    </x:row>
    <x:row r="39" ht="24" customHeight="1">
      <x:c r="A39" s="136"/>
      <x:c r="B39" s="136"/>
      <x:c r="C39" s="167" t="str">
        <x:v>Replay scope</x:v>
      </x:c>
      <x:c r="D39" s="170"/>
      <x:c r="E39" s="170"/>
      <x:c r="F39" s="170"/>
      <x:c r="G39" s="170"/>
      <x:c r="H39" s="170"/>
      <x:c r="I39" s="170"/>
      <x:c r="J39" s="170"/>
      <x:c r="K39" s="170"/>
      <x:c r="L39" s="173"/>
      <x:c r="M39" s="136"/>
      <x:c r="N39" s="136"/>
      <x:c r="O39" s="136"/>
      <x:c r="P39" s="136"/>
      <x:c r="Q39" s="136"/>
      <x:c r="R39" s="136"/>
      <x:c r="S39" s="136"/>
      <x:c r="T39" s="136"/>
      <x:c r="U39" s="136"/>
      <x:c r="V39" s="136"/>
      <x:c r="W39" s="136"/>
      <x:c r="X39" s="136"/>
      <x:c r="Y39" s="136"/>
      <x:c r="Z39" s="136"/>
    </x:row>
    <x:row r="40" ht="24" customHeight="1">
      <x:c r="A40" s="136"/>
      <x:c r="B40" s="136"/>
      <x:c r="C40" s="174" t="str">
        <x:v>Python reads mapped numeric driver cells, not formula caches. Frozen annual source data and market-return history remain the evidence baseline. Manual changes to market-return history require a new source dataset.</x:v>
      </x:c>
      <x:c r="D40" s="174"/>
      <x:c r="E40" s="174"/>
      <x:c r="F40" s="174"/>
      <x:c r="G40" s="174"/>
      <x:c r="H40" s="174"/>
      <x:c r="I40" s="174"/>
      <x:c r="J40" s="174"/>
      <x:c r="K40" s="174"/>
      <x:c r="L40" s="174"/>
      <x:c r="M40" s="136"/>
      <x:c r="N40" s="136"/>
      <x:c r="O40" s="136"/>
      <x:c r="P40" s="136"/>
      <x:c r="Q40" s="136"/>
      <x:c r="R40" s="136"/>
      <x:c r="S40" s="136"/>
      <x:c r="T40" s="136"/>
      <x:c r="U40" s="136"/>
      <x:c r="V40" s="136"/>
      <x:c r="W40" s="136"/>
      <x:c r="X40" s="136"/>
      <x:c r="Y40" s="136"/>
      <x:c r="Z40" s="136"/>
    </x:row>
    <x:row r="41" ht="24" customHeight="1">
      <x:c r="A41" s="136"/>
      <x:c r="B41" s="136"/>
      <x:c r="C41" s="174"/>
      <x:c r="D41" s="174"/>
      <x:c r="E41" s="174"/>
      <x:c r="F41" s="174"/>
      <x:c r="G41" s="174"/>
      <x:c r="H41" s="174"/>
      <x:c r="I41" s="174"/>
      <x:c r="J41" s="174"/>
      <x:c r="K41" s="174"/>
      <x:c r="L41" s="174"/>
      <x:c r="M41" s="136"/>
      <x:c r="N41" s="136"/>
      <x:c r="O41" s="136"/>
      <x:c r="P41" s="136"/>
      <x:c r="Q41" s="136"/>
      <x:c r="R41" s="136"/>
      <x:c r="S41" s="136"/>
      <x:c r="T41" s="136"/>
      <x:c r="U41" s="136"/>
      <x:c r="V41" s="136"/>
      <x:c r="W41" s="136"/>
      <x:c r="X41" s="136"/>
      <x:c r="Y41" s="136"/>
      <x:c r="Z41" s="136"/>
    </x:row>
    <x:row r="42" ht="24" customHeight="1">
      <x:c r="A42" s="136"/>
      <x:c r="B42" s="136"/>
      <x:c r="C42" s="174"/>
      <x:c r="D42" s="174"/>
      <x:c r="E42" s="174"/>
      <x:c r="F42" s="174"/>
      <x:c r="G42" s="174"/>
      <x:c r="H42" s="174"/>
      <x:c r="I42" s="174"/>
      <x:c r="J42" s="174"/>
      <x:c r="K42" s="174"/>
      <x:c r="L42" s="174"/>
      <x:c r="M42" s="136"/>
      <x:c r="N42" s="136"/>
      <x:c r="O42" s="136"/>
      <x:c r="P42" s="136"/>
      <x:c r="Q42" s="136"/>
      <x:c r="R42" s="136"/>
      <x:c r="S42" s="136"/>
      <x:c r="T42" s="136"/>
      <x:c r="U42" s="136"/>
      <x:c r="V42" s="136"/>
      <x:c r="W42" s="136"/>
      <x:c r="X42" s="136"/>
      <x:c r="Y42" s="136"/>
      <x:c r="Z42" s="136"/>
    </x:row>
    <x:row r="43" ht="24" customHeight="1">
      <x:c r="A43" s="136"/>
      <x:c r="B43" s="136"/>
      <x:c r="C43" s="167" t="str">
        <x:v>Compatibility</x:v>
      </x:c>
      <x:c r="D43" s="170"/>
      <x:c r="E43" s="170"/>
      <x:c r="F43" s="170"/>
      <x:c r="G43" s="170"/>
      <x:c r="H43" s="170"/>
      <x:c r="I43" s="170"/>
      <x:c r="J43" s="170"/>
      <x:c r="K43" s="170"/>
      <x:c r="L43" s="173"/>
      <x:c r="M43" s="136"/>
      <x:c r="N43" s="136"/>
      <x:c r="O43" s="136"/>
      <x:c r="P43" s="136"/>
      <x:c r="Q43" s="136"/>
      <x:c r="R43" s="136"/>
      <x:c r="S43" s="136"/>
      <x:c r="T43" s="136"/>
      <x:c r="U43" s="136"/>
      <x:c r="V43" s="136"/>
      <x:c r="W43" s="136"/>
      <x:c r="X43" s="136"/>
      <x:c r="Y43" s="136"/>
      <x:c r="Z43" s="136"/>
    </x:row>
    <x:row r="44" ht="24" customHeight="1">
      <x:c r="A44" s="136"/>
      <x:c r="B44" s="136"/>
      <x:c r="C44" s="174" t="str">
        <x:v>Formulas use international Excel function syntax in XLSX and avoid TEXT-based commentary. Native What-If tables use actual inputs on their own DCF sheet. Excel Automatic calculation with data tables is needed after edits.</x:v>
      </x:c>
      <x:c r="D44" s="174"/>
      <x:c r="E44" s="174"/>
      <x:c r="F44" s="174"/>
      <x:c r="G44" s="174"/>
      <x:c r="H44" s="174"/>
      <x:c r="I44" s="174"/>
      <x:c r="J44" s="174"/>
      <x:c r="K44" s="174"/>
      <x:c r="L44" s="174"/>
      <x:c r="M44" s="136"/>
      <x:c r="N44" s="136"/>
      <x:c r="O44" s="136"/>
      <x:c r="P44" s="136"/>
      <x:c r="Q44" s="136"/>
      <x:c r="R44" s="136"/>
      <x:c r="S44" s="136"/>
      <x:c r="T44" s="136"/>
      <x:c r="U44" s="136"/>
      <x:c r="V44" s="136"/>
      <x:c r="W44" s="136"/>
      <x:c r="X44" s="136"/>
      <x:c r="Y44" s="136"/>
      <x:c r="Z44" s="136"/>
    </x:row>
    <x:row r="45" ht="24" customHeight="1">
      <x:c r="A45" s="136"/>
      <x:c r="B45" s="136"/>
      <x:c r="C45" s="174"/>
      <x:c r="D45" s="174"/>
      <x:c r="E45" s="174"/>
      <x:c r="F45" s="174"/>
      <x:c r="G45" s="174"/>
      <x:c r="H45" s="174"/>
      <x:c r="I45" s="174"/>
      <x:c r="J45" s="174"/>
      <x:c r="K45" s="174"/>
      <x:c r="L45" s="174"/>
      <x:c r="M45" s="136"/>
      <x:c r="N45" s="136"/>
      <x:c r="O45" s="136"/>
      <x:c r="P45" s="136"/>
      <x:c r="Q45" s="136"/>
      <x:c r="R45" s="136"/>
      <x:c r="S45" s="136"/>
      <x:c r="T45" s="136"/>
      <x:c r="U45" s="136"/>
      <x:c r="V45" s="136"/>
      <x:c r="W45" s="136"/>
      <x:c r="X45" s="136"/>
      <x:c r="Y45" s="136"/>
      <x:c r="Z45" s="136"/>
    </x:row>
    <x:row r="46" ht="24" customHeight="1">
      <x:c r="A46" s="136"/>
      <x:c r="B46" s="136"/>
      <x:c r="C46" s="174"/>
      <x:c r="D46" s="174"/>
      <x:c r="E46" s="174"/>
      <x:c r="F46" s="174"/>
      <x:c r="G46" s="174"/>
      <x:c r="H46" s="174"/>
      <x:c r="I46" s="174"/>
      <x:c r="J46" s="174"/>
      <x:c r="K46" s="174"/>
      <x:c r="L46" s="174"/>
      <x:c r="M46" s="136"/>
      <x:c r="N46" s="136"/>
      <x:c r="O46" s="136"/>
      <x:c r="P46" s="136"/>
      <x:c r="Q46" s="136"/>
      <x:c r="R46" s="136"/>
      <x:c r="S46" s="136"/>
      <x:c r="T46" s="136"/>
      <x:c r="U46" s="136"/>
      <x:c r="V46" s="136"/>
      <x:c r="W46" s="136"/>
      <x:c r="X46" s="136"/>
      <x:c r="Y46" s="136"/>
      <x:c r="Z46" s="136"/>
    </x:row>
    <x:row r="47" ht="24" customHeight="1">
      <x:c r="A47" s="136"/>
      <x:c r="B47" s="136"/>
      <x:c r="C47" s="167" t="str">
        <x:v>Interpretation</x:v>
      </x:c>
      <x:c r="D47" s="170"/>
      <x:c r="E47" s="170"/>
      <x:c r="F47" s="170"/>
      <x:c r="G47" s="170"/>
      <x:c r="H47" s="170"/>
      <x:c r="I47" s="170"/>
      <x:c r="J47" s="170"/>
      <x:c r="K47" s="170"/>
      <x:c r="L47" s="173"/>
      <x:c r="M47" s="136"/>
      <x:c r="N47" s="136"/>
      <x:c r="O47" s="136"/>
      <x:c r="P47" s="136"/>
      <x:c r="Q47" s="136"/>
      <x:c r="R47" s="136"/>
      <x:c r="S47" s="136"/>
      <x:c r="T47" s="136"/>
      <x:c r="U47" s="136"/>
      <x:c r="V47" s="136"/>
      <x:c r="W47" s="136"/>
      <x:c r="X47" s="136"/>
      <x:c r="Y47" s="136"/>
      <x:c r="Z47" s="136"/>
    </x:row>
    <x:row r="48" ht="24" customHeight="1">
      <x:c r="A48" s="136"/>
      <x:c r="B48" s="136"/>
      <x:c r="C48" s="174" t="str">
        <x:v>No peer prices or consensus estimates are invented. Exit multiple and triangular simulation are explicit analyst assumptions. Reverse one-factor tests are conditional and are not a complete operating capacity forecast.</x:v>
      </x:c>
      <x:c r="D48" s="174"/>
      <x:c r="E48" s="174"/>
      <x:c r="F48" s="174"/>
      <x:c r="G48" s="174"/>
      <x:c r="H48" s="174"/>
      <x:c r="I48" s="174"/>
      <x:c r="J48" s="174"/>
      <x:c r="K48" s="174"/>
      <x:c r="L48" s="174"/>
      <x:c r="M48" s="136"/>
      <x:c r="N48" s="136"/>
      <x:c r="O48" s="136"/>
      <x:c r="P48" s="136"/>
      <x:c r="Q48" s="136"/>
      <x:c r="R48" s="136"/>
      <x:c r="S48" s="136"/>
      <x:c r="T48" s="136"/>
      <x:c r="U48" s="136"/>
      <x:c r="V48" s="136"/>
      <x:c r="W48" s="136"/>
      <x:c r="X48" s="136"/>
      <x:c r="Y48" s="136"/>
      <x:c r="Z48" s="136"/>
    </x:row>
    <x:row r="49" ht="24" customHeight="1">
      <x:c r="A49" s="136"/>
      <x:c r="B49" s="136"/>
      <x:c r="C49" s="174"/>
      <x:c r="D49" s="174"/>
      <x:c r="E49" s="174"/>
      <x:c r="F49" s="174"/>
      <x:c r="G49" s="174"/>
      <x:c r="H49" s="174"/>
      <x:c r="I49" s="174"/>
      <x:c r="J49" s="174"/>
      <x:c r="K49" s="174"/>
      <x:c r="L49" s="174"/>
      <x:c r="M49" s="136"/>
      <x:c r="N49" s="136"/>
      <x:c r="O49" s="136"/>
      <x:c r="P49" s="136"/>
      <x:c r="Q49" s="136"/>
      <x:c r="R49" s="136"/>
      <x:c r="S49" s="136"/>
      <x:c r="T49" s="136"/>
      <x:c r="U49" s="136"/>
      <x:c r="V49" s="136"/>
      <x:c r="W49" s="136"/>
      <x:c r="X49" s="136"/>
      <x:c r="Y49" s="136"/>
      <x:c r="Z49" s="136"/>
    </x:row>
    <x:row r="50" ht="24" customHeight="1">
      <x:c r="A50" s="136"/>
      <x:c r="B50" s="136"/>
      <x:c r="C50" s="174"/>
      <x:c r="D50" s="174"/>
      <x:c r="E50" s="174"/>
      <x:c r="F50" s="174"/>
      <x:c r="G50" s="174"/>
      <x:c r="H50" s="174"/>
      <x:c r="I50" s="174"/>
      <x:c r="J50" s="174"/>
      <x:c r="K50" s="174"/>
      <x:c r="L50" s="174"/>
      <x:c r="M50" s="136"/>
      <x:c r="N50" s="136"/>
      <x:c r="O50" s="136"/>
      <x:c r="P50" s="136"/>
      <x:c r="Q50" s="136"/>
      <x:c r="R50" s="136"/>
      <x:c r="S50" s="136"/>
      <x:c r="T50" s="136"/>
      <x:c r="U50" s="136"/>
      <x:c r="V50" s="136"/>
      <x:c r="W50" s="136"/>
      <x:c r="X50" s="136"/>
      <x:c r="Y50" s="136"/>
      <x:c r="Z50" s="136"/>
    </x:row>
    <x:row r="51" ht="24" customHeight="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ht="24" customHeight="1">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ht="24" customHeight="1">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ht="24" customHeight="1">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ht="24" customHeight="1">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ht="24" customHeight="1">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ht="24" customHeight="1">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ht="24" customHeight="1">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ht="24" customHeight="1">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ht="24" customHeight="1">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ht="24" customHeight="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ht="24" customHeight="1">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ht="24" customHeight="1">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ht="24" customHeight="1">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ht="24" customHeight="1">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ht="24" customHeight="1">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ht="24" customHeight="1">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ht="24" customHeight="1">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ht="24" customHeight="1">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ht="24" customHeight="1">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ht="24" customHeight="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ht="24" customHeight="1">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ht="24" customHeight="1">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ht="24" customHeight="1">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ht="24" customHeight="1">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ht="24" customHeight="1">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ht="24" customHeight="1">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ht="24" customHeight="1">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ht="24" customHeight="1">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ht="24" customHeight="1">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ht="24" customHeight="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ht="24" customHeight="1">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ht="24" customHeight="1">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ht="24" customHeight="1">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ht="24" customHeight="1">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ht="24" customHeight="1">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ht="24" customHeight="1">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ht="24" customHeight="1">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ht="24" customHeight="1">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ht="24" customHeight="1">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ht="24" customHeight="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ht="24" customHeight="1">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ht="24" customHeight="1">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ht="24" customHeight="1">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ht="24" customHeight="1">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ht="24" customHeight="1">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ht="24" customHeight="1">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ht="24" customHeight="1">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ht="24" customHeight="1">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ht="24" customHeight="1">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row r="101" ht="24" customHeight="1">
      <x:c r="A101" s="136"/>
      <x:c r="B101" s="136"/>
      <x:c r="C101" s="136"/>
      <x:c r="D101" s="136"/>
      <x:c r="E101" s="136"/>
      <x:c r="F101" s="136"/>
      <x:c r="G101" s="136"/>
      <x:c r="H101" s="136"/>
      <x:c r="I101" s="136"/>
      <x:c r="J101" s="136"/>
      <x:c r="K101" s="136"/>
      <x:c r="L101" s="136"/>
      <x:c r="M101" s="136"/>
      <x:c r="N101" s="136"/>
      <x:c r="O101" s="136"/>
      <x:c r="P101" s="136"/>
      <x:c r="Q101" s="136"/>
      <x:c r="R101" s="136"/>
      <x:c r="S101" s="136"/>
      <x:c r="T101" s="136"/>
      <x:c r="U101" s="136"/>
      <x:c r="V101" s="136"/>
      <x:c r="W101" s="136"/>
      <x:c r="X101" s="136"/>
      <x:c r="Y101" s="136"/>
      <x:c r="Z101" s="136"/>
    </x:row>
    <x:row r="102" ht="24" customHeight="1">
      <x:c r="A102" s="136"/>
      <x:c r="B102" s="136"/>
      <x:c r="C102" s="136"/>
      <x:c r="D102" s="136"/>
      <x:c r="E102" s="136"/>
      <x:c r="F102" s="136"/>
      <x:c r="G102" s="136"/>
      <x:c r="H102" s="136"/>
      <x:c r="I102" s="136"/>
      <x:c r="J102" s="136"/>
      <x:c r="K102" s="136"/>
      <x:c r="L102" s="136"/>
      <x:c r="M102" s="136"/>
      <x:c r="N102" s="136"/>
      <x:c r="O102" s="136"/>
      <x:c r="P102" s="136"/>
      <x:c r="Q102" s="136"/>
      <x:c r="R102" s="136"/>
      <x:c r="S102" s="136"/>
      <x:c r="T102" s="136"/>
      <x:c r="U102" s="136"/>
      <x:c r="V102" s="136"/>
      <x:c r="W102" s="136"/>
      <x:c r="X102" s="136"/>
      <x:c r="Y102" s="136"/>
      <x:c r="Z102" s="136"/>
    </x:row>
    <x:row r="103" ht="24" customHeight="1">
      <x:c r="A103" s="136"/>
      <x:c r="B103" s="136"/>
      <x:c r="C103" s="136"/>
      <x:c r="D103" s="136"/>
      <x:c r="E103" s="136"/>
      <x:c r="F103" s="136"/>
      <x:c r="G103" s="136"/>
      <x:c r="H103" s="136"/>
      <x:c r="I103" s="136"/>
      <x:c r="J103" s="136"/>
      <x:c r="K103" s="136"/>
      <x:c r="L103" s="136"/>
      <x:c r="M103" s="136"/>
      <x:c r="N103" s="136"/>
      <x:c r="O103" s="136"/>
      <x:c r="P103" s="136"/>
      <x:c r="Q103" s="136"/>
      <x:c r="R103" s="136"/>
      <x:c r="S103" s="136"/>
      <x:c r="T103" s="136"/>
      <x:c r="U103" s="136"/>
      <x:c r="V103" s="136"/>
      <x:c r="W103" s="136"/>
      <x:c r="X103" s="136"/>
      <x:c r="Y103" s="136"/>
      <x:c r="Z103" s="136"/>
    </x:row>
    <x:row r="104" ht="24" customHeight="1">
      <x:c r="A104" s="136"/>
      <x:c r="B104" s="136"/>
      <x:c r="C104" s="136"/>
      <x:c r="D104" s="136"/>
      <x:c r="E104" s="136"/>
      <x:c r="F104" s="136"/>
      <x:c r="G104" s="136"/>
      <x:c r="H104" s="136"/>
      <x:c r="I104" s="136"/>
      <x:c r="J104" s="136"/>
      <x:c r="K104" s="136"/>
      <x:c r="L104" s="136"/>
      <x:c r="M104" s="136"/>
      <x:c r="N104" s="136"/>
      <x:c r="O104" s="136"/>
      <x:c r="P104" s="136"/>
      <x:c r="Q104" s="136"/>
      <x:c r="R104" s="136"/>
      <x:c r="S104" s="136"/>
      <x:c r="T104" s="136"/>
      <x:c r="U104" s="136"/>
      <x:c r="V104" s="136"/>
      <x:c r="W104" s="136"/>
      <x:c r="X104" s="136"/>
      <x:c r="Y104" s="136"/>
      <x:c r="Z104" s="136"/>
    </x:row>
    <x:row r="105" ht="24" customHeight="1">
      <x:c r="A105" s="136"/>
      <x:c r="B105" s="136"/>
      <x:c r="C105" s="136"/>
      <x:c r="D105" s="136"/>
      <x:c r="E105" s="136"/>
      <x:c r="F105" s="136"/>
      <x:c r="G105" s="136"/>
      <x:c r="H105" s="136"/>
      <x:c r="I105" s="136"/>
      <x:c r="J105" s="136"/>
      <x:c r="K105" s="136"/>
      <x:c r="L105" s="136"/>
      <x:c r="M105" s="136"/>
      <x:c r="N105" s="136"/>
      <x:c r="O105" s="136"/>
      <x:c r="P105" s="136"/>
      <x:c r="Q105" s="136"/>
      <x:c r="R105" s="136"/>
      <x:c r="S105" s="136"/>
      <x:c r="T105" s="136"/>
      <x:c r="U105" s="136"/>
      <x:c r="V105" s="136"/>
      <x:c r="W105" s="136"/>
      <x:c r="X105" s="136"/>
      <x:c r="Y105" s="136"/>
      <x:c r="Z105" s="136"/>
    </x:row>
    <x:row r="106" ht="24" customHeight="1">
      <x:c r="A106" s="136"/>
      <x:c r="B106" s="136"/>
      <x:c r="C106" s="136"/>
      <x:c r="D106" s="136"/>
      <x:c r="E106" s="136"/>
      <x:c r="F106" s="136"/>
      <x:c r="G106" s="136"/>
      <x:c r="H106" s="136"/>
      <x:c r="I106" s="136"/>
      <x:c r="J106" s="136"/>
      <x:c r="K106" s="136"/>
      <x:c r="L106" s="136"/>
      <x:c r="M106" s="136"/>
      <x:c r="N106" s="136"/>
      <x:c r="O106" s="136"/>
      <x:c r="P106" s="136"/>
      <x:c r="Q106" s="136"/>
      <x:c r="R106" s="136"/>
      <x:c r="S106" s="136"/>
      <x:c r="T106" s="136"/>
      <x:c r="U106" s="136"/>
      <x:c r="V106" s="136"/>
      <x:c r="W106" s="136"/>
      <x:c r="X106" s="136"/>
      <x:c r="Y106" s="136"/>
      <x:c r="Z106" s="136"/>
    </x:row>
    <x:row r="107" ht="24" customHeight="1">
      <x:c r="A107" s="136"/>
      <x:c r="B107" s="136"/>
      <x:c r="C107" s="136"/>
      <x:c r="D107" s="136"/>
      <x:c r="E107" s="136"/>
      <x:c r="F107" s="136"/>
      <x:c r="G107" s="136"/>
      <x:c r="H107" s="136"/>
      <x:c r="I107" s="136"/>
      <x:c r="J107" s="136"/>
      <x:c r="K107" s="136"/>
      <x:c r="L107" s="136"/>
      <x:c r="M107" s="136"/>
      <x:c r="N107" s="136"/>
      <x:c r="O107" s="136"/>
      <x:c r="P107" s="136"/>
      <x:c r="Q107" s="136"/>
      <x:c r="R107" s="136"/>
      <x:c r="S107" s="136"/>
      <x:c r="T107" s="136"/>
      <x:c r="U107" s="136"/>
      <x:c r="V107" s="136"/>
      <x:c r="W107" s="136"/>
      <x:c r="X107" s="136"/>
      <x:c r="Y107" s="136"/>
      <x:c r="Z107" s="136"/>
    </x:row>
    <x:row r="108" ht="24" customHeight="1">
      <x:c r="A108" s="136"/>
      <x:c r="B108" s="136"/>
      <x:c r="C108" s="136"/>
      <x:c r="D108" s="136"/>
      <x:c r="E108" s="136"/>
      <x:c r="F108" s="136"/>
      <x:c r="G108" s="136"/>
      <x:c r="H108" s="136"/>
      <x:c r="I108" s="136"/>
      <x:c r="J108" s="136"/>
      <x:c r="K108" s="136"/>
      <x:c r="L108" s="136"/>
      <x:c r="M108" s="136"/>
      <x:c r="N108" s="136"/>
      <x:c r="O108" s="136"/>
      <x:c r="P108" s="136"/>
      <x:c r="Q108" s="136"/>
      <x:c r="R108" s="136"/>
      <x:c r="S108" s="136"/>
      <x:c r="T108" s="136"/>
      <x:c r="U108" s="136"/>
      <x:c r="V108" s="136"/>
      <x:c r="W108" s="136"/>
      <x:c r="X108" s="136"/>
      <x:c r="Y108" s="136"/>
      <x:c r="Z108" s="136"/>
    </x:row>
    <x:row r="109" ht="24" customHeight="1">
      <x:c r="A109" s="136"/>
      <x:c r="B109" s="136"/>
      <x:c r="C109" s="136"/>
      <x:c r="D109" s="136"/>
      <x:c r="E109" s="136"/>
      <x:c r="F109" s="136"/>
      <x:c r="G109" s="136"/>
      <x:c r="H109" s="136"/>
      <x:c r="I109" s="136"/>
      <x:c r="J109" s="136"/>
      <x:c r="K109" s="136"/>
      <x:c r="L109" s="136"/>
      <x:c r="M109" s="136"/>
      <x:c r="N109" s="136"/>
      <x:c r="O109" s="136"/>
      <x:c r="P109" s="136"/>
      <x:c r="Q109" s="136"/>
      <x:c r="R109" s="136"/>
      <x:c r="S109" s="136"/>
      <x:c r="T109" s="136"/>
      <x:c r="U109" s="136"/>
      <x:c r="V109" s="136"/>
      <x:c r="W109" s="136"/>
      <x:c r="X109" s="136"/>
      <x:c r="Y109" s="136"/>
      <x:c r="Z109" s="136"/>
    </x:row>
    <x:row r="110" ht="24" customHeight="1">
      <x:c r="A110" s="136"/>
      <x:c r="B110" s="136"/>
      <x:c r="C110" s="136"/>
      <x:c r="D110" s="136"/>
      <x:c r="E110" s="136"/>
      <x:c r="F110" s="136"/>
      <x:c r="G110" s="136"/>
      <x:c r="H110" s="136"/>
      <x:c r="I110" s="136"/>
      <x:c r="J110" s="136"/>
      <x:c r="K110" s="136"/>
      <x:c r="L110" s="136"/>
      <x:c r="M110" s="136"/>
      <x:c r="N110" s="136"/>
      <x:c r="O110" s="136"/>
      <x:c r="P110" s="136"/>
      <x:c r="Q110" s="136"/>
      <x:c r="R110" s="136"/>
      <x:c r="S110" s="136"/>
      <x:c r="T110" s="136"/>
      <x:c r="U110" s="136"/>
      <x:c r="V110" s="136"/>
      <x:c r="W110" s="136"/>
      <x:c r="X110" s="136"/>
      <x:c r="Y110" s="136"/>
      <x:c r="Z110" s="136"/>
    </x:row>
    <x:row r="111" ht="24" customHeight="1">
      <x:c r="A111" s="136"/>
      <x:c r="B111" s="136"/>
      <x:c r="C111" s="136"/>
      <x:c r="D111" s="136"/>
      <x:c r="E111" s="136"/>
      <x:c r="F111" s="136"/>
      <x:c r="G111" s="136"/>
      <x:c r="H111" s="136"/>
      <x:c r="I111" s="136"/>
      <x:c r="J111" s="136"/>
      <x:c r="K111" s="136"/>
      <x:c r="L111" s="136"/>
      <x:c r="M111" s="136"/>
      <x:c r="N111" s="136"/>
      <x:c r="O111" s="136"/>
      <x:c r="P111" s="136"/>
      <x:c r="Q111" s="136"/>
      <x:c r="R111" s="136"/>
      <x:c r="S111" s="136"/>
      <x:c r="T111" s="136"/>
      <x:c r="U111" s="136"/>
      <x:c r="V111" s="136"/>
      <x:c r="W111" s="136"/>
      <x:c r="X111" s="136"/>
      <x:c r="Y111" s="136"/>
      <x:c r="Z111" s="136"/>
    </x:row>
    <x:row r="112" ht="24" customHeight="1">
      <x:c r="A112" s="136"/>
      <x:c r="B112" s="136"/>
      <x:c r="C112" s="136"/>
      <x:c r="D112" s="136"/>
      <x:c r="E112" s="136"/>
      <x:c r="F112" s="136"/>
      <x:c r="G112" s="136"/>
      <x:c r="H112" s="136"/>
      <x:c r="I112" s="136"/>
      <x:c r="J112" s="136"/>
      <x:c r="K112" s="136"/>
      <x:c r="L112" s="136"/>
      <x:c r="M112" s="136"/>
      <x:c r="N112" s="136"/>
      <x:c r="O112" s="136"/>
      <x:c r="P112" s="136"/>
      <x:c r="Q112" s="136"/>
      <x:c r="R112" s="136"/>
      <x:c r="S112" s="136"/>
      <x:c r="T112" s="136"/>
      <x:c r="U112" s="136"/>
      <x:c r="V112" s="136"/>
      <x:c r="W112" s="136"/>
      <x:c r="X112" s="136"/>
      <x:c r="Y112" s="136"/>
      <x:c r="Z112" s="136"/>
    </x:row>
    <x:row r="113" ht="24" customHeight="1">
      <x:c r="A113" s="136"/>
      <x:c r="B113" s="136"/>
      <x:c r="C113" s="136"/>
      <x:c r="D113" s="136"/>
      <x:c r="E113" s="136"/>
      <x:c r="F113" s="136"/>
      <x:c r="G113" s="136"/>
      <x:c r="H113" s="136"/>
      <x:c r="I113" s="136"/>
      <x:c r="J113" s="136"/>
      <x:c r="K113" s="136"/>
      <x:c r="L113" s="136"/>
      <x:c r="M113" s="136"/>
      <x:c r="N113" s="136"/>
      <x:c r="O113" s="136"/>
      <x:c r="P113" s="136"/>
      <x:c r="Q113" s="136"/>
      <x:c r="R113" s="136"/>
      <x:c r="S113" s="136"/>
      <x:c r="T113" s="136"/>
      <x:c r="U113" s="136"/>
      <x:c r="V113" s="136"/>
      <x:c r="W113" s="136"/>
      <x:c r="X113" s="136"/>
      <x:c r="Y113" s="136"/>
      <x:c r="Z113" s="136"/>
    </x:row>
    <x:row r="114" ht="24" customHeight="1">
      <x:c r="A114" s="136"/>
      <x:c r="B114" s="136"/>
      <x:c r="C114" s="136"/>
      <x:c r="D114" s="136"/>
      <x:c r="E114" s="136"/>
      <x:c r="F114" s="136"/>
      <x:c r="G114" s="136"/>
      <x:c r="H114" s="136"/>
      <x:c r="I114" s="136"/>
      <x:c r="J114" s="136"/>
      <x:c r="K114" s="136"/>
      <x:c r="L114" s="136"/>
      <x:c r="M114" s="136"/>
      <x:c r="N114" s="136"/>
      <x:c r="O114" s="136"/>
      <x:c r="P114" s="136"/>
      <x:c r="Q114" s="136"/>
      <x:c r="R114" s="136"/>
      <x:c r="S114" s="136"/>
      <x:c r="T114" s="136"/>
      <x:c r="U114" s="136"/>
      <x:c r="V114" s="136"/>
      <x:c r="W114" s="136"/>
      <x:c r="X114" s="136"/>
      <x:c r="Y114" s="136"/>
      <x:c r="Z114" s="136"/>
    </x:row>
    <x:row r="115" ht="24" customHeight="1">
      <x:c r="A115" s="136"/>
      <x:c r="B115" s="136"/>
      <x:c r="C115" s="136"/>
      <x:c r="D115" s="136"/>
      <x:c r="E115" s="136"/>
      <x:c r="F115" s="136"/>
      <x:c r="G115" s="136"/>
      <x:c r="H115" s="136"/>
      <x:c r="I115" s="136"/>
      <x:c r="J115" s="136"/>
      <x:c r="K115" s="136"/>
      <x:c r="L115" s="136"/>
      <x:c r="M115" s="136"/>
      <x:c r="N115" s="136"/>
      <x:c r="O115" s="136"/>
      <x:c r="P115" s="136"/>
      <x:c r="Q115" s="136"/>
      <x:c r="R115" s="136"/>
      <x:c r="S115" s="136"/>
      <x:c r="T115" s="136"/>
      <x:c r="U115" s="136"/>
      <x:c r="V115" s="136"/>
      <x:c r="W115" s="136"/>
      <x:c r="X115" s="136"/>
      <x:c r="Y115" s="136"/>
      <x:c r="Z115" s="136"/>
    </x:row>
    <x:row r="116" ht="24" customHeight="1">
      <x:c r="A116" s="136"/>
      <x:c r="B116" s="136"/>
      <x:c r="C116" s="136"/>
      <x:c r="D116" s="136"/>
      <x:c r="E116" s="136"/>
      <x:c r="F116" s="136"/>
      <x:c r="G116" s="136"/>
      <x:c r="H116" s="136"/>
      <x:c r="I116" s="136"/>
      <x:c r="J116" s="136"/>
      <x:c r="K116" s="136"/>
      <x:c r="L116" s="136"/>
      <x:c r="M116" s="136"/>
      <x:c r="N116" s="136"/>
      <x:c r="O116" s="136"/>
      <x:c r="P116" s="136"/>
      <x:c r="Q116" s="136"/>
      <x:c r="R116" s="136"/>
      <x:c r="S116" s="136"/>
      <x:c r="T116" s="136"/>
      <x:c r="U116" s="136"/>
      <x:c r="V116" s="136"/>
      <x:c r="W116" s="136"/>
      <x:c r="X116" s="136"/>
      <x:c r="Y116" s="136"/>
      <x:c r="Z116" s="136"/>
    </x:row>
    <x:row r="117" ht="24" customHeight="1">
      <x:c r="A117" s="136"/>
      <x:c r="B117" s="136"/>
      <x:c r="C117" s="136"/>
      <x:c r="D117" s="136"/>
      <x:c r="E117" s="136"/>
      <x:c r="F117" s="136"/>
      <x:c r="G117" s="136"/>
      <x:c r="H117" s="136"/>
      <x:c r="I117" s="136"/>
      <x:c r="J117" s="136"/>
      <x:c r="K117" s="136"/>
      <x:c r="L117" s="136"/>
      <x:c r="M117" s="136"/>
      <x:c r="N117" s="136"/>
      <x:c r="O117" s="136"/>
      <x:c r="P117" s="136"/>
      <x:c r="Q117" s="136"/>
      <x:c r="R117" s="136"/>
      <x:c r="S117" s="136"/>
      <x:c r="T117" s="136"/>
      <x:c r="U117" s="136"/>
      <x:c r="V117" s="136"/>
      <x:c r="W117" s="136"/>
      <x:c r="X117" s="136"/>
      <x:c r="Y117" s="136"/>
      <x:c r="Z117" s="136"/>
    </x:row>
    <x:row r="118" ht="24" customHeight="1">
      <x:c r="A118" s="136"/>
      <x:c r="B118" s="136"/>
      <x:c r="C118" s="136"/>
      <x:c r="D118" s="136"/>
      <x:c r="E118" s="136"/>
      <x:c r="F118" s="136"/>
      <x:c r="G118" s="136"/>
      <x:c r="H118" s="136"/>
      <x:c r="I118" s="136"/>
      <x:c r="J118" s="136"/>
      <x:c r="K118" s="136"/>
      <x:c r="L118" s="136"/>
      <x:c r="M118" s="136"/>
      <x:c r="N118" s="136"/>
      <x:c r="O118" s="136"/>
      <x:c r="P118" s="136"/>
      <x:c r="Q118" s="136"/>
      <x:c r="R118" s="136"/>
      <x:c r="S118" s="136"/>
      <x:c r="T118" s="136"/>
      <x:c r="U118" s="136"/>
      <x:c r="V118" s="136"/>
      <x:c r="W118" s="136"/>
      <x:c r="X118" s="136"/>
      <x:c r="Y118" s="136"/>
      <x:c r="Z118" s="136"/>
    </x:row>
    <x:row r="119" ht="24" customHeight="1">
      <x:c r="A119" s="136"/>
      <x:c r="B119" s="136"/>
      <x:c r="C119" s="136"/>
      <x:c r="D119" s="136"/>
      <x:c r="E119" s="136"/>
      <x:c r="F119" s="136"/>
      <x:c r="G119" s="136"/>
      <x:c r="H119" s="136"/>
      <x:c r="I119" s="136"/>
      <x:c r="J119" s="136"/>
      <x:c r="K119" s="136"/>
      <x:c r="L119" s="136"/>
      <x:c r="M119" s="136"/>
      <x:c r="N119" s="136"/>
      <x:c r="O119" s="136"/>
      <x:c r="P119" s="136"/>
      <x:c r="Q119" s="136"/>
      <x:c r="R119" s="136"/>
      <x:c r="S119" s="136"/>
      <x:c r="T119" s="136"/>
      <x:c r="U119" s="136"/>
      <x:c r="V119" s="136"/>
      <x:c r="W119" s="136"/>
      <x:c r="X119" s="136"/>
      <x:c r="Y119" s="136"/>
      <x:c r="Z119" s="136"/>
    </x:row>
    <x:row r="120" ht="24" customHeight="1">
      <x:c r="A120" s="136"/>
      <x:c r="B120" s="136"/>
      <x:c r="C120" s="136"/>
      <x:c r="D120" s="136"/>
      <x:c r="E120" s="136"/>
      <x:c r="F120" s="136"/>
      <x:c r="G120" s="136"/>
      <x:c r="H120" s="136"/>
      <x:c r="I120" s="136"/>
      <x:c r="J120" s="136"/>
      <x:c r="K120" s="136"/>
      <x:c r="L120" s="136"/>
      <x:c r="M120" s="136"/>
      <x:c r="N120" s="136"/>
      <x:c r="O120" s="136"/>
      <x:c r="P120" s="136"/>
      <x:c r="Q120" s="136"/>
      <x:c r="R120" s="136"/>
      <x:c r="S120" s="136"/>
      <x:c r="T120" s="136"/>
      <x:c r="U120" s="136"/>
      <x:c r="V120" s="136"/>
      <x:c r="W120" s="136"/>
      <x:c r="X120" s="136"/>
      <x:c r="Y120" s="136"/>
      <x:c r="Z120" s="136"/>
    </x:row>
  </x:sheetData>
  <x:mergeCells>
    <x:mergeCell ref="C8:L10"/>
    <x:mergeCell ref="C12:L14"/>
    <x:mergeCell ref="C16:L18"/>
    <x:mergeCell ref="C20:L22"/>
    <x:mergeCell ref="C24:L26"/>
    <x:mergeCell ref="C28:L30"/>
    <x:mergeCell ref="C32:L34"/>
    <x:mergeCell ref="C36:L38"/>
    <x:mergeCell ref="C40:L42"/>
    <x:mergeCell ref="C44:L46"/>
    <x:mergeCell ref="C48:L50"/>
  </x:mergeCells>
  <x:pageMargins left="0.7" right="0.7" top="0.75" bottom="0.75" header="0.3" footer="0.3"/>
</x:worksheet>
</file>